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filterPrivacy="1" codeName="ЭтаКнига" defaultThemeVersion="124226"/>
  <xr:revisionPtr revIDLastSave="0" documentId="13_ncr:1_{EF32D377-1E63-44B3-A5F9-45EA6F7BC878}" xr6:coauthVersionLast="47" xr6:coauthVersionMax="47" xr10:uidLastSave="{00000000-0000-0000-0000-000000000000}"/>
  <bookViews>
    <workbookView xWindow="-120" yWindow="-120" windowWidth="29040" windowHeight="15840" tabRatio="937" firstSheet="74" activeTab="74" xr2:uid="{00000000-000D-0000-FFFF-FFFF00000000}"/>
  </bookViews>
  <sheets>
    <sheet name="Вхідні дані" sheetId="24" state="hidden" r:id="rId1"/>
    <sheet name="Д 1_Заява" sheetId="32" state="hidden" r:id="rId2"/>
    <sheet name="КОНТРОЛЬ" sheetId="115" state="hidden" r:id="rId3"/>
    <sheet name="Д 2_Т на В" sheetId="55" state="hidden" r:id="rId4"/>
    <sheet name="Д 3_Т на Т з ЦТП" sheetId="61" state="hidden" r:id="rId5"/>
    <sheet name="Д 3.1_Т на Т без ЦТП" sheetId="92" state="hidden" r:id="rId6"/>
    <sheet name="Д 4_Т на П" sheetId="57" state="hidden" r:id="rId7"/>
    <sheet name="Д 5 Т на ТЕ з ЦТП" sheetId="58" state="hidden" r:id="rId8"/>
    <sheet name="Д 5.1 Т на ТЕ без ЦТП" sheetId="93" state="hidden" r:id="rId9"/>
    <sheet name="Д 6_Втрати" sheetId="26" state="hidden" r:id="rId10"/>
    <sheet name="Д 7_РП" sheetId="54" state="hidden" r:id="rId11"/>
    <sheet name="Д 8_Паливо" sheetId="20" state="hidden" r:id="rId12"/>
    <sheet name="Д 9_ЕЕ" sheetId="21" state="hidden" r:id="rId13"/>
    <sheet name="Д 10" sheetId="22" state="hidden" r:id="rId14"/>
    <sheet name="Д 11" sheetId="27" state="hidden" r:id="rId15"/>
    <sheet name="Д 13_12" sheetId="29" state="hidden" r:id="rId16"/>
    <sheet name="Д 14" sheetId="30" state="hidden" r:id="rId17"/>
    <sheet name="Д 15_13_Реєстр" sheetId="31" state="hidden" r:id="rId18"/>
    <sheet name="Розрахунки Річного плану" sheetId="49" state="hidden" r:id="rId19"/>
    <sheet name="Ср. за 5 лет" sheetId="62" state="hidden" r:id="rId20"/>
    <sheet name="Виробництво_Транспортування_1ст" sheetId="84" state="hidden" r:id="rId21"/>
    <sheet name="ТР_КА 1-2" sheetId="127" state="hidden" r:id="rId22"/>
    <sheet name="Постачання_1ст" sheetId="83" state="hidden" r:id="rId23"/>
    <sheet name="ЗВВ_1ст" sheetId="78" state="hidden" r:id="rId24"/>
    <sheet name="Адміністративні_1ст" sheetId="66" state="hidden" r:id="rId25"/>
    <sheet name="БАЗИ РОЗПОДІЛУ" sheetId="90" state="hidden" r:id="rId26"/>
    <sheet name="ТЕ_1ст_вих" sheetId="98" state="hidden" r:id="rId27"/>
    <sheet name="Покриття втрат в мережах" sheetId="129" state="hidden" r:id="rId28"/>
    <sheet name="2-х став на одиницю" sheetId="145" state="hidden" r:id="rId29"/>
    <sheet name="распределение" sheetId="146" state="hidden" r:id="rId30"/>
    <sheet name="Рішення 1Д" sheetId="150" state="hidden" r:id="rId31"/>
    <sheet name="Рішення 2Д" sheetId="151" state="hidden" r:id="rId32"/>
    <sheet name="Рішення 3Д" sheetId="140" state="hidden" r:id="rId33"/>
    <sheet name="Рішення 4Д" sheetId="142" state="hidden" r:id="rId34"/>
    <sheet name="Рішення 5Д" sheetId="138" state="hidden" r:id="rId35"/>
    <sheet name="Рішення 6Д" sheetId="139" state="hidden" r:id="rId36"/>
    <sheet name="Рішення 7Д" sheetId="144" state="hidden" r:id="rId37"/>
    <sheet name="Структура тарифу" sheetId="109" state="hidden" r:id="rId38"/>
    <sheet name="Порівняння структур" sheetId="110" state="hidden" r:id="rId39"/>
    <sheet name="Зв'язок" sheetId="63" state="hidden" r:id="rId40"/>
    <sheet name="ПММ" sheetId="67" state="hidden" r:id="rId41"/>
    <sheet name="ОП" sheetId="68" state="hidden" r:id="rId42"/>
    <sheet name="ФОП" sheetId="69" state="hidden" r:id="rId43"/>
    <sheet name="Амортизація" sheetId="70" state="hidden" r:id="rId44"/>
    <sheet name="Утилизація" sheetId="75" state="hidden" r:id="rId45"/>
    <sheet name="Страхування" sheetId="87" state="hidden" r:id="rId46"/>
    <sheet name="ТО" sheetId="88" state="hidden" r:id="rId47"/>
    <sheet name="Періодичні видання" sheetId="123" state="hidden" r:id="rId48"/>
    <sheet name="Котел-повірка Юст" sheetId="89" state="hidden" r:id="rId49"/>
    <sheet name="Абон обсл 2021-22" sheetId="124" state="hidden" r:id="rId50"/>
    <sheet name="гран розмір" sheetId="125" state="hidden" r:id="rId51"/>
    <sheet name="Профпослуги2" sheetId="113" state="hidden" r:id="rId52"/>
    <sheet name="Запчастини" sheetId="116" state="hidden" r:id="rId53"/>
    <sheet name="по городам" sheetId="148" state="hidden" r:id="rId54"/>
    <sheet name="СВЕДЕНО_И" sheetId="147" state="hidden" r:id="rId55"/>
    <sheet name="сведено" sheetId="107" state="hidden" r:id="rId56"/>
    <sheet name="стр_тар_1 Гкал" sheetId="128" state="hidden" r:id="rId57"/>
    <sheet name="структури %" sheetId="108" state="hidden" r:id="rId58"/>
    <sheet name="інвестпрограма" sheetId="111" state="hidden" r:id="rId59"/>
    <sheet name="Сравнение 1 и 2 " sheetId="112" state="hidden" r:id="rId60"/>
    <sheet name="прибуток" sheetId="114" state="hidden" r:id="rId61"/>
    <sheet name="АО" sheetId="120" state="hidden" r:id="rId62"/>
    <sheet name="ВКО" sheetId="121" state="hidden" r:id="rId63"/>
    <sheet name="Примечания" sheetId="122" state="hidden" r:id="rId64"/>
    <sheet name="СПЕЦХАРЧ" sheetId="91" state="hidden" r:id="rId65"/>
    <sheet name="Ремонт" sheetId="117" state="hidden" r:id="rId66"/>
    <sheet name="Профпослуги" sheetId="77" state="hidden" r:id="rId67"/>
    <sheet name="Картріджі" sheetId="76" state="hidden" r:id="rId68"/>
    <sheet name="Ціна ее" sheetId="118" state="hidden" r:id="rId69"/>
    <sheet name="Ціна газ" sheetId="119" state="hidden" r:id="rId70"/>
    <sheet name="Коригування витрат" sheetId="155" state="hidden" r:id="rId71"/>
    <sheet name="ВОДА" sheetId="85" state="hidden" r:id="rId72"/>
    <sheet name="ТО ТЗ" sheetId="81" state="hidden" r:id="rId73"/>
    <sheet name="Техконтроль ТЗ" sheetId="82" state="hidden" r:id="rId74"/>
    <sheet name="Додаток 1 до рішення" sheetId="130" r:id="rId75"/>
    <sheet name="Додаток 2 до рішення" sheetId="131" r:id="rId76"/>
    <sheet name="Додаток 3 до рішення" sheetId="132" r:id="rId77"/>
    <sheet name="Додаток 4 до рішення" sheetId="134" r:id="rId78"/>
    <sheet name="Додаток 5 до рішення" sheetId="133" r:id="rId79"/>
    <sheet name="Додаток 6 до рішення" sheetId="135" r:id="rId80"/>
    <sheet name="Додаток 10 до рішення" sheetId="153" state="hidden" r:id="rId81"/>
    <sheet name="Додаток 11 до рішення" sheetId="154" state="hidden" r:id="rId82"/>
    <sheet name="Додаток 7 до рішення" sheetId="156" r:id="rId83"/>
    <sheet name="Додаток 8 до рішення" sheetId="152"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s>
  <definedNames>
    <definedName name="__gvp14" localSheetId="20">[1]рік!#REF!</definedName>
    <definedName name="__gvp14" localSheetId="5">[1]рік!#REF!</definedName>
    <definedName name="__gvp14" localSheetId="8">[1]рік!#REF!</definedName>
    <definedName name="__gvp14" localSheetId="23">[1]рік!#REF!</definedName>
    <definedName name="__gvp14" localSheetId="22">[1]рік!#REF!</definedName>
    <definedName name="__gvp14">[1]рік!#REF!</definedName>
    <definedName name="__gvp2" localSheetId="20">[1]рік!#REF!</definedName>
    <definedName name="__gvp2" localSheetId="5">[1]рік!#REF!</definedName>
    <definedName name="__gvp2" localSheetId="8">[1]рік!#REF!</definedName>
    <definedName name="__gvp2" localSheetId="23">[1]рік!#REF!</definedName>
    <definedName name="__gvp2" localSheetId="22">[1]рік!#REF!</definedName>
    <definedName name="__gvp2">[1]рік!#REF!</definedName>
    <definedName name="__xlnm.Print_Area" localSheetId="5">#REF!</definedName>
    <definedName name="__xlnm.Print_Area" localSheetId="8">#REF!</definedName>
    <definedName name="__xlnm.Print_Area">#REF!</definedName>
    <definedName name="__xlnm.Print_Titles" localSheetId="5">(#REF!,#REF!)</definedName>
    <definedName name="__xlnm.Print_Titles" localSheetId="8">(#REF!,#REF!)</definedName>
    <definedName name="__xlnm.Print_Titles">(#REF!,#REF!)</definedName>
    <definedName name="_gvp14" localSheetId="20">[2]рік!#REF!</definedName>
    <definedName name="_gvp14" localSheetId="71">[3]рік!#REF!</definedName>
    <definedName name="_gvp14" localSheetId="5">[2]рік!#REF!</definedName>
    <definedName name="_gvp14" localSheetId="8">[2]рік!#REF!</definedName>
    <definedName name="_gvp14" localSheetId="23">[2]рік!#REF!</definedName>
    <definedName name="_gvp14" localSheetId="22">[2]рік!#REF!</definedName>
    <definedName name="_gvp14">[2]рік!#REF!</definedName>
    <definedName name="_gvp2" localSheetId="20">[2]рік!#REF!</definedName>
    <definedName name="_gvp2" localSheetId="71">[3]рік!#REF!</definedName>
    <definedName name="_gvp2" localSheetId="5">[2]рік!#REF!</definedName>
    <definedName name="_gvp2" localSheetId="8">[2]рік!#REF!</definedName>
    <definedName name="_gvp2" localSheetId="23">[2]рік!#REF!</definedName>
    <definedName name="_gvp2" localSheetId="22">[2]рік!#REF!</definedName>
    <definedName name="_gvp2">[2]рік!#REF!</definedName>
    <definedName name="_wrn2" hidden="1">{#N/A,#N/A,FALSE,"9PS0"}</definedName>
    <definedName name="_xlnm._FilterDatabase" localSheetId="12" hidden="1">'Д 9_ЕЕ'!$B$8:$T$83</definedName>
    <definedName name="A1048999" localSheetId="20">#REF!</definedName>
    <definedName name="A1048999" localSheetId="71">'[4]1_Структура по елементах'!#REF!</definedName>
    <definedName name="A1048999" localSheetId="3">#REF!</definedName>
    <definedName name="A1048999" localSheetId="5">#REF!</definedName>
    <definedName name="A1048999" localSheetId="4">#REF!</definedName>
    <definedName name="A1048999" localSheetId="8">#REF!</definedName>
    <definedName name="A1048999" localSheetId="10">#REF!</definedName>
    <definedName name="A1048999" localSheetId="23">#REF!</definedName>
    <definedName name="A1048999" localSheetId="22">#REF!</definedName>
    <definedName name="A1048999" localSheetId="19">'[5]1_Структура по елементах'!#REF!</definedName>
    <definedName name="A1048999">#REF!</definedName>
    <definedName name="A1049000" localSheetId="20">#REF!</definedName>
    <definedName name="A1049000" localSheetId="71">'[4]1_Структура по елементах'!#REF!</definedName>
    <definedName name="A1049000" localSheetId="3">#REF!</definedName>
    <definedName name="A1049000" localSheetId="5">#REF!</definedName>
    <definedName name="A1049000" localSheetId="4">#REF!</definedName>
    <definedName name="A1049000" localSheetId="8">#REF!</definedName>
    <definedName name="A1049000" localSheetId="10">#REF!</definedName>
    <definedName name="A1049000" localSheetId="23">#REF!</definedName>
    <definedName name="A1049000" localSheetId="22">#REF!</definedName>
    <definedName name="A1049000" localSheetId="19">'[5]1_Структура по елементах'!#REF!</definedName>
    <definedName name="A1049000">#REF!</definedName>
    <definedName name="A1049999" localSheetId="20">#REF!</definedName>
    <definedName name="A1049999" localSheetId="71">'[4]1_Структура по елементах'!#REF!</definedName>
    <definedName name="A1049999" localSheetId="3">#REF!</definedName>
    <definedName name="A1049999" localSheetId="5">#REF!</definedName>
    <definedName name="A1049999" localSheetId="4">#REF!</definedName>
    <definedName name="A1049999" localSheetId="8">#REF!</definedName>
    <definedName name="A1049999" localSheetId="10">#REF!</definedName>
    <definedName name="A1049999" localSheetId="23">#REF!</definedName>
    <definedName name="A1049999" localSheetId="22">#REF!</definedName>
    <definedName name="A1049999" localSheetId="19">'[5]1_Структура по елементах'!#REF!</definedName>
    <definedName name="A1049999">#REF!</definedName>
    <definedName name="A1050000" localSheetId="20">#REF!</definedName>
    <definedName name="A1050000" localSheetId="71">'[4]1_Структура по елементах'!#REF!</definedName>
    <definedName name="A1050000" localSheetId="3">#REF!</definedName>
    <definedName name="A1050000" localSheetId="5">#REF!</definedName>
    <definedName name="A1050000" localSheetId="4">#REF!</definedName>
    <definedName name="A1050000" localSheetId="8">#REF!</definedName>
    <definedName name="A1050000" localSheetId="10">#REF!</definedName>
    <definedName name="A1050000" localSheetId="23">#REF!</definedName>
    <definedName name="A1050000" localSheetId="22">#REF!</definedName>
    <definedName name="A1050000" localSheetId="19">'[5]1_Структура по елементах'!#REF!</definedName>
    <definedName name="A1050000">#REF!</definedName>
    <definedName name="A1060000" localSheetId="20">#REF!</definedName>
    <definedName name="A1060000" localSheetId="71">'[4]1_Структура по елементах'!#REF!</definedName>
    <definedName name="A1060000" localSheetId="3">#REF!</definedName>
    <definedName name="A1060000" localSheetId="5">#REF!</definedName>
    <definedName name="A1060000" localSheetId="4">#REF!</definedName>
    <definedName name="A1060000" localSheetId="8">#REF!</definedName>
    <definedName name="A1060000" localSheetId="10">#REF!</definedName>
    <definedName name="A1060000" localSheetId="23">#REF!</definedName>
    <definedName name="A1060000" localSheetId="22">#REF!</definedName>
    <definedName name="A1060000" localSheetId="19">'[5]1_Структура по елементах'!#REF!</definedName>
    <definedName name="A1060000">#REF!</definedName>
    <definedName name="A1999999" localSheetId="20">#REF!</definedName>
    <definedName name="A1999999" localSheetId="71">'[4]1_Структура по елементах'!#REF!</definedName>
    <definedName name="A1999999" localSheetId="3">#REF!</definedName>
    <definedName name="A1999999" localSheetId="5">#REF!</definedName>
    <definedName name="A1999999" localSheetId="4">#REF!</definedName>
    <definedName name="A1999999" localSheetId="8">#REF!</definedName>
    <definedName name="A1999999" localSheetId="10">#REF!</definedName>
    <definedName name="A1999999" localSheetId="23">#REF!</definedName>
    <definedName name="A1999999" localSheetId="22">#REF!</definedName>
    <definedName name="A1999999" localSheetId="19">'[5]1_Структура по елементах'!#REF!</definedName>
    <definedName name="A1999999">#REF!</definedName>
    <definedName name="A2000021" localSheetId="20">#REF!</definedName>
    <definedName name="A2000021" localSheetId="71">'[4]1_Структура по елементах'!#REF!</definedName>
    <definedName name="A2000021" localSheetId="3">#REF!</definedName>
    <definedName name="A2000021" localSheetId="5">#REF!</definedName>
    <definedName name="A2000021" localSheetId="4">#REF!</definedName>
    <definedName name="A2000021" localSheetId="8">#REF!</definedName>
    <definedName name="A2000021" localSheetId="10">#REF!</definedName>
    <definedName name="A2000021" localSheetId="23">#REF!</definedName>
    <definedName name="A2000021" localSheetId="22">#REF!</definedName>
    <definedName name="A2000021" localSheetId="19">'[5]1_Структура по елементах'!#REF!</definedName>
    <definedName name="A2000021">#REF!</definedName>
    <definedName name="A6000000" localSheetId="20">#REF!</definedName>
    <definedName name="A6000000" localSheetId="71">'[4]1_Структура по елементах'!#REF!</definedName>
    <definedName name="A6000000" localSheetId="3">#REF!</definedName>
    <definedName name="A6000000" localSheetId="5">#REF!</definedName>
    <definedName name="A6000000" localSheetId="4">#REF!</definedName>
    <definedName name="A6000000" localSheetId="8">#REF!</definedName>
    <definedName name="A6000000" localSheetId="10">#REF!</definedName>
    <definedName name="A6000000" localSheetId="23">#REF!</definedName>
    <definedName name="A6000000" localSheetId="22">#REF!</definedName>
    <definedName name="A6000000" localSheetId="19">'[5]1_Структура по елементах'!#REF!</definedName>
    <definedName name="A6000000">#REF!</definedName>
    <definedName name="aaa" hidden="1">{#N/A,#N/A,FALSE,"9PS0"}</definedName>
    <definedName name="ab" hidden="1">{#N/A,#N/A,FALSE,"9PS0"}</definedName>
    <definedName name="AccessDatabase" hidden="1">"C:\WINDOWS\Рабочий стол\Робота Лутчина\Ltke2new\Ltke22.mdb"</definedName>
    <definedName name="adhdfharh" localSheetId="20">#REF!</definedName>
    <definedName name="adhdfharh" localSheetId="5">#REF!</definedName>
    <definedName name="adhdfharh" localSheetId="8">#REF!</definedName>
    <definedName name="adhdfharh" localSheetId="23">#REF!</definedName>
    <definedName name="adhdfharh" localSheetId="22">#REF!</definedName>
    <definedName name="adhdfharh">#REF!</definedName>
    <definedName name="bbb" hidden="1">{#N/A,#N/A,FALSE,"9PS0"}</definedName>
    <definedName name="Button_21">"Ltke22_LTKE1_0798__3__Таблица"</definedName>
    <definedName name="chel20" localSheetId="20">[2]рік!#REF!</definedName>
    <definedName name="chel20" localSheetId="71">[3]рік!#REF!</definedName>
    <definedName name="chel20" localSheetId="5">[2]рік!#REF!</definedName>
    <definedName name="chel20" localSheetId="8">[2]рік!#REF!</definedName>
    <definedName name="chel20" localSheetId="23">[2]рік!#REF!</definedName>
    <definedName name="chel20" localSheetId="22">[2]рік!#REF!</definedName>
    <definedName name="chel20">[2]рік!#REF!</definedName>
    <definedName name="DataLevels">[6]Ini!$C$47:$C$49</definedName>
    <definedName name="dtjuwr6wu" localSheetId="20">#REF!</definedName>
    <definedName name="dtjuwr6wu" localSheetId="5">#REF!</definedName>
    <definedName name="dtjuwr6wu" localSheetId="8">#REF!</definedName>
    <definedName name="dtjuwr6wu" localSheetId="23">#REF!</definedName>
    <definedName name="dtjuwr6wu" localSheetId="22">#REF!</definedName>
    <definedName name="dtjuwr6wu">#REF!</definedName>
    <definedName name="Excel_BuiltIn_Print_Area_1" localSheetId="24">#REF!</definedName>
    <definedName name="Excel_BuiltIn_Print_Area_1" localSheetId="20">#REF!</definedName>
    <definedName name="Excel_BuiltIn_Print_Area_1" localSheetId="71">#REF!</definedName>
    <definedName name="Excel_BuiltIn_Print_Area_1" localSheetId="5">#REF!</definedName>
    <definedName name="Excel_BuiltIn_Print_Area_1" localSheetId="8">#REF!</definedName>
    <definedName name="Excel_BuiltIn_Print_Area_1" localSheetId="23">#REF!</definedName>
    <definedName name="Excel_BuiltIn_Print_Area_1" localSheetId="22">#REF!</definedName>
    <definedName name="Excel_BuiltIn_Print_Area_1">#REF!</definedName>
    <definedName name="Excel_BuiltIn_Print_Area_3" localSheetId="24">#REF!</definedName>
    <definedName name="Excel_BuiltIn_Print_Area_3" localSheetId="20">#REF!</definedName>
    <definedName name="Excel_BuiltIn_Print_Area_3" localSheetId="71">#REF!</definedName>
    <definedName name="Excel_BuiltIn_Print_Area_3" localSheetId="5">#REF!</definedName>
    <definedName name="Excel_BuiltIn_Print_Area_3" localSheetId="8">#REF!</definedName>
    <definedName name="Excel_BuiltIn_Print_Area_3" localSheetId="23">#REF!</definedName>
    <definedName name="Excel_BuiltIn_Print_Area_3" localSheetId="22">#REF!</definedName>
    <definedName name="Excel_BuiltIn_Print_Area_3">#REF!</definedName>
    <definedName name="Excel_BuiltIn_Print_Area_9" localSheetId="24">#REF!</definedName>
    <definedName name="Excel_BuiltIn_Print_Area_9" localSheetId="20">#REF!</definedName>
    <definedName name="Excel_BuiltIn_Print_Area_9" localSheetId="71">#REF!</definedName>
    <definedName name="Excel_BuiltIn_Print_Area_9" localSheetId="5">#REF!</definedName>
    <definedName name="Excel_BuiltIn_Print_Area_9" localSheetId="8">#REF!</definedName>
    <definedName name="Excel_BuiltIn_Print_Area_9" localSheetId="23">#REF!</definedName>
    <definedName name="Excel_BuiltIn_Print_Area_9" localSheetId="22">#REF!</definedName>
    <definedName name="Excel_BuiltIn_Print_Area_9">#REF!</definedName>
    <definedName name="f" hidden="1">'[7]3 утв.'!$F$1:$H$65536,'[7]3 утв.'!$P$1:$AQ$65536</definedName>
    <definedName name="fdf" localSheetId="5">#REF!</definedName>
    <definedName name="fdf" localSheetId="8">#REF!</definedName>
    <definedName name="fdf">#REF!</definedName>
    <definedName name="fsdgfag" localSheetId="5">#REF!</definedName>
    <definedName name="fsdgfag" localSheetId="8">#REF!</definedName>
    <definedName name="fsdgfag">#REF!</definedName>
    <definedName name="Id_TypeList" localSheetId="20">'[8]Типи данних філії'!#REF!</definedName>
    <definedName name="Id_TypeList" localSheetId="5">'[8]Типи данних філії'!#REF!</definedName>
    <definedName name="Id_TypeList" localSheetId="8">'[8]Типи данних філії'!#REF!</definedName>
    <definedName name="Id_TypeList" localSheetId="23">'[8]Типи данних філії'!#REF!</definedName>
    <definedName name="Id_TypeList" localSheetId="22">'[8]Типи данних філії'!#REF!</definedName>
    <definedName name="Id_TypeList">'[8]Типи данних філії'!#REF!</definedName>
    <definedName name="koef_e_T5">[9]KOEF!$C$2</definedName>
    <definedName name="koef_e_T6">[9]KOEF!$D$2</definedName>
    <definedName name="koefE_1.1.1." localSheetId="20">#REF!</definedName>
    <definedName name="koefE_1.1.1." localSheetId="5">#REF!</definedName>
    <definedName name="koefE_1.1.1." localSheetId="8">#REF!</definedName>
    <definedName name="koefE_1.1.1." localSheetId="23">#REF!</definedName>
    <definedName name="koefE_1.1.1." localSheetId="22">#REF!</definedName>
    <definedName name="koefE_1.1.1.">#REF!</definedName>
    <definedName name="koefE_1.1.2." localSheetId="20">#REF!</definedName>
    <definedName name="koefE_1.1.2." localSheetId="5">#REF!</definedName>
    <definedName name="koefE_1.1.2." localSheetId="8">#REF!</definedName>
    <definedName name="koefE_1.1.2." localSheetId="23">#REF!</definedName>
    <definedName name="koefE_1.1.2." localSheetId="22">#REF!</definedName>
    <definedName name="koefE_1.1.2.">#REF!</definedName>
    <definedName name="koefT_1.2." localSheetId="20">#REF!</definedName>
    <definedName name="koefT_1.2." localSheetId="5">#REF!</definedName>
    <definedName name="koefT_1.2." localSheetId="8">#REF!</definedName>
    <definedName name="koefT_1.2." localSheetId="23">#REF!</definedName>
    <definedName name="koefT_1.2." localSheetId="22">#REF!</definedName>
    <definedName name="koefT_1.2.">#REF!</definedName>
    <definedName name="kot" hidden="1">{#N/A,#N/A,FALSE,"9PS0"}</definedName>
    <definedName name="l">[10]Ф2!$F$4</definedName>
    <definedName name="LastDataLev">[6]Ini!$C$46</definedName>
    <definedName name="LastDtLev">[6]Ini!$C$38</definedName>
    <definedName name="LastItem" localSheetId="19">[11]Лист1!$A$1</definedName>
    <definedName name="LastItem">[12]Лист1!$A$1</definedName>
    <definedName name="LevNames">[6]Ini!$C$40:$C$44</definedName>
    <definedName name="Ltke22_LTKE1_0798__3__Таблица" localSheetId="5">#REF!</definedName>
    <definedName name="Ltke22_LTKE1_0798__3__Таблица" localSheetId="8">#REF!</definedName>
    <definedName name="Ltke22_LTKE1_0798__3__Таблица">#REF!</definedName>
    <definedName name="QКТМ" localSheetId="20">[2]рік!#REF!</definedName>
    <definedName name="QКТМ" localSheetId="71">[3]рік!#REF!</definedName>
    <definedName name="QКТМ" localSheetId="5">[2]рік!#REF!</definedName>
    <definedName name="QКТМ" localSheetId="8">[2]рік!#REF!</definedName>
    <definedName name="QКТМ" localSheetId="23">[2]рік!#REF!</definedName>
    <definedName name="QКТМ" localSheetId="22">[2]рік!#REF!</definedName>
    <definedName name="QКТМ">[2]рік!#REF!</definedName>
    <definedName name="QКТМ1" localSheetId="20">[2]рік!#REF!</definedName>
    <definedName name="QКТМ1" localSheetId="71">[3]рік!#REF!</definedName>
    <definedName name="QКТМ1" localSheetId="5">[2]рік!#REF!</definedName>
    <definedName name="QКТМ1" localSheetId="8">[2]рік!#REF!</definedName>
    <definedName name="QКТМ1" localSheetId="23">[2]рік!#REF!</definedName>
    <definedName name="QКТМ1" localSheetId="22">[2]рік!#REF!</definedName>
    <definedName name="QКТМ1">[2]рік!#REF!</definedName>
    <definedName name="Qрозрах" localSheetId="20">[2]рік!#REF!</definedName>
    <definedName name="Qрозрах" localSheetId="71">[3]рік!#REF!</definedName>
    <definedName name="Qрозрах" localSheetId="5">[2]рік!#REF!</definedName>
    <definedName name="Qрозрах" localSheetId="8">[2]рік!#REF!</definedName>
    <definedName name="Qрозрах" localSheetId="23">[2]рік!#REF!</definedName>
    <definedName name="Qрозрах" localSheetId="22">[2]рік!#REF!</definedName>
    <definedName name="Qрозрах">[2]рік!#REF!</definedName>
    <definedName name="ReportsList" localSheetId="20">#REF!</definedName>
    <definedName name="ReportsList" localSheetId="5">#REF!</definedName>
    <definedName name="ReportsList" localSheetId="8">#REF!</definedName>
    <definedName name="ReportsList" localSheetId="23">#REF!</definedName>
    <definedName name="ReportsList" localSheetId="22">#REF!</definedName>
    <definedName name="ReportsList">#REF!</definedName>
    <definedName name="s" hidden="1">{#N/A,#N/A,FALSE,"9PS0"}</definedName>
    <definedName name="ShowFil" localSheetId="20">[12]!ShowFil</definedName>
    <definedName name="ShowFil" localSheetId="3">[12]!ShowFil</definedName>
    <definedName name="ShowFil" localSheetId="5">[12]!ShowFil</definedName>
    <definedName name="ShowFil" localSheetId="4">[12]!ShowFil</definedName>
    <definedName name="ShowFil" localSheetId="8">[12]!ShowFil</definedName>
    <definedName name="ShowFil" localSheetId="10">[12]!ShowFil</definedName>
    <definedName name="ShowFil" localSheetId="23">[12]!ShowFil</definedName>
    <definedName name="ShowFil" localSheetId="22">[12]!ShowFil</definedName>
    <definedName name="ShowFil" localSheetId="19">[11]!ShowFil</definedName>
    <definedName name="ShowFil">[12]!ShowFil</definedName>
    <definedName name="Skk" localSheetId="20">[13]рік!#REF!</definedName>
    <definedName name="Skk" localSheetId="71">[14]рік!#REF!</definedName>
    <definedName name="Skk" localSheetId="5">[13]рік!#REF!</definedName>
    <definedName name="Skk" localSheetId="8">[13]рік!#REF!</definedName>
    <definedName name="Skk" localSheetId="23">[13]рік!#REF!</definedName>
    <definedName name="Skk" localSheetId="22">[13]рік!#REF!</definedName>
    <definedName name="Skk">[13]рік!#REF!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20" hidden="1">#REF!</definedName>
    <definedName name="solver_opt" localSheetId="5" hidden="1">#REF!</definedName>
    <definedName name="solver_opt" localSheetId="8" hidden="1">#REF!</definedName>
    <definedName name="solver_opt" localSheetId="23" hidden="1">#REF!</definedName>
    <definedName name="solver_opt" localSheetId="22"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t" localSheetId="20">#REF!</definedName>
    <definedName name="st" localSheetId="5">#REF!</definedName>
    <definedName name="st" localSheetId="8">#REF!</definedName>
    <definedName name="st" localSheetId="23">#REF!</definedName>
    <definedName name="st" localSheetId="22">#REF!</definedName>
    <definedName name="st">#REF!</definedName>
    <definedName name="stroka">'[15]tar ee 99'!$CT$95:$CT$110</definedName>
    <definedName name="SZFHDFHA" localSheetId="20">'[16]Вхідні дані'!#REF!</definedName>
    <definedName name="SZFHDFHA" localSheetId="5">'[16]Вхідні дані'!#REF!</definedName>
    <definedName name="SZFHDFHA" localSheetId="8">'[16]Вхідні дані'!#REF!</definedName>
    <definedName name="SZFHDFHA" localSheetId="23">'[16]Вхідні дані'!#REF!</definedName>
    <definedName name="SZFHDFHA" localSheetId="22">'[16]Вхідні дані'!#REF!</definedName>
    <definedName name="SZFHDFHA">'[16]Вхідні дані'!#REF!</definedName>
    <definedName name="t" hidden="1">{#N/A,#N/A,FALSE,"9PS0"}</definedName>
    <definedName name="tgfaf" localSheetId="5">#REF!</definedName>
    <definedName name="tgfaf" localSheetId="8">#REF!</definedName>
    <definedName name="tgfaf">#REF!</definedName>
    <definedName name="ver" hidden="1">{#N/A,#N/A,FALSE,"9PS0"}</definedName>
    <definedName name="voda100" localSheetId="20">[2]рік!#REF!</definedName>
    <definedName name="voda100" localSheetId="71">[3]рік!#REF!</definedName>
    <definedName name="voda100" localSheetId="5">[2]рік!#REF!</definedName>
    <definedName name="voda100" localSheetId="8">[2]рік!#REF!</definedName>
    <definedName name="voda100" localSheetId="23">[2]рік!#REF!</definedName>
    <definedName name="voda100" localSheetId="22">[2]рік!#REF!</definedName>
    <definedName name="voda100">[2]рік!#REF!</definedName>
    <definedName name="wrn.r1." hidden="1">{#N/A,#N/A,FALSE,"9PS0"}</definedName>
    <definedName name="xff1" localSheetId="20">#REF!</definedName>
    <definedName name="xff1" localSheetId="71">'[4]1_Структура по елементах'!#REF!</definedName>
    <definedName name="xff1" localSheetId="3">#REF!</definedName>
    <definedName name="xff1" localSheetId="5">#REF!</definedName>
    <definedName name="xff1" localSheetId="4">#REF!</definedName>
    <definedName name="xff1" localSheetId="8">#REF!</definedName>
    <definedName name="xff1" localSheetId="10">#REF!</definedName>
    <definedName name="xff1" localSheetId="23">#REF!</definedName>
    <definedName name="xff1" localSheetId="22">#REF!</definedName>
    <definedName name="xff1" localSheetId="19">'[5]1_Структура по елементах'!#REF!</definedName>
    <definedName name="xff1">#REF!</definedName>
    <definedName name="xgg" localSheetId="20">#REF!</definedName>
    <definedName name="xgg" localSheetId="71">'[4]1_Структура по елементах'!#REF!</definedName>
    <definedName name="xgg" localSheetId="3">#REF!</definedName>
    <definedName name="xgg" localSheetId="5">#REF!</definedName>
    <definedName name="xgg" localSheetId="4">#REF!</definedName>
    <definedName name="xgg" localSheetId="8">#REF!</definedName>
    <definedName name="xgg" localSheetId="10">#REF!</definedName>
    <definedName name="xgg" localSheetId="23">#REF!</definedName>
    <definedName name="xgg" localSheetId="22">#REF!</definedName>
    <definedName name="xgg" localSheetId="19">'[5]1_Структура по елементах'!#REF!</definedName>
    <definedName name="xgg">#REF!</definedName>
    <definedName name="xgg1" localSheetId="20">#REF!</definedName>
    <definedName name="xgg1" localSheetId="71">'[4]1_Структура по елементах'!#REF!</definedName>
    <definedName name="xgg1" localSheetId="3">#REF!</definedName>
    <definedName name="xgg1" localSheetId="5">#REF!</definedName>
    <definedName name="xgg1" localSheetId="4">#REF!</definedName>
    <definedName name="xgg1" localSheetId="8">#REF!</definedName>
    <definedName name="xgg1" localSheetId="10">#REF!</definedName>
    <definedName name="xgg1" localSheetId="23">#REF!</definedName>
    <definedName name="xgg1" localSheetId="22">#REF!</definedName>
    <definedName name="xgg1" localSheetId="19">'[5]1_Структура по елементах'!#REF!</definedName>
    <definedName name="xgg1">#REF!</definedName>
    <definedName name="xxx1" localSheetId="20">#REF!</definedName>
    <definedName name="xxx1" localSheetId="71">'[4]1_Структура по елементах'!#REF!</definedName>
    <definedName name="xxx1" localSheetId="3">#REF!</definedName>
    <definedName name="xxx1" localSheetId="5">#REF!</definedName>
    <definedName name="xxx1" localSheetId="4">#REF!</definedName>
    <definedName name="xxx1" localSheetId="8">#REF!</definedName>
    <definedName name="xxx1" localSheetId="10">#REF!</definedName>
    <definedName name="xxx1" localSheetId="23">#REF!</definedName>
    <definedName name="xxx1" localSheetId="22">#REF!</definedName>
    <definedName name="xxx1" localSheetId="19">'[5]1_Структура по елементах'!#REF!</definedName>
    <definedName name="xxx1">#REF!</definedName>
    <definedName name="Year" localSheetId="20">#REF!</definedName>
    <definedName name="Year" localSheetId="5">#REF!</definedName>
    <definedName name="Year" localSheetId="8">#REF!</definedName>
    <definedName name="Year" localSheetId="23">#REF!</definedName>
    <definedName name="Year" localSheetId="22">#REF!</definedName>
    <definedName name="Year">#REF!</definedName>
    <definedName name="Z_2B9BA360_C094_11D4_BCAF_00C026C07CB6_.wvu.Cols" hidden="1">'[17]0'!$C$1:$L$65536,'[17]0'!$P$1:$AI$65536</definedName>
    <definedName name="Z_2B9BA361_C094_11D4_BCAF_00C026C07CB6_.wvu.Cols" hidden="1">'[17]1'!$D$1:$F$65536,'[17]1'!$L$1:$AQ$65536</definedName>
    <definedName name="Z_2B9BA362_C094_11D4_BCAF_00C026C07CB6_.wvu.Cols" hidden="1">'[17]1 кв'!$C$1:$E$65536,'[17]1 кв'!$N$1:$AX$65536</definedName>
    <definedName name="Z_2B9BA363_C094_11D4_BCAF_00C026C07CB6_.wvu.Cols" hidden="1">'[17]10'!$F$1:$H$65536,'[17]10'!$P$1:$AR$65536</definedName>
    <definedName name="Z_2B9BA364_C094_11D4_BCAF_00C026C07CB6_.wvu.Cols" hidden="1">'[17]10 міс.'!$C$1:$E$65536,'[17]10 міс.'!$N$1:$AX$65536</definedName>
    <definedName name="Z_2B9BA365_C094_11D4_BCAF_00C026C07CB6_.wvu.Cols" hidden="1">'[17]11'!$F$1:$H$65536,'[17]11'!$P$1:$AR$65536</definedName>
    <definedName name="Z_2B9BA366_C094_11D4_BCAF_00C026C07CB6_.wvu.Cols" hidden="1">'[17]11 міс.'!$C$1:$E$65536,'[17]11 міс.'!$N$1:$AX$65536</definedName>
    <definedName name="Z_2B9BA367_C094_11D4_BCAF_00C026C07CB6_.wvu.Cols" hidden="1">'[17]12'!$F$1:$H$65536,'[17]12'!$P$1:$AR$65536</definedName>
    <definedName name="Z_2B9BA368_C094_11D4_BCAF_00C026C07CB6_.wvu.Cols" hidden="1">'[17]12 міс.'!$C$1:$E$65536,'[17]12 міс.'!$N$1:$AX$65536</definedName>
    <definedName name="Z_2B9BA369_C094_11D4_BCAF_00C026C07CB6_.wvu.Cols" hidden="1">'[17]1998'!$C$1:$E$65536,'[17]1998'!$I$1:$AC$65536</definedName>
    <definedName name="Z_2B9BA36A_C094_11D4_BCAF_00C026C07CB6_.wvu.Cols" hidden="1">'[17]1півр'!$C$1:$E$65536,'[17]1півр'!$N$1:$AX$65536</definedName>
    <definedName name="Z_2B9BA36B_C094_11D4_BCAF_00C026C07CB6_.wvu.Cols" hidden="1">'[17]2'!$F$1:$H$65536,'[17]2'!$P$1:$AQ$65536</definedName>
    <definedName name="Z_2B9BA36C_C094_11D4_BCAF_00C026C07CB6_.wvu.Cols" hidden="1">'[17]2 кв'!$C$1:$E$65536,'[17]2 кв'!$M$1:$AW$65536</definedName>
    <definedName name="Z_2B9BA36D_C094_11D4_BCAF_00C026C07CB6_.wvu.Cols" hidden="1">'[17]2 утв'!$F$1:$H$65536,'[17]2 утв'!$P$1:$AM$65536</definedName>
    <definedName name="Z_2B9BA36E_C094_11D4_BCAF_00C026C07CB6_.wvu.Cols" hidden="1">'[17]3 не сокр.'!$F$1:$H$65536,'[17]3 не сокр.'!$P$1:$AQ$65536</definedName>
    <definedName name="Z_2B9BA36F_C094_11D4_BCAF_00C026C07CB6_.wvu.Cols" hidden="1">'[17]3 тар.'!$C$1:$E$65536,'[17]3 тар.'!$I$1:$AO$65536</definedName>
    <definedName name="Z_2B9BA370_C094_11D4_BCAF_00C026C07CB6_.wvu.Cols" hidden="1">'[17]3 утв.'!$F$1:$H$65536,'[17]3 утв.'!$P$1:$AQ$65536</definedName>
    <definedName name="Z_2B9BA371_C094_11D4_BCAF_00C026C07CB6_.wvu.Cols" hidden="1">'[17]3кв'!$C$1:$E$65536,'[17]3кв'!$N$1:$AX$65536</definedName>
    <definedName name="Z_2B9BA372_C094_11D4_BCAF_00C026C07CB6_.wvu.Cols" hidden="1">'[17]3кв '!$C$1:$E$65536,'[17]3кв '!$I$1:$AA$65536</definedName>
    <definedName name="Z_2B9BA373_C094_11D4_BCAF_00C026C07CB6_.wvu.Cols" hidden="1">'[17]4 утв'!$F$1:$H$65536,'[17]4 утв'!$P$1:$AR$65536</definedName>
    <definedName name="Z_2B9BA374_C094_11D4_BCAF_00C026C07CB6_.wvu.Cols" hidden="1">'[17]5'!$F$1:$H$65536,'[17]5'!$P$1:$AR$65536</definedName>
    <definedName name="Z_2B9BA375_C094_11D4_BCAF_00C026C07CB6_.wvu.Cols" hidden="1">'[17]6'!$F$1:$H$65536,'[17]6'!$P$1:$AR$65536</definedName>
    <definedName name="Z_2B9BA376_C094_11D4_BCAF_00C026C07CB6_.wvu.Cols" hidden="1">'[17]7'!$F$1:$H$65536,'[17]7'!$P$1:$AR$65536</definedName>
    <definedName name="Z_2B9BA377_C094_11D4_BCAF_00C026C07CB6_.wvu.Cols" hidden="1">'[17]7 міс'!$C$1:$E$65536,'[17]7 міс'!$N$1:$AX$65536</definedName>
    <definedName name="Z_2B9BA378_C094_11D4_BCAF_00C026C07CB6_.wvu.Cols" hidden="1">'[17]8'!$F$1:$H$65536,'[17]8'!$P$1:$AR$65536</definedName>
    <definedName name="Z_2B9BA379_C094_11D4_BCAF_00C026C07CB6_.wvu.Cols" hidden="1">'[17]8 міс.'!$C$1:$E$65536,'[17]8 міс.'!$N$1:$AX$65536</definedName>
    <definedName name="Z_2B9BA37A_C094_11D4_BCAF_00C026C07CB6_.wvu.Cols" hidden="1">'[17]812'!$F$1:$H$65536,'[17]812'!$P$1:$AM$65536</definedName>
    <definedName name="Z_2B9BA37B_C094_11D4_BCAF_00C026C07CB6_.wvu.Cols" hidden="1">'[17]812 (2)'!$F$1:$H$65536,'[17]812 (2)'!$P$1:$AL$65536</definedName>
    <definedName name="Z_2B9BA37C_C094_11D4_BCAF_00C026C07CB6_.wvu.Cols" hidden="1">'[17]9'!$F$1:$H$65536,'[17]9'!$P$1:$AP$65536</definedName>
    <definedName name="Z_2B9BA37D_C094_11D4_BCAF_00C026C07CB6_.wvu.Cols" hidden="1">'[17]9 (2)'!$C$1:$E$65536,'[17]9 (2)'!$I$1:$AF$65536</definedName>
    <definedName name="Z_2B9BA37E_C094_11D4_BCAF_00C026C07CB6_.wvu.Cols" hidden="1">'[17]9 міс.'!$C$1:$E$65536,'[17]9 міс.'!$N$1:$AX$65536</definedName>
    <definedName name="Z_F5654560_D292_11D4_BCAF_00C026C07CB6_.wvu.Cols" hidden="1">'[17]0'!$C$1:$L$65536,'[17]0'!$P$1:$AI$65536</definedName>
    <definedName name="Z_F5654561_D292_11D4_BCAF_00C026C07CB6_.wvu.Cols" hidden="1">'[17]1'!$D$1:$F$65536,'[17]1'!$L$1:$AQ$65536</definedName>
    <definedName name="Z_F5654562_D292_11D4_BCAF_00C026C07CB6_.wvu.Cols" hidden="1">'[17]1 кв'!$C$1:$E$65536,'[17]1 кв'!$N$1:$AX$65536</definedName>
    <definedName name="Z_F5654563_D292_11D4_BCAF_00C026C07CB6_.wvu.Cols" hidden="1">'[17]10'!$F$1:$H$65536,'[17]10'!$P$1:$AR$65536</definedName>
    <definedName name="Z_F5654564_D292_11D4_BCAF_00C026C07CB6_.wvu.Cols" hidden="1">'[17]10 міс.'!$C$1:$E$65536,'[17]10 міс.'!$N$1:$AX$65536</definedName>
    <definedName name="Z_F5654565_D292_11D4_BCAF_00C026C07CB6_.wvu.Cols" hidden="1">'[17]11'!$F$1:$H$65536,'[17]11'!$P$1:$AR$65536</definedName>
    <definedName name="Z_F5654566_D292_11D4_BCAF_00C026C07CB6_.wvu.Cols" hidden="1">'[17]11 міс.'!$C$1:$E$65536,'[17]11 міс.'!$N$1:$AX$65536</definedName>
    <definedName name="Z_F5654567_D292_11D4_BCAF_00C026C07CB6_.wvu.Cols" hidden="1">'[17]12'!$F$1:$H$65536,'[17]12'!$P$1:$AR$65536</definedName>
    <definedName name="Z_F5654568_D292_11D4_BCAF_00C026C07CB6_.wvu.Cols" hidden="1">'[17]12 міс.'!$C$1:$E$65536,'[17]12 міс.'!$N$1:$AX$65536</definedName>
    <definedName name="Z_F5654569_D292_11D4_BCAF_00C026C07CB6_.wvu.Cols" hidden="1">'[17]1998'!$C$1:$E$65536,'[17]1998'!$I$1:$AC$65536</definedName>
    <definedName name="Z_F565456A_D292_11D4_BCAF_00C026C07CB6_.wvu.Cols" hidden="1">'[17]1півр'!$C$1:$E$65536,'[17]1півр'!$N$1:$AX$65536</definedName>
    <definedName name="Z_F565456B_D292_11D4_BCAF_00C026C07CB6_.wvu.Cols" hidden="1">'[17]2'!$F$1:$H$65536,'[17]2'!$P$1:$AQ$65536</definedName>
    <definedName name="Z_F565456C_D292_11D4_BCAF_00C026C07CB6_.wvu.Cols" hidden="1">'[17]2 кв'!$C$1:$E$65536,'[17]2 кв'!$M$1:$AW$65536</definedName>
    <definedName name="Z_F565456D_D292_11D4_BCAF_00C026C07CB6_.wvu.Cols" hidden="1">'[17]2 утв'!$F$1:$H$65536,'[17]2 утв'!$P$1:$AM$65536</definedName>
    <definedName name="Z_F565456E_D292_11D4_BCAF_00C026C07CB6_.wvu.Cols" hidden="1">'[17]3 не сокр.'!$F$1:$H$65536,'[17]3 не сокр.'!$P$1:$AQ$65536</definedName>
    <definedName name="Z_F565456F_D292_11D4_BCAF_00C026C07CB6_.wvu.Cols" hidden="1">'[17]3 тар.'!$C$1:$E$65536,'[17]3 тар.'!$I$1:$AO$65536</definedName>
    <definedName name="Z_F5654570_D292_11D4_BCAF_00C026C07CB6_.wvu.Cols" hidden="1">'[17]3 утв.'!$F$1:$H$65536,'[17]3 утв.'!$P$1:$AQ$65536</definedName>
    <definedName name="Z_F5654571_D292_11D4_BCAF_00C026C07CB6_.wvu.Cols" hidden="1">'[17]3кв'!$C$1:$E$65536,'[17]3кв'!$N$1:$AX$65536</definedName>
    <definedName name="Z_F5654572_D292_11D4_BCAF_00C026C07CB6_.wvu.Cols" hidden="1">'[17]3кв '!$C$1:$E$65536,'[17]3кв '!$I$1:$AA$65536</definedName>
    <definedName name="Z_F5654573_D292_11D4_BCAF_00C026C07CB6_.wvu.Cols" hidden="1">'[17]4 утв'!$F$1:$H$65536,'[17]4 утв'!$P$1:$AR$65536</definedName>
    <definedName name="Z_F5654574_D292_11D4_BCAF_00C026C07CB6_.wvu.Cols" hidden="1">'[17]5'!$F$1:$H$65536,'[17]5'!$P$1:$AR$65536</definedName>
    <definedName name="Z_F5654575_D292_11D4_BCAF_00C026C07CB6_.wvu.Cols" hidden="1">'[17]6'!$F$1:$H$65536,'[17]6'!$P$1:$AR$65536</definedName>
    <definedName name="Z_F5654576_D292_11D4_BCAF_00C026C07CB6_.wvu.Cols" hidden="1">'[17]7'!$F$1:$H$65536,'[17]7'!$P$1:$AR$65536</definedName>
    <definedName name="Z_F5654577_D292_11D4_BCAF_00C026C07CB6_.wvu.Cols" hidden="1">'[17]7 міс'!$C$1:$E$65536,'[17]7 міс'!$N$1:$AX$65536</definedName>
    <definedName name="Z_F5654578_D292_11D4_BCAF_00C026C07CB6_.wvu.Cols" hidden="1">'[17]8'!$F$1:$H$65536,'[17]8'!$P$1:$AR$65536</definedName>
    <definedName name="Z_F5654579_D292_11D4_BCAF_00C026C07CB6_.wvu.Cols" hidden="1">'[17]8 міс.'!$C$1:$E$65536,'[17]8 міс.'!$N$1:$AX$65536</definedName>
    <definedName name="Z_F565457A_D292_11D4_BCAF_00C026C07CB6_.wvu.Cols" hidden="1">'[17]812'!$F$1:$H$65536,'[17]812'!$P$1:$AM$65536</definedName>
    <definedName name="Z_F565457B_D292_11D4_BCAF_00C026C07CB6_.wvu.Cols" hidden="1">'[17]812 (2)'!$F$1:$H$65536,'[17]812 (2)'!$P$1:$AL$65536</definedName>
    <definedName name="Z_F565457C_D292_11D4_BCAF_00C026C07CB6_.wvu.Cols" hidden="1">'[17]9'!$F$1:$H$65536,'[17]9'!$P$1:$AP$65536</definedName>
    <definedName name="Z_F565457D_D292_11D4_BCAF_00C026C07CB6_.wvu.Cols" hidden="1">'[17]9 (2)'!$C$1:$E$65536,'[17]9 (2)'!$I$1:$AF$65536</definedName>
    <definedName name="Z_F565457E_D292_11D4_BCAF_00C026C07CB6_.wvu.Cols" hidden="1">'[17]9 міс.'!$C$1:$E$65536,'[17]9 міс.'!$N$1:$AX$65536</definedName>
    <definedName name="zzz1" localSheetId="20">#REF!</definedName>
    <definedName name="zzz1" localSheetId="71">'[4]1_Структура по елементах'!#REF!</definedName>
    <definedName name="zzz1" localSheetId="3">#REF!</definedName>
    <definedName name="zzz1" localSheetId="5">#REF!</definedName>
    <definedName name="zzz1" localSheetId="4">#REF!</definedName>
    <definedName name="zzz1" localSheetId="8">#REF!</definedName>
    <definedName name="zzz1" localSheetId="10">#REF!</definedName>
    <definedName name="zzz1" localSheetId="23">#REF!</definedName>
    <definedName name="zzz1" localSheetId="22">#REF!</definedName>
    <definedName name="zzz1" localSheetId="19">'[5]1_Структура по елементах'!#REF!</definedName>
    <definedName name="zzz1">#REF!</definedName>
    <definedName name="А1" localSheetId="20">#REF!</definedName>
    <definedName name="А1" localSheetId="5">#REF!</definedName>
    <definedName name="А1" localSheetId="8">#REF!</definedName>
    <definedName name="А1" localSheetId="23">#REF!</definedName>
    <definedName name="А1" localSheetId="22">#REF!</definedName>
    <definedName name="А1">#REF!</definedName>
    <definedName name="ааола" localSheetId="20">#REF!</definedName>
    <definedName name="ааола" localSheetId="5">#REF!</definedName>
    <definedName name="ааола" localSheetId="8">#REF!</definedName>
    <definedName name="ааола" localSheetId="23">#REF!</definedName>
    <definedName name="ааола" localSheetId="22">#REF!</definedName>
    <definedName name="ааола">#REF!</definedName>
    <definedName name="АвтоподборВС" localSheetId="20">#REF!</definedName>
    <definedName name="АвтоподборВС" localSheetId="3">#REF!</definedName>
    <definedName name="АвтоподборВС" localSheetId="5">#REF!</definedName>
    <definedName name="АвтоподборВС" localSheetId="4">#REF!</definedName>
    <definedName name="АвтоподборВС" localSheetId="8">#REF!</definedName>
    <definedName name="АвтоподборВС" localSheetId="10">#REF!</definedName>
    <definedName name="АвтоподборВС" localSheetId="23">#REF!</definedName>
    <definedName name="АвтоподборВС" localSheetId="22">#REF!</definedName>
    <definedName name="АвтоподборВС">#REF!</definedName>
    <definedName name="аеочапо" localSheetId="20">#REF!</definedName>
    <definedName name="аеочапо" localSheetId="5">#REF!</definedName>
    <definedName name="аеочапо" localSheetId="8">#REF!</definedName>
    <definedName name="аеочапо" localSheetId="23">#REF!</definedName>
    <definedName name="аеочапо" localSheetId="22">#REF!</definedName>
    <definedName name="аеочапо">#REF!</definedName>
    <definedName name="ап" localSheetId="20">#REF!</definedName>
    <definedName name="ап" localSheetId="5">#REF!</definedName>
    <definedName name="ап" localSheetId="8">#REF!</definedName>
    <definedName name="ап" localSheetId="23">#REF!</definedName>
    <definedName name="ап" localSheetId="22">#REF!</definedName>
    <definedName name="ап">#REF!</definedName>
    <definedName name="_xlnm.Database" localSheetId="20">#REF!</definedName>
    <definedName name="_xlnm.Database" localSheetId="5">#REF!</definedName>
    <definedName name="_xlnm.Database" localSheetId="8">#REF!</definedName>
    <definedName name="_xlnm.Database" localSheetId="23">#REF!</definedName>
    <definedName name="_xlnm.Database" localSheetId="22">#REF!</definedName>
    <definedName name="_xlnm.Database">#REF!</definedName>
    <definedName name="База_данных_ИМ" localSheetId="20">#REF!</definedName>
    <definedName name="База_данных_ИМ" localSheetId="5">#REF!</definedName>
    <definedName name="База_данных_ИМ" localSheetId="8">#REF!</definedName>
    <definedName name="База_данных_ИМ" localSheetId="23">#REF!</definedName>
    <definedName name="База_данных_ИМ" localSheetId="22">#REF!</definedName>
    <definedName name="База_данных_ИМ">#REF!</definedName>
    <definedName name="Баланс">[0]!Баланс</definedName>
    <definedName name="Безраб" localSheetId="20">#REF!</definedName>
    <definedName name="Безраб" localSheetId="5">#REF!</definedName>
    <definedName name="Безраб" localSheetId="8">#REF!</definedName>
    <definedName name="Безраб" localSheetId="23">#REF!</definedName>
    <definedName name="Безраб" localSheetId="22">#REF!</definedName>
    <definedName name="Безраб">#REF!</definedName>
    <definedName name="бер">'[18]812'!$P$1:$P$65536</definedName>
    <definedName name="БПн">[19]Ф2!$E$2</definedName>
    <definedName name="бюдж_п">[20]м_812!$I$1:$I$65536</definedName>
    <definedName name="Бюдж1" localSheetId="20">[2]рік!#REF!</definedName>
    <definedName name="Бюдж1" localSheetId="71">[3]рік!#REF!</definedName>
    <definedName name="Бюдж1" localSheetId="5">[2]рік!#REF!</definedName>
    <definedName name="Бюдж1" localSheetId="8">[2]рік!#REF!</definedName>
    <definedName name="Бюдж1" localSheetId="23">[2]рік!#REF!</definedName>
    <definedName name="Бюдж1" localSheetId="22">[2]рік!#REF!</definedName>
    <definedName name="Бюдж1">[2]рік!#REF!</definedName>
    <definedName name="Бюдж2" localSheetId="20">[2]рік!#REF!</definedName>
    <definedName name="Бюдж2" localSheetId="71">[3]рік!#REF!</definedName>
    <definedName name="Бюдж2" localSheetId="5">[2]рік!#REF!</definedName>
    <definedName name="Бюдж2" localSheetId="8">[2]рік!#REF!</definedName>
    <definedName name="Бюдж2" localSheetId="23">[2]рік!#REF!</definedName>
    <definedName name="Бюдж2" localSheetId="22">[2]рік!#REF!</definedName>
    <definedName name="Бюдж2">[2]рік!#REF!</definedName>
    <definedName name="вадлрфпвдаот" localSheetId="20">#REF!</definedName>
    <definedName name="вадлрфпвдаот" localSheetId="5">#REF!</definedName>
    <definedName name="вадлрфпвдаот" localSheetId="8">#REF!</definedName>
    <definedName name="вадлрфпвдаот" localSheetId="23">#REF!</definedName>
    <definedName name="вадлрфпвдаот" localSheetId="22">#REF!</definedName>
    <definedName name="вадлрфпвдаот">#REF!</definedName>
    <definedName name="ВДЛпрфюпод" localSheetId="20">'[16]Вхідні дані'!#REF!</definedName>
    <definedName name="ВДЛпрфюпод" localSheetId="5">'[16]Вхідні дані'!#REF!</definedName>
    <definedName name="ВДЛпрфюпод" localSheetId="8">'[16]Вхідні дані'!#REF!</definedName>
    <definedName name="ВДЛпрфюпод" localSheetId="23">'[16]Вхідні дані'!#REF!</definedName>
    <definedName name="ВДЛпрфюпод" localSheetId="22">'[16]Вхідні дані'!#REF!</definedName>
    <definedName name="ВДЛпрфюпод">'[16]Вхідні дані'!#REF!</definedName>
    <definedName name="вер">'[18]812'!$X$1:$X$65536</definedName>
    <definedName name="_xlnm.Extract" localSheetId="20">#REF!</definedName>
    <definedName name="_xlnm.Extract" localSheetId="5">#REF!</definedName>
    <definedName name="_xlnm.Extract" localSheetId="8">#REF!</definedName>
    <definedName name="_xlnm.Extract" localSheetId="23">#REF!</definedName>
    <definedName name="_xlnm.Extract" localSheetId="22">#REF!</definedName>
    <definedName name="_xlnm.Extract">#REF!</definedName>
    <definedName name="врівар" localSheetId="20">#REF!</definedName>
    <definedName name="врівар" localSheetId="5">#REF!</definedName>
    <definedName name="врівар" localSheetId="8">#REF!</definedName>
    <definedName name="врівар" localSheetId="23">#REF!</definedName>
    <definedName name="врівар" localSheetId="22">#REF!</definedName>
    <definedName name="врівар">#REF!</definedName>
    <definedName name="Встав">[21]Коригування!$W$9:$W$2131,[21]Коригування!$AF$9:$AH$2131,[21]Коригування!$AM$9:$AM$2131,[21]Коригування!$AO$9:$AO$2131,[21]Коригування!$AQ$9:$AQ$2131,[21]Коригування!$AU$9:$AU$2131,[21]Коригування!$AW$9:$AW$2131+[21]Коригування!$AY$9:$BD$2131,[21]Коригування!$BG$9:$BP$2131,[21]Коригування!$BY$9:$BY$2131,[21]Коригування!$CF$9:$CG$2131,[21]Коригування!$CJ$9:$CO$2131,[21]Коригування!$CX$9:$CY$2131,[21]Коригування!$DB$9:$DC$2131,[21]Коригування!$DJ$9:$DJ$2131,[21]Коригування!$DL$9:$DM$2131,[21]Коригування!$DO$9:$DO$2131,[21]Коригування!$DT$9:$DT$2131</definedName>
    <definedName name="ВСЬОГО" localSheetId="20">#REF!</definedName>
    <definedName name="ВСЬОГО" localSheetId="5">#REF!</definedName>
    <definedName name="ВСЬОГО" localSheetId="8">#REF!</definedName>
    <definedName name="ВСЬОГО" localSheetId="23">#REF!</definedName>
    <definedName name="ВСЬОГО" localSheetId="22">#REF!</definedName>
    <definedName name="ВСЬОГО">#REF!</definedName>
    <definedName name="ВчерашнийДень">[0]!ВчерашнийДень</definedName>
    <definedName name="Г123" localSheetId="20">'[22]ВД (анал)'!#REF!</definedName>
    <definedName name="Г123" localSheetId="5">'[22]ВД (анал)'!#REF!</definedName>
    <definedName name="Г123" localSheetId="8">'[22]ВД (анал)'!#REF!</definedName>
    <definedName name="Г123" localSheetId="23">'[22]ВД (анал)'!#REF!</definedName>
    <definedName name="Г123" localSheetId="22">'[22]ВД (анал)'!#REF!</definedName>
    <definedName name="Г123">'[22]ВД (анал)'!#REF!</definedName>
    <definedName name="г154" localSheetId="20">#REF!</definedName>
    <definedName name="г154" localSheetId="5">#REF!</definedName>
    <definedName name="г154" localSheetId="8">#REF!</definedName>
    <definedName name="г154" localSheetId="23">#REF!</definedName>
    <definedName name="г154" localSheetId="22">#REF!</definedName>
    <definedName name="г154">#REF!</definedName>
    <definedName name="Год">'[23]Технич лист'!$F$2:$F$100</definedName>
    <definedName name="груд">'[18]812'!$AB$1:$AB$65536</definedName>
    <definedName name="ГРУДЕНЬ" hidden="1">{#N/A,#N/A,FALSE,"9PS0"}</definedName>
    <definedName name="Д" localSheetId="20">#REF!</definedName>
    <definedName name="Д" localSheetId="71">#REF!</definedName>
    <definedName name="Д" localSheetId="5">#REF!</definedName>
    <definedName name="Д" localSheetId="8">#REF!</definedName>
    <definedName name="Д" localSheetId="23">#REF!</definedName>
    <definedName name="Д" localSheetId="22">#REF!</definedName>
    <definedName name="Д">#REF!</definedName>
    <definedName name="ДДД" localSheetId="20">#REF!</definedName>
    <definedName name="ДДД" localSheetId="5">#REF!</definedName>
    <definedName name="ДДД" localSheetId="8">#REF!</definedName>
    <definedName name="ДДД" localSheetId="23">#REF!</definedName>
    <definedName name="ДДД" localSheetId="22">#REF!</definedName>
    <definedName name="ДДД">#REF!</definedName>
    <definedName name="ДепЕЗ" hidden="1">{#N/A,#N/A,FALSE,"9PS0"}</definedName>
    <definedName name="додаток" localSheetId="20">#REF!</definedName>
    <definedName name="додаток" localSheetId="5">#REF!</definedName>
    <definedName name="додаток" localSheetId="8">#REF!</definedName>
    <definedName name="додаток" localSheetId="23">#REF!</definedName>
    <definedName name="додаток" localSheetId="22">#REF!</definedName>
    <definedName name="додаток">#REF!</definedName>
    <definedName name="Доро" localSheetId="20">#REF!</definedName>
    <definedName name="Доро" localSheetId="5">#REF!</definedName>
    <definedName name="Доро" localSheetId="8">#REF!</definedName>
    <definedName name="Доро" localSheetId="23">#REF!</definedName>
    <definedName name="Доро" localSheetId="22">#REF!</definedName>
    <definedName name="Доро">#REF!</definedName>
    <definedName name="дохпожу" localSheetId="20">#REF!</definedName>
    <definedName name="дохпожу" localSheetId="5">#REF!</definedName>
    <definedName name="дохпожу" localSheetId="8">#REF!</definedName>
    <definedName name="дохпожу" localSheetId="23">#REF!</definedName>
    <definedName name="дохпожу" localSheetId="22">#REF!</definedName>
    <definedName name="дохпожу">#REF!</definedName>
    <definedName name="експл_9">[24]Експл!$J$59</definedName>
    <definedName name="експл_9п">[24]Експл!$I$59</definedName>
    <definedName name="експл_зв">[24]Експл!$E$59</definedName>
    <definedName name="експл_п">[24]Експл!$K$59</definedName>
    <definedName name="жвалдофрждвао" localSheetId="20">#REF!</definedName>
    <definedName name="жвалдофрждвао" localSheetId="5">#REF!</definedName>
    <definedName name="жвалдофрждвао" localSheetId="8">#REF!</definedName>
    <definedName name="жвалдофрждвао" localSheetId="23">#REF!</definedName>
    <definedName name="жвалдофрждвао" localSheetId="22">#REF!</definedName>
    <definedName name="жвалдофрждвао">#REF!</definedName>
    <definedName name="жжж" localSheetId="20">#REF!</definedName>
    <definedName name="жжж" localSheetId="5">#REF!</definedName>
    <definedName name="жжж" localSheetId="8">#REF!</definedName>
    <definedName name="жжж" localSheetId="23">#REF!</definedName>
    <definedName name="жжж" localSheetId="22">#REF!</definedName>
    <definedName name="жжж">#REF!</definedName>
    <definedName name="жовт">'[18]812'!$Z$1:$Z$65536</definedName>
    <definedName name="жовтень" hidden="1">{#N/A,#N/A,FALSE,"9PS0"}</definedName>
    <definedName name="_xlnm.Print_Titles" localSheetId="24">Адміністративні_1ст!$6:$7</definedName>
    <definedName name="_xlnm.Print_Titles" localSheetId="20">Виробництво_Транспортування_1ст!$98:$99</definedName>
    <definedName name="_xlnm.Print_Titles" localSheetId="13">'Д 10'!$11:$11</definedName>
    <definedName name="_xlnm.Print_Titles" localSheetId="15">'Д 13_12'!$13:$13</definedName>
    <definedName name="_xlnm.Print_Titles" localSheetId="3">'Д 2_Т на В'!$11:$11</definedName>
    <definedName name="_xlnm.Print_Titles" localSheetId="5">'Д 3.1_Т на Т без ЦТП'!$10:$10</definedName>
    <definedName name="_xlnm.Print_Titles" localSheetId="4">'Д 3_Т на Т з ЦТП'!$10:$10</definedName>
    <definedName name="_xlnm.Print_Titles" localSheetId="7">'Д 5 Т на ТЕ з ЦТП'!$8:$8</definedName>
    <definedName name="_xlnm.Print_Titles" localSheetId="8">'Д 5.1 Т на ТЕ без ЦТП'!$11:$11</definedName>
    <definedName name="_xlnm.Print_Titles" localSheetId="10">'Д 7_РП'!$13:$13</definedName>
    <definedName name="_xlnm.Print_Titles" localSheetId="11">'Д 8_Паливо'!$8:$8</definedName>
    <definedName name="_xlnm.Print_Titles" localSheetId="12">'Д 9_ЕЕ'!$8:$8</definedName>
    <definedName name="_xlnm.Print_Titles" localSheetId="23">ЗВВ_1ст!$6:$7</definedName>
    <definedName name="_xlnm.Print_Titles" localSheetId="41">ОП!$48:$48</definedName>
    <definedName name="_xlnm.Print_Titles" localSheetId="32">'Рішення 3Д'!$11:$11</definedName>
    <definedName name="_xlnm.Print_Titles" localSheetId="33">'Рішення 4Д'!$11:$11</definedName>
    <definedName name="_xlnm.Print_Titles" localSheetId="34">'Рішення 5Д'!$9:$9</definedName>
    <definedName name="_xlnm.Print_Titles" localSheetId="35">'Рішення 6Д'!$9:$9</definedName>
    <definedName name="_xlnm.Print_Titles" localSheetId="18">'Розрахунки Річного плану'!$4:$4</definedName>
    <definedName name="зарплатаБ" hidden="1">{#N/A,#N/A,FALSE,"9PS0"}</definedName>
    <definedName name="ЗБ">'[25]tar ee 99'!$CT$95:$CT$110</definedName>
    <definedName name="зв">[24]ПЛАН_1вар!$G$1:$G$65536</definedName>
    <definedName name="зв_2004">[20]м_812!$H$1:$H$65536</definedName>
    <definedName name="зв_9">[24]ПЛАН_1вар!$L$1:$L$65536</definedName>
    <definedName name="зв_9м">[20]м_812!$K$1:$K$65536</definedName>
    <definedName name="ЗведКоштор1КВбезСЗ" localSheetId="20">#REF!</definedName>
    <definedName name="ЗведКоштор1КВбезСЗ" localSheetId="5">#REF!</definedName>
    <definedName name="ЗведКоштор1КВбезСЗ" localSheetId="8">#REF!</definedName>
    <definedName name="ЗведКоштор1КВбезСЗ" localSheetId="23">#REF!</definedName>
    <definedName name="ЗведКоштор1КВбезСЗ" localSheetId="22">#REF!</definedName>
    <definedName name="ЗведКоштор1КВбезСЗ">#REF!</definedName>
    <definedName name="ЗЗЗ" localSheetId="20">#REF!</definedName>
    <definedName name="ЗЗЗ" localSheetId="5">#REF!</definedName>
    <definedName name="ЗЗЗ" localSheetId="8">#REF!</definedName>
    <definedName name="ЗЗЗ" localSheetId="23">#REF!</definedName>
    <definedName name="ЗЗЗ" localSheetId="22">#REF!</definedName>
    <definedName name="ЗЗЗ">#REF!</definedName>
    <definedName name="иваиява" localSheetId="20">'[26]Вхідні дані'!#REF!</definedName>
    <definedName name="иваиява" localSheetId="5">'[26]Вхідні дані'!#REF!</definedName>
    <definedName name="иваиява" localSheetId="8">'[26]Вхідні дані'!#REF!</definedName>
    <definedName name="иваиява" localSheetId="23">'[26]Вхідні дані'!#REF!</definedName>
    <definedName name="иваиява" localSheetId="22">'[26]Вхідні дані'!#REF!</definedName>
    <definedName name="иваиява">'[26]Вхідні дані'!#REF!</definedName>
    <definedName name="Извлечение_ИМ" localSheetId="20">#REF!</definedName>
    <definedName name="Извлечение_ИМ" localSheetId="5">#REF!</definedName>
    <definedName name="Извлечение_ИМ" localSheetId="8">#REF!</definedName>
    <definedName name="Извлечение_ИМ" localSheetId="23">#REF!</definedName>
    <definedName name="Извлечение_ИМ" localSheetId="22">#REF!</definedName>
    <definedName name="Извлечение_ИМ">#REF!</definedName>
    <definedName name="Инно" localSheetId="20">#REF!</definedName>
    <definedName name="Инно" localSheetId="5">#REF!</definedName>
    <definedName name="Инно" localSheetId="8">#REF!</definedName>
    <definedName name="Инно" localSheetId="23">#REF!</definedName>
    <definedName name="Инно" localSheetId="22">#REF!</definedName>
    <definedName name="Инно">#REF!</definedName>
    <definedName name="ИсключитьПраздник">[0]!ИсключитьПраздник</definedName>
    <definedName name="іва" localSheetId="20">#REF!</definedName>
    <definedName name="іва" localSheetId="5">#REF!</definedName>
    <definedName name="іва" localSheetId="8">#REF!</definedName>
    <definedName name="іва" localSheetId="23">#REF!</definedName>
    <definedName name="іва" localSheetId="22">#REF!</definedName>
    <definedName name="іва">#REF!</definedName>
    <definedName name="іваіф" localSheetId="20">#REF!</definedName>
    <definedName name="іваіф" localSheetId="5">#REF!</definedName>
    <definedName name="іваіф" localSheetId="8">#REF!</definedName>
    <definedName name="іваіф" localSheetId="23">#REF!</definedName>
    <definedName name="іваіф" localSheetId="22">#REF!</definedName>
    <definedName name="іваіф">#REF!</definedName>
    <definedName name="івп" localSheetId="20">#REF!</definedName>
    <definedName name="івп" localSheetId="5">#REF!</definedName>
    <definedName name="івп" localSheetId="8">#REF!</definedName>
    <definedName name="івп" localSheetId="23">#REF!</definedName>
    <definedName name="івп" localSheetId="22">#REF!</definedName>
    <definedName name="івп">#REF!</definedName>
    <definedName name="Інші1" localSheetId="20">[2]рік!#REF!</definedName>
    <definedName name="Інші1" localSheetId="71">[3]рік!#REF!</definedName>
    <definedName name="Інші1" localSheetId="5">[2]рік!#REF!</definedName>
    <definedName name="Інші1" localSheetId="8">[2]рік!#REF!</definedName>
    <definedName name="Інші1" localSheetId="23">[2]рік!#REF!</definedName>
    <definedName name="Інші1" localSheetId="22">[2]рік!#REF!</definedName>
    <definedName name="Інші1">[2]рік!#REF!</definedName>
    <definedName name="Інші2" localSheetId="20">[2]рік!#REF!</definedName>
    <definedName name="Інші2" localSheetId="71">[3]рік!#REF!</definedName>
    <definedName name="Інші2" localSheetId="5">[2]рік!#REF!</definedName>
    <definedName name="Інші2" localSheetId="8">[2]рік!#REF!</definedName>
    <definedName name="Інші2" localSheetId="23">[2]рік!#REF!</definedName>
    <definedName name="Інші2" localSheetId="22">[2]рік!#REF!</definedName>
    <definedName name="Інші2">[2]рік!#REF!</definedName>
    <definedName name="кв_4">[20]м_812!$AF$1:$AF$65536</definedName>
    <definedName name="кв1">'[18]812'!$M$1:$M$65536</definedName>
    <definedName name="кв2">'[18]812'!$Q$1:$Q$65536</definedName>
    <definedName name="кв3">'[18]812'!$U$1:$U$65536</definedName>
    <definedName name="кв4">'[18]812'!$Y$1:$Y$65536</definedName>
    <definedName name="квіт">'[18]812'!$R$1:$R$65536</definedName>
    <definedName name="ккк" localSheetId="20">#REF!</definedName>
    <definedName name="ккк" localSheetId="3">#REF!</definedName>
    <definedName name="ккк" localSheetId="5">#REF!</definedName>
    <definedName name="ккк" localSheetId="4">#REF!</definedName>
    <definedName name="ккк" localSheetId="8">#REF!</definedName>
    <definedName name="ккк" localSheetId="10">#REF!</definedName>
    <definedName name="ккк" localSheetId="23">#REF!</definedName>
    <definedName name="ккк" localSheetId="22">#REF!</definedName>
    <definedName name="ккк">#REF!</definedName>
    <definedName name="клімат1" localSheetId="20">[2]рік!#REF!</definedName>
    <definedName name="клімат1" localSheetId="71">[3]рік!#REF!</definedName>
    <definedName name="клімат1" localSheetId="5">[2]рік!#REF!</definedName>
    <definedName name="клімат1" localSheetId="8">[2]рік!#REF!</definedName>
    <definedName name="клімат1" localSheetId="23">[2]рік!#REF!</definedName>
    <definedName name="клімат1" localSheetId="22">[2]рік!#REF!</definedName>
    <definedName name="клімат1">[2]рік!#REF!</definedName>
    <definedName name="клімат2" localSheetId="20">[2]рік!#REF!</definedName>
    <definedName name="клімат2" localSheetId="71">[3]рік!#REF!</definedName>
    <definedName name="клімат2" localSheetId="5">[2]рік!#REF!</definedName>
    <definedName name="клімат2" localSheetId="8">[2]рік!#REF!</definedName>
    <definedName name="клімат2" localSheetId="23">[2]рік!#REF!</definedName>
    <definedName name="клімат2" localSheetId="22">[2]рік!#REF!</definedName>
    <definedName name="клімат2">[2]рік!#REF!</definedName>
    <definedName name="клімат3" localSheetId="20">[2]рік!#REF!</definedName>
    <definedName name="клімат3" localSheetId="71">[3]рік!#REF!</definedName>
    <definedName name="клімат3" localSheetId="5">[2]рік!#REF!</definedName>
    <definedName name="клімат3" localSheetId="8">[2]рік!#REF!</definedName>
    <definedName name="клімат3" localSheetId="23">[2]рік!#REF!</definedName>
    <definedName name="клімат3" localSheetId="22">[2]рік!#REF!</definedName>
    <definedName name="клімат3">[2]рік!#REF!</definedName>
    <definedName name="КМКП_НАСЕЛЕННЯ" localSheetId="20">#REF!</definedName>
    <definedName name="КМКП_НАСЕЛЕННЯ" localSheetId="5">#REF!</definedName>
    <definedName name="КМКП_НАСЕЛЕННЯ" localSheetId="8">#REF!</definedName>
    <definedName name="КМКП_НАСЕЛЕННЯ" localSheetId="23">#REF!</definedName>
    <definedName name="КМКП_НАСЕЛЕННЯ" localSheetId="22">#REF!</definedName>
    <definedName name="КМКП_НАСЕЛЕННЯ">#REF!</definedName>
    <definedName name="копия">[19]Ф2!$E$2</definedName>
    <definedName name="Критерии_ИМ" localSheetId="20">#REF!</definedName>
    <definedName name="Критерии_ИМ" localSheetId="5">#REF!</definedName>
    <definedName name="Критерии_ИМ" localSheetId="8">#REF!</definedName>
    <definedName name="Критерии_ИМ" localSheetId="23">#REF!</definedName>
    <definedName name="Критерии_ИМ" localSheetId="22">#REF!</definedName>
    <definedName name="Критерии_ИМ">#REF!</definedName>
    <definedName name="КТМ1" localSheetId="20">[2]рік!#REF!</definedName>
    <definedName name="КТМ1" localSheetId="71">[3]рік!#REF!</definedName>
    <definedName name="КТМ1" localSheetId="5">[2]рік!#REF!</definedName>
    <definedName name="КТМ1" localSheetId="8">[2]рік!#REF!</definedName>
    <definedName name="КТМ1" localSheetId="23">[2]рік!#REF!</definedName>
    <definedName name="КТМ1" localSheetId="22">[2]рік!#REF!</definedName>
    <definedName name="КТМ1">[2]рік!#REF!</definedName>
    <definedName name="КТМ2" localSheetId="20">[2]рік!#REF!</definedName>
    <definedName name="КТМ2" localSheetId="71">[3]рік!#REF!</definedName>
    <definedName name="КТМ2" localSheetId="5">[2]рік!#REF!</definedName>
    <definedName name="КТМ2" localSheetId="8">[2]рік!#REF!</definedName>
    <definedName name="КТМ2" localSheetId="23">[2]рік!#REF!</definedName>
    <definedName name="КТМ2" localSheetId="22">[2]рік!#REF!</definedName>
    <definedName name="КТМ2">[2]рік!#REF!</definedName>
    <definedName name="КТМ3" localSheetId="20">[2]рік!#REF!</definedName>
    <definedName name="КТМ3" localSheetId="71">[3]рік!#REF!</definedName>
    <definedName name="КТМ3" localSheetId="5">[2]рік!#REF!</definedName>
    <definedName name="КТМ3" localSheetId="8">[2]рік!#REF!</definedName>
    <definedName name="КТМ3" localSheetId="23">[2]рік!#REF!</definedName>
    <definedName name="КТМ3" localSheetId="22">[2]рік!#REF!</definedName>
    <definedName name="КТМ3">[2]рік!#REF!</definedName>
    <definedName name="кфк" localSheetId="20">#REF!</definedName>
    <definedName name="кфк" localSheetId="5">#REF!</definedName>
    <definedName name="кфк" localSheetId="8">#REF!</definedName>
    <definedName name="кфк" localSheetId="23">#REF!</definedName>
    <definedName name="кфк" localSheetId="22">#REF!</definedName>
    <definedName name="кфк">#REF!</definedName>
    <definedName name="лип">'[18]812'!$V$1:$V$65536</definedName>
    <definedName name="лист">'[18]812'!$AA$1:$AA$65536</definedName>
    <definedName name="Лист2" localSheetId="20">#REF!</definedName>
    <definedName name="Лист2" localSheetId="5">#REF!</definedName>
    <definedName name="Лист2" localSheetId="8">#REF!</definedName>
    <definedName name="Лист2" localSheetId="23">#REF!</definedName>
    <definedName name="Лист2" localSheetId="22">#REF!</definedName>
    <definedName name="Лист2">#REF!</definedName>
    <definedName name="ло" hidden="1">{#N/A,#N/A,FALSE,"9PS0"}</definedName>
    <definedName name="лют">'[18]812'!$O$1:$O$65536</definedName>
    <definedName name="лютий" hidden="1">{#N/A,#N/A,FALSE,"9PS0"}</definedName>
    <definedName name="макет812">'[18]812'!$A$8:$AB$262</definedName>
    <definedName name="Месяц">'[23]Технич лист'!$E$2:$E$23</definedName>
    <definedName name="Мой_лист">MID(CELL("имяфайла",[27]База!$E$1),SEARCH("[",CELL("имяфайла",[27]База!$E$1)),256)&amp;"!"</definedName>
    <definedName name="НазваПроекту">'[23]Технич лист'!$C$2:$C$6</definedName>
    <definedName name="Наименование">[28]Ф2!$E$2</definedName>
    <definedName name="Накоп" localSheetId="20">#REF!</definedName>
    <definedName name="Накоп" localSheetId="5">#REF!</definedName>
    <definedName name="Накоп" localSheetId="8">#REF!</definedName>
    <definedName name="Накоп" localSheetId="23">#REF!</definedName>
    <definedName name="Накоп" localSheetId="22">#REF!</definedName>
    <definedName name="Накоп">#REF!</definedName>
    <definedName name="НАСЕЛЕННЯ" localSheetId="20">#REF!</definedName>
    <definedName name="НАСЕЛЕННЯ" localSheetId="5">#REF!</definedName>
    <definedName name="НАСЕЛЕННЯ" localSheetId="8">#REF!</definedName>
    <definedName name="НАСЕЛЕННЯ" localSheetId="23">#REF!</definedName>
    <definedName name="НАСЕЛЕННЯ" localSheetId="22">#REF!</definedName>
    <definedName name="НАСЕЛЕННЯ">#REF!</definedName>
    <definedName name="НДС" localSheetId="20">#REF!</definedName>
    <definedName name="НДС" localSheetId="5">#REF!</definedName>
    <definedName name="НДС" localSheetId="8">#REF!</definedName>
    <definedName name="НДС" localSheetId="23">#REF!</definedName>
    <definedName name="НДС" localSheetId="22">#REF!</definedName>
    <definedName name="НДС">#REF!</definedName>
    <definedName name="_xlnm.Print_Area" localSheetId="24">Адміністративні_1ст!$A$1:$M$76</definedName>
    <definedName name="_xlnm.Print_Area" localSheetId="43">Амортизація!$A$112:$D$126</definedName>
    <definedName name="_xlnm.Print_Area" localSheetId="25">'БАЗИ РОЗПОДІЛУ'!$B$1:$M$29</definedName>
    <definedName name="_xlnm.Print_Area" localSheetId="20">Виробництво_Транспортування_1ст!$B$2:$J$169</definedName>
    <definedName name="_xlnm.Print_Area" localSheetId="71">ВОДА!$A$3:$W$110</definedName>
    <definedName name="_xlnm.Print_Area" localSheetId="0">'Вхідні дані'!$B$1:$F$94</definedName>
    <definedName name="_xlnm.Print_Area" localSheetId="1">'Д 1_Заява'!$A$1:$B$42</definedName>
    <definedName name="_xlnm.Print_Area" localSheetId="13">'Д 10'!$A$1:$G$133</definedName>
    <definedName name="_xlnm.Print_Area" localSheetId="15">'Д 13_12'!$A$1:$N$47</definedName>
    <definedName name="_xlnm.Print_Area" localSheetId="17">'Д 15_13_Реєстр'!$A$1:$C$40</definedName>
    <definedName name="_xlnm.Print_Area" localSheetId="3">'Д 2_Т на В'!$B$1:$X$71</definedName>
    <definedName name="_xlnm.Print_Area" localSheetId="5">'Д 3.1_Т на Т без ЦТП'!$A$1:$K$68</definedName>
    <definedName name="_xlnm.Print_Area" localSheetId="4">'Д 3_Т на Т з ЦТП'!$A$1:$K$70</definedName>
    <definedName name="_xlnm.Print_Area" localSheetId="6">'Д 4_Т на П'!$A$4:$G$62</definedName>
    <definedName name="_xlnm.Print_Area" localSheetId="7">'Д 5 Т на ТЕ з ЦТП'!$A$1:$H$48</definedName>
    <definedName name="_xlnm.Print_Area" localSheetId="8">'Д 5.1 Т на ТЕ без ЦТП'!$A$1:$H$59</definedName>
    <definedName name="_xlnm.Print_Area" localSheetId="9">'Д 6_Втрати'!$A:$F</definedName>
    <definedName name="_xlnm.Print_Area" localSheetId="10">'Д 7_РП'!$B$1:$S$154</definedName>
    <definedName name="_xlnm.Print_Area" localSheetId="11">'Д 8_Паливо'!$B$1:$J$56</definedName>
    <definedName name="_xlnm.Print_Area" localSheetId="12">'Д 9_ЕЕ'!$B$1:$P$89</definedName>
    <definedName name="_xlnm.Print_Area" localSheetId="74">'Додаток 1 до рішення'!$A$1:$G$50</definedName>
    <definedName name="_xlnm.Print_Area" localSheetId="80">'Додаток 10 до рішення'!$B$1:$F$23</definedName>
    <definedName name="_xlnm.Print_Area" localSheetId="81">'Додаток 11 до рішення'!$B$1:$F$27</definedName>
    <definedName name="_xlnm.Print_Area" localSheetId="75">'Додаток 2 до рішення'!$B$1:$G$50</definedName>
    <definedName name="_xlnm.Print_Area" localSheetId="76">'Додаток 3 до рішення'!$A$1:$G$43</definedName>
    <definedName name="_xlnm.Print_Area" localSheetId="77">'Додаток 4 до рішення'!$A$1:$G$44</definedName>
    <definedName name="_xlnm.Print_Area" localSheetId="78">'Додаток 5 до рішення'!$A$1:$G$44</definedName>
    <definedName name="_xlnm.Print_Area" localSheetId="79">'Додаток 6 до рішення'!$A$1:$G$38</definedName>
    <definedName name="_xlnm.Print_Area" localSheetId="82">'Додаток 7 до рішення'!$B$1:$F$19</definedName>
    <definedName name="_xlnm.Print_Area" localSheetId="83">'Додаток 8 до рішення'!$B$1:$F$72</definedName>
    <definedName name="_xlnm.Print_Area" localSheetId="23">ЗВВ_1ст!$B$1:$K$76</definedName>
    <definedName name="_xlnm.Print_Area" localSheetId="39">'Зв''язок'!$B$1:$M$66</definedName>
    <definedName name="_xlnm.Print_Area" localSheetId="67">Картріджі!$B$50:$E$67</definedName>
    <definedName name="_xlnm.Print_Area" localSheetId="41">ОП!$B$128:$S$161</definedName>
    <definedName name="_xlnm.Print_Area" localSheetId="47">'Періодичні видання'!$A$1:$I$28</definedName>
    <definedName name="_xlnm.Print_Area" localSheetId="40">ПММ!$A$1:$P$25</definedName>
    <definedName name="_xlnm.Print_Area" localSheetId="27">'Покриття втрат в мережах'!$A$1:$L$40</definedName>
    <definedName name="_xlnm.Print_Area" localSheetId="38">'Порівняння структур'!$A$1:$J$72</definedName>
    <definedName name="_xlnm.Print_Area" localSheetId="22">Постачання_1ст!$B$1:$J$69</definedName>
    <definedName name="_xlnm.Print_Area" localSheetId="66">Профпослуги!$B$3:$H$33</definedName>
    <definedName name="_xlnm.Print_Area" localSheetId="29">распределение!$A$1:$K$16</definedName>
    <definedName name="_xlnm.Print_Area" localSheetId="65">Ремонт!$B$1:$Q$20</definedName>
    <definedName name="_xlnm.Print_Area" localSheetId="32">'Рішення 3Д'!$A$1:$G$135</definedName>
    <definedName name="_xlnm.Print_Area" localSheetId="33">'Рішення 4Д'!$A$1:$G$135</definedName>
    <definedName name="_xlnm.Print_Area" localSheetId="34">'Рішення 5Д'!$A$1:$E$39</definedName>
    <definedName name="_xlnm.Print_Area" localSheetId="35">'Рішення 6Д'!$B$1:$F$48</definedName>
    <definedName name="_xlnm.Print_Area" localSheetId="55">сведено!$A$167:$H$217</definedName>
    <definedName name="_xlnm.Print_Area" localSheetId="54">СВЕДЕНО_И!$A$3:$H$32</definedName>
    <definedName name="_xlnm.Print_Area" localSheetId="57">'структури %'!$A$1:$J$17</definedName>
    <definedName name="_xlnm.Print_Area" localSheetId="26">ТЕ_1ст_вих!$A$1:$I$81</definedName>
    <definedName name="_xlnm.Print_Area" localSheetId="73">'Техконтроль ТЗ'!$B$3:$I$49</definedName>
    <definedName name="_xlnm.Print_Area" localSheetId="72">'ТО ТЗ'!$B$1:$I$45</definedName>
    <definedName name="_xlnm.Print_Area" localSheetId="44">Утилизація!$B$3:$G$27</definedName>
    <definedName name="_xlnm.Print_Area" localSheetId="42">ФОП!$A$1:$H$69</definedName>
    <definedName name="_xlnm.Print_Area" localSheetId="68">'Ціна ее'!$A$1:$G$22</definedName>
    <definedName name="облік" localSheetId="24">[29]скрыть!$D$4:$D$6</definedName>
    <definedName name="облік" localSheetId="20">[29]скрыть!$D$4:$D$6</definedName>
    <definedName name="облік" localSheetId="23">[29]скрыть!$D$4:$D$6</definedName>
    <definedName name="облік" localSheetId="22">[29]скрыть!$D$4:$D$6</definedName>
    <definedName name="облік" localSheetId="19">[30]скрыть!$D$4:$D$6</definedName>
    <definedName name="облік">[31]скрыть!$D$4:$D$6</definedName>
    <definedName name="облікГВП" localSheetId="24">[29]скрыть!$G$4:$G$6</definedName>
    <definedName name="облікГВП" localSheetId="20">[29]скрыть!$G$4:$G$6</definedName>
    <definedName name="облікГВП" localSheetId="23">[29]скрыть!$G$4:$G$6</definedName>
    <definedName name="облікГВП" localSheetId="22">[29]скрыть!$G$4:$G$6</definedName>
    <definedName name="облікГВП" localSheetId="19">[30]скрыть!$G$4:$G$6</definedName>
    <definedName name="облікГВП">[31]скрыть!$G$4:$G$6</definedName>
    <definedName name="Од" localSheetId="20">#REF!</definedName>
    <definedName name="Од" localSheetId="3">#REF!</definedName>
    <definedName name="Од" localSheetId="5">#REF!</definedName>
    <definedName name="Од" localSheetId="4">#REF!</definedName>
    <definedName name="Од" localSheetId="8">#REF!</definedName>
    <definedName name="Од" localSheetId="10">#REF!</definedName>
    <definedName name="Од" localSheetId="23">#REF!</definedName>
    <definedName name="Од" localSheetId="22">#REF!</definedName>
    <definedName name="Од">#REF!</definedName>
    <definedName name="Од_Б" localSheetId="20">#REF!</definedName>
    <definedName name="Од_Б" localSheetId="3">#REF!</definedName>
    <definedName name="Од_Б" localSheetId="5">#REF!</definedName>
    <definedName name="Од_Б" localSheetId="4">#REF!</definedName>
    <definedName name="Од_Б" localSheetId="8">#REF!</definedName>
    <definedName name="Од_Б" localSheetId="10">#REF!</definedName>
    <definedName name="Од_Б" localSheetId="23">#REF!</definedName>
    <definedName name="Од_Б" localSheetId="22">#REF!</definedName>
    <definedName name="Од_Б">#REF!</definedName>
    <definedName name="Од_БI" localSheetId="20">#REF!</definedName>
    <definedName name="Од_БI" localSheetId="3">#REF!</definedName>
    <definedName name="Од_БI" localSheetId="5">#REF!</definedName>
    <definedName name="Од_БI" localSheetId="4">#REF!</definedName>
    <definedName name="Од_БI" localSheetId="8">#REF!</definedName>
    <definedName name="Од_БI" localSheetId="10">#REF!</definedName>
    <definedName name="Од_БI" localSheetId="23">#REF!</definedName>
    <definedName name="Од_БI" localSheetId="22">#REF!</definedName>
    <definedName name="Од_БI">#REF!</definedName>
    <definedName name="Од_І" localSheetId="20">#REF!</definedName>
    <definedName name="Од_І" localSheetId="3">#REF!</definedName>
    <definedName name="Од_І" localSheetId="5">#REF!</definedName>
    <definedName name="Од_І" localSheetId="4">#REF!</definedName>
    <definedName name="Од_І" localSheetId="8">#REF!</definedName>
    <definedName name="Од_І" localSheetId="10">#REF!</definedName>
    <definedName name="Од_І" localSheetId="23">#REF!</definedName>
    <definedName name="Од_І" localSheetId="22">#REF!</definedName>
    <definedName name="Од_І">#REF!</definedName>
    <definedName name="Од_Н" localSheetId="20">#REF!</definedName>
    <definedName name="Од_Н" localSheetId="3">#REF!</definedName>
    <definedName name="Од_Н" localSheetId="5">#REF!</definedName>
    <definedName name="Од_Н" localSheetId="4">#REF!</definedName>
    <definedName name="Од_Н" localSheetId="8">#REF!</definedName>
    <definedName name="Од_Н" localSheetId="10">#REF!</definedName>
    <definedName name="Од_Н" localSheetId="23">#REF!</definedName>
    <definedName name="Од_Н" localSheetId="22">#REF!</definedName>
    <definedName name="Од_Н">#REF!</definedName>
    <definedName name="ооо" localSheetId="20">'[26]Вхідні дані'!#REF!</definedName>
    <definedName name="ооо" localSheetId="5">'[26]Вхідні дані'!#REF!</definedName>
    <definedName name="ооо" localSheetId="8">'[26]Вхідні дані'!#REF!</definedName>
    <definedName name="ооо" localSheetId="23">'[26]Вхідні дані'!#REF!</definedName>
    <definedName name="ооо" localSheetId="22">'[26]Вхідні дані'!#REF!</definedName>
    <definedName name="ооо">'[26]Вхідні дані'!#REF!</definedName>
    <definedName name="отклонение" localSheetId="20">#REF!</definedName>
    <definedName name="отклонение" localSheetId="5">#REF!</definedName>
    <definedName name="отклонение" localSheetId="8">#REF!</definedName>
    <definedName name="отклонение" localSheetId="23">#REF!</definedName>
    <definedName name="отклонение" localSheetId="40">'[32]Вхідні дані'!#REF!</definedName>
    <definedName name="отклонение" localSheetId="22">#REF!</definedName>
    <definedName name="отклонение">#REF!</definedName>
    <definedName name="отклонение_15">"$#ССЫЛ!.$#ССЫЛ!$#ССЫЛ!"</definedName>
    <definedName name="отклонение_18">NA()</definedName>
    <definedName name="отклонение_18_15">NA()</definedName>
    <definedName name="отклонение_2" localSheetId="20">'[33]Вхідні дані'!#REF!</definedName>
    <definedName name="отклонение_2" localSheetId="5">'[33]Вхідні дані'!#REF!</definedName>
    <definedName name="отклонение_2" localSheetId="8">'[33]Вхідні дані'!#REF!</definedName>
    <definedName name="отклонение_2" localSheetId="23">'[33]Вхідні дані'!#REF!</definedName>
    <definedName name="отклонение_2" localSheetId="22">'[33]Вхідні дані'!#REF!</definedName>
    <definedName name="отклонение_2">'[33]Вхідні дані'!#REF!</definedName>
    <definedName name="отклонение_27">NA()</definedName>
    <definedName name="отклонение_31">NA()</definedName>
    <definedName name="отклонение_33">NA()</definedName>
    <definedName name="отклонение_34">NA()</definedName>
    <definedName name="отклонение_35">NA()</definedName>
    <definedName name="отклонение_36">NA()</definedName>
    <definedName name="отклонение_38">NA()</definedName>
    <definedName name="отклонение_4">NA()</definedName>
    <definedName name="Отсорт_Д_СВ" localSheetId="20">#REF!</definedName>
    <definedName name="Отсорт_Д_СВ" localSheetId="3">#REF!</definedName>
    <definedName name="Отсорт_Д_СВ" localSheetId="5">#REF!</definedName>
    <definedName name="Отсорт_Д_СВ" localSheetId="4">#REF!</definedName>
    <definedName name="Отсорт_Д_СВ" localSheetId="8">#REF!</definedName>
    <definedName name="Отсорт_Д_СВ" localSheetId="10">#REF!</definedName>
    <definedName name="Отсорт_Д_СВ" localSheetId="23">#REF!</definedName>
    <definedName name="Отсорт_Д_СВ" localSheetId="22">#REF!</definedName>
    <definedName name="Отсорт_Д_СВ">#REF!</definedName>
    <definedName name="отчет_2005">'[34]812'!$F$1:$F$65536</definedName>
    <definedName name="отчет_9мес">'[18]812'!$K$1:$K$65536</definedName>
    <definedName name="охорона_праці">NA()</definedName>
    <definedName name="охорона_праці_15">NA()</definedName>
    <definedName name="оч_г">[24]ПЛАН_1вар!$N$1:$N$65536</definedName>
    <definedName name="оч_рік">[20]м_812!$L$1:$L$65536</definedName>
    <definedName name="очікув">'[18]812'!$J$1:$J$65536</definedName>
    <definedName name="пдв" localSheetId="20">#REF!</definedName>
    <definedName name="пдв" localSheetId="5">#REF!</definedName>
    <definedName name="пдв" localSheetId="8">#REF!</definedName>
    <definedName name="пдв" localSheetId="23">#REF!</definedName>
    <definedName name="пдв" localSheetId="40">'[32]Вхідні дані'!#REF!</definedName>
    <definedName name="пдв" localSheetId="22">#REF!</definedName>
    <definedName name="пдв">#REF!</definedName>
    <definedName name="пдв_15">"$#ССЫЛ!.$#ССЫЛ!$#ССЫЛ!"</definedName>
    <definedName name="пдв_18">NA()</definedName>
    <definedName name="пдв_18_15">NA()</definedName>
    <definedName name="пдв_2" localSheetId="20">'[33]Вхідні дані'!#REF!</definedName>
    <definedName name="пдв_2" localSheetId="5">'[33]Вхідні дані'!#REF!</definedName>
    <definedName name="пдв_2" localSheetId="8">'[33]Вхідні дані'!#REF!</definedName>
    <definedName name="пдв_2" localSheetId="23">'[33]Вхідні дані'!#REF!</definedName>
    <definedName name="пдв_2" localSheetId="22">'[33]Вхідні дані'!#REF!</definedName>
    <definedName name="пдв_2">'[33]Вхідні дані'!#REF!</definedName>
    <definedName name="пдв_27">NA()</definedName>
    <definedName name="пдв_31">NA()</definedName>
    <definedName name="пдв_33">NA()</definedName>
    <definedName name="пдв_34">NA()</definedName>
    <definedName name="пдв_35">NA()</definedName>
    <definedName name="пдв_36">NA()</definedName>
    <definedName name="пдв_38">NA()</definedName>
    <definedName name="пдв_4">NA()</definedName>
    <definedName name="Пенс" localSheetId="20">#REF!</definedName>
    <definedName name="Пенс" localSheetId="5">#REF!</definedName>
    <definedName name="Пенс" localSheetId="8">#REF!</definedName>
    <definedName name="Пенс" localSheetId="23">#REF!</definedName>
    <definedName name="Пенс" localSheetId="22">#REF!</definedName>
    <definedName name="Пенс">#REF!</definedName>
    <definedName name="Период">[28]Ф2!$F$4</definedName>
    <definedName name="ПериодОтчёта">'[28]Технич лист'!$B$2:$B$7</definedName>
    <definedName name="пл_9">[24]ПЛАН_1вар!$K$1:$K$65536</definedName>
    <definedName name="пл_г">[24]ПЛАН_1вар!$M$1:$M$65536</definedName>
    <definedName name="пл_скор">[20]м_812!$J$1:$J$65536</definedName>
    <definedName name="план" hidden="1">{#N/A,#N/A,FALSE,"9PS0"}</definedName>
    <definedName name="поверхи" localSheetId="24">[29]скрыть!$B$4:$B$9</definedName>
    <definedName name="поверхи" localSheetId="20">[29]скрыть!$B$4:$B$9</definedName>
    <definedName name="поверхи" localSheetId="23">[29]скрыть!$B$4:$B$9</definedName>
    <definedName name="поверхи" localSheetId="22">[29]скрыть!$B$4:$B$9</definedName>
    <definedName name="поверхи" localSheetId="19">[30]скрыть!$B$4:$B$9</definedName>
    <definedName name="поверхи">[31]скрыть!$B$4:$B$9</definedName>
    <definedName name="ппп" localSheetId="20">#REF!</definedName>
    <definedName name="ппп" localSheetId="3">#REF!</definedName>
    <definedName name="ппп" localSheetId="5">#REF!</definedName>
    <definedName name="ппп" localSheetId="4">#REF!</definedName>
    <definedName name="ппп" localSheetId="8">#REF!</definedName>
    <definedName name="ппп" localSheetId="10">#REF!</definedName>
    <definedName name="ппп" localSheetId="23">#REF!</definedName>
    <definedName name="ппп" localSheetId="22">#REF!</definedName>
    <definedName name="ппп">#REF!</definedName>
    <definedName name="пр_1">[24]ПЛАН_1вар!$P$1:$P$65536</definedName>
    <definedName name="пр_1кв">[20]м_812!$N$1:$N$65536</definedName>
    <definedName name="пр_2">[24]ПЛАН_1вар!$Q$1:$Q$65536</definedName>
    <definedName name="пр_2кв">[20]м_812!$O$1:$O$65536</definedName>
    <definedName name="пр_3">[24]ПЛАН_1вар!$R$1:$R$65536</definedName>
    <definedName name="пр_3кв">[20]м_812!$P$1:$P$65536</definedName>
    <definedName name="пр_4">[24]ПЛАН_1вар!$S$1:$S$65536</definedName>
    <definedName name="пр_4кв">[20]м_812!$Q$1:$Q$65536</definedName>
    <definedName name="пр_г">[24]ПЛАН_1вар!$O$1:$O$65536</definedName>
    <definedName name="пр_рік">[20]м_812!$M$1:$M$65536</definedName>
    <definedName name="Признак">'[28]Технич лист'!$A$2:$A$4</definedName>
    <definedName name="проект">'[18]812'!$L$1:$L$65536</definedName>
    <definedName name="проь" localSheetId="20">#REF!</definedName>
    <definedName name="проь" localSheetId="5">#REF!</definedName>
    <definedName name="проь" localSheetId="8">#REF!</definedName>
    <definedName name="проь" localSheetId="23">#REF!</definedName>
    <definedName name="проь" localSheetId="22">#REF!</definedName>
    <definedName name="проь">#REF!</definedName>
    <definedName name="РЕГ" localSheetId="20">#REF!</definedName>
    <definedName name="РЕГ" localSheetId="3">#REF!</definedName>
    <definedName name="РЕГ" localSheetId="5">#REF!</definedName>
    <definedName name="РЕГ" localSheetId="4">#REF!</definedName>
    <definedName name="РЕГ" localSheetId="8">#REF!</definedName>
    <definedName name="РЕГ" localSheetId="10">#REF!</definedName>
    <definedName name="РЕГ" localSheetId="23">#REF!</definedName>
    <definedName name="РЕГ" localSheetId="22">#REF!</definedName>
    <definedName name="РЕГ">#REF!</definedName>
    <definedName name="Регіон" localSheetId="20">#REF!</definedName>
    <definedName name="Регіон" localSheetId="3">#REF!</definedName>
    <definedName name="Регіон" localSheetId="5">#REF!</definedName>
    <definedName name="Регіон" localSheetId="4">#REF!</definedName>
    <definedName name="Регіон" localSheetId="8">#REF!</definedName>
    <definedName name="Регіон" localSheetId="10">#REF!</definedName>
    <definedName name="Регіон" localSheetId="23">#REF!</definedName>
    <definedName name="Регіон" localSheetId="22">#REF!</definedName>
    <definedName name="Регіон">#REF!</definedName>
    <definedName name="рік" hidden="1">{#N/A,#N/A,FALSE,"9PS0"}</definedName>
    <definedName name="рое" hidden="1">{#N/A,#N/A,FALSE,"9PS0"}</definedName>
    <definedName name="Розр1" localSheetId="20">[2]рік!#REF!</definedName>
    <definedName name="Розр1" localSheetId="71">[3]рік!#REF!</definedName>
    <definedName name="Розр1" localSheetId="5">[2]рік!#REF!</definedName>
    <definedName name="Розр1" localSheetId="8">[2]рік!#REF!</definedName>
    <definedName name="Розр1" localSheetId="23">[2]рік!#REF!</definedName>
    <definedName name="Розр1" localSheetId="22">[2]рік!#REF!</definedName>
    <definedName name="Розр1">[2]рік!#REF!</definedName>
    <definedName name="Розр2" localSheetId="20">[2]рік!#REF!</definedName>
    <definedName name="Розр2" localSheetId="71">[3]рік!#REF!</definedName>
    <definedName name="Розр2" localSheetId="5">[2]рік!#REF!</definedName>
    <definedName name="Розр2" localSheetId="8">[2]рік!#REF!</definedName>
    <definedName name="Розр2" localSheetId="23">[2]рік!#REF!</definedName>
    <definedName name="Розр2" localSheetId="22">[2]рік!#REF!</definedName>
    <definedName name="Розр2">[2]рік!#REF!</definedName>
    <definedName name="Розр3" localSheetId="20">[2]рік!#REF!</definedName>
    <definedName name="Розр3" localSheetId="71">[3]рік!#REF!</definedName>
    <definedName name="Розр3" localSheetId="5">[2]рік!#REF!</definedName>
    <definedName name="Розр3" localSheetId="8">[2]рік!#REF!</definedName>
    <definedName name="Розр3" localSheetId="23">[2]рік!#REF!</definedName>
    <definedName name="Розр3" localSheetId="22">[2]рік!#REF!</definedName>
    <definedName name="Розр3">[2]рік!#REF!</definedName>
    <definedName name="рр" localSheetId="20">#REF!</definedName>
    <definedName name="рр" localSheetId="3">#REF!</definedName>
    <definedName name="рр" localSheetId="5">#REF!</definedName>
    <definedName name="рр" localSheetId="4">#REF!</definedName>
    <definedName name="рр" localSheetId="8">#REF!</definedName>
    <definedName name="рр" localSheetId="10">#REF!</definedName>
    <definedName name="рр" localSheetId="23">#REF!</definedName>
    <definedName name="рр" localSheetId="22">#REF!</definedName>
    <definedName name="рр">#REF!</definedName>
    <definedName name="ррр" localSheetId="20">#REF!</definedName>
    <definedName name="ррр" localSheetId="5">#REF!</definedName>
    <definedName name="ррр" localSheetId="8">#REF!</definedName>
    <definedName name="ррр" localSheetId="23">#REF!</definedName>
    <definedName name="ррр" localSheetId="22">#REF!</definedName>
    <definedName name="ррр">#REF!</definedName>
    <definedName name="свод">[20]м_812!$A$1:$AL$65536</definedName>
    <definedName name="серп">'[18]812'!$W$1:$W$65536</definedName>
    <definedName name="СЕРПЕНЬ" hidden="1">{#N/A,#N/A,FALSE,"9PS0"}</definedName>
    <definedName name="січ">'[18]812'!$N$1:$N$65536</definedName>
    <definedName name="скоригов">'[18]812'!$I$1:$I$65536</definedName>
    <definedName name="Соц" localSheetId="20">#REF!</definedName>
    <definedName name="Соц" localSheetId="5">#REF!</definedName>
    <definedName name="Соц" localSheetId="8">#REF!</definedName>
    <definedName name="Соц" localSheetId="23">#REF!</definedName>
    <definedName name="Соц" localSheetId="22">#REF!</definedName>
    <definedName name="Соц">#REF!</definedName>
    <definedName name="соц_1">'[24]Інші витрати'!$M$65</definedName>
    <definedName name="соц_2">'[24]Інші витрати'!$N$65</definedName>
    <definedName name="соц_3">'[24]Інші витрати'!$O$65</definedName>
    <definedName name="соц_4">'[24]Інші витрати'!$P$65</definedName>
    <definedName name="соц_9">'[24]Інші витрати'!$I$65</definedName>
    <definedName name="соц_9п">'[24]Інші витрати'!$H$65</definedName>
    <definedName name="соц_зв">'[24]Інші витрати'!$D$65</definedName>
    <definedName name="соц_о">'[24]Інші витрати'!$K$65</definedName>
    <definedName name="соц_п">'[24]Інші витрати'!$J$65</definedName>
    <definedName name="Список_компах" localSheetId="20">OFFSET(#REF!,,,COUNTA(#REF!),1)</definedName>
    <definedName name="Список_компах" localSheetId="3">OFFSET(#REF!,,,COUNTA(#REF!),1)</definedName>
    <definedName name="Список_компах" localSheetId="5">OFFSET(#REF!,,,COUNTA(#REF!),1)</definedName>
    <definedName name="Список_компах" localSheetId="4">OFFSET(#REF!,,,COUNTA(#REF!),1)</definedName>
    <definedName name="Список_компах" localSheetId="8">OFFSET(#REF!,,,COUNTA(#REF!),1)</definedName>
    <definedName name="Список_компах" localSheetId="10">OFFSET(#REF!,,,COUNTA(#REF!),1)</definedName>
    <definedName name="Список_компах" localSheetId="23">OFFSET(#REF!,,,COUNTA(#REF!),1)</definedName>
    <definedName name="Список_компах" localSheetId="22">OFFSET(#REF!,,,COUNTA(#REF!),1)</definedName>
    <definedName name="Список_компах">OFFSET(#REF!,,,COUNTA(#REF!),1)</definedName>
    <definedName name="статьи">[20]м_812!$D$1:$D$65536</definedName>
    <definedName name="Тело_СТ" localSheetId="20">#REF!</definedName>
    <definedName name="Тело_СТ" localSheetId="3">#REF!</definedName>
    <definedName name="Тело_СТ" localSheetId="5">#REF!</definedName>
    <definedName name="Тело_СТ" localSheetId="4">#REF!</definedName>
    <definedName name="Тело_СТ" localSheetId="8">#REF!</definedName>
    <definedName name="Тело_СТ" localSheetId="10">#REF!</definedName>
    <definedName name="Тело_СТ" localSheetId="23">#REF!</definedName>
    <definedName name="Тело_СТ" localSheetId="22">#REF!</definedName>
    <definedName name="Тело_СТ">#REF!</definedName>
    <definedName name="тепло" localSheetId="20">'[33]Вхідні дані'!#REF!</definedName>
    <definedName name="тепло" localSheetId="5">'[33]Вхідні дані'!#REF!</definedName>
    <definedName name="тепло" localSheetId="8">'[33]Вхідні дані'!#REF!</definedName>
    <definedName name="тепло" localSheetId="23">'[33]Вхідні дані'!#REF!</definedName>
    <definedName name="тепло" localSheetId="22">'[33]Вхідні дані'!#REF!</definedName>
    <definedName name="тепло">'[33]Вхідні дані'!#REF!</definedName>
    <definedName name="трав">'[18]812'!$S$1:$S$65536</definedName>
    <definedName name="травень" hidden="1">{#N/A,#N/A,FALSE,"9PS0"}</definedName>
    <definedName name="Уз" localSheetId="20">#REF!</definedName>
    <definedName name="Уз" localSheetId="3">#REF!</definedName>
    <definedName name="Уз" localSheetId="5">#REF!</definedName>
    <definedName name="Уз" localSheetId="4">#REF!</definedName>
    <definedName name="Уз" localSheetId="8">#REF!</definedName>
    <definedName name="Уз" localSheetId="10">#REF!</definedName>
    <definedName name="Уз" localSheetId="23">#REF!</definedName>
    <definedName name="Уз" localSheetId="22">#REF!</definedName>
    <definedName name="Уз">#REF!</definedName>
    <definedName name="Уз_б" localSheetId="20">#REF!</definedName>
    <definedName name="Уз_б" localSheetId="3">#REF!</definedName>
    <definedName name="Уз_б" localSheetId="5">#REF!</definedName>
    <definedName name="Уз_б" localSheetId="4">#REF!</definedName>
    <definedName name="Уз_б" localSheetId="8">#REF!</definedName>
    <definedName name="Уз_б" localSheetId="10">#REF!</definedName>
    <definedName name="Уз_б" localSheetId="23">#REF!</definedName>
    <definedName name="Уз_б" localSheetId="22">#REF!</definedName>
    <definedName name="Уз_б">#REF!</definedName>
    <definedName name="Уз_і" localSheetId="20">#REF!</definedName>
    <definedName name="Уз_і" localSheetId="3">#REF!</definedName>
    <definedName name="Уз_і" localSheetId="5">#REF!</definedName>
    <definedName name="Уз_і" localSheetId="4">#REF!</definedName>
    <definedName name="Уз_і" localSheetId="8">#REF!</definedName>
    <definedName name="Уз_і" localSheetId="10">#REF!</definedName>
    <definedName name="Уз_і" localSheetId="23">#REF!</definedName>
    <definedName name="Уз_і" localSheetId="22">#REF!</definedName>
    <definedName name="Уз_і">#REF!</definedName>
    <definedName name="Уз_н" localSheetId="20">#REF!</definedName>
    <definedName name="Уз_н" localSheetId="3">#REF!</definedName>
    <definedName name="Уз_н" localSheetId="5">#REF!</definedName>
    <definedName name="Уз_н" localSheetId="4">#REF!</definedName>
    <definedName name="Уз_н" localSheetId="8">#REF!</definedName>
    <definedName name="Уз_н" localSheetId="10">#REF!</definedName>
    <definedName name="Уз_н" localSheetId="23">#REF!</definedName>
    <definedName name="Уз_н" localSheetId="22">#REF!</definedName>
    <definedName name="Уз_н">#REF!</definedName>
    <definedName name="_xlnm.Criteria" localSheetId="20">#REF!</definedName>
    <definedName name="_xlnm.Criteria" localSheetId="5">#REF!</definedName>
    <definedName name="_xlnm.Criteria" localSheetId="8">#REF!</definedName>
    <definedName name="_xlnm.Criteria" localSheetId="23">#REF!</definedName>
    <definedName name="_xlnm.Criteria" localSheetId="22">#REF!</definedName>
    <definedName name="_xlnm.Criteria">#REF!</definedName>
    <definedName name="Уп" localSheetId="20">#REF!</definedName>
    <definedName name="Уп" localSheetId="3">#REF!</definedName>
    <definedName name="Уп" localSheetId="5">#REF!</definedName>
    <definedName name="Уп" localSheetId="4">#REF!</definedName>
    <definedName name="Уп" localSheetId="8">#REF!</definedName>
    <definedName name="Уп" localSheetId="10">#REF!</definedName>
    <definedName name="Уп" localSheetId="23">#REF!</definedName>
    <definedName name="Уп" localSheetId="22">#REF!</definedName>
    <definedName name="Уп">#REF!</definedName>
    <definedName name="Уп_б" localSheetId="20">#REF!</definedName>
    <definedName name="Уп_б" localSheetId="3">#REF!</definedName>
    <definedName name="Уп_б" localSheetId="5">#REF!</definedName>
    <definedName name="Уп_б" localSheetId="4">#REF!</definedName>
    <definedName name="Уп_б" localSheetId="8">#REF!</definedName>
    <definedName name="Уп_б" localSheetId="10">#REF!</definedName>
    <definedName name="Уп_б" localSheetId="23">#REF!</definedName>
    <definedName name="Уп_б" localSheetId="22">#REF!</definedName>
    <definedName name="Уп_б">#REF!</definedName>
    <definedName name="Уп_і" localSheetId="20">#REF!</definedName>
    <definedName name="Уп_і" localSheetId="3">#REF!</definedName>
    <definedName name="Уп_і" localSheetId="5">#REF!</definedName>
    <definedName name="Уп_і" localSheetId="4">#REF!</definedName>
    <definedName name="Уп_і" localSheetId="8">#REF!</definedName>
    <definedName name="Уп_і" localSheetId="10">#REF!</definedName>
    <definedName name="Уп_і" localSheetId="23">#REF!</definedName>
    <definedName name="Уп_і" localSheetId="22">#REF!</definedName>
    <definedName name="Уп_і">#REF!</definedName>
    <definedName name="Уп_н" localSheetId="20">#REF!</definedName>
    <definedName name="Уп_н" localSheetId="3">#REF!</definedName>
    <definedName name="Уп_н" localSheetId="5">#REF!</definedName>
    <definedName name="Уп_н" localSheetId="4">#REF!</definedName>
    <definedName name="Уп_н" localSheetId="8">#REF!</definedName>
    <definedName name="Уп_н" localSheetId="10">#REF!</definedName>
    <definedName name="Уп_н" localSheetId="23">#REF!</definedName>
    <definedName name="Уп_н" localSheetId="22">#REF!</definedName>
    <definedName name="Уп_н">#REF!</definedName>
    <definedName name="ууй" localSheetId="20">#REF!</definedName>
    <definedName name="ууй" localSheetId="5">#REF!</definedName>
    <definedName name="ууй" localSheetId="8">#REF!</definedName>
    <definedName name="ууй" localSheetId="23">#REF!</definedName>
    <definedName name="ууй" localSheetId="22">#REF!</definedName>
    <definedName name="ууй">#REF!</definedName>
    <definedName name="УХ" localSheetId="20">#REF!</definedName>
    <definedName name="УХ" localSheetId="3">#REF!</definedName>
    <definedName name="УХ" localSheetId="5">#REF!</definedName>
    <definedName name="УХ" localSheetId="4">#REF!</definedName>
    <definedName name="УХ" localSheetId="8">#REF!</definedName>
    <definedName name="УХ" localSheetId="10">#REF!</definedName>
    <definedName name="УХ" localSheetId="23">#REF!</definedName>
    <definedName name="УХ" localSheetId="22">#REF!</definedName>
    <definedName name="УХ">#REF!</definedName>
    <definedName name="ухват" localSheetId="20">#REF!</definedName>
    <definedName name="ухват" localSheetId="3">#REF!</definedName>
    <definedName name="ухват" localSheetId="5">#REF!</definedName>
    <definedName name="ухват" localSheetId="4">#REF!</definedName>
    <definedName name="ухват" localSheetId="8">#REF!</definedName>
    <definedName name="ухват" localSheetId="10">#REF!</definedName>
    <definedName name="ухват" localSheetId="23">#REF!</definedName>
    <definedName name="ухват" localSheetId="22">#REF!</definedName>
    <definedName name="ухват">#REF!</definedName>
    <definedName name="Ф" localSheetId="20">#REF!</definedName>
    <definedName name="Ф" localSheetId="5">#REF!</definedName>
    <definedName name="Ф" localSheetId="8">#REF!</definedName>
    <definedName name="Ф" localSheetId="23">#REF!</definedName>
    <definedName name="Ф" localSheetId="22">#REF!</definedName>
    <definedName name="Ф">#REF!</definedName>
    <definedName name="фдпшгфж" localSheetId="20">#REF!</definedName>
    <definedName name="фдпшгфж" localSheetId="5">#REF!</definedName>
    <definedName name="фдпшгфж" localSheetId="8">#REF!</definedName>
    <definedName name="фдпшгфж" localSheetId="23">#REF!</definedName>
    <definedName name="фдпшгфж" localSheetId="22">#REF!</definedName>
    <definedName name="фдпшгфж">#REF!</definedName>
    <definedName name="філії">[35]Лист1!$C$4:$C$11</definedName>
    <definedName name="ццц" localSheetId="20">#REF!</definedName>
    <definedName name="ццц" localSheetId="5">#REF!</definedName>
    <definedName name="ццц" localSheetId="8">#REF!</definedName>
    <definedName name="ццц" localSheetId="23">#REF!</definedName>
    <definedName name="ццц" localSheetId="22">#REF!</definedName>
    <definedName name="ццц">#REF!</definedName>
    <definedName name="чапельник" localSheetId="20">#REF!</definedName>
    <definedName name="чапельник" localSheetId="3">#REF!</definedName>
    <definedName name="чапельник" localSheetId="5">#REF!</definedName>
    <definedName name="чапельник" localSheetId="4">#REF!</definedName>
    <definedName name="чапельник" localSheetId="8">#REF!</definedName>
    <definedName name="чапельник" localSheetId="10">#REF!</definedName>
    <definedName name="чапельник" localSheetId="23">#REF!</definedName>
    <definedName name="чапельник" localSheetId="22">#REF!</definedName>
    <definedName name="чапельник">#REF!</definedName>
    <definedName name="черв">'[18]812'!$T$1:$T$65536</definedName>
    <definedName name="Черта" localSheetId="20">#REF!</definedName>
    <definedName name="Черта" localSheetId="3">#REF!</definedName>
    <definedName name="Черта" localSheetId="5">#REF!</definedName>
    <definedName name="Черта" localSheetId="4">#REF!</definedName>
    <definedName name="Черта" localSheetId="8">#REF!</definedName>
    <definedName name="Черта" localSheetId="10">#REF!</definedName>
    <definedName name="Черта" localSheetId="23">#REF!</definedName>
    <definedName name="Черта" localSheetId="22">#REF!</definedName>
    <definedName name="Черта">#REF!</definedName>
    <definedName name="чпапат" localSheetId="20">#REF!</definedName>
    <definedName name="чпапат" localSheetId="5">#REF!</definedName>
    <definedName name="чпапат" localSheetId="8">#REF!</definedName>
    <definedName name="чпапат" localSheetId="23">#REF!</definedName>
    <definedName name="чпапат" localSheetId="22">#REF!</definedName>
    <definedName name="чпапат">#REF!</definedName>
    <definedName name="яаиаипфа" localSheetId="20">#REF!</definedName>
    <definedName name="яаиаипфа" localSheetId="5">#REF!</definedName>
    <definedName name="яаиаипфа" localSheetId="8">#REF!</definedName>
    <definedName name="яаиаипфа" localSheetId="23">#REF!</definedName>
    <definedName name="яаиаипфа" localSheetId="22">#REF!</definedName>
    <definedName name="яаиаипфа">#REF!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2" i="118" l="1"/>
  <c r="G11" i="118"/>
  <c r="G10" i="118"/>
  <c r="G9" i="118"/>
  <c r="G8" i="118"/>
  <c r="F66" i="69" l="1"/>
  <c r="B66" i="69"/>
  <c r="F63" i="69"/>
  <c r="B63" i="69"/>
  <c r="G80" i="98"/>
  <c r="B80" i="98"/>
  <c r="K28" i="90"/>
  <c r="B28" i="90"/>
  <c r="K25" i="90"/>
  <c r="B25" i="90"/>
  <c r="G71" i="66"/>
  <c r="G68" i="66"/>
  <c r="B71" i="66"/>
  <c r="B68" i="66"/>
  <c r="G74" i="78"/>
  <c r="B74" i="78"/>
  <c r="G71" i="78"/>
  <c r="B71" i="78"/>
  <c r="B68" i="83"/>
  <c r="G68" i="83"/>
  <c r="G65" i="83"/>
  <c r="B65" i="83"/>
  <c r="H87" i="84"/>
  <c r="B87" i="84"/>
  <c r="H84" i="84"/>
  <c r="B84" i="84"/>
  <c r="H167" i="84"/>
  <c r="B167" i="84"/>
  <c r="H164" i="84"/>
  <c r="B164" i="84"/>
  <c r="M46" i="29"/>
  <c r="A46" i="29"/>
  <c r="E132" i="22"/>
  <c r="A132" i="22"/>
  <c r="M88" i="21"/>
  <c r="B88" i="21"/>
  <c r="H55" i="20"/>
  <c r="B55" i="20"/>
  <c r="O152" i="54"/>
  <c r="C152" i="54"/>
  <c r="F58" i="93"/>
  <c r="A58" i="93"/>
  <c r="F47" i="58"/>
  <c r="B47" i="58"/>
  <c r="F61" i="57"/>
  <c r="B61" i="57"/>
  <c r="H66" i="92"/>
  <c r="B66" i="92"/>
  <c r="H67" i="61"/>
  <c r="B67" i="61"/>
  <c r="Q70" i="55"/>
  <c r="C70" i="55"/>
  <c r="G33" i="98"/>
  <c r="H33" i="98" s="1"/>
  <c r="F17" i="135"/>
  <c r="F10" i="135" s="1"/>
  <c r="F22" i="135"/>
  <c r="F31" i="135"/>
  <c r="F36" i="135"/>
  <c r="F11" i="133"/>
  <c r="F10" i="133" s="1"/>
  <c r="F20" i="133"/>
  <c r="F25" i="133"/>
  <c r="F31" i="133" l="1"/>
  <c r="C44" i="49"/>
  <c r="D123" i="49" l="1"/>
  <c r="D124" i="49"/>
  <c r="D122" i="49" l="1"/>
  <c r="F153" i="84"/>
  <c r="F36" i="84" l="1"/>
  <c r="F123" i="84"/>
  <c r="F121" i="84"/>
  <c r="F34" i="84"/>
  <c r="F103" i="84" l="1"/>
  <c r="F16" i="84"/>
  <c r="F104" i="84" l="1"/>
  <c r="F16" i="92" l="1"/>
  <c r="F16" i="61"/>
  <c r="D37" i="110" l="1"/>
  <c r="F119" i="84" l="1"/>
  <c r="D14" i="118" l="1"/>
  <c r="D31" i="24"/>
  <c r="E14" i="118"/>
  <c r="F32" i="84" l="1"/>
  <c r="D19" i="21" l="1"/>
  <c r="E10" i="20" l="1"/>
  <c r="G10" i="20"/>
  <c r="L8" i="20" s="1"/>
  <c r="F62" i="83" l="1"/>
  <c r="F47" i="83"/>
  <c r="F144" i="84"/>
  <c r="F139" i="84" l="1"/>
  <c r="F67" i="84" l="1"/>
  <c r="F70" i="84" l="1"/>
  <c r="F59" i="84" l="1"/>
  <c r="F56" i="84"/>
  <c r="F54" i="84"/>
  <c r="F51" i="84"/>
  <c r="F46" i="84"/>
  <c r="F43" i="84" l="1"/>
  <c r="F41" i="84"/>
  <c r="F18" i="84" l="1"/>
  <c r="F17" i="84"/>
  <c r="F38" i="132" l="1"/>
  <c r="P12" i="21" l="1"/>
  <c r="AD12" i="21" s="1"/>
  <c r="AD13" i="21" s="1"/>
  <c r="AD115" i="21" s="1"/>
  <c r="O12" i="21"/>
  <c r="AC12" i="21" s="1"/>
  <c r="AC13" i="21" s="1"/>
  <c r="AC115" i="21" s="1"/>
  <c r="N12" i="21"/>
  <c r="AB12" i="21" s="1"/>
  <c r="AB13" i="21" s="1"/>
  <c r="AB115" i="21" s="1"/>
  <c r="M12" i="21"/>
  <c r="AA12" i="21" s="1"/>
  <c r="AA13" i="21" s="1"/>
  <c r="AA115" i="21" s="1"/>
  <c r="L12" i="21"/>
  <c r="Z12" i="21" s="1"/>
  <c r="Z13" i="21" s="1"/>
  <c r="Z115" i="21" s="1"/>
  <c r="K12" i="21"/>
  <c r="Y12" i="21" s="1"/>
  <c r="Y13" i="21" s="1"/>
  <c r="Y115" i="21" s="1"/>
  <c r="J12" i="21"/>
  <c r="X12" i="21" s="1"/>
  <c r="X13" i="21" s="1"/>
  <c r="X115" i="21" s="1"/>
  <c r="I12" i="21"/>
  <c r="W12" i="21" s="1"/>
  <c r="W13" i="21" s="1"/>
  <c r="W115" i="21" s="1"/>
  <c r="H12" i="21"/>
  <c r="V12" i="21" s="1"/>
  <c r="V13" i="21" s="1"/>
  <c r="V115" i="21" s="1"/>
  <c r="G12" i="21"/>
  <c r="U12" i="21" s="1"/>
  <c r="U13" i="21" s="1"/>
  <c r="F12" i="21"/>
  <c r="T12" i="21" s="1"/>
  <c r="T13" i="21" s="1"/>
  <c r="T115" i="21" s="1"/>
  <c r="E12" i="21"/>
  <c r="S12" i="21" s="1"/>
  <c r="S13" i="21" s="1"/>
  <c r="S115" i="21" s="1"/>
  <c r="S187" i="21"/>
  <c r="E153" i="21"/>
  <c r="S188" i="21"/>
  <c r="R13" i="21" l="1"/>
  <c r="U115" i="21"/>
  <c r="D49" i="66"/>
  <c r="D65" i="66"/>
  <c r="D51" i="66"/>
  <c r="D57" i="66"/>
  <c r="D59" i="66"/>
  <c r="D62" i="66"/>
  <c r="D39" i="66"/>
  <c r="D27" i="66"/>
  <c r="D10" i="66"/>
  <c r="D14" i="66"/>
  <c r="D12" i="66"/>
  <c r="D11" i="66"/>
  <c r="D102" i="20" l="1"/>
  <c r="D31" i="78"/>
  <c r="F25" i="78" l="1"/>
  <c r="F41" i="78"/>
  <c r="F32" i="78"/>
  <c r="F25" i="66" l="1"/>
  <c r="D14" i="110"/>
  <c r="E37" i="98"/>
  <c r="D35" i="98" l="1"/>
  <c r="D63" i="98" s="1"/>
  <c r="D28" i="98" l="1"/>
  <c r="F21" i="22" l="1"/>
  <c r="N61" i="66" l="1"/>
  <c r="F12" i="66"/>
  <c r="F49" i="66"/>
  <c r="F53" i="66"/>
  <c r="F11" i="66"/>
  <c r="F14" i="66"/>
  <c r="F18" i="66"/>
  <c r="F19" i="66"/>
  <c r="F48" i="66"/>
  <c r="F51" i="66"/>
  <c r="F47" i="66"/>
  <c r="F62" i="66"/>
  <c r="F57" i="66"/>
  <c r="F65" i="66"/>
  <c r="F63" i="66"/>
  <c r="F10" i="66"/>
  <c r="F56" i="66"/>
  <c r="F55" i="66"/>
  <c r="F60" i="66"/>
  <c r="F40" i="66"/>
  <c r="F32" i="66"/>
  <c r="F28" i="66"/>
  <c r="F27" i="66"/>
  <c r="F36" i="66"/>
  <c r="F43" i="83"/>
  <c r="F29" i="83"/>
  <c r="F142" i="84"/>
  <c r="F58" i="84"/>
  <c r="E102" i="84" l="1"/>
  <c r="E103" i="84"/>
  <c r="G99" i="21" l="1"/>
  <c r="S186" i="21"/>
  <c r="W116" i="21"/>
  <c r="D12" i="21"/>
  <c r="F57" i="84" s="1"/>
  <c r="F30" i="57" l="1"/>
  <c r="F26" i="57"/>
  <c r="W36" i="55"/>
  <c r="W32" i="55"/>
  <c r="W25" i="55"/>
  <c r="W14" i="55"/>
  <c r="W53" i="55" s="1"/>
  <c r="F30" i="92" l="1"/>
  <c r="F26" i="92"/>
  <c r="G32" i="55"/>
  <c r="G36" i="55"/>
  <c r="F30" i="61"/>
  <c r="F26" i="61"/>
  <c r="D53" i="66"/>
  <c r="C65" i="66"/>
  <c r="D20" i="66"/>
  <c r="E20" i="66"/>
  <c r="C20" i="66"/>
  <c r="D48" i="78"/>
  <c r="D46" i="78"/>
  <c r="D45" i="78"/>
  <c r="D43" i="78"/>
  <c r="D41" i="78"/>
  <c r="D40" i="78"/>
  <c r="D37" i="78"/>
  <c r="D36" i="78"/>
  <c r="D35" i="78"/>
  <c r="D32" i="78"/>
  <c r="C32" i="78"/>
  <c r="D28" i="78"/>
  <c r="C28" i="78"/>
  <c r="D27" i="78"/>
  <c r="C27" i="78"/>
  <c r="D25" i="78"/>
  <c r="C25" i="78"/>
  <c r="D23" i="78"/>
  <c r="C23" i="78"/>
  <c r="D21" i="78"/>
  <c r="C21" i="78"/>
  <c r="E20" i="78"/>
  <c r="F19" i="78"/>
  <c r="F16" i="78"/>
  <c r="F13" i="78"/>
  <c r="D18" i="78"/>
  <c r="D17" i="78"/>
  <c r="D15" i="78"/>
  <c r="D14" i="78"/>
  <c r="D12" i="78"/>
  <c r="D11" i="78"/>
  <c r="D10" i="78"/>
  <c r="C21" i="83"/>
  <c r="E119" i="84"/>
  <c r="E118" i="84"/>
  <c r="D161" i="84"/>
  <c r="D153" i="84"/>
  <c r="D144" i="84"/>
  <c r="D143" i="84"/>
  <c r="F143" i="84" s="1"/>
  <c r="D142" i="84"/>
  <c r="D141" i="84"/>
  <c r="D139" i="84"/>
  <c r="D138" i="84"/>
  <c r="D137" i="84"/>
  <c r="D136" i="84"/>
  <c r="D134" i="84"/>
  <c r="F134" i="84" s="1"/>
  <c r="D128" i="84"/>
  <c r="F128" i="84" s="1"/>
  <c r="D121" i="84"/>
  <c r="D119" i="84"/>
  <c r="D118" i="84"/>
  <c r="C153" i="84"/>
  <c r="C144" i="84"/>
  <c r="C143" i="84"/>
  <c r="C142" i="84"/>
  <c r="C141" i="84"/>
  <c r="C139" i="84"/>
  <c r="C138" i="84"/>
  <c r="C137" i="84"/>
  <c r="C136" i="84"/>
  <c r="C135" i="84"/>
  <c r="C134" i="84"/>
  <c r="C128" i="84"/>
  <c r="C121" i="84"/>
  <c r="C119" i="84"/>
  <c r="C118" i="84"/>
  <c r="D115" i="84"/>
  <c r="C115" i="84"/>
  <c r="D112" i="84"/>
  <c r="F112" i="84" s="1"/>
  <c r="D109" i="84"/>
  <c r="D106" i="84"/>
  <c r="F106" i="84" s="1"/>
  <c r="D105" i="84"/>
  <c r="D104" i="84"/>
  <c r="D103" i="84"/>
  <c r="D102" i="84"/>
  <c r="C112" i="84"/>
  <c r="C109" i="84"/>
  <c r="C108" i="84"/>
  <c r="C106" i="84"/>
  <c r="C105" i="84"/>
  <c r="C104" i="84"/>
  <c r="C103" i="84"/>
  <c r="C102" i="84"/>
  <c r="D28" i="84"/>
  <c r="C28" i="84"/>
  <c r="D80" i="84"/>
  <c r="D70" i="84"/>
  <c r="D67" i="84"/>
  <c r="D60" i="84"/>
  <c r="D59" i="84"/>
  <c r="D58" i="84"/>
  <c r="D57" i="84"/>
  <c r="D56" i="84"/>
  <c r="D55" i="84"/>
  <c r="D51" i="84"/>
  <c r="D50" i="84"/>
  <c r="F50" i="84" s="1"/>
  <c r="D49" i="84"/>
  <c r="D48" i="84"/>
  <c r="D47" i="84"/>
  <c r="F47" i="84" s="1"/>
  <c r="D46" i="84"/>
  <c r="D43" i="84"/>
  <c r="D41" i="84"/>
  <c r="D32" i="84"/>
  <c r="D31" i="84"/>
  <c r="C76" i="84"/>
  <c r="C72" i="84"/>
  <c r="C70" i="84"/>
  <c r="C67" i="84"/>
  <c r="C60" i="84"/>
  <c r="C59" i="84"/>
  <c r="C58" i="84"/>
  <c r="C57" i="84"/>
  <c r="C56" i="84"/>
  <c r="C55" i="84"/>
  <c r="C52" i="84"/>
  <c r="C51" i="84"/>
  <c r="C50" i="84"/>
  <c r="C49" i="84"/>
  <c r="C48" i="84"/>
  <c r="C47" i="84"/>
  <c r="C46" i="84"/>
  <c r="C45" i="84"/>
  <c r="C44" i="84"/>
  <c r="C43" i="84"/>
  <c r="C41" i="84"/>
  <c r="C40" i="84"/>
  <c r="F40" i="84" s="1"/>
  <c r="C39" i="84"/>
  <c r="C34" i="84"/>
  <c r="C32" i="84"/>
  <c r="C31" i="84"/>
  <c r="E11" i="84"/>
  <c r="D26" i="84"/>
  <c r="F26" i="84" s="1"/>
  <c r="C26" i="84"/>
  <c r="D23" i="84"/>
  <c r="C23" i="84"/>
  <c r="D22" i="84"/>
  <c r="C22" i="84"/>
  <c r="D20" i="84"/>
  <c r="F20" i="84" s="1"/>
  <c r="C20" i="84"/>
  <c r="D19" i="84"/>
  <c r="C19" i="84"/>
  <c r="D18" i="84"/>
  <c r="C18" i="84"/>
  <c r="D17" i="84"/>
  <c r="C17" i="84"/>
  <c r="D16" i="84"/>
  <c r="C16" i="84"/>
  <c r="D15" i="84"/>
  <c r="C15" i="84"/>
  <c r="D14" i="84"/>
  <c r="C14" i="84"/>
  <c r="D13" i="84"/>
  <c r="C13" i="84"/>
  <c r="D12" i="84"/>
  <c r="C12" i="84"/>
  <c r="C11" i="84" l="1"/>
  <c r="C20" i="78"/>
  <c r="D11" i="84"/>
  <c r="D20" i="78"/>
  <c r="F36" i="54"/>
  <c r="E33" i="54" l="1"/>
  <c r="C14" i="118" l="1"/>
  <c r="C43" i="49" l="1"/>
  <c r="C165" i="107" l="1"/>
  <c r="C200" i="107" s="1"/>
  <c r="C156" i="107"/>
  <c r="C147" i="107"/>
  <c r="C199" i="107" s="1"/>
  <c r="C138" i="107"/>
  <c r="C193" i="107"/>
  <c r="C176" i="107" l="1"/>
  <c r="C182" i="107" s="1"/>
  <c r="C163" i="107"/>
  <c r="C164" i="107"/>
  <c r="C187" i="107" s="1"/>
  <c r="C154" i="107"/>
  <c r="C155" i="107"/>
  <c r="C145" i="107"/>
  <c r="C146" i="107"/>
  <c r="C192" i="107" s="1"/>
  <c r="C144" i="107"/>
  <c r="C136" i="107"/>
  <c r="C173" i="107" s="1"/>
  <c r="C179" i="107" s="1"/>
  <c r="C137" i="107"/>
  <c r="C174" i="107" l="1"/>
  <c r="C180" i="107" s="1"/>
  <c r="C186" i="107"/>
  <c r="B12" i="152"/>
  <c r="B13" i="152" s="1"/>
  <c r="B14" i="152" s="1"/>
  <c r="B15" i="152" s="1"/>
  <c r="B16" i="152" s="1"/>
  <c r="B17" i="152" s="1"/>
  <c r="B18" i="152" s="1"/>
  <c r="B19" i="152" s="1"/>
  <c r="B20" i="152" s="1"/>
  <c r="B21" i="152" s="1"/>
  <c r="B22" i="152" s="1"/>
  <c r="B23" i="152" s="1"/>
  <c r="B24" i="152" s="1"/>
  <c r="B25" i="152" s="1"/>
  <c r="B26" i="152" s="1"/>
  <c r="B27" i="152" s="1"/>
  <c r="B28" i="152" s="1"/>
  <c r="B29" i="152" s="1"/>
  <c r="B30" i="152" s="1"/>
  <c r="B31" i="152" s="1"/>
  <c r="B32" i="152" s="1"/>
  <c r="B33" i="152" s="1"/>
  <c r="B34" i="152" s="1"/>
  <c r="B35" i="152" s="1"/>
  <c r="B36" i="152" s="1"/>
  <c r="B37" i="152" s="1"/>
  <c r="B38" i="152" s="1"/>
  <c r="B39" i="152" s="1"/>
  <c r="B40" i="152" s="1"/>
  <c r="B41" i="152" s="1"/>
  <c r="B42" i="152" s="1"/>
  <c r="B43" i="152" s="1"/>
  <c r="B44" i="152" s="1"/>
  <c r="B45" i="152" s="1"/>
  <c r="B46" i="152" s="1"/>
  <c r="B48" i="152" s="1"/>
  <c r="B49" i="152" s="1"/>
  <c r="B50" i="152" s="1"/>
  <c r="B51" i="152" s="1"/>
  <c r="B52" i="152" s="1"/>
  <c r="B53" i="152" l="1"/>
  <c r="B54" i="152" s="1"/>
  <c r="B55" i="152" s="1"/>
  <c r="B56" i="152" s="1"/>
  <c r="B57" i="152" s="1"/>
  <c r="B58" i="152" s="1"/>
  <c r="B59" i="152" s="1"/>
  <c r="B60" i="152" s="1"/>
  <c r="B61" i="152" s="1"/>
  <c r="B62" i="152" s="1"/>
  <c r="N29" i="29"/>
  <c r="M29" i="29"/>
  <c r="B63" i="152" l="1"/>
  <c r="B64" i="152" s="1"/>
  <c r="B65" i="152" s="1"/>
  <c r="B66" i="152" s="1"/>
  <c r="B67" i="152" s="1"/>
  <c r="B68" i="152" s="1"/>
  <c r="B69" i="152" s="1"/>
  <c r="B70" i="152" s="1"/>
  <c r="N22" i="29" l="1"/>
  <c r="J29" i="29"/>
  <c r="I29" i="29" s="1"/>
  <c r="L29" i="29" l="1"/>
  <c r="E8" i="54"/>
  <c r="F44" i="78" l="1"/>
  <c r="F16" i="66"/>
  <c r="N64" i="66" l="1"/>
  <c r="H20" i="20"/>
  <c r="H16" i="20"/>
  <c r="H10" i="20"/>
  <c r="C38" i="132" l="1"/>
  <c r="C32" i="132"/>
  <c r="C39" i="134"/>
  <c r="E36" i="135"/>
  <c r="C14" i="110"/>
  <c r="B14" i="110"/>
  <c r="C34" i="110"/>
  <c r="D34" i="110"/>
  <c r="E34" i="110"/>
  <c r="B34" i="110"/>
  <c r="C30" i="110"/>
  <c r="D30" i="110"/>
  <c r="E30" i="110"/>
  <c r="E14" i="154" l="1"/>
  <c r="F14" i="154" s="1"/>
  <c r="E13" i="154"/>
  <c r="F13" i="154" s="1"/>
  <c r="E10" i="154"/>
  <c r="F10" i="154" s="1"/>
  <c r="E10" i="153"/>
  <c r="F10" i="153" s="1"/>
  <c r="E9" i="153"/>
  <c r="F9" i="153" s="1"/>
  <c r="C34" i="135" l="1"/>
  <c r="X11" i="92" l="1"/>
  <c r="B23" i="147" l="1"/>
  <c r="H23" i="147" l="1"/>
  <c r="J23" i="147"/>
  <c r="C39" i="133" l="1"/>
  <c r="D43" i="110"/>
  <c r="D44" i="110"/>
  <c r="R14" i="55"/>
  <c r="F12" i="92"/>
  <c r="F19" i="61"/>
  <c r="E77" i="22"/>
  <c r="D77" i="22"/>
  <c r="F36" i="22"/>
  <c r="D37" i="98" l="1"/>
  <c r="D71" i="110"/>
  <c r="E71" i="110"/>
  <c r="D70" i="110"/>
  <c r="C69" i="110"/>
  <c r="D69" i="110"/>
  <c r="E69" i="110"/>
  <c r="E68" i="110"/>
  <c r="D67" i="110"/>
  <c r="C65" i="110"/>
  <c r="D65" i="110"/>
  <c r="C64" i="110"/>
  <c r="B71" i="110"/>
  <c r="B69" i="110"/>
  <c r="B65" i="110"/>
  <c r="B64" i="110"/>
  <c r="D59" i="110"/>
  <c r="C57" i="110"/>
  <c r="E54" i="110"/>
  <c r="F54" i="110"/>
  <c r="G54" i="110"/>
  <c r="H54" i="110"/>
  <c r="I54" i="110"/>
  <c r="J54" i="110"/>
  <c r="B54" i="110"/>
  <c r="C47" i="110"/>
  <c r="D47" i="110"/>
  <c r="E47" i="110"/>
  <c r="B47" i="110"/>
  <c r="D46" i="110"/>
  <c r="D45" i="110"/>
  <c r="E45" i="110"/>
  <c r="B45" i="110"/>
  <c r="D41" i="110"/>
  <c r="D40" i="110"/>
  <c r="D35" i="110"/>
  <c r="D33" i="110"/>
  <c r="D32" i="110"/>
  <c r="D29" i="110"/>
  <c r="D28" i="110"/>
  <c r="B30" i="110"/>
  <c r="D23" i="110"/>
  <c r="D22" i="110"/>
  <c r="D21" i="110"/>
  <c r="D17" i="110"/>
  <c r="D16" i="110"/>
  <c r="G17" i="58" l="1"/>
  <c r="H14" i="62"/>
  <c r="H28" i="62" s="1"/>
  <c r="H23" i="62"/>
  <c r="J28" i="62"/>
  <c r="H14" i="20" l="1"/>
  <c r="D78" i="20" l="1"/>
  <c r="D79" i="20"/>
  <c r="D80" i="20"/>
  <c r="D81" i="20"/>
  <c r="D82" i="20"/>
  <c r="D83" i="20"/>
  <c r="D84" i="20"/>
  <c r="D85" i="20"/>
  <c r="D86" i="20"/>
  <c r="D87" i="20"/>
  <c r="F14" i="20" l="1"/>
  <c r="F63" i="20"/>
  <c r="E63" i="20"/>
  <c r="F12" i="20"/>
  <c r="E21" i="110" l="1"/>
  <c r="E33" i="110" l="1"/>
  <c r="E16" i="93" l="1"/>
  <c r="E9" i="154" s="1"/>
  <c r="F9" i="154" s="1"/>
  <c r="F16" i="93"/>
  <c r="F29" i="69" l="1"/>
  <c r="E23" i="83" l="1"/>
  <c r="G29" i="55"/>
  <c r="G58" i="55"/>
  <c r="E44" i="110"/>
  <c r="F55" i="83"/>
  <c r="E22" i="110" l="1"/>
  <c r="E20" i="110" l="1"/>
  <c r="E35" i="110"/>
  <c r="E23" i="110" l="1"/>
  <c r="E58" i="110"/>
  <c r="E57" i="110"/>
  <c r="E56" i="110"/>
  <c r="F9" i="78" l="1"/>
  <c r="D58" i="110"/>
  <c r="D57" i="110"/>
  <c r="D55" i="110"/>
  <c r="F85" i="78" l="1"/>
  <c r="D56" i="110"/>
  <c r="F81" i="78"/>
  <c r="D53" i="110"/>
  <c r="D4" i="110" s="1"/>
  <c r="F80" i="78"/>
  <c r="D52" i="110"/>
  <c r="F47" i="78"/>
  <c r="C58" i="110"/>
  <c r="C55" i="110"/>
  <c r="C56" i="110"/>
  <c r="C59" i="110"/>
  <c r="C53" i="110"/>
  <c r="C52" i="110"/>
  <c r="B58" i="110" l="1"/>
  <c r="B55" i="110"/>
  <c r="B56" i="110"/>
  <c r="B59" i="110"/>
  <c r="B57" i="110"/>
  <c r="B53" i="110"/>
  <c r="B52" i="110"/>
  <c r="N60" i="66" l="1"/>
  <c r="N59" i="66"/>
  <c r="E70" i="110"/>
  <c r="N56" i="66"/>
  <c r="F111" i="66" l="1"/>
  <c r="F107" i="66"/>
  <c r="D68" i="110"/>
  <c r="D64" i="110" l="1"/>
  <c r="D3" i="110" s="1"/>
  <c r="F106" i="66"/>
  <c r="N62" i="66"/>
  <c r="C70" i="110"/>
  <c r="C67" i="110"/>
  <c r="C68" i="110"/>
  <c r="C71" i="110"/>
  <c r="N54" i="66" l="1"/>
  <c r="B70" i="110"/>
  <c r="B67" i="110"/>
  <c r="N55" i="66" l="1"/>
  <c r="C24" i="66"/>
  <c r="B68" i="110"/>
  <c r="C38" i="66"/>
  <c r="F53" i="83" l="1"/>
  <c r="F60" i="83"/>
  <c r="F61" i="83"/>
  <c r="F50" i="83"/>
  <c r="F45" i="83"/>
  <c r="F44" i="83"/>
  <c r="F39" i="83"/>
  <c r="C44" i="110"/>
  <c r="B46" i="110"/>
  <c r="B44" i="110"/>
  <c r="B41" i="110"/>
  <c r="B40" i="110"/>
  <c r="C41" i="110"/>
  <c r="C40" i="110"/>
  <c r="F15" i="83"/>
  <c r="F58" i="83" l="1"/>
  <c r="E46" i="110" s="1"/>
  <c r="C46" i="110"/>
  <c r="B43" i="110"/>
  <c r="D79" i="22"/>
  <c r="C43" i="110"/>
  <c r="E79" i="22"/>
  <c r="F154" i="84"/>
  <c r="F136" i="84"/>
  <c r="C29" i="110" l="1"/>
  <c r="B29" i="110"/>
  <c r="E46" i="22" l="1"/>
  <c r="C33" i="110"/>
  <c r="D44" i="22"/>
  <c r="D45" i="22" s="1"/>
  <c r="B35" i="110"/>
  <c r="E43" i="22"/>
  <c r="C28" i="110"/>
  <c r="E44" i="22"/>
  <c r="E45" i="22" s="1"/>
  <c r="C35" i="110"/>
  <c r="D46" i="22"/>
  <c r="B33" i="110"/>
  <c r="D43" i="22"/>
  <c r="B28" i="110"/>
  <c r="F108" i="84"/>
  <c r="E32" i="110"/>
  <c r="C32" i="110"/>
  <c r="B32" i="110"/>
  <c r="D31" i="110"/>
  <c r="D47" i="22" l="1"/>
  <c r="B31" i="110"/>
  <c r="E47" i="22"/>
  <c r="C31" i="110"/>
  <c r="F60" i="84"/>
  <c r="F55" i="84"/>
  <c r="C22" i="110"/>
  <c r="B22" i="110"/>
  <c r="C17" i="110" l="1"/>
  <c r="C16" i="110"/>
  <c r="F19" i="84"/>
  <c r="F22" i="84"/>
  <c r="D20" i="110"/>
  <c r="C20" i="110"/>
  <c r="B19" i="110"/>
  <c r="G17" i="55"/>
  <c r="F17" i="55"/>
  <c r="G16" i="55"/>
  <c r="F16" i="55"/>
  <c r="G15" i="55"/>
  <c r="F15" i="55"/>
  <c r="E28" i="22" l="1"/>
  <c r="C19" i="110"/>
  <c r="G18" i="55"/>
  <c r="D19" i="110"/>
  <c r="F14" i="55"/>
  <c r="U18" i="55"/>
  <c r="D28" i="22"/>
  <c r="U27" i="55"/>
  <c r="D27" i="22"/>
  <c r="B21" i="110"/>
  <c r="E27" i="22"/>
  <c r="C21" i="110"/>
  <c r="U24" i="55"/>
  <c r="B16" i="110"/>
  <c r="D25" i="22"/>
  <c r="D26" i="22" s="1"/>
  <c r="B23" i="110"/>
  <c r="U22" i="55"/>
  <c r="B20" i="110"/>
  <c r="E25" i="22"/>
  <c r="E26" i="22" s="1"/>
  <c r="C23" i="110"/>
  <c r="G14" i="55"/>
  <c r="D18" i="110"/>
  <c r="U26" i="55"/>
  <c r="B17" i="110"/>
  <c r="E17" i="55"/>
  <c r="U17" i="55"/>
  <c r="E16" i="55"/>
  <c r="U16" i="55"/>
  <c r="E15" i="55"/>
  <c r="U15" i="55"/>
  <c r="B18" i="110"/>
  <c r="C18" i="110"/>
  <c r="F54" i="22"/>
  <c r="E70" i="22"/>
  <c r="E48" i="54"/>
  <c r="F112" i="54"/>
  <c r="E112" i="54"/>
  <c r="F109" i="54"/>
  <c r="E109" i="54"/>
  <c r="E71" i="54"/>
  <c r="F91" i="54"/>
  <c r="F74" i="54" s="1"/>
  <c r="E91" i="54"/>
  <c r="F48" i="54"/>
  <c r="F39" i="54"/>
  <c r="E39" i="54"/>
  <c r="F33" i="54"/>
  <c r="D54" i="22"/>
  <c r="H35" i="49"/>
  <c r="H31" i="49" s="1"/>
  <c r="U14" i="55" l="1"/>
  <c r="E14" i="55"/>
  <c r="E95" i="54"/>
  <c r="C23" i="62" l="1"/>
  <c r="D23" i="62"/>
  <c r="E23" i="62"/>
  <c r="F23" i="62"/>
  <c r="G23" i="62"/>
  <c r="E14" i="69" l="1"/>
  <c r="E44" i="69"/>
  <c r="E9" i="69" l="1"/>
  <c r="D38" i="24"/>
  <c r="D37" i="24"/>
  <c r="D34" i="24"/>
  <c r="D30" i="24"/>
  <c r="K180" i="21" l="1"/>
  <c r="M180" i="21"/>
  <c r="E179" i="21"/>
  <c r="F179" i="21"/>
  <c r="G179" i="21"/>
  <c r="H179" i="21"/>
  <c r="I179" i="21"/>
  <c r="J179" i="21"/>
  <c r="K179" i="21"/>
  <c r="L179" i="21"/>
  <c r="M179" i="21"/>
  <c r="N179" i="21"/>
  <c r="O179" i="21"/>
  <c r="P179" i="21"/>
  <c r="F180" i="21"/>
  <c r="G180" i="21"/>
  <c r="H180" i="21"/>
  <c r="I180" i="21"/>
  <c r="J180" i="21"/>
  <c r="L180" i="21"/>
  <c r="N180" i="21"/>
  <c r="O180" i="21"/>
  <c r="P180" i="21"/>
  <c r="U116" i="21"/>
  <c r="T116" i="21"/>
  <c r="S116" i="21"/>
  <c r="E116" i="21" s="1"/>
  <c r="AD116" i="21"/>
  <c r="AD117" i="21" s="1"/>
  <c r="P115" i="21" s="1"/>
  <c r="AC116" i="21"/>
  <c r="AC117" i="21" s="1"/>
  <c r="O115" i="21" s="1"/>
  <c r="AB116" i="21"/>
  <c r="AB117" i="21" s="1"/>
  <c r="N115" i="21" s="1"/>
  <c r="AA116" i="21"/>
  <c r="AA117" i="21" s="1"/>
  <c r="M115" i="21" s="1"/>
  <c r="Z116" i="21"/>
  <c r="Z117" i="21" s="1"/>
  <c r="L115" i="21" s="1"/>
  <c r="Y116" i="21"/>
  <c r="Y117" i="21" s="1"/>
  <c r="K115" i="21" s="1"/>
  <c r="X116" i="21"/>
  <c r="X117" i="21" s="1"/>
  <c r="J115" i="21" s="1"/>
  <c r="V116" i="21"/>
  <c r="V117" i="21" s="1"/>
  <c r="H115" i="21" s="1"/>
  <c r="W117" i="21"/>
  <c r="I115" i="21" s="1"/>
  <c r="D117" i="21"/>
  <c r="D118" i="21"/>
  <c r="U117" i="21" l="1"/>
  <c r="G115" i="21" s="1"/>
  <c r="G116" i="21"/>
  <c r="T117" i="21"/>
  <c r="F115" i="21" s="1"/>
  <c r="S117" i="21"/>
  <c r="E115" i="21" s="1"/>
  <c r="N116" i="21"/>
  <c r="H116" i="21"/>
  <c r="M116" i="21"/>
  <c r="L116" i="21"/>
  <c r="F116" i="21"/>
  <c r="K116" i="21"/>
  <c r="P116" i="21"/>
  <c r="J116" i="21"/>
  <c r="O116" i="21"/>
  <c r="I116" i="21"/>
  <c r="R116" i="21"/>
  <c r="R115" i="21"/>
  <c r="F99" i="21" s="1"/>
  <c r="R117" i="21" l="1"/>
  <c r="E15" i="21"/>
  <c r="F15" i="21"/>
  <c r="G15" i="21"/>
  <c r="H15" i="21"/>
  <c r="I15" i="21"/>
  <c r="J15" i="21"/>
  <c r="K15" i="21"/>
  <c r="L15" i="21"/>
  <c r="M15" i="21"/>
  <c r="N15" i="21"/>
  <c r="O15" i="21"/>
  <c r="P15" i="21"/>
  <c r="D15" i="21"/>
  <c r="H15" i="49"/>
  <c r="T175" i="54"/>
  <c r="J140" i="49"/>
  <c r="J139" i="49" s="1"/>
  <c r="O132" i="54"/>
  <c r="P132" i="54"/>
  <c r="Q132" i="54"/>
  <c r="R132" i="54"/>
  <c r="S132" i="54"/>
  <c r="O131" i="54"/>
  <c r="P131" i="54"/>
  <c r="Q131" i="54"/>
  <c r="R131" i="54"/>
  <c r="S131" i="54"/>
  <c r="O129" i="54"/>
  <c r="P129" i="54"/>
  <c r="Q129" i="54"/>
  <c r="R129" i="54"/>
  <c r="S129" i="54"/>
  <c r="O128" i="54"/>
  <c r="P128" i="54"/>
  <c r="Q128" i="54"/>
  <c r="R128" i="54"/>
  <c r="S128" i="54"/>
  <c r="H106" i="49"/>
  <c r="I106" i="49"/>
  <c r="J106" i="49"/>
  <c r="K106" i="49"/>
  <c r="L106" i="49"/>
  <c r="H99" i="49"/>
  <c r="I99" i="49"/>
  <c r="J99" i="49"/>
  <c r="K99" i="49"/>
  <c r="L99" i="49"/>
  <c r="C141" i="49"/>
  <c r="H166" i="49"/>
  <c r="I166" i="49"/>
  <c r="J166" i="49"/>
  <c r="K166" i="49"/>
  <c r="L166" i="49"/>
  <c r="H163" i="49"/>
  <c r="I163" i="49"/>
  <c r="J163" i="49"/>
  <c r="K163" i="49"/>
  <c r="L163" i="49"/>
  <c r="H162" i="49"/>
  <c r="I162" i="49"/>
  <c r="J162" i="49"/>
  <c r="K162" i="49"/>
  <c r="L162" i="49"/>
  <c r="H160" i="49"/>
  <c r="I160" i="49"/>
  <c r="J160" i="49"/>
  <c r="K160" i="49"/>
  <c r="L160" i="49"/>
  <c r="H157" i="49"/>
  <c r="I157" i="49"/>
  <c r="J157" i="49"/>
  <c r="K157" i="49"/>
  <c r="L157" i="49"/>
  <c r="H156" i="49"/>
  <c r="I156" i="49"/>
  <c r="J156" i="49"/>
  <c r="K156" i="49"/>
  <c r="L156" i="49"/>
  <c r="H140" i="49"/>
  <c r="H139" i="49" s="1"/>
  <c r="I140" i="49"/>
  <c r="I139" i="49" s="1"/>
  <c r="K140" i="49"/>
  <c r="K139" i="49" s="1"/>
  <c r="L140" i="49"/>
  <c r="L139" i="49" s="1"/>
  <c r="M140" i="49"/>
  <c r="N140" i="49"/>
  <c r="T18" i="54"/>
  <c r="T17" i="54"/>
  <c r="E134" i="49"/>
  <c r="F134" i="49"/>
  <c r="G134" i="49"/>
  <c r="H134" i="49"/>
  <c r="I134" i="49"/>
  <c r="J134" i="49"/>
  <c r="K134" i="49"/>
  <c r="L134" i="49"/>
  <c r="M134" i="49"/>
  <c r="N134" i="49"/>
  <c r="O134" i="49"/>
  <c r="D134" i="49"/>
  <c r="E133" i="49"/>
  <c r="F133" i="49"/>
  <c r="G133" i="49"/>
  <c r="G132" i="49" s="1"/>
  <c r="H133" i="49"/>
  <c r="H132" i="49" s="1"/>
  <c r="I133" i="49"/>
  <c r="I132" i="49" s="1"/>
  <c r="P73" i="54" s="1"/>
  <c r="J133" i="49"/>
  <c r="J132" i="49" s="1"/>
  <c r="J165" i="49" s="1"/>
  <c r="K133" i="49"/>
  <c r="L133" i="49"/>
  <c r="M133" i="49"/>
  <c r="M132" i="49" s="1"/>
  <c r="N133" i="49"/>
  <c r="N132" i="49" s="1"/>
  <c r="O133" i="49"/>
  <c r="O132" i="49" s="1"/>
  <c r="D133" i="49"/>
  <c r="D132" i="49" s="1"/>
  <c r="E131" i="49"/>
  <c r="F131" i="49"/>
  <c r="G131" i="49"/>
  <c r="H131" i="49"/>
  <c r="I131" i="49"/>
  <c r="J131" i="49"/>
  <c r="K131" i="49"/>
  <c r="L131" i="49"/>
  <c r="M131" i="49"/>
  <c r="N131" i="49"/>
  <c r="O131" i="49"/>
  <c r="D131" i="49"/>
  <c r="E130" i="49"/>
  <c r="E129" i="49" s="1"/>
  <c r="F130" i="49"/>
  <c r="F129" i="49" s="1"/>
  <c r="G130" i="49"/>
  <c r="G129" i="49" s="1"/>
  <c r="H130" i="49"/>
  <c r="I130" i="49"/>
  <c r="J130" i="49"/>
  <c r="J129" i="49" s="1"/>
  <c r="K130" i="49"/>
  <c r="L130" i="49"/>
  <c r="M130" i="49"/>
  <c r="N130" i="49"/>
  <c r="O130" i="49"/>
  <c r="O129" i="49" s="1"/>
  <c r="O128" i="49" s="1"/>
  <c r="D130" i="49"/>
  <c r="D129" i="49" s="1"/>
  <c r="D128" i="49" s="1"/>
  <c r="E132" i="49"/>
  <c r="F132" i="49"/>
  <c r="K132" i="49"/>
  <c r="E127" i="49"/>
  <c r="F127" i="49"/>
  <c r="G127" i="49"/>
  <c r="H127" i="49"/>
  <c r="I127" i="49"/>
  <c r="J127" i="49"/>
  <c r="K127" i="49"/>
  <c r="L127" i="49"/>
  <c r="M127" i="49"/>
  <c r="N127" i="49"/>
  <c r="O127" i="49"/>
  <c r="D127" i="49"/>
  <c r="E126" i="49"/>
  <c r="E125" i="49" s="1"/>
  <c r="L145" i="54" s="1"/>
  <c r="F126" i="49"/>
  <c r="F125" i="49" s="1"/>
  <c r="M145" i="54" s="1"/>
  <c r="G126" i="49"/>
  <c r="G125" i="49" s="1"/>
  <c r="N145" i="54" s="1"/>
  <c r="H126" i="49"/>
  <c r="H125" i="49" s="1"/>
  <c r="H164" i="49" s="1"/>
  <c r="I126" i="49"/>
  <c r="J126" i="49"/>
  <c r="J125" i="49" s="1"/>
  <c r="K126" i="49"/>
  <c r="K125" i="49" s="1"/>
  <c r="L126" i="49"/>
  <c r="L125" i="49" s="1"/>
  <c r="L164" i="49" s="1"/>
  <c r="M126" i="49"/>
  <c r="M125" i="49" s="1"/>
  <c r="H145" i="54" s="1"/>
  <c r="N126" i="49"/>
  <c r="N125" i="49" s="1"/>
  <c r="I145" i="54" s="1"/>
  <c r="O126" i="49"/>
  <c r="O125" i="49" s="1"/>
  <c r="J145" i="54" s="1"/>
  <c r="D126" i="49"/>
  <c r="E124" i="49"/>
  <c r="F124" i="49"/>
  <c r="G124" i="49"/>
  <c r="H124" i="49"/>
  <c r="I124" i="49"/>
  <c r="J124" i="49"/>
  <c r="K124" i="49"/>
  <c r="L124" i="49"/>
  <c r="M124" i="49"/>
  <c r="N124" i="49"/>
  <c r="O124" i="49"/>
  <c r="E123" i="49"/>
  <c r="F123" i="49"/>
  <c r="G123" i="49"/>
  <c r="H123" i="49"/>
  <c r="I123" i="49"/>
  <c r="J123" i="49"/>
  <c r="K123" i="49"/>
  <c r="L123" i="49"/>
  <c r="M123" i="49"/>
  <c r="N123" i="49"/>
  <c r="N122" i="49" s="1"/>
  <c r="O123" i="49"/>
  <c r="D69" i="49"/>
  <c r="E69" i="49"/>
  <c r="F69" i="49"/>
  <c r="G69" i="49"/>
  <c r="H69" i="49"/>
  <c r="I69" i="49"/>
  <c r="J69" i="49"/>
  <c r="K69" i="49"/>
  <c r="L69" i="49"/>
  <c r="M69" i="49"/>
  <c r="N69" i="49"/>
  <c r="O69" i="49"/>
  <c r="D72" i="49"/>
  <c r="E72" i="49"/>
  <c r="F72" i="49"/>
  <c r="G72" i="49"/>
  <c r="M72" i="49"/>
  <c r="N72" i="49"/>
  <c r="O72" i="49"/>
  <c r="C69" i="49"/>
  <c r="C72" i="49"/>
  <c r="I62" i="49"/>
  <c r="J62" i="49"/>
  <c r="K62" i="49"/>
  <c r="L62" i="49"/>
  <c r="M62" i="49"/>
  <c r="N62" i="49"/>
  <c r="O62" i="49"/>
  <c r="I65" i="49"/>
  <c r="J65" i="49"/>
  <c r="K65" i="49"/>
  <c r="L65" i="49"/>
  <c r="M65" i="49"/>
  <c r="N65" i="49"/>
  <c r="O65" i="49"/>
  <c r="D62" i="49"/>
  <c r="E62" i="49"/>
  <c r="F62" i="49"/>
  <c r="G62" i="49"/>
  <c r="D65" i="49"/>
  <c r="E65" i="49"/>
  <c r="F65" i="49"/>
  <c r="G65" i="49"/>
  <c r="C65" i="49"/>
  <c r="C62" i="49"/>
  <c r="H62" i="49"/>
  <c r="H65" i="49"/>
  <c r="D52" i="49"/>
  <c r="E52" i="49" s="1"/>
  <c r="F52" i="49" s="1"/>
  <c r="G52" i="49" s="1"/>
  <c r="M52" i="49" s="1"/>
  <c r="N52" i="49" s="1"/>
  <c r="O52" i="49" s="1"/>
  <c r="D51" i="49"/>
  <c r="E51" i="49" s="1"/>
  <c r="F51" i="49" s="1"/>
  <c r="G51" i="49" s="1"/>
  <c r="M51" i="49" s="1"/>
  <c r="N51" i="49" s="1"/>
  <c r="O51" i="49" s="1"/>
  <c r="D42" i="49"/>
  <c r="E42" i="49" s="1"/>
  <c r="F42" i="49" s="1"/>
  <c r="G42" i="49" s="1"/>
  <c r="M42" i="49" s="1"/>
  <c r="N42" i="49" s="1"/>
  <c r="O42" i="49" s="1"/>
  <c r="K129" i="49" l="1"/>
  <c r="K159" i="49" s="1"/>
  <c r="H122" i="49"/>
  <c r="O144" i="54" s="1"/>
  <c r="O93" i="54" s="1"/>
  <c r="O122" i="49"/>
  <c r="M122" i="49"/>
  <c r="I122" i="49"/>
  <c r="P144" i="54" s="1"/>
  <c r="E122" i="49"/>
  <c r="N129" i="49"/>
  <c r="N128" i="49" s="1"/>
  <c r="I125" i="49"/>
  <c r="I164" i="49" s="1"/>
  <c r="K122" i="49"/>
  <c r="K121" i="49" s="1"/>
  <c r="S127" i="54"/>
  <c r="C61" i="49"/>
  <c r="J122" i="49"/>
  <c r="J121" i="49" s="1"/>
  <c r="D125" i="49"/>
  <c r="I75" i="49"/>
  <c r="P127" i="54"/>
  <c r="G61" i="49"/>
  <c r="F122" i="49"/>
  <c r="F121" i="49" s="1"/>
  <c r="L75" i="49"/>
  <c r="N121" i="49"/>
  <c r="N120" i="49" s="1"/>
  <c r="G122" i="49"/>
  <c r="G121" i="49" s="1"/>
  <c r="J61" i="49"/>
  <c r="K61" i="49"/>
  <c r="S130" i="54"/>
  <c r="P130" i="54"/>
  <c r="P93" i="54"/>
  <c r="Q130" i="54"/>
  <c r="K164" i="49"/>
  <c r="R145" i="54"/>
  <c r="R94" i="54" s="1"/>
  <c r="K75" i="49"/>
  <c r="R130" i="54"/>
  <c r="F128" i="49"/>
  <c r="O61" i="49"/>
  <c r="H75" i="49"/>
  <c r="O127" i="54"/>
  <c r="R127" i="54"/>
  <c r="I61" i="49"/>
  <c r="Q145" i="54"/>
  <c r="Q94" i="54" s="1"/>
  <c r="J164" i="49"/>
  <c r="J161" i="49" s="1"/>
  <c r="J152" i="49" s="1"/>
  <c r="I144" i="54"/>
  <c r="I143" i="54" s="1"/>
  <c r="H68" i="49"/>
  <c r="E128" i="49"/>
  <c r="C134" i="49"/>
  <c r="Q73" i="54"/>
  <c r="N61" i="49"/>
  <c r="C126" i="49"/>
  <c r="H121" i="49"/>
  <c r="I158" i="49"/>
  <c r="O130" i="54"/>
  <c r="H158" i="49"/>
  <c r="E61" i="49"/>
  <c r="C68" i="49"/>
  <c r="G128" i="49"/>
  <c r="O145" i="54"/>
  <c r="O94" i="54" s="1"/>
  <c r="O121" i="49"/>
  <c r="O120" i="49" s="1"/>
  <c r="J144" i="54"/>
  <c r="J143" i="54" s="1"/>
  <c r="C131" i="49"/>
  <c r="N68" i="49"/>
  <c r="I129" i="49"/>
  <c r="S145" i="54"/>
  <c r="S94" i="54" s="1"/>
  <c r="Q127" i="54"/>
  <c r="J68" i="49"/>
  <c r="H144" i="54"/>
  <c r="M121" i="49"/>
  <c r="J159" i="49"/>
  <c r="J128" i="49"/>
  <c r="Q72" i="54"/>
  <c r="I165" i="49"/>
  <c r="I161" i="49" s="1"/>
  <c r="M68" i="49"/>
  <c r="G68" i="49"/>
  <c r="H165" i="49"/>
  <c r="H161" i="49" s="1"/>
  <c r="O73" i="54"/>
  <c r="H129" i="49"/>
  <c r="C133" i="49"/>
  <c r="T144" i="54"/>
  <c r="J75" i="49"/>
  <c r="D68" i="49"/>
  <c r="R73" i="54"/>
  <c r="K165" i="49"/>
  <c r="K128" i="49"/>
  <c r="M61" i="49"/>
  <c r="C130" i="49"/>
  <c r="D61" i="49"/>
  <c r="K144" i="54"/>
  <c r="C124" i="49"/>
  <c r="C127" i="49"/>
  <c r="P145" i="54"/>
  <c r="P94" i="54" s="1"/>
  <c r="R72" i="54"/>
  <c r="K68" i="49"/>
  <c r="E68" i="49"/>
  <c r="R144" i="54"/>
  <c r="K158" i="49"/>
  <c r="K155" i="49" s="1"/>
  <c r="C123" i="49"/>
  <c r="L129" i="49"/>
  <c r="L132" i="49"/>
  <c r="C132" i="49" s="1"/>
  <c r="I121" i="49"/>
  <c r="F61" i="49"/>
  <c r="L61" i="49"/>
  <c r="O68" i="49"/>
  <c r="I68" i="49"/>
  <c r="H61" i="49"/>
  <c r="L68" i="49"/>
  <c r="F68" i="49"/>
  <c r="M129" i="49"/>
  <c r="M128" i="49" s="1"/>
  <c r="L122" i="49"/>
  <c r="I36" i="49"/>
  <c r="L144" i="54" l="1"/>
  <c r="L143" i="54" s="1"/>
  <c r="C122" i="49"/>
  <c r="E121" i="49"/>
  <c r="J158" i="49"/>
  <c r="J155" i="49" s="1"/>
  <c r="C125" i="49"/>
  <c r="Q144" i="54"/>
  <c r="Q93" i="54" s="1"/>
  <c r="J149" i="49"/>
  <c r="Q61" i="54" s="1"/>
  <c r="C60" i="49"/>
  <c r="D60" i="49" s="1"/>
  <c r="E60" i="49" s="1"/>
  <c r="F60" i="49" s="1"/>
  <c r="G60" i="49" s="1"/>
  <c r="H60" i="49" s="1"/>
  <c r="I60" i="49" s="1"/>
  <c r="J60" i="49" s="1"/>
  <c r="K60" i="49" s="1"/>
  <c r="L60" i="49" s="1"/>
  <c r="M60" i="49" s="1"/>
  <c r="N60" i="49" s="1"/>
  <c r="O60" i="49" s="1"/>
  <c r="D121" i="49"/>
  <c r="D120" i="49" s="1"/>
  <c r="K145" i="54"/>
  <c r="K143" i="54" s="1"/>
  <c r="N144" i="54"/>
  <c r="N143" i="54" s="1"/>
  <c r="G120" i="49"/>
  <c r="K120" i="49"/>
  <c r="K176" i="49" s="1"/>
  <c r="K177" i="49" s="1"/>
  <c r="M144" i="54"/>
  <c r="M143" i="54" s="1"/>
  <c r="F120" i="49"/>
  <c r="C129" i="49"/>
  <c r="N27" i="29"/>
  <c r="K161" i="49"/>
  <c r="K148" i="49" s="1"/>
  <c r="H149" i="49"/>
  <c r="O61" i="54" s="1"/>
  <c r="H150" i="49"/>
  <c r="O62" i="54" s="1"/>
  <c r="J148" i="49"/>
  <c r="J36" i="49"/>
  <c r="I35" i="49"/>
  <c r="I31" i="49" s="1"/>
  <c r="I15" i="49" s="1"/>
  <c r="J120" i="49"/>
  <c r="J176" i="49" s="1"/>
  <c r="J177" i="49" s="1"/>
  <c r="M120" i="49"/>
  <c r="G145" i="54"/>
  <c r="J151" i="49"/>
  <c r="N203" i="54" s="1"/>
  <c r="O143" i="54"/>
  <c r="J179" i="49"/>
  <c r="N124" i="21" s="1"/>
  <c r="M27" i="29"/>
  <c r="P143" i="54"/>
  <c r="J150" i="49"/>
  <c r="Q62" i="54" s="1"/>
  <c r="H151" i="49"/>
  <c r="L203" i="54" s="1"/>
  <c r="E120" i="49"/>
  <c r="K146" i="49"/>
  <c r="K178" i="49"/>
  <c r="O123" i="21" s="1"/>
  <c r="K143" i="49"/>
  <c r="K145" i="49"/>
  <c r="R55" i="54" s="1"/>
  <c r="K142" i="49"/>
  <c r="K144" i="49"/>
  <c r="R54" i="54" s="1"/>
  <c r="I152" i="49"/>
  <c r="I179" i="49"/>
  <c r="M124" i="21" s="1"/>
  <c r="I150" i="49"/>
  <c r="P62" i="54" s="1"/>
  <c r="I149" i="49"/>
  <c r="P61" i="54" s="1"/>
  <c r="I148" i="49"/>
  <c r="I151" i="49"/>
  <c r="R93" i="54"/>
  <c r="R143" i="54"/>
  <c r="H148" i="49"/>
  <c r="H159" i="49"/>
  <c r="O72" i="54"/>
  <c r="H128" i="49"/>
  <c r="H143" i="54"/>
  <c r="I159" i="49"/>
  <c r="P72" i="54"/>
  <c r="I128" i="49"/>
  <c r="I120" i="49" s="1"/>
  <c r="I176" i="49" s="1"/>
  <c r="I177" i="49" s="1"/>
  <c r="S144" i="54"/>
  <c r="L121" i="49"/>
  <c r="L158" i="49"/>
  <c r="S73" i="54"/>
  <c r="L165" i="49"/>
  <c r="S72" i="54"/>
  <c r="L159" i="49"/>
  <c r="L128" i="49"/>
  <c r="H152" i="49"/>
  <c r="H179" i="49"/>
  <c r="L124" i="21" s="1"/>
  <c r="I29" i="62"/>
  <c r="D64" i="24" s="1"/>
  <c r="Q143" i="54" l="1"/>
  <c r="K151" i="49"/>
  <c r="R63" i="54" s="1"/>
  <c r="R41" i="54" s="1"/>
  <c r="K152" i="49"/>
  <c r="K154" i="49"/>
  <c r="K179" i="49"/>
  <c r="O124" i="21" s="1"/>
  <c r="Q63" i="54"/>
  <c r="Q41" i="54" s="1"/>
  <c r="L27" i="29"/>
  <c r="H8" i="49"/>
  <c r="J8" i="49"/>
  <c r="I8" i="49"/>
  <c r="K8" i="49"/>
  <c r="L8" i="49"/>
  <c r="K150" i="49"/>
  <c r="R62" i="54" s="1"/>
  <c r="K149" i="49"/>
  <c r="R61" i="54" s="1"/>
  <c r="K36" i="49"/>
  <c r="J35" i="49"/>
  <c r="J31" i="49" s="1"/>
  <c r="J15" i="49" s="1"/>
  <c r="L120" i="49"/>
  <c r="L176" i="49" s="1"/>
  <c r="L177" i="49" s="1"/>
  <c r="O63" i="54"/>
  <c r="O41" i="54" s="1"/>
  <c r="S93" i="54"/>
  <c r="S143" i="54"/>
  <c r="M203" i="54"/>
  <c r="P63" i="54"/>
  <c r="P41" i="54" s="1"/>
  <c r="H120" i="49"/>
  <c r="H176" i="49" s="1"/>
  <c r="H177" i="49" s="1"/>
  <c r="C128" i="49"/>
  <c r="J146" i="49"/>
  <c r="J178" i="49"/>
  <c r="N123" i="21" s="1"/>
  <c r="J145" i="49"/>
  <c r="Q55" i="54" s="1"/>
  <c r="J143" i="49"/>
  <c r="J142" i="49"/>
  <c r="J154" i="49"/>
  <c r="L161" i="49"/>
  <c r="L151" i="49" s="1"/>
  <c r="S63" i="54" s="1"/>
  <c r="S41" i="54" s="1"/>
  <c r="H155" i="49"/>
  <c r="C121" i="49"/>
  <c r="I155" i="49"/>
  <c r="I145" i="49" s="1"/>
  <c r="P55" i="54" s="1"/>
  <c r="J144" i="49"/>
  <c r="Q54" i="54" s="1"/>
  <c r="Q37" i="54" s="1"/>
  <c r="L155" i="49"/>
  <c r="L144" i="49" s="1"/>
  <c r="S54" i="54" s="1"/>
  <c r="G144" i="54"/>
  <c r="G143" i="54" l="1"/>
  <c r="G133" i="54" s="1"/>
  <c r="E16" i="21"/>
  <c r="L36" i="49"/>
  <c r="L35" i="49" s="1"/>
  <c r="L31" i="49" s="1"/>
  <c r="L15" i="49" s="1"/>
  <c r="K35" i="49"/>
  <c r="K31" i="49" s="1"/>
  <c r="K15" i="49" s="1"/>
  <c r="C120" i="49"/>
  <c r="L152" i="49"/>
  <c r="L179" i="49"/>
  <c r="P124" i="21" s="1"/>
  <c r="L149" i="49"/>
  <c r="S61" i="54" s="1"/>
  <c r="L148" i="49"/>
  <c r="L150" i="49"/>
  <c r="S62" i="54" s="1"/>
  <c r="I146" i="49"/>
  <c r="I178" i="49"/>
  <c r="M123" i="21" s="1"/>
  <c r="I144" i="49"/>
  <c r="P54" i="54" s="1"/>
  <c r="I154" i="49"/>
  <c r="I143" i="49"/>
  <c r="I142" i="49"/>
  <c r="H146" i="49"/>
  <c r="H178" i="49"/>
  <c r="L123" i="21" s="1"/>
  <c r="H144" i="49"/>
  <c r="O54" i="54" s="1"/>
  <c r="H143" i="49"/>
  <c r="H142" i="49"/>
  <c r="H154" i="49"/>
  <c r="L146" i="49"/>
  <c r="L178" i="49"/>
  <c r="P123" i="21" s="1"/>
  <c r="L142" i="49"/>
  <c r="L154" i="49"/>
  <c r="L143" i="49"/>
  <c r="L145" i="49"/>
  <c r="S55" i="54" s="1"/>
  <c r="H145" i="49"/>
  <c r="O55" i="54" s="1"/>
  <c r="D7" i="21"/>
  <c r="D16" i="21" l="1"/>
  <c r="G13" i="118"/>
  <c r="G14" i="118" s="1"/>
  <c r="Q18" i="62" l="1"/>
  <c r="E2" i="22" l="1"/>
  <c r="T15" i="115" l="1"/>
  <c r="U15" i="115"/>
  <c r="V15" i="115"/>
  <c r="W15" i="115"/>
  <c r="K9" i="92" l="1"/>
  <c r="J9" i="92"/>
  <c r="I9" i="92"/>
  <c r="H9" i="92"/>
  <c r="G9" i="92"/>
  <c r="H2" i="92"/>
  <c r="H2" i="61"/>
  <c r="H9" i="61"/>
  <c r="I9" i="61"/>
  <c r="J9" i="61"/>
  <c r="K9" i="61"/>
  <c r="D38" i="58"/>
  <c r="B7" i="125"/>
  <c r="B16" i="155" l="1"/>
  <c r="C16" i="155" s="1"/>
  <c r="D16" i="155" s="1"/>
  <c r="B8" i="155" l="1"/>
  <c r="D7" i="155"/>
  <c r="C7" i="155"/>
  <c r="C5" i="155"/>
  <c r="D4" i="155"/>
  <c r="C4" i="155"/>
  <c r="E4" i="155" l="1"/>
  <c r="C6" i="155"/>
  <c r="C8" i="155" s="1"/>
  <c r="C9" i="155" s="1"/>
  <c r="E7" i="155"/>
  <c r="D5" i="155"/>
  <c r="E5" i="155" s="1"/>
  <c r="D6" i="155"/>
  <c r="D8" i="155" l="1"/>
  <c r="D9" i="155" s="1"/>
  <c r="E6" i="155"/>
  <c r="E8" i="155" s="1"/>
  <c r="E9" i="155" l="1"/>
  <c r="E16" i="155"/>
  <c r="H16" i="155" s="1"/>
  <c r="H44" i="55"/>
  <c r="C34" i="132" s="1"/>
  <c r="H21" i="154" l="1"/>
  <c r="H16" i="154"/>
  <c r="H11" i="154"/>
  <c r="H10" i="154"/>
  <c r="H17" i="153"/>
  <c r="H16" i="153"/>
  <c r="H12" i="153"/>
  <c r="F137" i="150" l="1"/>
  <c r="E137" i="150"/>
  <c r="D137" i="150"/>
  <c r="C137" i="150"/>
  <c r="F136" i="150"/>
  <c r="E136" i="150"/>
  <c r="D136" i="150"/>
  <c r="C136" i="150"/>
  <c r="F135" i="150"/>
  <c r="E135" i="150"/>
  <c r="D135" i="150"/>
  <c r="C135" i="150"/>
  <c r="F134" i="150"/>
  <c r="E134" i="150"/>
  <c r="D134" i="150"/>
  <c r="C134" i="150"/>
  <c r="E86" i="150"/>
  <c r="E87" i="150"/>
  <c r="E88" i="150"/>
  <c r="E89" i="150"/>
  <c r="E90" i="150"/>
  <c r="E91" i="150"/>
  <c r="E92" i="150"/>
  <c r="E93" i="150"/>
  <c r="E95" i="150"/>
  <c r="E96" i="150"/>
  <c r="E97" i="150"/>
  <c r="E98" i="150"/>
  <c r="E100" i="150"/>
  <c r="E101" i="150"/>
  <c r="E102" i="150"/>
  <c r="E103" i="150"/>
  <c r="D104" i="150"/>
  <c r="E104" i="150"/>
  <c r="F104" i="150"/>
  <c r="G104" i="150"/>
  <c r="E106" i="150"/>
  <c r="D107" i="150"/>
  <c r="E107" i="150"/>
  <c r="F107" i="150"/>
  <c r="G107" i="150"/>
  <c r="D108" i="150"/>
  <c r="E108" i="150"/>
  <c r="F108" i="150"/>
  <c r="G108" i="150"/>
  <c r="D109" i="150"/>
  <c r="E109" i="150"/>
  <c r="F109" i="150"/>
  <c r="G109" i="150"/>
  <c r="E111" i="150"/>
  <c r="E112" i="150"/>
  <c r="E113" i="150"/>
  <c r="E114" i="150"/>
  <c r="C107" i="150"/>
  <c r="C108" i="150"/>
  <c r="C109" i="150"/>
  <c r="C104" i="150"/>
  <c r="C74" i="150"/>
  <c r="C72" i="150"/>
  <c r="J33" i="124"/>
  <c r="G37" i="120"/>
  <c r="E37" i="120"/>
  <c r="E14" i="120"/>
  <c r="E13" i="120"/>
  <c r="E12" i="120"/>
  <c r="E10" i="120"/>
  <c r="E9" i="120"/>
  <c r="E110" i="150" l="1"/>
  <c r="E85" i="150"/>
  <c r="E94" i="150"/>
  <c r="E99" i="150"/>
  <c r="E84" i="150" l="1"/>
  <c r="E105" i="150" s="1"/>
  <c r="H11" i="20" l="1"/>
  <c r="C46" i="146" l="1"/>
  <c r="C45" i="146"/>
  <c r="D23" i="146"/>
  <c r="G3" i="146" l="1"/>
  <c r="G9" i="146"/>
  <c r="H6" i="146"/>
  <c r="I6" i="146"/>
  <c r="G8" i="146" l="1"/>
  <c r="G14" i="146" s="1"/>
  <c r="G7" i="146"/>
  <c r="K11" i="146"/>
  <c r="E13" i="140"/>
  <c r="E18" i="145"/>
  <c r="H18" i="145"/>
  <c r="K18" i="145"/>
  <c r="N18" i="145"/>
  <c r="Q18" i="145"/>
  <c r="V18" i="145"/>
  <c r="W18" i="145"/>
  <c r="X18" i="145"/>
  <c r="Y18" i="145"/>
  <c r="Z18" i="145"/>
  <c r="AA18" i="145"/>
  <c r="AB18" i="145"/>
  <c r="AC18" i="145"/>
  <c r="AD18" i="145"/>
  <c r="AE18" i="145"/>
  <c r="AF18" i="145"/>
  <c r="AG18" i="145"/>
  <c r="AH18" i="145"/>
  <c r="AI18" i="145"/>
  <c r="AJ18" i="145"/>
  <c r="AK18" i="145"/>
  <c r="AL18" i="145"/>
  <c r="AM18" i="145"/>
  <c r="AN18" i="145"/>
  <c r="AO18" i="145"/>
  <c r="AP18" i="145"/>
  <c r="AQ18" i="145"/>
  <c r="C33" i="145"/>
  <c r="C34" i="145"/>
  <c r="E2" i="145"/>
  <c r="H2" i="145"/>
  <c r="K2" i="145"/>
  <c r="N2" i="145"/>
  <c r="Q2" i="145"/>
  <c r="V2" i="145"/>
  <c r="W2" i="145"/>
  <c r="X2" i="145"/>
  <c r="Y2" i="145"/>
  <c r="Z2" i="145"/>
  <c r="AA2" i="145"/>
  <c r="AB2" i="145"/>
  <c r="AC2" i="145"/>
  <c r="AD2" i="145"/>
  <c r="AE2" i="145"/>
  <c r="AF2" i="145"/>
  <c r="AG2" i="145"/>
  <c r="AH2" i="145"/>
  <c r="AI2" i="145"/>
  <c r="D5" i="145"/>
  <c r="G5" i="145"/>
  <c r="J5" i="145"/>
  <c r="M5" i="145"/>
  <c r="P5" i="145"/>
  <c r="V5" i="145"/>
  <c r="W5" i="145"/>
  <c r="X5" i="145"/>
  <c r="Y5" i="145"/>
  <c r="Z5" i="145"/>
  <c r="AA5" i="145"/>
  <c r="AB5" i="145"/>
  <c r="AC5" i="145"/>
  <c r="AD5" i="145"/>
  <c r="AE5" i="145"/>
  <c r="AF5" i="145"/>
  <c r="AG5" i="145"/>
  <c r="AH5" i="145"/>
  <c r="AI5" i="145"/>
  <c r="AJ5" i="145"/>
  <c r="AK5" i="145"/>
  <c r="AL5" i="145"/>
  <c r="AM5" i="145"/>
  <c r="G13" i="146" l="1"/>
  <c r="G6" i="146"/>
  <c r="G12" i="146"/>
  <c r="N14" i="146" s="1"/>
  <c r="G52" i="145"/>
  <c r="J52" i="145"/>
  <c r="M52" i="145"/>
  <c r="P52" i="145"/>
  <c r="G51" i="145"/>
  <c r="J51" i="145"/>
  <c r="M51" i="145"/>
  <c r="P51" i="145"/>
  <c r="G50" i="145"/>
  <c r="J50" i="145"/>
  <c r="M50" i="145"/>
  <c r="P50" i="145"/>
  <c r="G49" i="145"/>
  <c r="J49" i="145"/>
  <c r="M49" i="145"/>
  <c r="P49" i="145"/>
  <c r="G48" i="145"/>
  <c r="J48" i="145"/>
  <c r="M48" i="145"/>
  <c r="P48" i="145"/>
  <c r="G47" i="145"/>
  <c r="J47" i="145"/>
  <c r="M47" i="145"/>
  <c r="P47" i="145"/>
  <c r="G46" i="145"/>
  <c r="J46" i="145"/>
  <c r="M46" i="145"/>
  <c r="P46" i="145"/>
  <c r="G45" i="145"/>
  <c r="J45" i="145"/>
  <c r="M45" i="145"/>
  <c r="P45" i="145"/>
  <c r="G44" i="145"/>
  <c r="J44" i="145"/>
  <c r="M44" i="145"/>
  <c r="P44" i="145"/>
  <c r="G43" i="145"/>
  <c r="J43" i="145"/>
  <c r="M43" i="145"/>
  <c r="P43" i="145"/>
  <c r="G42" i="145"/>
  <c r="J42" i="145"/>
  <c r="M42" i="145"/>
  <c r="P42" i="145"/>
  <c r="G41" i="145"/>
  <c r="J41" i="145"/>
  <c r="M41" i="145"/>
  <c r="P41" i="145"/>
  <c r="G40" i="145"/>
  <c r="J40" i="145"/>
  <c r="M40" i="145"/>
  <c r="P40" i="145"/>
  <c r="G39" i="145"/>
  <c r="J39" i="145"/>
  <c r="M39" i="145"/>
  <c r="P39" i="145"/>
  <c r="G38" i="145"/>
  <c r="J38" i="145"/>
  <c r="M38" i="145"/>
  <c r="P38" i="145"/>
  <c r="G37" i="145"/>
  <c r="J37" i="145"/>
  <c r="M37" i="145"/>
  <c r="P37" i="145"/>
  <c r="G36" i="145"/>
  <c r="J36" i="145"/>
  <c r="M36" i="145"/>
  <c r="P36" i="145"/>
  <c r="G35" i="145"/>
  <c r="J35" i="145"/>
  <c r="M35" i="145"/>
  <c r="P35" i="145"/>
  <c r="G34" i="145"/>
  <c r="I34" i="145"/>
  <c r="J34" i="145"/>
  <c r="L34" i="145"/>
  <c r="M34" i="145"/>
  <c r="O34" i="145"/>
  <c r="P34" i="145"/>
  <c r="G33" i="145"/>
  <c r="I33" i="145"/>
  <c r="J33" i="145"/>
  <c r="L33" i="145"/>
  <c r="M33" i="145"/>
  <c r="O33" i="145"/>
  <c r="P33" i="145"/>
  <c r="G32" i="145"/>
  <c r="J32" i="145"/>
  <c r="M32" i="145"/>
  <c r="P32" i="145"/>
  <c r="D32" i="145"/>
  <c r="D33" i="145"/>
  <c r="D34" i="145"/>
  <c r="D35" i="145"/>
  <c r="D36" i="145"/>
  <c r="D37" i="145"/>
  <c r="D38" i="145"/>
  <c r="D39" i="145"/>
  <c r="D40" i="145"/>
  <c r="D41" i="145"/>
  <c r="D42" i="145"/>
  <c r="D43" i="145"/>
  <c r="D44" i="145"/>
  <c r="D45" i="145"/>
  <c r="D46" i="145"/>
  <c r="D47" i="145"/>
  <c r="D48" i="145"/>
  <c r="D49" i="145"/>
  <c r="D50" i="145"/>
  <c r="D51" i="145"/>
  <c r="D52" i="145"/>
  <c r="D53" i="145"/>
  <c r="D54" i="145"/>
  <c r="D55" i="145"/>
  <c r="D57" i="145"/>
  <c r="D59" i="145"/>
  <c r="D60" i="145"/>
  <c r="D61" i="145"/>
  <c r="D62" i="145"/>
  <c r="D63" i="145"/>
  <c r="D65" i="145"/>
  <c r="D66" i="145"/>
  <c r="C8" i="145"/>
  <c r="C9" i="145"/>
  <c r="C10" i="145"/>
  <c r="C11" i="145"/>
  <c r="C12" i="145"/>
  <c r="C13" i="145"/>
  <c r="C14" i="145"/>
  <c r="C15" i="145"/>
  <c r="C16" i="145"/>
  <c r="C17" i="145"/>
  <c r="C19" i="145"/>
  <c r="C20" i="145"/>
  <c r="C21" i="145"/>
  <c r="C22" i="145"/>
  <c r="C23" i="145"/>
  <c r="C24" i="145"/>
  <c r="C70" i="145"/>
  <c r="C73" i="145"/>
  <c r="C77" i="145"/>
  <c r="C95" i="145"/>
  <c r="C96" i="145"/>
  <c r="C97" i="145"/>
  <c r="C98" i="145"/>
  <c r="C101" i="145"/>
  <c r="C105" i="145"/>
  <c r="C106" i="145"/>
  <c r="C111" i="145"/>
  <c r="C114" i="145"/>
  <c r="C117" i="145"/>
  <c r="AJ2" i="145"/>
  <c r="AK2" i="145"/>
  <c r="AL2" i="145"/>
  <c r="AM2" i="145"/>
  <c r="AN2" i="145"/>
  <c r="AO2" i="145"/>
  <c r="AP2" i="145"/>
  <c r="AQ2" i="145"/>
  <c r="AR2" i="145"/>
  <c r="AS2" i="145"/>
  <c r="AT2" i="145"/>
  <c r="AU2" i="145"/>
  <c r="AV2" i="145"/>
  <c r="AW2" i="145"/>
  <c r="AX2" i="145"/>
  <c r="AY2" i="145"/>
  <c r="AZ2" i="145"/>
  <c r="BA2" i="145"/>
  <c r="B3" i="145"/>
  <c r="B4" i="145"/>
  <c r="B5" i="145"/>
  <c r="B6" i="145"/>
  <c r="B7" i="145"/>
  <c r="B8" i="145"/>
  <c r="B9" i="145"/>
  <c r="B10" i="145"/>
  <c r="B11" i="145"/>
  <c r="B12" i="145"/>
  <c r="B13" i="145"/>
  <c r="B14" i="145"/>
  <c r="B15" i="145"/>
  <c r="B16" i="145"/>
  <c r="B17" i="145"/>
  <c r="B18" i="145"/>
  <c r="B19" i="145"/>
  <c r="B20" i="145"/>
  <c r="B21" i="145"/>
  <c r="B22" i="145"/>
  <c r="B23" i="145"/>
  <c r="B24" i="145"/>
  <c r="B25" i="145"/>
  <c r="B26" i="145"/>
  <c r="B27" i="145"/>
  <c r="B28" i="145"/>
  <c r="B29" i="145"/>
  <c r="B30" i="145"/>
  <c r="B31" i="145"/>
  <c r="B32" i="145"/>
  <c r="B33" i="145"/>
  <c r="B34" i="145"/>
  <c r="B35" i="145"/>
  <c r="B36" i="145"/>
  <c r="B37" i="145"/>
  <c r="B38" i="145"/>
  <c r="B39" i="145"/>
  <c r="B40" i="145"/>
  <c r="B41" i="145"/>
  <c r="B42" i="145"/>
  <c r="B43" i="145"/>
  <c r="B44" i="145"/>
  <c r="B45" i="145"/>
  <c r="B46" i="145"/>
  <c r="B47" i="145"/>
  <c r="B48" i="145"/>
  <c r="B49" i="145"/>
  <c r="B50" i="145"/>
  <c r="B51" i="145"/>
  <c r="B52" i="145"/>
  <c r="B53" i="145"/>
  <c r="B54" i="145"/>
  <c r="B55" i="145"/>
  <c r="B56" i="145"/>
  <c r="B57" i="145"/>
  <c r="B58" i="145"/>
  <c r="B59" i="145"/>
  <c r="B60" i="145"/>
  <c r="B61" i="145"/>
  <c r="B62" i="145"/>
  <c r="B63" i="145"/>
  <c r="B64" i="145"/>
  <c r="B65" i="145"/>
  <c r="B66" i="145"/>
  <c r="B67" i="145"/>
  <c r="B68" i="145"/>
  <c r="B69" i="145"/>
  <c r="B70" i="145"/>
  <c r="B71" i="145"/>
  <c r="B72" i="145"/>
  <c r="B73" i="145"/>
  <c r="B74" i="145"/>
  <c r="B75" i="145"/>
  <c r="B76" i="145"/>
  <c r="B77" i="145"/>
  <c r="B78" i="145"/>
  <c r="B79" i="145"/>
  <c r="B80" i="145"/>
  <c r="B81" i="145"/>
  <c r="B82" i="145"/>
  <c r="B83" i="145"/>
  <c r="B84" i="145"/>
  <c r="B85" i="145"/>
  <c r="B86" i="145"/>
  <c r="B87" i="145"/>
  <c r="B88" i="145"/>
  <c r="B89" i="145"/>
  <c r="B90" i="145"/>
  <c r="B91" i="145"/>
  <c r="B92" i="145"/>
  <c r="B93" i="145"/>
  <c r="B94" i="145"/>
  <c r="B95" i="145"/>
  <c r="B96" i="145"/>
  <c r="B97" i="145"/>
  <c r="B98" i="145"/>
  <c r="B99" i="145"/>
  <c r="B100" i="145"/>
  <c r="B101" i="145"/>
  <c r="B102" i="145"/>
  <c r="B103" i="145"/>
  <c r="B104" i="145"/>
  <c r="B105" i="145"/>
  <c r="B106" i="145"/>
  <c r="B107" i="145"/>
  <c r="B108" i="145"/>
  <c r="B109" i="145"/>
  <c r="B110" i="145"/>
  <c r="B111" i="145"/>
  <c r="B112" i="145"/>
  <c r="B113" i="145"/>
  <c r="B114" i="145"/>
  <c r="B115" i="145"/>
  <c r="B116" i="145"/>
  <c r="B117" i="145"/>
  <c r="B118" i="145"/>
  <c r="B119" i="145"/>
  <c r="B120" i="145"/>
  <c r="B121" i="145"/>
  <c r="B122" i="145"/>
  <c r="B123" i="145"/>
  <c r="B124" i="145"/>
  <c r="B125" i="145"/>
  <c r="B126" i="145"/>
  <c r="B127" i="145"/>
  <c r="B128" i="145"/>
  <c r="B129" i="145"/>
  <c r="B2" i="145"/>
  <c r="A3" i="145"/>
  <c r="A4" i="145"/>
  <c r="A5" i="145"/>
  <c r="A6" i="145"/>
  <c r="A7" i="145"/>
  <c r="A8" i="145"/>
  <c r="A9" i="145"/>
  <c r="A10" i="145"/>
  <c r="A11" i="145"/>
  <c r="A12" i="145"/>
  <c r="A13" i="145"/>
  <c r="A14" i="145"/>
  <c r="A15" i="145"/>
  <c r="A16" i="145"/>
  <c r="A17" i="145"/>
  <c r="A18" i="145"/>
  <c r="A19" i="145"/>
  <c r="A20" i="145"/>
  <c r="A21" i="145"/>
  <c r="A22" i="145"/>
  <c r="A23" i="145"/>
  <c r="A24" i="145"/>
  <c r="A25" i="145"/>
  <c r="A26" i="145"/>
  <c r="A27" i="145"/>
  <c r="A28" i="145"/>
  <c r="A29" i="145"/>
  <c r="A30" i="145"/>
  <c r="A31" i="145"/>
  <c r="A32" i="145"/>
  <c r="A33" i="145"/>
  <c r="A34" i="145"/>
  <c r="A35" i="145"/>
  <c r="A36" i="145"/>
  <c r="A37" i="145"/>
  <c r="A38" i="145"/>
  <c r="A39" i="145"/>
  <c r="A40" i="145"/>
  <c r="A41" i="145"/>
  <c r="A42" i="145"/>
  <c r="A43" i="145"/>
  <c r="A44" i="145"/>
  <c r="A45" i="145"/>
  <c r="A46" i="145"/>
  <c r="A47" i="145"/>
  <c r="A48" i="145"/>
  <c r="A49" i="145"/>
  <c r="A50" i="145"/>
  <c r="A51" i="145"/>
  <c r="A52" i="145"/>
  <c r="A53" i="145"/>
  <c r="A54" i="145"/>
  <c r="A55" i="145"/>
  <c r="A56" i="145"/>
  <c r="A57" i="145"/>
  <c r="A58" i="145"/>
  <c r="A59" i="145"/>
  <c r="A60" i="145"/>
  <c r="A61" i="145"/>
  <c r="A62" i="145"/>
  <c r="A63" i="145"/>
  <c r="A64" i="145"/>
  <c r="A65" i="145"/>
  <c r="A66" i="145"/>
  <c r="A67" i="145"/>
  <c r="A68" i="145"/>
  <c r="A69" i="145"/>
  <c r="A70" i="145"/>
  <c r="A71" i="145"/>
  <c r="A72" i="145"/>
  <c r="A73" i="145"/>
  <c r="A74" i="145"/>
  <c r="A75" i="145"/>
  <c r="A76" i="145"/>
  <c r="A77" i="145"/>
  <c r="A78" i="145"/>
  <c r="A79" i="145"/>
  <c r="A80" i="145"/>
  <c r="A81" i="145"/>
  <c r="A82" i="145"/>
  <c r="A83" i="145"/>
  <c r="A84" i="145"/>
  <c r="A85" i="145"/>
  <c r="A86" i="145"/>
  <c r="A87" i="145"/>
  <c r="A88" i="145"/>
  <c r="A89" i="145"/>
  <c r="A90" i="145"/>
  <c r="A91" i="145"/>
  <c r="A92" i="145"/>
  <c r="A93" i="145"/>
  <c r="A94" i="145"/>
  <c r="A95" i="145"/>
  <c r="A96" i="145"/>
  <c r="A97" i="145"/>
  <c r="A98" i="145"/>
  <c r="A99" i="145"/>
  <c r="A100" i="145"/>
  <c r="A101" i="145"/>
  <c r="A102" i="145"/>
  <c r="A103" i="145"/>
  <c r="A104" i="145"/>
  <c r="A105" i="145"/>
  <c r="A106" i="145"/>
  <c r="A107" i="145"/>
  <c r="A108" i="145"/>
  <c r="A109" i="145"/>
  <c r="A110" i="145"/>
  <c r="A111" i="145"/>
  <c r="A112" i="145"/>
  <c r="A113" i="145"/>
  <c r="A114" i="145"/>
  <c r="A115" i="145"/>
  <c r="A116" i="145"/>
  <c r="A117" i="145"/>
  <c r="A118" i="145"/>
  <c r="A119" i="145"/>
  <c r="A120" i="145"/>
  <c r="A121" i="145"/>
  <c r="A122" i="145"/>
  <c r="A123" i="145"/>
  <c r="A124" i="145"/>
  <c r="A125" i="145"/>
  <c r="A126" i="145"/>
  <c r="A127" i="145"/>
  <c r="A128" i="145"/>
  <c r="A129" i="145"/>
  <c r="A2" i="145"/>
  <c r="H26" i="139"/>
  <c r="H19" i="139"/>
  <c r="H44" i="139"/>
  <c r="H37" i="139"/>
  <c r="H35" i="139"/>
  <c r="H28" i="139"/>
  <c r="H17" i="139"/>
  <c r="J1" i="110"/>
  <c r="I1" i="110"/>
  <c r="F193" i="107"/>
  <c r="G193" i="107"/>
  <c r="F192" i="107"/>
  <c r="G192" i="107"/>
  <c r="F191" i="107"/>
  <c r="G191" i="107"/>
  <c r="F187" i="107"/>
  <c r="G187" i="107"/>
  <c r="F186" i="107"/>
  <c r="G186" i="107"/>
  <c r="F185" i="107"/>
  <c r="G185" i="107"/>
  <c r="F206" i="107"/>
  <c r="G206" i="107"/>
  <c r="F205" i="107"/>
  <c r="G205" i="107"/>
  <c r="F204" i="107"/>
  <c r="G204" i="107"/>
  <c r="F200" i="107"/>
  <c r="G200" i="107"/>
  <c r="F199" i="107"/>
  <c r="G199" i="107"/>
  <c r="F198" i="107"/>
  <c r="G198" i="107"/>
  <c r="E213" i="107"/>
  <c r="F213" i="107"/>
  <c r="G213" i="107"/>
  <c r="E212" i="107"/>
  <c r="F212" i="107"/>
  <c r="G212" i="107"/>
  <c r="E211" i="107"/>
  <c r="F211" i="107"/>
  <c r="G211" i="107"/>
  <c r="F179" i="107"/>
  <c r="G179" i="107"/>
  <c r="F174" i="107"/>
  <c r="F180" i="107" s="1"/>
  <c r="G174" i="107"/>
  <c r="G180" i="107" s="1"/>
  <c r="F173" i="107"/>
  <c r="G173" i="107"/>
  <c r="F172" i="107"/>
  <c r="F178" i="107" s="1"/>
  <c r="G172" i="107"/>
  <c r="G178" i="107" s="1"/>
  <c r="C213" i="107"/>
  <c r="C162" i="107"/>
  <c r="E189" i="107" l="1"/>
  <c r="E18" i="147" s="1"/>
  <c r="G201" i="107"/>
  <c r="G202" i="107" s="1"/>
  <c r="G188" i="107"/>
  <c r="G189" i="107" s="1"/>
  <c r="F207" i="107"/>
  <c r="F208" i="107" s="1"/>
  <c r="E182" i="107"/>
  <c r="E13" i="147" s="1"/>
  <c r="F188" i="107"/>
  <c r="F189" i="107" s="1"/>
  <c r="E214" i="107"/>
  <c r="E215" i="107" s="1"/>
  <c r="E30" i="147" s="1"/>
  <c r="G207" i="107"/>
  <c r="G208" i="107" s="1"/>
  <c r="E176" i="107"/>
  <c r="E11" i="147" s="1"/>
  <c r="F175" i="107"/>
  <c r="F176" i="107" s="1"/>
  <c r="G175" i="107"/>
  <c r="G176" i="107" s="1"/>
  <c r="N13" i="146"/>
  <c r="G214" i="107"/>
  <c r="G215" i="107" s="1"/>
  <c r="G30" i="147" s="1"/>
  <c r="F214" i="107"/>
  <c r="F215" i="107" s="1"/>
  <c r="F30" i="147" s="1"/>
  <c r="F201" i="107"/>
  <c r="F202" i="107" s="1"/>
  <c r="G181" i="107"/>
  <c r="G182" i="107" s="1"/>
  <c r="F181" i="107"/>
  <c r="F182" i="107" s="1"/>
  <c r="E160" i="20"/>
  <c r="E161" i="20"/>
  <c r="E162" i="20"/>
  <c r="E163" i="20"/>
  <c r="D160" i="20"/>
  <c r="D161" i="20"/>
  <c r="D162" i="20"/>
  <c r="D163" i="20"/>
  <c r="E159" i="20"/>
  <c r="D159" i="20"/>
  <c r="B152" i="20"/>
  <c r="C157" i="20"/>
  <c r="C156" i="20"/>
  <c r="C155" i="20"/>
  <c r="C154" i="20"/>
  <c r="C153" i="20"/>
  <c r="B146" i="20"/>
  <c r="E145" i="20"/>
  <c r="E144" i="20"/>
  <c r="E139" i="20"/>
  <c r="F194" i="107" l="1"/>
  <c r="F195" i="107" s="1"/>
  <c r="G194" i="107"/>
  <c r="G195" i="107" s="1"/>
  <c r="B121" i="20"/>
  <c r="B120" i="20"/>
  <c r="B119" i="20"/>
  <c r="E12" i="128"/>
  <c r="E23" i="128" s="1"/>
  <c r="D12" i="128"/>
  <c r="D23" i="128" s="1"/>
  <c r="C12" i="128"/>
  <c r="C23" i="128" s="1"/>
  <c r="C25" i="110"/>
  <c r="D25" i="110"/>
  <c r="D12" i="110" s="1"/>
  <c r="E25" i="110"/>
  <c r="B25" i="110"/>
  <c r="G9" i="112"/>
  <c r="G19" i="138" l="1"/>
  <c r="G26" i="138"/>
  <c r="G28" i="138"/>
  <c r="G35" i="138"/>
  <c r="G17" i="138"/>
  <c r="C113" i="150"/>
  <c r="C141" i="150"/>
  <c r="E36" i="134"/>
  <c r="E25" i="134"/>
  <c r="E20" i="134"/>
  <c r="E11" i="134"/>
  <c r="E10" i="134" l="1"/>
  <c r="E31" i="134" s="1"/>
  <c r="E8" i="134" s="1"/>
  <c r="E10" i="150" s="1"/>
  <c r="Q26" i="115" l="1"/>
  <c r="Q16" i="115" s="1"/>
  <c r="E11" i="130"/>
  <c r="E29" i="130" s="1"/>
  <c r="E42" i="150"/>
  <c r="E9" i="150"/>
  <c r="E27" i="150"/>
  <c r="E18" i="150"/>
  <c r="E35" i="150"/>
  <c r="E25" i="150"/>
  <c r="E16" i="150"/>
  <c r="E23" i="150"/>
  <c r="E41" i="150"/>
  <c r="E30" i="150"/>
  <c r="E21" i="150"/>
  <c r="E11" i="150"/>
  <c r="E38" i="150"/>
  <c r="E19" i="150"/>
  <c r="E36" i="150"/>
  <c r="E26" i="150"/>
  <c r="E17" i="150"/>
  <c r="E43" i="150"/>
  <c r="E32" i="150"/>
  <c r="E15" i="150"/>
  <c r="E31" i="150"/>
  <c r="E22" i="150"/>
  <c r="E40" i="150"/>
  <c r="E33" i="150"/>
  <c r="E28" i="150"/>
  <c r="E23" i="130" l="1"/>
  <c r="E27" i="130"/>
  <c r="E26" i="130"/>
  <c r="E37" i="130"/>
  <c r="E43" i="130"/>
  <c r="E16" i="130"/>
  <c r="E19" i="130"/>
  <c r="E34" i="130"/>
  <c r="E24" i="130"/>
  <c r="E44" i="130"/>
  <c r="E31" i="130"/>
  <c r="E42" i="130"/>
  <c r="E22" i="130"/>
  <c r="E17" i="130"/>
  <c r="E39" i="130"/>
  <c r="E41" i="130"/>
  <c r="E32" i="130"/>
  <c r="E12" i="130"/>
  <c r="E33" i="130"/>
  <c r="E20" i="130"/>
  <c r="E18" i="130"/>
  <c r="E10" i="130"/>
  <c r="E36" i="130"/>
  <c r="E28" i="130"/>
  <c r="E14" i="150"/>
  <c r="E29" i="150"/>
  <c r="E8" i="150"/>
  <c r="E39" i="150"/>
  <c r="E24" i="150"/>
  <c r="E20" i="150"/>
  <c r="E25" i="130" l="1"/>
  <c r="E9" i="130"/>
  <c r="N26" i="115" s="1"/>
  <c r="N16" i="115" s="1"/>
  <c r="E15" i="130"/>
  <c r="E40" i="130"/>
  <c r="E21" i="130"/>
  <c r="E30" i="130"/>
  <c r="E13" i="150"/>
  <c r="E44" i="150" s="1"/>
  <c r="G18" i="107"/>
  <c r="J47" i="115"/>
  <c r="I47" i="115"/>
  <c r="H47" i="115"/>
  <c r="F47" i="115"/>
  <c r="E14" i="130" l="1"/>
  <c r="E45" i="130" s="1"/>
  <c r="I60" i="98"/>
  <c r="O110" i="70"/>
  <c r="I26" i="128"/>
  <c r="I27" i="128" s="1"/>
  <c r="I22" i="128"/>
  <c r="I11" i="128"/>
  <c r="I15" i="128"/>
  <c r="J23" i="128"/>
  <c r="G6" i="128"/>
  <c r="F6" i="128"/>
  <c r="G5" i="128"/>
  <c r="F5" i="128"/>
  <c r="G4" i="128"/>
  <c r="F4" i="128"/>
  <c r="G3" i="128"/>
  <c r="F3" i="128"/>
  <c r="E7" i="128"/>
  <c r="E8" i="128" s="1"/>
  <c r="D7" i="128"/>
  <c r="D8" i="128" s="1"/>
  <c r="C7" i="128"/>
  <c r="C8" i="128" s="1"/>
  <c r="B7" i="128"/>
  <c r="B8" i="128" s="1"/>
  <c r="I29" i="128" l="1"/>
  <c r="G23" i="128"/>
  <c r="F23" i="128"/>
  <c r="K23" i="128"/>
  <c r="I16" i="128"/>
  <c r="I18" i="128" s="1"/>
  <c r="F7" i="128"/>
  <c r="F8" i="128" s="1"/>
  <c r="G7" i="128"/>
  <c r="G8" i="128" s="1"/>
  <c r="F81" i="83" l="1"/>
  <c r="F79" i="83"/>
  <c r="F75" i="83"/>
  <c r="F74" i="83"/>
  <c r="E54" i="108" s="1"/>
  <c r="F203" i="84"/>
  <c r="F202" i="84"/>
  <c r="F201" i="84"/>
  <c r="F200" i="84"/>
  <c r="F199" i="84"/>
  <c r="E42" i="108" s="1"/>
  <c r="F198" i="84"/>
  <c r="F197" i="84"/>
  <c r="F196" i="84"/>
  <c r="F186" i="84"/>
  <c r="E29" i="108" s="1"/>
  <c r="F185" i="84"/>
  <c r="F184" i="84"/>
  <c r="E27" i="108" s="1"/>
  <c r="F183" i="84"/>
  <c r="E26" i="108" s="1"/>
  <c r="F182" i="84"/>
  <c r="E25" i="108" s="1"/>
  <c r="F181" i="84"/>
  <c r="E24" i="108" s="1"/>
  <c r="F180" i="84"/>
  <c r="E23" i="108" s="1"/>
  <c r="E44" i="88"/>
  <c r="C93" i="108"/>
  <c r="E93" i="108"/>
  <c r="E91" i="108"/>
  <c r="C90" i="108"/>
  <c r="E90" i="108"/>
  <c r="E89" i="108"/>
  <c r="C88" i="108"/>
  <c r="E88" i="108"/>
  <c r="C87" i="108"/>
  <c r="E87" i="108"/>
  <c r="C86" i="108"/>
  <c r="E86" i="108"/>
  <c r="E85" i="108"/>
  <c r="E84" i="108"/>
  <c r="B83" i="108"/>
  <c r="C83" i="108"/>
  <c r="D83" i="108"/>
  <c r="E83" i="108"/>
  <c r="F83" i="108"/>
  <c r="G83" i="108"/>
  <c r="D82" i="108"/>
  <c r="A83" i="108"/>
  <c r="A84" i="108"/>
  <c r="A85" i="108"/>
  <c r="A86" i="108"/>
  <c r="A87" i="108"/>
  <c r="A88" i="108"/>
  <c r="A89" i="108"/>
  <c r="A90" i="108"/>
  <c r="A91" i="108"/>
  <c r="A92" i="108"/>
  <c r="A93" i="108"/>
  <c r="A94" i="108"/>
  <c r="A81" i="108"/>
  <c r="C78" i="108"/>
  <c r="E78" i="108"/>
  <c r="E76" i="108"/>
  <c r="C75" i="108"/>
  <c r="E75" i="108"/>
  <c r="E74" i="108"/>
  <c r="C73" i="108"/>
  <c r="E73" i="108"/>
  <c r="C72" i="108"/>
  <c r="E72" i="108"/>
  <c r="C71" i="108"/>
  <c r="E71" i="108"/>
  <c r="E70" i="108"/>
  <c r="E69" i="108"/>
  <c r="A69" i="108"/>
  <c r="A70" i="108"/>
  <c r="A71" i="108"/>
  <c r="A72" i="108"/>
  <c r="A73" i="108"/>
  <c r="A74" i="108"/>
  <c r="A75" i="108"/>
  <c r="A76" i="108"/>
  <c r="A77" i="108"/>
  <c r="A78" i="108"/>
  <c r="A79" i="108"/>
  <c r="B68" i="108"/>
  <c r="C68" i="108"/>
  <c r="D68" i="108"/>
  <c r="E68" i="108"/>
  <c r="F68" i="108"/>
  <c r="G68" i="108"/>
  <c r="D67" i="108"/>
  <c r="A68" i="108"/>
  <c r="A66" i="108"/>
  <c r="C63" i="108"/>
  <c r="E63" i="108"/>
  <c r="E61" i="108"/>
  <c r="C60" i="108"/>
  <c r="E60" i="108"/>
  <c r="E59" i="108"/>
  <c r="C58" i="108"/>
  <c r="E58" i="108"/>
  <c r="C57" i="108"/>
  <c r="E57" i="108"/>
  <c r="C56" i="108"/>
  <c r="E56" i="108"/>
  <c r="A54" i="108"/>
  <c r="A55" i="108"/>
  <c r="A56" i="108"/>
  <c r="A57" i="108"/>
  <c r="A58" i="108"/>
  <c r="A59" i="108"/>
  <c r="A60" i="108"/>
  <c r="A61" i="108"/>
  <c r="A62" i="108"/>
  <c r="A63" i="108"/>
  <c r="A64" i="108"/>
  <c r="G53" i="108"/>
  <c r="B53" i="108"/>
  <c r="C53" i="108"/>
  <c r="D53" i="108"/>
  <c r="E53" i="108"/>
  <c r="F53" i="108"/>
  <c r="D52" i="108"/>
  <c r="A53" i="108"/>
  <c r="A51" i="108"/>
  <c r="E48" i="108"/>
  <c r="C48" i="108"/>
  <c r="E32" i="108"/>
  <c r="C32" i="108"/>
  <c r="B38" i="108"/>
  <c r="D38" i="108"/>
  <c r="F38" i="108"/>
  <c r="G38" i="108"/>
  <c r="A24" i="108"/>
  <c r="A25" i="108"/>
  <c r="A26" i="108"/>
  <c r="A27" i="108"/>
  <c r="A28" i="108"/>
  <c r="A29" i="108"/>
  <c r="A30" i="108"/>
  <c r="A31" i="108"/>
  <c r="A32" i="108"/>
  <c r="A33" i="108"/>
  <c r="A36" i="108"/>
  <c r="A38" i="108"/>
  <c r="A39" i="108"/>
  <c r="A40" i="108"/>
  <c r="A41" i="108"/>
  <c r="A42" i="108"/>
  <c r="A43" i="108"/>
  <c r="A44" i="108"/>
  <c r="A45" i="108"/>
  <c r="A46" i="108"/>
  <c r="A47" i="108"/>
  <c r="A48" i="108"/>
  <c r="A49" i="108"/>
  <c r="F22" i="108"/>
  <c r="G22" i="108"/>
  <c r="A23" i="108"/>
  <c r="B22" i="108"/>
  <c r="D22" i="108"/>
  <c r="A22" i="108"/>
  <c r="A21" i="108"/>
  <c r="H115" i="66"/>
  <c r="G93" i="108" s="1"/>
  <c r="H112" i="66"/>
  <c r="G90" i="108" s="1"/>
  <c r="H110" i="66"/>
  <c r="G88" i="108" s="1"/>
  <c r="H109" i="66"/>
  <c r="G87" i="108" s="1"/>
  <c r="H108" i="66"/>
  <c r="G86" i="108" s="1"/>
  <c r="H89" i="78"/>
  <c r="G78" i="108" s="1"/>
  <c r="H86" i="78"/>
  <c r="G75" i="108" s="1"/>
  <c r="H84" i="78"/>
  <c r="G73" i="108" s="1"/>
  <c r="H83" i="78"/>
  <c r="G72" i="108" s="1"/>
  <c r="H82" i="78"/>
  <c r="D81" i="83"/>
  <c r="H81" i="83" s="1"/>
  <c r="G61" i="108" s="1"/>
  <c r="H83" i="83"/>
  <c r="G63" i="108" s="1"/>
  <c r="H80" i="83"/>
  <c r="G60" i="108" s="1"/>
  <c r="H78" i="83"/>
  <c r="G58" i="108" s="1"/>
  <c r="H77" i="83"/>
  <c r="G57" i="108" s="1"/>
  <c r="H76" i="83"/>
  <c r="G56" i="108" s="1"/>
  <c r="H205" i="84"/>
  <c r="G48" i="108" s="1"/>
  <c r="H189" i="84"/>
  <c r="G32" i="108" s="1"/>
  <c r="F92" i="109"/>
  <c r="F94" i="109" s="1"/>
  <c r="E93" i="109" s="1"/>
  <c r="I27" i="29"/>
  <c r="N18" i="29"/>
  <c r="N17" i="29"/>
  <c r="K27" i="29"/>
  <c r="J27" i="29"/>
  <c r="K22" i="29"/>
  <c r="K19" i="29" s="1"/>
  <c r="K18" i="29"/>
  <c r="K17" i="29"/>
  <c r="G27" i="29"/>
  <c r="G25" i="29"/>
  <c r="G24" i="29"/>
  <c r="G21" i="29"/>
  <c r="G20" i="29"/>
  <c r="G17" i="29"/>
  <c r="G16" i="29"/>
  <c r="D15" i="29"/>
  <c r="R10" i="87"/>
  <c r="D20" i="87"/>
  <c r="P20" i="87"/>
  <c r="N20" i="87"/>
  <c r="L20" i="87"/>
  <c r="J20" i="87"/>
  <c r="H20" i="87"/>
  <c r="F20" i="87"/>
  <c r="E38" i="88"/>
  <c r="G71" i="108" l="1"/>
  <c r="D54" i="110"/>
  <c r="K28" i="29"/>
  <c r="L17" i="29"/>
  <c r="L21" i="29"/>
  <c r="E55" i="108"/>
  <c r="C61" i="108"/>
  <c r="I18" i="29"/>
  <c r="I16" i="29"/>
  <c r="L22" i="29"/>
  <c r="I14" i="29"/>
  <c r="L16" i="29"/>
  <c r="L18" i="29"/>
  <c r="E43" i="108"/>
  <c r="E39" i="108"/>
  <c r="E44" i="108"/>
  <c r="E45" i="108"/>
  <c r="E46" i="108"/>
  <c r="E28" i="108"/>
  <c r="E27" i="61" l="1"/>
  <c r="F93" i="22" l="1"/>
  <c r="F94" i="22"/>
  <c r="F96" i="22"/>
  <c r="F97" i="22"/>
  <c r="F91" i="22"/>
  <c r="F85" i="22"/>
  <c r="F83" i="22"/>
  <c r="F82" i="22"/>
  <c r="F81" i="22"/>
  <c r="F68" i="22"/>
  <c r="F92" i="22" s="1"/>
  <c r="F45" i="22"/>
  <c r="F26" i="22"/>
  <c r="F18" i="22"/>
  <c r="F74" i="22"/>
  <c r="F98" i="22" s="1"/>
  <c r="G91" i="107" l="1"/>
  <c r="G120" i="107" s="1"/>
  <c r="F91" i="107"/>
  <c r="F120" i="107" s="1"/>
  <c r="E91" i="107"/>
  <c r="E120" i="107" s="1"/>
  <c r="D91" i="107"/>
  <c r="D120" i="107" s="1"/>
  <c r="C91" i="107"/>
  <c r="C120" i="107" s="1"/>
  <c r="E83" i="107"/>
  <c r="E112" i="107" s="1"/>
  <c r="E82" i="107"/>
  <c r="E111" i="107" s="1"/>
  <c r="B16" i="108" l="1"/>
  <c r="F200" i="54" l="1"/>
  <c r="E200" i="54"/>
  <c r="G47" i="127" l="1"/>
  <c r="G66" i="127"/>
  <c r="G68" i="127"/>
  <c r="F68" i="127"/>
  <c r="G6" i="127"/>
  <c r="F6" i="127"/>
  <c r="F5" i="127"/>
  <c r="E6" i="127"/>
  <c r="E7" i="127"/>
  <c r="E8" i="127"/>
  <c r="E9" i="127"/>
  <c r="E10" i="127"/>
  <c r="E11" i="127"/>
  <c r="E12" i="127"/>
  <c r="E13" i="127"/>
  <c r="E14" i="127"/>
  <c r="E15" i="127"/>
  <c r="E16" i="127"/>
  <c r="E17" i="127"/>
  <c r="E18" i="127"/>
  <c r="E19" i="127"/>
  <c r="E20" i="127"/>
  <c r="E21" i="127"/>
  <c r="E22" i="127"/>
  <c r="E23" i="127"/>
  <c r="E24" i="127"/>
  <c r="E25" i="127"/>
  <c r="E26" i="127"/>
  <c r="E27" i="127"/>
  <c r="E28" i="127"/>
  <c r="E29" i="127"/>
  <c r="E30" i="127"/>
  <c r="E31" i="127"/>
  <c r="E32" i="127"/>
  <c r="E33" i="127"/>
  <c r="E34" i="127"/>
  <c r="E35" i="127"/>
  <c r="E36" i="127"/>
  <c r="E37" i="127"/>
  <c r="E38" i="127"/>
  <c r="E39" i="127"/>
  <c r="E40" i="127"/>
  <c r="E41" i="127"/>
  <c r="E42" i="127"/>
  <c r="E43" i="127"/>
  <c r="E44" i="127"/>
  <c r="E45" i="127"/>
  <c r="E46" i="127"/>
  <c r="E47" i="127"/>
  <c r="E48" i="127"/>
  <c r="E49" i="127"/>
  <c r="E50" i="127"/>
  <c r="E51" i="127"/>
  <c r="E52" i="127"/>
  <c r="E54" i="127"/>
  <c r="E55" i="127"/>
  <c r="E56" i="127"/>
  <c r="E57" i="127"/>
  <c r="E58" i="127"/>
  <c r="E59" i="127"/>
  <c r="E60" i="127"/>
  <c r="E61" i="127"/>
  <c r="E62" i="127"/>
  <c r="E63" i="127"/>
  <c r="E64" i="127"/>
  <c r="E65" i="127"/>
  <c r="E66" i="127"/>
  <c r="E67" i="127"/>
  <c r="E68" i="127"/>
  <c r="E5" i="127"/>
  <c r="D47" i="127"/>
  <c r="D66" i="127"/>
  <c r="D67" i="127"/>
  <c r="D6" i="127"/>
  <c r="C6" i="127"/>
  <c r="C67" i="127"/>
  <c r="C5" i="127"/>
  <c r="B55" i="127"/>
  <c r="B56" i="127"/>
  <c r="B57" i="127"/>
  <c r="B58" i="127"/>
  <c r="B59" i="127"/>
  <c r="B60" i="127"/>
  <c r="B61" i="127"/>
  <c r="B62" i="127"/>
  <c r="B63" i="127"/>
  <c r="B64" i="127"/>
  <c r="B65" i="127"/>
  <c r="B66" i="127"/>
  <c r="B67" i="127"/>
  <c r="B68" i="127"/>
  <c r="B46" i="127"/>
  <c r="B47" i="127"/>
  <c r="B48" i="127"/>
  <c r="B49" i="127"/>
  <c r="B50" i="127"/>
  <c r="B51" i="127"/>
  <c r="B52" i="127"/>
  <c r="B54" i="127"/>
  <c r="B6" i="127"/>
  <c r="B7" i="127"/>
  <c r="B8" i="127"/>
  <c r="B9" i="127"/>
  <c r="B10" i="127"/>
  <c r="B11" i="127"/>
  <c r="B12" i="127"/>
  <c r="B13" i="127"/>
  <c r="B14" i="127"/>
  <c r="B15" i="127"/>
  <c r="B16" i="127"/>
  <c r="B17" i="127"/>
  <c r="B18" i="127"/>
  <c r="B19" i="127"/>
  <c r="B20" i="127"/>
  <c r="B21" i="127"/>
  <c r="B22" i="127"/>
  <c r="B23" i="127"/>
  <c r="B24" i="127"/>
  <c r="B25" i="127"/>
  <c r="B26" i="127"/>
  <c r="B27" i="127"/>
  <c r="B28" i="127"/>
  <c r="B29" i="127"/>
  <c r="B30" i="127"/>
  <c r="B31" i="127"/>
  <c r="B32" i="127"/>
  <c r="B33" i="127"/>
  <c r="B34" i="127"/>
  <c r="B35" i="127"/>
  <c r="B36" i="127"/>
  <c r="B37" i="127"/>
  <c r="B38" i="127"/>
  <c r="B39" i="127"/>
  <c r="B40" i="127"/>
  <c r="B41" i="127"/>
  <c r="B42" i="127"/>
  <c r="B43" i="127"/>
  <c r="B44" i="127"/>
  <c r="B45" i="127"/>
  <c r="B5" i="127"/>
  <c r="I47" i="127" l="1"/>
  <c r="B45" i="146"/>
  <c r="I66" i="127"/>
  <c r="E182" i="54"/>
  <c r="F182" i="54"/>
  <c r="E183" i="54"/>
  <c r="F183" i="54"/>
  <c r="F40" i="69" l="1"/>
  <c r="F39" i="69"/>
  <c r="E40" i="69"/>
  <c r="E39" i="69"/>
  <c r="E54" i="69" s="1"/>
  <c r="D40" i="69"/>
  <c r="D39" i="69"/>
  <c r="C40" i="69"/>
  <c r="C39" i="69"/>
  <c r="C54" i="69" s="1"/>
  <c r="O5" i="66" l="1"/>
  <c r="O18" i="124"/>
  <c r="O17" i="124"/>
  <c r="O16" i="124"/>
  <c r="O15" i="124"/>
  <c r="N14" i="124"/>
  <c r="B4" i="125"/>
  <c r="J37" i="124" s="1"/>
  <c r="K31" i="124" l="1"/>
  <c r="J26" i="124"/>
  <c r="K24" i="124"/>
  <c r="I19" i="124"/>
  <c r="E19" i="124"/>
  <c r="D19" i="124"/>
  <c r="I15" i="124"/>
  <c r="E15" i="124"/>
  <c r="D15" i="124"/>
  <c r="I14" i="124"/>
  <c r="E14" i="124"/>
  <c r="D14" i="124"/>
  <c r="J13" i="124"/>
  <c r="K13" i="124" s="1"/>
  <c r="I13" i="124"/>
  <c r="E13" i="124"/>
  <c r="D13" i="124"/>
  <c r="I12" i="124"/>
  <c r="E12" i="124"/>
  <c r="D12" i="124"/>
  <c r="I10" i="124"/>
  <c r="E10" i="124"/>
  <c r="D10" i="124"/>
  <c r="I9" i="124"/>
  <c r="E9" i="124"/>
  <c r="D9" i="124"/>
  <c r="B7" i="124"/>
  <c r="C7" i="124" s="1"/>
  <c r="D7" i="124" s="1"/>
  <c r="E7" i="124" s="1"/>
  <c r="I7" i="124" s="1"/>
  <c r="J7" i="124" s="1"/>
  <c r="K7" i="124" s="1"/>
  <c r="E11" i="124" l="1"/>
  <c r="E8" i="124" s="1"/>
  <c r="I11" i="124"/>
  <c r="I8" i="124" s="1"/>
  <c r="D11" i="124"/>
  <c r="D8" i="124" s="1"/>
  <c r="K28" i="124"/>
  <c r="K30" i="124"/>
  <c r="K23" i="124"/>
  <c r="K29" i="124"/>
  <c r="K27" i="124"/>
  <c r="K26" i="124" l="1"/>
  <c r="J9" i="124"/>
  <c r="K9" i="124" s="1"/>
  <c r="J14" i="124" l="1"/>
  <c r="K14" i="124" l="1"/>
  <c r="B146" i="84" l="1"/>
  <c r="C12" i="113"/>
  <c r="N12" i="113"/>
  <c r="B53" i="127" l="1"/>
  <c r="E53" i="127"/>
  <c r="E11" i="70"/>
  <c r="F11" i="70"/>
  <c r="G11" i="70"/>
  <c r="H11" i="70"/>
  <c r="I11" i="70"/>
  <c r="J11" i="70"/>
  <c r="K11" i="70"/>
  <c r="L11" i="70"/>
  <c r="M11" i="70"/>
  <c r="N11" i="70"/>
  <c r="D11" i="70"/>
  <c r="C11" i="70"/>
  <c r="N14" i="70"/>
  <c r="M14" i="70"/>
  <c r="L14" i="70"/>
  <c r="K14" i="70"/>
  <c r="J14" i="70"/>
  <c r="I14" i="70"/>
  <c r="H14" i="70"/>
  <c r="G14" i="70"/>
  <c r="F14" i="70"/>
  <c r="E14" i="70"/>
  <c r="D14" i="70"/>
  <c r="C14" i="70"/>
  <c r="B110" i="70"/>
  <c r="B11" i="70" s="1"/>
  <c r="Q11" i="70" s="1"/>
  <c r="Q12" i="70"/>
  <c r="Q13" i="70"/>
  <c r="Q16" i="70"/>
  <c r="P14" i="70"/>
  <c r="Q15" i="70"/>
  <c r="B10" i="70"/>
  <c r="P9" i="70"/>
  <c r="B8" i="70"/>
  <c r="P8" i="70"/>
  <c r="Q9" i="70" l="1"/>
  <c r="P17" i="70"/>
  <c r="Q8" i="70"/>
  <c r="B14" i="70"/>
  <c r="Q14" i="70" s="1"/>
  <c r="R32" i="88"/>
  <c r="R34" i="88"/>
  <c r="R37" i="88"/>
  <c r="R38" i="88"/>
  <c r="R40" i="88"/>
  <c r="R41" i="88"/>
  <c r="R42" i="88"/>
  <c r="R43" i="88"/>
  <c r="R44" i="88"/>
  <c r="R45" i="88"/>
  <c r="R46" i="88"/>
  <c r="R47" i="88"/>
  <c r="R48" i="88"/>
  <c r="R49" i="88"/>
  <c r="R50" i="88"/>
  <c r="R51" i="88"/>
  <c r="R52" i="88"/>
  <c r="R53" i="88"/>
  <c r="R54" i="88"/>
  <c r="R55" i="88"/>
  <c r="S51" i="88"/>
  <c r="N25" i="89"/>
  <c r="E31" i="88"/>
  <c r="D32" i="75" l="1"/>
  <c r="E32" i="75"/>
  <c r="F32" i="75"/>
  <c r="G32" i="75"/>
  <c r="H32" i="75"/>
  <c r="I32" i="75"/>
  <c r="C32" i="75"/>
  <c r="J77" i="89" l="1"/>
  <c r="J79" i="89" s="1"/>
  <c r="S14" i="89"/>
  <c r="Q14" i="89"/>
  <c r="D71" i="24"/>
  <c r="D70" i="24"/>
  <c r="D69" i="24"/>
  <c r="D61" i="24"/>
  <c r="D60" i="24"/>
  <c r="H95" i="85"/>
  <c r="H94" i="85"/>
  <c r="H93" i="85"/>
  <c r="H92" i="85"/>
  <c r="L28" i="85"/>
  <c r="J28" i="85"/>
  <c r="V28" i="85"/>
  <c r="T28" i="85"/>
  <c r="R28" i="85"/>
  <c r="P28" i="85"/>
  <c r="N28" i="85"/>
  <c r="L37" i="85"/>
  <c r="J25" i="85"/>
  <c r="L22" i="85"/>
  <c r="L20" i="85"/>
  <c r="L19" i="85"/>
  <c r="J18" i="85"/>
  <c r="B32" i="88"/>
  <c r="B33" i="88" s="1"/>
  <c r="B34" i="88" s="1"/>
  <c r="B35" i="88" s="1"/>
  <c r="B36" i="88" s="1"/>
  <c r="S2" i="89"/>
  <c r="G25" i="89"/>
  <c r="G29" i="89" s="1"/>
  <c r="M24" i="89"/>
  <c r="J24" i="89"/>
  <c r="M23" i="89"/>
  <c r="J23" i="89"/>
  <c r="M22" i="89"/>
  <c r="J22" i="89"/>
  <c r="M21" i="89"/>
  <c r="J21" i="89"/>
  <c r="M20" i="89"/>
  <c r="J20" i="89"/>
  <c r="M19" i="89"/>
  <c r="J19" i="89"/>
  <c r="M18" i="89"/>
  <c r="J18" i="89"/>
  <c r="M17" i="89"/>
  <c r="J17" i="89"/>
  <c r="M16" i="89"/>
  <c r="J16" i="89"/>
  <c r="M15" i="89"/>
  <c r="J15" i="89"/>
  <c r="M14" i="89"/>
  <c r="J14" i="89"/>
  <c r="M13" i="89"/>
  <c r="J13" i="89"/>
  <c r="M12" i="89"/>
  <c r="J12" i="89"/>
  <c r="M11" i="89"/>
  <c r="J11" i="89"/>
  <c r="M10" i="89"/>
  <c r="J10" i="89"/>
  <c r="J9" i="89"/>
  <c r="B9" i="89"/>
  <c r="B10" i="89" s="1"/>
  <c r="B11" i="89" s="1"/>
  <c r="B12" i="89" s="1"/>
  <c r="B13" i="89" s="1"/>
  <c r="B14" i="89" s="1"/>
  <c r="B15" i="89" s="1"/>
  <c r="B16" i="89" s="1"/>
  <c r="B17" i="89" s="1"/>
  <c r="B18" i="89" s="1"/>
  <c r="B19" i="89" s="1"/>
  <c r="B20" i="89" s="1"/>
  <c r="B21" i="89" s="1"/>
  <c r="B22" i="89" s="1"/>
  <c r="B23" i="89" s="1"/>
  <c r="M8" i="89"/>
  <c r="J8" i="89"/>
  <c r="M3" i="89"/>
  <c r="H3" i="89"/>
  <c r="M25" i="89" l="1"/>
  <c r="J25" i="89"/>
  <c r="B37" i="88"/>
  <c r="B38" i="88" s="1"/>
  <c r="B39" i="88" s="1"/>
  <c r="B40" i="88" s="1"/>
  <c r="B41" i="88" s="1"/>
  <c r="B42" i="88" s="1"/>
  <c r="B43" i="88" s="1"/>
  <c r="B44" i="88" s="1"/>
  <c r="B45" i="88" s="1"/>
  <c r="B46" i="88" s="1"/>
  <c r="B47" i="88" s="1"/>
  <c r="B48" i="88" s="1"/>
  <c r="B49" i="88" s="1"/>
  <c r="B50" i="88" s="1"/>
  <c r="B51" i="88" s="1"/>
  <c r="B52" i="88" s="1"/>
  <c r="B53" i="88" s="1"/>
  <c r="B54" i="88" s="1"/>
  <c r="B55" i="88" s="1"/>
  <c r="B56" i="88" s="1"/>
  <c r="B57" i="88" s="1"/>
  <c r="B58" i="88" s="1"/>
  <c r="J64" i="89"/>
  <c r="E36" i="88"/>
  <c r="R36" i="88" s="1"/>
  <c r="E35" i="88"/>
  <c r="R35" i="88" s="1"/>
  <c r="B59" i="88" l="1"/>
  <c r="G6" i="117"/>
  <c r="I32" i="85" l="1"/>
  <c r="H32" i="85"/>
  <c r="H102" i="21"/>
  <c r="I102" i="21"/>
  <c r="G103" i="21"/>
  <c r="H103" i="21"/>
  <c r="I103" i="21"/>
  <c r="E148" i="20" l="1"/>
  <c r="E149" i="20"/>
  <c r="A27" i="123"/>
  <c r="A25" i="123"/>
  <c r="F27" i="123"/>
  <c r="F25" i="123"/>
  <c r="F62" i="84"/>
  <c r="G23" i="87"/>
  <c r="F22" i="87"/>
  <c r="E21" i="87"/>
  <c r="D22" i="87" s="1"/>
  <c r="E147" i="20" l="1"/>
  <c r="E150" i="20"/>
  <c r="E151" i="20"/>
  <c r="B81" i="63"/>
  <c r="D81" i="63"/>
  <c r="D78" i="63"/>
  <c r="D202" i="84" s="1"/>
  <c r="D9" i="67"/>
  <c r="F20" i="117"/>
  <c r="F5" i="117" s="1"/>
  <c r="E9" i="67" l="1"/>
  <c r="C45" i="108"/>
  <c r="H202" i="84"/>
  <c r="G45" i="108" s="1"/>
  <c r="F9" i="67"/>
  <c r="B99" i="70"/>
  <c r="B91" i="70"/>
  <c r="B83" i="70"/>
  <c r="B75" i="70"/>
  <c r="B67" i="70"/>
  <c r="B51" i="70"/>
  <c r="B59" i="70"/>
  <c r="P35" i="70"/>
  <c r="Q35" i="70" s="1"/>
  <c r="F108" i="70"/>
  <c r="E108" i="70"/>
  <c r="G108" i="70"/>
  <c r="H108" i="70"/>
  <c r="I108" i="70"/>
  <c r="J108" i="70"/>
  <c r="K108" i="70"/>
  <c r="L108" i="70"/>
  <c r="M108" i="70"/>
  <c r="N108" i="70"/>
  <c r="D108" i="70"/>
  <c r="N103" i="70"/>
  <c r="M103" i="70"/>
  <c r="L103" i="70"/>
  <c r="K103" i="70"/>
  <c r="J103" i="70"/>
  <c r="I103" i="70"/>
  <c r="H103" i="70"/>
  <c r="G103" i="70"/>
  <c r="F103" i="70"/>
  <c r="E103" i="70"/>
  <c r="D103" i="70"/>
  <c r="C103" i="70"/>
  <c r="N95" i="70"/>
  <c r="M95" i="70"/>
  <c r="L95" i="70"/>
  <c r="K95" i="70"/>
  <c r="J95" i="70"/>
  <c r="I95" i="70"/>
  <c r="H95" i="70"/>
  <c r="G95" i="70"/>
  <c r="F95" i="70"/>
  <c r="N87" i="70"/>
  <c r="M87" i="70"/>
  <c r="L87" i="70"/>
  <c r="K87" i="70"/>
  <c r="J87" i="70"/>
  <c r="I87" i="70"/>
  <c r="H87" i="70"/>
  <c r="G87" i="70"/>
  <c r="F87" i="70"/>
  <c r="E87" i="70"/>
  <c r="D87" i="70"/>
  <c r="C87" i="70"/>
  <c r="N79" i="70"/>
  <c r="M79" i="70"/>
  <c r="L79" i="70"/>
  <c r="K79" i="70"/>
  <c r="J79" i="70"/>
  <c r="I79" i="70"/>
  <c r="H79" i="70"/>
  <c r="G79" i="70"/>
  <c r="F79" i="70"/>
  <c r="E79" i="70"/>
  <c r="D79" i="70"/>
  <c r="C79" i="70"/>
  <c r="N71" i="70"/>
  <c r="M71" i="70"/>
  <c r="L71" i="70"/>
  <c r="K71" i="70"/>
  <c r="J71" i="70"/>
  <c r="I71" i="70"/>
  <c r="H71" i="70"/>
  <c r="G71" i="70"/>
  <c r="F71" i="70"/>
  <c r="E71" i="70"/>
  <c r="D71" i="70"/>
  <c r="C71" i="70"/>
  <c r="N63" i="70"/>
  <c r="M63" i="70"/>
  <c r="L63" i="70"/>
  <c r="K63" i="70"/>
  <c r="J63" i="70"/>
  <c r="I63" i="70"/>
  <c r="H63" i="70"/>
  <c r="G63" i="70"/>
  <c r="F63" i="70"/>
  <c r="E63" i="70"/>
  <c r="D63" i="70"/>
  <c r="C63" i="70"/>
  <c r="N55" i="70"/>
  <c r="M55" i="70"/>
  <c r="L55" i="70"/>
  <c r="K55" i="70"/>
  <c r="J55" i="70"/>
  <c r="I55" i="70"/>
  <c r="H55" i="70"/>
  <c r="G55" i="70"/>
  <c r="F55" i="70"/>
  <c r="E55" i="70"/>
  <c r="D55" i="70"/>
  <c r="C55" i="70"/>
  <c r="O102" i="70"/>
  <c r="O101" i="70"/>
  <c r="O99" i="70"/>
  <c r="O104" i="70" s="1"/>
  <c r="O94" i="70"/>
  <c r="O93" i="70"/>
  <c r="O91" i="70"/>
  <c r="O86" i="70"/>
  <c r="O85" i="70"/>
  <c r="O83" i="70"/>
  <c r="O78" i="70"/>
  <c r="O77" i="70"/>
  <c r="O75" i="70"/>
  <c r="O70" i="70"/>
  <c r="O69" i="70"/>
  <c r="O67" i="70"/>
  <c r="O62" i="70"/>
  <c r="O61" i="70"/>
  <c r="O59" i="70"/>
  <c r="O54" i="70"/>
  <c r="O53" i="70"/>
  <c r="O51" i="70"/>
  <c r="O46" i="70"/>
  <c r="O45" i="70"/>
  <c r="O43" i="70"/>
  <c r="O10" i="70"/>
  <c r="G7" i="117"/>
  <c r="G5" i="117" s="1"/>
  <c r="C16" i="117"/>
  <c r="C15" i="117"/>
  <c r="O20" i="117"/>
  <c r="O7" i="117" s="1"/>
  <c r="Q6" i="117"/>
  <c r="Q5" i="117" s="1"/>
  <c r="F53" i="92"/>
  <c r="F50" i="92"/>
  <c r="F47" i="92"/>
  <c r="F39" i="92"/>
  <c r="F31" i="92"/>
  <c r="F19" i="92"/>
  <c r="F23" i="92"/>
  <c r="F27" i="92"/>
  <c r="F53" i="61"/>
  <c r="F50" i="61"/>
  <c r="F47" i="61"/>
  <c r="F39" i="61"/>
  <c r="F31" i="61"/>
  <c r="F23" i="61"/>
  <c r="F27" i="61"/>
  <c r="F12" i="61"/>
  <c r="G47" i="55"/>
  <c r="G48" i="55"/>
  <c r="G49" i="55"/>
  <c r="G50" i="55"/>
  <c r="G46" i="55"/>
  <c r="K33" i="55"/>
  <c r="K14" i="55"/>
  <c r="K13" i="55" s="1"/>
  <c r="K55" i="55"/>
  <c r="S14" i="55"/>
  <c r="F11" i="61" l="1"/>
  <c r="F37" i="61" s="1"/>
  <c r="F45" i="61" s="1"/>
  <c r="F46" i="61" s="1"/>
  <c r="O64" i="70"/>
  <c r="O56" i="70"/>
  <c r="O88" i="70"/>
  <c r="P99" i="70"/>
  <c r="Q99" i="70" s="1"/>
  <c r="F11" i="92"/>
  <c r="F37" i="92" s="1"/>
  <c r="F45" i="92" s="1"/>
  <c r="F46" i="92" s="1"/>
  <c r="O72" i="70"/>
  <c r="B53" i="70"/>
  <c r="O80" i="70"/>
  <c r="O48" i="70"/>
  <c r="O96" i="70"/>
  <c r="P91" i="70"/>
  <c r="Q91" i="70" s="1"/>
  <c r="R91" i="70" s="1"/>
  <c r="P83" i="70"/>
  <c r="Q83" i="70" s="1"/>
  <c r="P75" i="70"/>
  <c r="Q75" i="70" s="1"/>
  <c r="P67" i="70"/>
  <c r="Q67" i="70" s="1"/>
  <c r="P59" i="70"/>
  <c r="Q59" i="70" s="1"/>
  <c r="P51" i="70"/>
  <c r="Q51" i="70" s="1"/>
  <c r="P43" i="70"/>
  <c r="Q43" i="70" s="1"/>
  <c r="F47" i="57"/>
  <c r="C5" i="122"/>
  <c r="G88" i="120" l="1"/>
  <c r="H11" i="77"/>
  <c r="H12" i="77"/>
  <c r="H14" i="77"/>
  <c r="H17" i="77"/>
  <c r="H19" i="77"/>
  <c r="H22" i="77"/>
  <c r="H23" i="77"/>
  <c r="H24" i="77"/>
  <c r="H25" i="77"/>
  <c r="H26" i="77"/>
  <c r="H28" i="77"/>
  <c r="H29" i="77"/>
  <c r="H30" i="77"/>
  <c r="H31" i="77"/>
  <c r="H32" i="77"/>
  <c r="H21" i="123"/>
  <c r="E21" i="123"/>
  <c r="L21" i="123" l="1"/>
  <c r="I11" i="123" l="1"/>
  <c r="G15" i="123"/>
  <c r="I15" i="123" s="1"/>
  <c r="G23" i="123"/>
  <c r="I23" i="123" s="1"/>
  <c r="I22" i="123"/>
  <c r="I21" i="123"/>
  <c r="I20" i="123"/>
  <c r="I19" i="123"/>
  <c r="I18" i="123"/>
  <c r="I17" i="123"/>
  <c r="I16" i="123"/>
  <c r="I14" i="123"/>
  <c r="I13" i="123"/>
  <c r="I12" i="123"/>
  <c r="I10" i="123"/>
  <c r="I9" i="123"/>
  <c r="I8" i="123"/>
  <c r="I7" i="123"/>
  <c r="I6" i="123"/>
  <c r="I5" i="123"/>
  <c r="I4" i="123"/>
  <c r="H3" i="123"/>
  <c r="F3" i="123"/>
  <c r="E3" i="123"/>
  <c r="D3" i="123"/>
  <c r="C3" i="123"/>
  <c r="B3" i="123"/>
  <c r="G3" i="123" l="1"/>
  <c r="I3" i="123"/>
  <c r="E58" i="76" l="1"/>
  <c r="E59" i="76"/>
  <c r="E60" i="76"/>
  <c r="E61" i="76"/>
  <c r="E62" i="76"/>
  <c r="E63" i="76"/>
  <c r="E57" i="76"/>
  <c r="L15" i="113"/>
  <c r="K15" i="113"/>
  <c r="J15" i="113"/>
  <c r="I15" i="113"/>
  <c r="H15" i="113"/>
  <c r="G15" i="113"/>
  <c r="F15" i="113"/>
  <c r="E15" i="113"/>
  <c r="D15" i="113"/>
  <c r="F13" i="77"/>
  <c r="G13" i="77"/>
  <c r="H13" i="77" l="1"/>
  <c r="E64" i="76"/>
  <c r="I15" i="82"/>
  <c r="I14" i="82"/>
  <c r="I13" i="82"/>
  <c r="I23" i="81"/>
  <c r="I24" i="81"/>
  <c r="I16" i="81"/>
  <c r="I15" i="81"/>
  <c r="I13" i="81"/>
  <c r="I12" i="81"/>
  <c r="I43" i="81" s="1"/>
  <c r="B17" i="82"/>
  <c r="B18" i="82" s="1"/>
  <c r="B19" i="82" s="1"/>
  <c r="B20" i="82" s="1"/>
  <c r="B21" i="82" s="1"/>
  <c r="B22" i="82" s="1"/>
  <c r="B23" i="82" s="1"/>
  <c r="B24" i="82" s="1"/>
  <c r="B25" i="82" s="1"/>
  <c r="B26" i="82" s="1"/>
  <c r="B27" i="82" s="1"/>
  <c r="B28" i="82" s="1"/>
  <c r="B29" i="82" s="1"/>
  <c r="B30" i="82" s="1"/>
  <c r="B31" i="82" s="1"/>
  <c r="B32" i="82" s="1"/>
  <c r="B33" i="82" s="1"/>
  <c r="B34" i="82" s="1"/>
  <c r="B35" i="82" s="1"/>
  <c r="B36" i="82" s="1"/>
  <c r="B37" i="82" s="1"/>
  <c r="B38" i="82" s="1"/>
  <c r="B39" i="82" s="1"/>
  <c r="B40" i="82" s="1"/>
  <c r="B41" i="82" s="1"/>
  <c r="B42" i="82" s="1"/>
  <c r="F9" i="63"/>
  <c r="F10" i="63"/>
  <c r="G11" i="63"/>
  <c r="H11" i="63"/>
  <c r="I11" i="63"/>
  <c r="J11" i="63"/>
  <c r="K11" i="63"/>
  <c r="L12" i="63"/>
  <c r="L13" i="63" s="1"/>
  <c r="L14" i="63" s="1"/>
  <c r="M12" i="63"/>
  <c r="M13" i="63" s="1"/>
  <c r="M14" i="63" s="1"/>
  <c r="G14" i="63"/>
  <c r="H14" i="63"/>
  <c r="I14" i="63"/>
  <c r="J14" i="63"/>
  <c r="K14" i="63"/>
  <c r="J15" i="63"/>
  <c r="J17" i="63" s="1"/>
  <c r="F16" i="63"/>
  <c r="G17" i="63"/>
  <c r="H17" i="63"/>
  <c r="I17" i="63"/>
  <c r="K17" i="63"/>
  <c r="L17" i="63"/>
  <c r="M17" i="63"/>
  <c r="F18" i="63"/>
  <c r="F20" i="63"/>
  <c r="G22" i="63"/>
  <c r="G24" i="63" s="1"/>
  <c r="H22" i="63"/>
  <c r="I22" i="63"/>
  <c r="J22" i="63"/>
  <c r="J24" i="63" s="1"/>
  <c r="K22" i="63"/>
  <c r="K24" i="63" s="1"/>
  <c r="L22" i="63"/>
  <c r="M22" i="63"/>
  <c r="M24" i="63" s="1"/>
  <c r="F25" i="63"/>
  <c r="F26" i="63"/>
  <c r="F27" i="63"/>
  <c r="F28" i="63"/>
  <c r="F29" i="63"/>
  <c r="F30" i="63"/>
  <c r="F31" i="63"/>
  <c r="F32" i="63"/>
  <c r="F33" i="63"/>
  <c r="F34" i="63"/>
  <c r="F35" i="63"/>
  <c r="F36" i="63"/>
  <c r="F37" i="63"/>
  <c r="F38" i="63"/>
  <c r="F39" i="63"/>
  <c r="F40" i="63"/>
  <c r="G41" i="63"/>
  <c r="H41" i="63"/>
  <c r="I41" i="63"/>
  <c r="J41" i="63"/>
  <c r="K41" i="63"/>
  <c r="L41" i="63"/>
  <c r="M41" i="63"/>
  <c r="G42" i="63"/>
  <c r="H42" i="63" s="1"/>
  <c r="L42" i="63"/>
  <c r="M42" i="63"/>
  <c r="G44" i="63"/>
  <c r="H44" i="63" s="1"/>
  <c r="I44" i="63" s="1"/>
  <c r="J44" i="63" s="1"/>
  <c r="K44" i="63" s="1"/>
  <c r="L44" i="63" s="1"/>
  <c r="F46" i="63"/>
  <c r="G53" i="63"/>
  <c r="G54" i="63" s="1"/>
  <c r="G55" i="63" s="1"/>
  <c r="F54" i="63"/>
  <c r="L55" i="63"/>
  <c r="M55" i="63"/>
  <c r="G57" i="63"/>
  <c r="G58" i="63" s="1"/>
  <c r="M57" i="63"/>
  <c r="M58" i="63" s="1"/>
  <c r="L58" i="63"/>
  <c r="G27" i="77"/>
  <c r="H27" i="77" s="1"/>
  <c r="F11" i="63" l="1"/>
  <c r="F13" i="63" s="1"/>
  <c r="I42" i="81"/>
  <c r="H53" i="63"/>
  <c r="I53" i="63" s="1"/>
  <c r="J53" i="63" s="1"/>
  <c r="F22" i="63"/>
  <c r="F58" i="63"/>
  <c r="F41" i="63"/>
  <c r="G45" i="63"/>
  <c r="G49" i="63" s="1"/>
  <c r="F17" i="63"/>
  <c r="L45" i="63"/>
  <c r="M44" i="63"/>
  <c r="M45" i="63" s="1"/>
  <c r="I42" i="63"/>
  <c r="H45" i="63"/>
  <c r="F24" i="63"/>
  <c r="F14" i="63"/>
  <c r="G48" i="63" l="1"/>
  <c r="I54" i="63"/>
  <c r="I55" i="63" s="1"/>
  <c r="H54" i="63"/>
  <c r="H55" i="63" s="1"/>
  <c r="H48" i="63"/>
  <c r="H49" i="63"/>
  <c r="K53" i="63"/>
  <c r="J54" i="63"/>
  <c r="J55" i="63" s="1"/>
  <c r="L48" i="63"/>
  <c r="L49" i="63"/>
  <c r="M48" i="63"/>
  <c r="M49" i="63"/>
  <c r="J42" i="63"/>
  <c r="I45" i="63"/>
  <c r="K42" i="63" l="1"/>
  <c r="K45" i="63" s="1"/>
  <c r="J45" i="63"/>
  <c r="I48" i="63"/>
  <c r="I49" i="63"/>
  <c r="K54" i="63"/>
  <c r="K55" i="63" s="1"/>
  <c r="F55" i="63" s="1"/>
  <c r="L53" i="63"/>
  <c r="M53" i="63" s="1"/>
  <c r="F45" i="63" l="1"/>
  <c r="K48" i="63"/>
  <c r="K49" i="63"/>
  <c r="J48" i="63"/>
  <c r="J49" i="63"/>
  <c r="F49" i="63" l="1"/>
  <c r="F48" i="63"/>
  <c r="Q30" i="88"/>
  <c r="O30" i="88"/>
  <c r="M30" i="88"/>
  <c r="K30" i="88"/>
  <c r="I30" i="88"/>
  <c r="G10" i="77"/>
  <c r="H10" i="77" s="1"/>
  <c r="E15" i="116"/>
  <c r="C15" i="116" s="1"/>
  <c r="D14" i="116"/>
  <c r="C14" i="116" s="1"/>
  <c r="J13" i="116"/>
  <c r="J5" i="116" s="1"/>
  <c r="I20" i="81"/>
  <c r="E12" i="116"/>
  <c r="C12" i="116" s="1"/>
  <c r="G58" i="88"/>
  <c r="R58" i="88" s="1"/>
  <c r="G57" i="88"/>
  <c r="R57" i="88" s="1"/>
  <c r="G9" i="77"/>
  <c r="H9" i="77" s="1"/>
  <c r="B10" i="88"/>
  <c r="B11" i="88" s="1"/>
  <c r="B12" i="88" s="1"/>
  <c r="B13" i="88" s="1"/>
  <c r="B14" i="88" s="1"/>
  <c r="B15" i="88" s="1"/>
  <c r="B16" i="88" s="1"/>
  <c r="B17" i="88" s="1"/>
  <c r="B18" i="88" s="1"/>
  <c r="B19" i="88" s="1"/>
  <c r="B13" i="81"/>
  <c r="B14" i="81" s="1"/>
  <c r="B15" i="81" s="1"/>
  <c r="B16" i="81" s="1"/>
  <c r="B17" i="81" s="1"/>
  <c r="B18" i="81" s="1"/>
  <c r="B19" i="81" s="1"/>
  <c r="B20" i="81" s="1"/>
  <c r="B21" i="81" s="1"/>
  <c r="B22" i="81" s="1"/>
  <c r="B23" i="81" s="1"/>
  <c r="B24" i="81" s="1"/>
  <c r="B25" i="81" s="1"/>
  <c r="B26" i="81" s="1"/>
  <c r="B27" i="81" s="1"/>
  <c r="B28" i="81" s="1"/>
  <c r="B29" i="81" s="1"/>
  <c r="B30" i="81" s="1"/>
  <c r="B31" i="81" s="1"/>
  <c r="B32" i="81" s="1"/>
  <c r="B33" i="81" s="1"/>
  <c r="B34" i="81" s="1"/>
  <c r="B35" i="81" s="1"/>
  <c r="B36" i="81" s="1"/>
  <c r="B37" i="81" s="1"/>
  <c r="B38" i="81" s="1"/>
  <c r="G26" i="68"/>
  <c r="C77" i="63"/>
  <c r="K11" i="116"/>
  <c r="C11" i="116" s="1"/>
  <c r="K10" i="116"/>
  <c r="C10" i="116" s="1"/>
  <c r="F9" i="116"/>
  <c r="C9" i="116" s="1"/>
  <c r="H5" i="113"/>
  <c r="F5" i="113"/>
  <c r="G18" i="77"/>
  <c r="H18" i="77" s="1"/>
  <c r="E7" i="116"/>
  <c r="C7" i="116" s="1"/>
  <c r="E6" i="116"/>
  <c r="C6" i="116" s="1"/>
  <c r="C28" i="116"/>
  <c r="C27" i="116"/>
  <c r="C26" i="116"/>
  <c r="C25" i="116"/>
  <c r="C24" i="116"/>
  <c r="C23" i="116"/>
  <c r="C22" i="116"/>
  <c r="C21" i="116"/>
  <c r="C20" i="116"/>
  <c r="C19" i="116"/>
  <c r="C18" i="116"/>
  <c r="C17" i="116"/>
  <c r="C16" i="116"/>
  <c r="C8" i="116"/>
  <c r="L5" i="116"/>
  <c r="I5" i="116"/>
  <c r="G5" i="116"/>
  <c r="C14" i="113"/>
  <c r="C15" i="113"/>
  <c r="O15" i="113" s="1"/>
  <c r="C17" i="113"/>
  <c r="C18" i="113"/>
  <c r="C19" i="113"/>
  <c r="C20" i="113"/>
  <c r="C21" i="113"/>
  <c r="C22" i="113"/>
  <c r="C23" i="113"/>
  <c r="C24" i="113"/>
  <c r="C25" i="113"/>
  <c r="C26" i="113"/>
  <c r="C27" i="113"/>
  <c r="C28" i="113"/>
  <c r="K5" i="113"/>
  <c r="I5" i="113"/>
  <c r="D5" i="113"/>
  <c r="L5" i="113"/>
  <c r="J5" i="113"/>
  <c r="G5" i="113"/>
  <c r="E5" i="113"/>
  <c r="E56" i="88"/>
  <c r="R56" i="88" s="1"/>
  <c r="B32" i="91"/>
  <c r="H170" i="68"/>
  <c r="H171" i="68"/>
  <c r="D40" i="98"/>
  <c r="C13" i="116" l="1"/>
  <c r="D5" i="116"/>
  <c r="K5" i="116"/>
  <c r="C5" i="116"/>
  <c r="E5" i="116"/>
  <c r="T184" i="54"/>
  <c r="E197" i="54"/>
  <c r="F197" i="54"/>
  <c r="E196" i="54"/>
  <c r="F196" i="54"/>
  <c r="E195" i="54"/>
  <c r="F195" i="54"/>
  <c r="E179" i="54"/>
  <c r="F179" i="54"/>
  <c r="F176" i="54"/>
  <c r="E176" i="54"/>
  <c r="T193" i="54"/>
  <c r="F180" i="54"/>
  <c r="O180" i="54"/>
  <c r="P180" i="54"/>
  <c r="Q180" i="54"/>
  <c r="R180" i="54"/>
  <c r="S180" i="54"/>
  <c r="O179" i="54"/>
  <c r="P179" i="54"/>
  <c r="Q179" i="54"/>
  <c r="R179" i="54"/>
  <c r="S179" i="54"/>
  <c r="T179" i="54"/>
  <c r="F177" i="54"/>
  <c r="F175" i="54"/>
  <c r="F174" i="54"/>
  <c r="F173" i="54"/>
  <c r="F170" i="54"/>
  <c r="F169" i="54"/>
  <c r="T168" i="54"/>
  <c r="F167" i="54"/>
  <c r="F166" i="54"/>
  <c r="E180" i="54"/>
  <c r="E177" i="54"/>
  <c r="E175" i="54"/>
  <c r="E174" i="54"/>
  <c r="E173" i="54"/>
  <c r="E170" i="54"/>
  <c r="E169" i="54"/>
  <c r="E167" i="54"/>
  <c r="E166" i="54"/>
  <c r="F186" i="54" l="1"/>
  <c r="F193" i="54"/>
  <c r="F190" i="54"/>
  <c r="E187" i="54"/>
  <c r="E190" i="54"/>
  <c r="E186" i="54"/>
  <c r="E189" i="54"/>
  <c r="F187" i="54"/>
  <c r="F192" i="54"/>
  <c r="E193" i="54"/>
  <c r="F189" i="54"/>
  <c r="E192" i="54"/>
  <c r="G13" i="120" l="1"/>
  <c r="G54" i="120"/>
  <c r="G55" i="120"/>
  <c r="G56" i="120"/>
  <c r="G57" i="120"/>
  <c r="G58" i="120"/>
  <c r="G53" i="120"/>
  <c r="E63" i="120"/>
  <c r="F63" i="120"/>
  <c r="H63" i="120"/>
  <c r="E50" i="120"/>
  <c r="F50" i="120"/>
  <c r="H50" i="120"/>
  <c r="D47" i="120"/>
  <c r="D50" i="120"/>
  <c r="F49" i="120" l="1"/>
  <c r="E49" i="120"/>
  <c r="H49" i="120"/>
  <c r="D63" i="120"/>
  <c r="D49" i="120" s="1"/>
  <c r="G19" i="120" l="1"/>
  <c r="B38" i="120"/>
  <c r="F31" i="120"/>
  <c r="F29" i="120"/>
  <c r="F24" i="120"/>
  <c r="F22" i="120"/>
  <c r="F21" i="120"/>
  <c r="F20" i="120"/>
  <c r="E19" i="120"/>
  <c r="F18" i="120"/>
  <c r="F17" i="120"/>
  <c r="F16" i="120"/>
  <c r="E15" i="120"/>
  <c r="F14" i="120"/>
  <c r="F13" i="120"/>
  <c r="F12" i="120"/>
  <c r="F10" i="120"/>
  <c r="B7" i="120"/>
  <c r="C7" i="120" s="1"/>
  <c r="D7" i="120" s="1"/>
  <c r="E7" i="120" s="1"/>
  <c r="F7" i="120" s="1"/>
  <c r="G7" i="120" s="1"/>
  <c r="H7" i="120" s="1"/>
  <c r="E11" i="120" l="1"/>
  <c r="E8" i="120" s="1"/>
  <c r="E25" i="120" s="1"/>
  <c r="E30" i="120" s="1"/>
  <c r="F11" i="120"/>
  <c r="F15" i="120"/>
  <c r="F19" i="120"/>
  <c r="F9" i="120"/>
  <c r="F8" i="120" l="1"/>
  <c r="F25" i="120" s="1"/>
  <c r="F30" i="120"/>
  <c r="E28" i="120"/>
  <c r="F28" i="120" s="1"/>
  <c r="E27" i="120" l="1"/>
  <c r="F27" i="120" l="1"/>
  <c r="F26" i="120" s="1"/>
  <c r="F32" i="120" s="1"/>
  <c r="E26" i="120"/>
  <c r="E32" i="120" s="1"/>
  <c r="E34" i="120" s="1"/>
  <c r="E35" i="120" s="1"/>
  <c r="I35" i="85" l="1"/>
  <c r="I38" i="85" s="1"/>
  <c r="K35" i="85"/>
  <c r="K38" i="85" s="1"/>
  <c r="H35" i="85"/>
  <c r="H38" i="85" s="1"/>
  <c r="J35" i="85"/>
  <c r="J38" i="85" s="1"/>
  <c r="J39" i="85" s="1"/>
  <c r="G90" i="85"/>
  <c r="D90" i="85"/>
  <c r="E90" i="85" s="1"/>
  <c r="W87" i="85"/>
  <c r="V87" i="85"/>
  <c r="U87" i="85"/>
  <c r="T87" i="85"/>
  <c r="S87" i="85"/>
  <c r="R87" i="85"/>
  <c r="Q87" i="85"/>
  <c r="P87" i="85"/>
  <c r="O87" i="85"/>
  <c r="N87" i="85"/>
  <c r="M87" i="85"/>
  <c r="L87" i="85"/>
  <c r="K87" i="85"/>
  <c r="J87" i="85"/>
  <c r="I87" i="85"/>
  <c r="H87" i="85"/>
  <c r="E87" i="85"/>
  <c r="D87" i="85"/>
  <c r="W84" i="85"/>
  <c r="V84" i="85"/>
  <c r="U84" i="85"/>
  <c r="T84" i="85"/>
  <c r="S84" i="85"/>
  <c r="R84" i="85"/>
  <c r="Q84" i="85"/>
  <c r="P84" i="85"/>
  <c r="O84" i="85"/>
  <c r="N84" i="85"/>
  <c r="M84" i="85"/>
  <c r="L84" i="85"/>
  <c r="K84" i="85"/>
  <c r="J84" i="85"/>
  <c r="I84" i="85"/>
  <c r="H84" i="85"/>
  <c r="E84" i="85"/>
  <c r="D84" i="85"/>
  <c r="W81" i="85"/>
  <c r="V81" i="85"/>
  <c r="U81" i="85"/>
  <c r="T81" i="85"/>
  <c r="S81" i="85"/>
  <c r="R81" i="85"/>
  <c r="Q81" i="85"/>
  <c r="P81" i="85"/>
  <c r="O81" i="85"/>
  <c r="N81" i="85"/>
  <c r="M81" i="85"/>
  <c r="L81" i="85"/>
  <c r="K81" i="85"/>
  <c r="J81" i="85"/>
  <c r="E80" i="85"/>
  <c r="D80" i="85"/>
  <c r="I79" i="85"/>
  <c r="I80" i="85" s="1"/>
  <c r="H79" i="85"/>
  <c r="H80" i="85" s="1"/>
  <c r="W78" i="85"/>
  <c r="V78" i="85"/>
  <c r="U78" i="85"/>
  <c r="T78" i="85"/>
  <c r="S78" i="85"/>
  <c r="R78" i="85"/>
  <c r="Q78" i="85"/>
  <c r="P78" i="85"/>
  <c r="O78" i="85"/>
  <c r="N78" i="85"/>
  <c r="M78" i="85"/>
  <c r="L78" i="85"/>
  <c r="K78" i="85"/>
  <c r="J78" i="85"/>
  <c r="E77" i="85"/>
  <c r="D77" i="85"/>
  <c r="I76" i="85"/>
  <c r="I77" i="85" s="1"/>
  <c r="H76" i="85"/>
  <c r="H77" i="85" s="1"/>
  <c r="W75" i="85"/>
  <c r="V75" i="85"/>
  <c r="U75" i="85"/>
  <c r="T75" i="85"/>
  <c r="S75" i="85"/>
  <c r="R75" i="85"/>
  <c r="Q75" i="85"/>
  <c r="P75" i="85"/>
  <c r="O75" i="85"/>
  <c r="N75" i="85"/>
  <c r="M75" i="85"/>
  <c r="L75" i="85"/>
  <c r="K75" i="85"/>
  <c r="J75" i="85"/>
  <c r="E74" i="85"/>
  <c r="D74" i="85"/>
  <c r="I73" i="85"/>
  <c r="I74" i="85" s="1"/>
  <c r="H73" i="85"/>
  <c r="H74" i="85" s="1"/>
  <c r="W72" i="85"/>
  <c r="V72" i="85"/>
  <c r="U72" i="85"/>
  <c r="T72" i="85"/>
  <c r="S72" i="85"/>
  <c r="R72" i="85"/>
  <c r="Q72" i="85"/>
  <c r="P72" i="85"/>
  <c r="O72" i="85"/>
  <c r="N72" i="85"/>
  <c r="M72" i="85"/>
  <c r="L72" i="85"/>
  <c r="K72" i="85"/>
  <c r="J72" i="85"/>
  <c r="E71" i="85"/>
  <c r="D71" i="85"/>
  <c r="I70" i="85"/>
  <c r="I71" i="85" s="1"/>
  <c r="H70" i="85"/>
  <c r="H71" i="85" s="1"/>
  <c r="W69" i="85"/>
  <c r="V69" i="85"/>
  <c r="U69" i="85"/>
  <c r="T69" i="85"/>
  <c r="S69" i="85"/>
  <c r="R69" i="85"/>
  <c r="Q69" i="85"/>
  <c r="P69" i="85"/>
  <c r="O69" i="85"/>
  <c r="N69" i="85"/>
  <c r="M69" i="85"/>
  <c r="L69" i="85"/>
  <c r="K69" i="85"/>
  <c r="J69" i="85"/>
  <c r="E68" i="85"/>
  <c r="D68" i="85"/>
  <c r="I67" i="85"/>
  <c r="I68" i="85" s="1"/>
  <c r="H67" i="85"/>
  <c r="H68" i="85" s="1"/>
  <c r="W66" i="85"/>
  <c r="V66" i="85"/>
  <c r="U66" i="85"/>
  <c r="T66" i="85"/>
  <c r="S66" i="85"/>
  <c r="R66" i="85"/>
  <c r="Q66" i="85"/>
  <c r="P66" i="85"/>
  <c r="O66" i="85"/>
  <c r="N66" i="85"/>
  <c r="M66" i="85"/>
  <c r="L66" i="85"/>
  <c r="K66" i="85"/>
  <c r="J66" i="85"/>
  <c r="E65" i="85"/>
  <c r="D65" i="85"/>
  <c r="I64" i="85"/>
  <c r="I65" i="85" s="1"/>
  <c r="H64" i="85"/>
  <c r="H65" i="85" s="1"/>
  <c r="W63" i="85"/>
  <c r="V63" i="85"/>
  <c r="U63" i="85"/>
  <c r="T63" i="85"/>
  <c r="S63" i="85"/>
  <c r="R63" i="85"/>
  <c r="Q63" i="85"/>
  <c r="P63" i="85"/>
  <c r="O63" i="85"/>
  <c r="N63" i="85"/>
  <c r="M63" i="85"/>
  <c r="L63" i="85"/>
  <c r="K63" i="85"/>
  <c r="J63" i="85"/>
  <c r="E62" i="85"/>
  <c r="D62" i="85"/>
  <c r="I61" i="85"/>
  <c r="I62" i="85" s="1"/>
  <c r="H61" i="85"/>
  <c r="H62" i="85" s="1"/>
  <c r="W60" i="85"/>
  <c r="V60" i="85"/>
  <c r="U60" i="85"/>
  <c r="T60" i="85"/>
  <c r="S60" i="85"/>
  <c r="R60" i="85"/>
  <c r="Q60" i="85"/>
  <c r="P60" i="85"/>
  <c r="O60" i="85"/>
  <c r="N60" i="85"/>
  <c r="M60" i="85"/>
  <c r="L60" i="85"/>
  <c r="K60" i="85"/>
  <c r="J60" i="85"/>
  <c r="E59" i="85"/>
  <c r="D59" i="85"/>
  <c r="I58" i="85"/>
  <c r="I59" i="85" s="1"/>
  <c r="H58" i="85"/>
  <c r="H59" i="85" s="1"/>
  <c r="W57" i="85"/>
  <c r="V57" i="85"/>
  <c r="U57" i="85"/>
  <c r="T57" i="85"/>
  <c r="S57" i="85"/>
  <c r="R57" i="85"/>
  <c r="Q57" i="85"/>
  <c r="P57" i="85"/>
  <c r="O57" i="85"/>
  <c r="N57" i="85"/>
  <c r="M57" i="85"/>
  <c r="L57" i="85"/>
  <c r="K57" i="85"/>
  <c r="J57" i="85"/>
  <c r="E56" i="85"/>
  <c r="D56" i="85"/>
  <c r="I55" i="85"/>
  <c r="I56" i="85" s="1"/>
  <c r="H55" i="85"/>
  <c r="H56" i="85" s="1"/>
  <c r="W54" i="85"/>
  <c r="V54" i="85"/>
  <c r="U54" i="85"/>
  <c r="T54" i="85"/>
  <c r="S54" i="85"/>
  <c r="R54" i="85"/>
  <c r="Q54" i="85"/>
  <c r="P54" i="85"/>
  <c r="O54" i="85"/>
  <c r="N54" i="85"/>
  <c r="M54" i="85"/>
  <c r="L54" i="85"/>
  <c r="K54" i="85"/>
  <c r="J54" i="85"/>
  <c r="E53" i="85"/>
  <c r="D53" i="85"/>
  <c r="I52" i="85"/>
  <c r="I53" i="85" s="1"/>
  <c r="H52" i="85"/>
  <c r="H53" i="85" s="1"/>
  <c r="W51" i="85"/>
  <c r="V51" i="85"/>
  <c r="U51" i="85"/>
  <c r="T51" i="85"/>
  <c r="S51" i="85"/>
  <c r="R51" i="85"/>
  <c r="Q51" i="85"/>
  <c r="P51" i="85"/>
  <c r="O51" i="85"/>
  <c r="N51" i="85"/>
  <c r="M51" i="85"/>
  <c r="L51" i="85"/>
  <c r="K51" i="85"/>
  <c r="J51" i="85"/>
  <c r="E50" i="85"/>
  <c r="D50" i="85"/>
  <c r="I49" i="85"/>
  <c r="I50" i="85" s="1"/>
  <c r="H49" i="85"/>
  <c r="H50" i="85" s="1"/>
  <c r="W48" i="85"/>
  <c r="V48" i="85"/>
  <c r="U48" i="85"/>
  <c r="T48" i="85"/>
  <c r="S48" i="85"/>
  <c r="R48" i="85"/>
  <c r="Q48" i="85"/>
  <c r="P48" i="85"/>
  <c r="O48" i="85"/>
  <c r="N48" i="85"/>
  <c r="M48" i="85"/>
  <c r="L48" i="85"/>
  <c r="K48" i="85"/>
  <c r="J48" i="85"/>
  <c r="E47" i="85"/>
  <c r="D47" i="85"/>
  <c r="I46" i="85"/>
  <c r="I47" i="85" s="1"/>
  <c r="H46" i="85"/>
  <c r="H47" i="85" s="1"/>
  <c r="W45" i="85"/>
  <c r="V45" i="85"/>
  <c r="U45" i="85"/>
  <c r="T45" i="85"/>
  <c r="S45" i="85"/>
  <c r="R45" i="85"/>
  <c r="Q45" i="85"/>
  <c r="P45" i="85"/>
  <c r="O45" i="85"/>
  <c r="N45" i="85"/>
  <c r="M45" i="85"/>
  <c r="L45" i="85"/>
  <c r="K45" i="85"/>
  <c r="J45" i="85"/>
  <c r="E44" i="85"/>
  <c r="D44" i="85"/>
  <c r="I43" i="85"/>
  <c r="I44" i="85" s="1"/>
  <c r="H43" i="85"/>
  <c r="H44" i="85" s="1"/>
  <c r="W42" i="85"/>
  <c r="V42" i="85"/>
  <c r="U42" i="85"/>
  <c r="T42" i="85"/>
  <c r="S42" i="85"/>
  <c r="R42" i="85"/>
  <c r="Q42" i="85"/>
  <c r="P42" i="85"/>
  <c r="O42" i="85"/>
  <c r="N42" i="85"/>
  <c r="M42" i="85"/>
  <c r="L42" i="85"/>
  <c r="K42" i="85"/>
  <c r="J42" i="85"/>
  <c r="E41" i="85"/>
  <c r="D41" i="85"/>
  <c r="I40" i="85"/>
  <c r="I41" i="85" s="1"/>
  <c r="H40" i="85"/>
  <c r="H41" i="85" s="1"/>
  <c r="F39" i="85"/>
  <c r="F38" i="85" s="1"/>
  <c r="D38" i="85"/>
  <c r="W37" i="85"/>
  <c r="U37" i="85"/>
  <c r="S37" i="85"/>
  <c r="Q37" i="85"/>
  <c r="O37" i="85"/>
  <c r="H37" i="85"/>
  <c r="K37" i="85"/>
  <c r="G37" i="85"/>
  <c r="G39" i="85" s="1"/>
  <c r="E37" i="85"/>
  <c r="E38" i="85" s="1"/>
  <c r="E36" i="85"/>
  <c r="E33" i="85" s="1"/>
  <c r="D36" i="85"/>
  <c r="D33" i="85" s="1"/>
  <c r="W28" i="85"/>
  <c r="T16" i="85"/>
  <c r="T34" i="85" s="1"/>
  <c r="T31" i="85" s="1"/>
  <c r="S28" i="85"/>
  <c r="P16" i="85"/>
  <c r="P34" i="85" s="1"/>
  <c r="P31" i="85" s="1"/>
  <c r="O28" i="85"/>
  <c r="I27" i="85"/>
  <c r="Y27" i="85" s="1"/>
  <c r="H27" i="85"/>
  <c r="Z27" i="85" s="1"/>
  <c r="I26" i="85"/>
  <c r="AA26" i="85" s="1"/>
  <c r="H26" i="85"/>
  <c r="Z26" i="85" s="1"/>
  <c r="H25" i="85"/>
  <c r="M24" i="85"/>
  <c r="L24" i="85"/>
  <c r="I23" i="85"/>
  <c r="AA23" i="85" s="1"/>
  <c r="H23" i="85"/>
  <c r="X23" i="85" s="1"/>
  <c r="M22" i="85"/>
  <c r="I22" i="85" s="1"/>
  <c r="M21" i="85"/>
  <c r="H21" i="85"/>
  <c r="I21" i="85" s="1"/>
  <c r="M20" i="85"/>
  <c r="K20" i="85"/>
  <c r="H19" i="85"/>
  <c r="H18" i="85"/>
  <c r="V16" i="85"/>
  <c r="V34" i="85" s="1"/>
  <c r="V31" i="85" s="1"/>
  <c r="R16" i="85"/>
  <c r="R34" i="85" s="1"/>
  <c r="R31" i="85" s="1"/>
  <c r="N16" i="85"/>
  <c r="N34" i="85" s="1"/>
  <c r="N31" i="85" s="1"/>
  <c r="F36" i="85" l="1"/>
  <c r="F33" i="85" s="1"/>
  <c r="F88" i="85" s="1"/>
  <c r="F89" i="85" s="1"/>
  <c r="D88" i="85"/>
  <c r="D89" i="85" s="1"/>
  <c r="E88" i="85"/>
  <c r="I54" i="85"/>
  <c r="I60" i="85"/>
  <c r="I66" i="85"/>
  <c r="H51" i="85"/>
  <c r="H69" i="85"/>
  <c r="H75" i="85"/>
  <c r="I48" i="85"/>
  <c r="I72" i="85"/>
  <c r="I75" i="85"/>
  <c r="H57" i="85"/>
  <c r="I69" i="85"/>
  <c r="X26" i="85"/>
  <c r="I51" i="85"/>
  <c r="I42" i="85"/>
  <c r="I45" i="85"/>
  <c r="I57" i="85"/>
  <c r="H78" i="85"/>
  <c r="H81" i="85"/>
  <c r="H45" i="85"/>
  <c r="I81" i="85"/>
  <c r="AA27" i="85"/>
  <c r="I63" i="85"/>
  <c r="Y23" i="85"/>
  <c r="H63" i="85"/>
  <c r="X27" i="85"/>
  <c r="Y26" i="85"/>
  <c r="Z23" i="85"/>
  <c r="H60" i="85"/>
  <c r="H54" i="85"/>
  <c r="I78" i="85"/>
  <c r="I20" i="85"/>
  <c r="H48" i="85"/>
  <c r="H72" i="85"/>
  <c r="H42" i="85"/>
  <c r="H66" i="85"/>
  <c r="O16" i="85"/>
  <c r="O34" i="85" s="1"/>
  <c r="O31" i="85" s="1"/>
  <c r="S16" i="85"/>
  <c r="S34" i="85" s="1"/>
  <c r="S31" i="85" s="1"/>
  <c r="M28" i="85"/>
  <c r="H28" i="85"/>
  <c r="H20" i="85"/>
  <c r="H22" i="85"/>
  <c r="L29" i="85"/>
  <c r="H29" i="85" s="1"/>
  <c r="K25" i="85"/>
  <c r="I25" i="85" s="1"/>
  <c r="Z25" i="85"/>
  <c r="X25" i="85"/>
  <c r="Z18" i="85"/>
  <c r="K18" i="85"/>
  <c r="M19" i="85"/>
  <c r="I19" i="85" s="1"/>
  <c r="L17" i="85"/>
  <c r="K28" i="85"/>
  <c r="M37" i="85"/>
  <c r="I37" i="85" s="1"/>
  <c r="J24" i="85"/>
  <c r="H24" i="85" s="1"/>
  <c r="Q28" i="85"/>
  <c r="U28" i="85"/>
  <c r="N35" i="85"/>
  <c r="N38" i="85" s="1"/>
  <c r="N39" i="85" s="1"/>
  <c r="G38" i="85"/>
  <c r="G36" i="85"/>
  <c r="E89" i="85"/>
  <c r="K39" i="85"/>
  <c r="O35" i="85"/>
  <c r="O38" i="85" s="1"/>
  <c r="O39" i="85" s="1"/>
  <c r="S35" i="85"/>
  <c r="S38" i="85" s="1"/>
  <c r="S39" i="85" s="1"/>
  <c r="W35" i="85"/>
  <c r="W38" i="85" s="1"/>
  <c r="W39" i="85" s="1"/>
  <c r="R35" i="85"/>
  <c r="R38" i="85" s="1"/>
  <c r="R39" i="85" s="1"/>
  <c r="V35" i="85"/>
  <c r="V38" i="85" s="1"/>
  <c r="V39" i="85" s="1"/>
  <c r="M35" i="85"/>
  <c r="M38" i="85" s="1"/>
  <c r="Q35" i="85"/>
  <c r="Q38" i="85" s="1"/>
  <c r="Q39" i="85" s="1"/>
  <c r="U35" i="85"/>
  <c r="U38" i="85" s="1"/>
  <c r="U39" i="85" s="1"/>
  <c r="L35" i="85"/>
  <c r="L38" i="85" s="1"/>
  <c r="L39" i="85" s="1"/>
  <c r="P35" i="85"/>
  <c r="P38" i="85" s="1"/>
  <c r="P39" i="85" s="1"/>
  <c r="T35" i="85"/>
  <c r="T38" i="85" s="1"/>
  <c r="T39" i="85" s="1"/>
  <c r="W16" i="85"/>
  <c r="W34" i="85" s="1"/>
  <c r="W31" i="85" s="1"/>
  <c r="N36" i="85" l="1"/>
  <c r="N33" i="85" s="1"/>
  <c r="N88" i="85" s="1"/>
  <c r="Q16" i="85"/>
  <c r="Q34" i="85" s="1"/>
  <c r="Q31" i="85" s="1"/>
  <c r="L16" i="85"/>
  <c r="L34" i="85" s="1"/>
  <c r="L31" i="85" s="1"/>
  <c r="U16" i="85"/>
  <c r="U34" i="85" s="1"/>
  <c r="U31" i="85" s="1"/>
  <c r="H110" i="85"/>
  <c r="O36" i="85"/>
  <c r="O33" i="85" s="1"/>
  <c r="H39" i="85"/>
  <c r="V36" i="85"/>
  <c r="V33" i="85" s="1"/>
  <c r="V88" i="85" s="1"/>
  <c r="X22" i="85"/>
  <c r="I28" i="85"/>
  <c r="M17" i="85"/>
  <c r="H17" i="85"/>
  <c r="M39" i="85"/>
  <c r="I39" i="85" s="1"/>
  <c r="J17" i="85"/>
  <c r="K24" i="85"/>
  <c r="I24" i="85" s="1"/>
  <c r="I18" i="85"/>
  <c r="P36" i="85"/>
  <c r="P33" i="85" s="1"/>
  <c r="P88" i="85" s="1"/>
  <c r="W36" i="85"/>
  <c r="W33" i="85" s="1"/>
  <c r="R36" i="85"/>
  <c r="R33" i="85" s="1"/>
  <c r="U36" i="85"/>
  <c r="U33" i="85" s="1"/>
  <c r="G33" i="85"/>
  <c r="T36" i="85"/>
  <c r="T33" i="85" s="1"/>
  <c r="L36" i="85"/>
  <c r="Q36" i="85"/>
  <c r="Q33" i="85" s="1"/>
  <c r="S36" i="85"/>
  <c r="S33" i="85" s="1"/>
  <c r="N32" i="85" l="1"/>
  <c r="N110" i="85" s="1"/>
  <c r="J16" i="85"/>
  <c r="J34" i="85" s="1"/>
  <c r="J36" i="85" s="1"/>
  <c r="I110" i="85"/>
  <c r="G110" i="85" s="1"/>
  <c r="M16" i="85"/>
  <c r="M34" i="85" s="1"/>
  <c r="M31" i="85" s="1"/>
  <c r="H109" i="85"/>
  <c r="V32" i="85"/>
  <c r="I17" i="85"/>
  <c r="I109" i="85" s="1"/>
  <c r="H16" i="85"/>
  <c r="H34" i="85" s="1"/>
  <c r="H31" i="85" s="1"/>
  <c r="K17" i="85"/>
  <c r="J31" i="85"/>
  <c r="P32" i="85"/>
  <c r="G88" i="85"/>
  <c r="G89" i="85" s="1"/>
  <c r="W88" i="85"/>
  <c r="W32" i="85"/>
  <c r="R88" i="85"/>
  <c r="R32" i="85"/>
  <c r="O88" i="85"/>
  <c r="O32" i="85"/>
  <c r="Q88" i="85"/>
  <c r="Q32" i="85"/>
  <c r="T88" i="85"/>
  <c r="T32" i="85"/>
  <c r="U88" i="85"/>
  <c r="U32" i="85"/>
  <c r="S88" i="85"/>
  <c r="S32" i="85"/>
  <c r="L33" i="85"/>
  <c r="N109" i="85" l="1"/>
  <c r="N108" i="85" s="1"/>
  <c r="J33" i="85"/>
  <c r="J88" i="85" s="1"/>
  <c r="H36" i="85"/>
  <c r="H33" i="85" s="1"/>
  <c r="H88" i="85" s="1"/>
  <c r="M36" i="85"/>
  <c r="M33" i="85" s="1"/>
  <c r="M88" i="85" s="1"/>
  <c r="U109" i="85"/>
  <c r="U110" i="85"/>
  <c r="Q109" i="85"/>
  <c r="Q110" i="85"/>
  <c r="R109" i="85"/>
  <c r="R110" i="85"/>
  <c r="S109" i="85"/>
  <c r="S110" i="85"/>
  <c r="T109" i="85"/>
  <c r="T110" i="85"/>
  <c r="O109" i="85"/>
  <c r="O110" i="85"/>
  <c r="W109" i="85"/>
  <c r="W110" i="85"/>
  <c r="P109" i="85"/>
  <c r="P110" i="85"/>
  <c r="I108" i="85"/>
  <c r="K16" i="85"/>
  <c r="K34" i="85" s="1"/>
  <c r="H108" i="85"/>
  <c r="G109" i="85"/>
  <c r="V109" i="85"/>
  <c r="V110" i="85"/>
  <c r="J92" i="85"/>
  <c r="C19" i="115"/>
  <c r="G69" i="120"/>
  <c r="C16" i="115"/>
  <c r="D16" i="115" s="1"/>
  <c r="C15" i="115"/>
  <c r="C17" i="115"/>
  <c r="D17" i="115" s="1"/>
  <c r="C18" i="115"/>
  <c r="I16" i="85"/>
  <c r="L88" i="85"/>
  <c r="L32" i="85"/>
  <c r="G108" i="85" l="1"/>
  <c r="J32" i="85"/>
  <c r="J109" i="85" s="1"/>
  <c r="M32" i="85"/>
  <c r="M109" i="85" s="1"/>
  <c r="L110" i="85"/>
  <c r="L109" i="85"/>
  <c r="W108" i="85"/>
  <c r="T108" i="85"/>
  <c r="R108" i="85"/>
  <c r="U108" i="85"/>
  <c r="K36" i="85"/>
  <c r="K31" i="85"/>
  <c r="V108" i="85"/>
  <c r="P108" i="85"/>
  <c r="O108" i="85"/>
  <c r="N107" i="85" s="1"/>
  <c r="S108" i="85"/>
  <c r="Q108" i="85"/>
  <c r="I34" i="85"/>
  <c r="I31" i="85" s="1"/>
  <c r="D18" i="85"/>
  <c r="E18" i="85" s="1"/>
  <c r="Y18" i="85" s="1"/>
  <c r="G18" i="85"/>
  <c r="AA18" i="85" s="1"/>
  <c r="D19" i="85"/>
  <c r="F19" i="85"/>
  <c r="D20" i="85"/>
  <c r="F20" i="85"/>
  <c r="D21" i="85"/>
  <c r="X21" i="85" s="1"/>
  <c r="F21" i="85"/>
  <c r="Z21" i="85" s="1"/>
  <c r="E22" i="85"/>
  <c r="Y22" i="85" s="1"/>
  <c r="F22" i="85"/>
  <c r="Z22" i="85" s="1"/>
  <c r="D24" i="85"/>
  <c r="X24" i="85" s="1"/>
  <c r="F24" i="85"/>
  <c r="Z24" i="85" s="1"/>
  <c r="E25" i="85"/>
  <c r="Y25" i="85" s="1"/>
  <c r="G25" i="85"/>
  <c r="F28" i="85"/>
  <c r="Z28" i="85" s="1"/>
  <c r="E28" i="85"/>
  <c r="Y28" i="85" s="1"/>
  <c r="D28" i="85"/>
  <c r="X28" i="85" s="1"/>
  <c r="G22" i="85" l="1"/>
  <c r="AA22" i="85" s="1"/>
  <c r="F29" i="85"/>
  <c r="J110" i="85"/>
  <c r="J108" i="85" s="1"/>
  <c r="E20" i="85"/>
  <c r="Y20" i="85" s="1"/>
  <c r="X20" i="85"/>
  <c r="E21" i="85"/>
  <c r="Y21" i="85" s="1"/>
  <c r="F17" i="85"/>
  <c r="Z19" i="85"/>
  <c r="D17" i="85"/>
  <c r="X18" i="85"/>
  <c r="E24" i="85"/>
  <c r="Y24" i="85" s="1"/>
  <c r="E19" i="85"/>
  <c r="Y19" i="85" s="1"/>
  <c r="X19" i="85"/>
  <c r="G24" i="85"/>
  <c r="AA24" i="85" s="1"/>
  <c r="AA25" i="85"/>
  <c r="G21" i="85"/>
  <c r="AA21" i="85" s="1"/>
  <c r="G20" i="85"/>
  <c r="AA20" i="85" s="1"/>
  <c r="Z20" i="85"/>
  <c r="V107" i="85"/>
  <c r="M110" i="85"/>
  <c r="M108" i="85" s="1"/>
  <c r="L108" i="85"/>
  <c r="P107" i="85"/>
  <c r="R107" i="85"/>
  <c r="K33" i="85"/>
  <c r="K88" i="85" s="1"/>
  <c r="C13" i="115" s="1"/>
  <c r="I36" i="85"/>
  <c r="I33" i="85" s="1"/>
  <c r="I88" i="85" s="1"/>
  <c r="T107" i="85"/>
  <c r="G19" i="85"/>
  <c r="D29" i="85"/>
  <c r="E17" i="85" l="1"/>
  <c r="Y17" i="85" s="1"/>
  <c r="Z17" i="85"/>
  <c r="F16" i="85"/>
  <c r="G17" i="85"/>
  <c r="AA19" i="85"/>
  <c r="X17" i="85"/>
  <c r="D16" i="85"/>
  <c r="D200" i="84"/>
  <c r="L107" i="85"/>
  <c r="C14" i="115" s="1"/>
  <c r="C20" i="115" s="1"/>
  <c r="K32" i="85"/>
  <c r="K92" i="85"/>
  <c r="E16" i="85" l="1"/>
  <c r="E34" i="85" s="1"/>
  <c r="AA17" i="85"/>
  <c r="G16" i="85"/>
  <c r="Y16" i="85"/>
  <c r="Y34" i="85" s="1"/>
  <c r="D34" i="85"/>
  <c r="X16" i="85"/>
  <c r="F34" i="85"/>
  <c r="Z16" i="85"/>
  <c r="C43" i="108"/>
  <c r="H200" i="84"/>
  <c r="G43" i="108" s="1"/>
  <c r="K110" i="85"/>
  <c r="K109" i="85"/>
  <c r="J93" i="85"/>
  <c r="Y87" i="85"/>
  <c r="X87" i="85"/>
  <c r="Y84" i="85"/>
  <c r="X84" i="85"/>
  <c r="Y81" i="85"/>
  <c r="X81" i="85"/>
  <c r="Y78" i="85"/>
  <c r="X78" i="85"/>
  <c r="Y75" i="85"/>
  <c r="X75" i="85"/>
  <c r="Y72" i="85"/>
  <c r="X72" i="85"/>
  <c r="Y69" i="85"/>
  <c r="X69" i="85"/>
  <c r="Y66" i="85"/>
  <c r="X66" i="85"/>
  <c r="Y63" i="85"/>
  <c r="X63" i="85"/>
  <c r="Y60" i="85"/>
  <c r="X60" i="85"/>
  <c r="Y57" i="85"/>
  <c r="X57" i="85"/>
  <c r="Y54" i="85"/>
  <c r="X54" i="85"/>
  <c r="Y51" i="85"/>
  <c r="X51" i="85"/>
  <c r="Y48" i="85"/>
  <c r="X48" i="85"/>
  <c r="Y45" i="85"/>
  <c r="X45" i="85"/>
  <c r="Y42" i="85"/>
  <c r="X42" i="85"/>
  <c r="Y37" i="85"/>
  <c r="D31" i="85" l="1"/>
  <c r="D32" i="85" s="1"/>
  <c r="D35" i="85"/>
  <c r="F35" i="85"/>
  <c r="F31" i="85"/>
  <c r="F32" i="85" s="1"/>
  <c r="E35" i="85"/>
  <c r="E31" i="85"/>
  <c r="E32" i="85" s="1"/>
  <c r="G34" i="85"/>
  <c r="AA16" i="85"/>
  <c r="K108" i="85"/>
  <c r="J107" i="85" s="1"/>
  <c r="Y31" i="85"/>
  <c r="X34" i="85"/>
  <c r="Y35" i="85"/>
  <c r="Y38" i="85" s="1"/>
  <c r="Y39" i="85" s="1"/>
  <c r="X35" i="85"/>
  <c r="X38" i="85" s="1"/>
  <c r="X39" i="85" s="1"/>
  <c r="G35" i="85" l="1"/>
  <c r="G31" i="85"/>
  <c r="G32" i="85" s="1"/>
  <c r="C14" i="132"/>
  <c r="C55" i="150" s="1"/>
  <c r="D184" i="84"/>
  <c r="X31" i="85"/>
  <c r="X36" i="85"/>
  <c r="X33" i="85" s="1"/>
  <c r="X88" i="85" s="1"/>
  <c r="Y36" i="85"/>
  <c r="Y33" i="85" s="1"/>
  <c r="Y88" i="85" s="1"/>
  <c r="C27" i="108" l="1"/>
  <c r="H8" i="108" s="1"/>
  <c r="H184" i="84"/>
  <c r="G27" i="108" s="1"/>
  <c r="Y32" i="85"/>
  <c r="X32" i="85"/>
  <c r="F18" i="21" l="1"/>
  <c r="G18" i="21"/>
  <c r="H18" i="21"/>
  <c r="I18" i="21"/>
  <c r="J18" i="21"/>
  <c r="L18" i="21"/>
  <c r="M18" i="21"/>
  <c r="N18" i="21"/>
  <c r="O18" i="21"/>
  <c r="P18" i="21"/>
  <c r="D207" i="21" l="1"/>
  <c r="D12" i="119"/>
  <c r="E12" i="119"/>
  <c r="C12" i="119" l="1"/>
  <c r="A7" i="119"/>
  <c r="A8" i="119" s="1"/>
  <c r="A9" i="119" s="1"/>
  <c r="A10" i="119" s="1"/>
  <c r="A11" i="119" s="1"/>
  <c r="D33" i="24"/>
  <c r="D13" i="21" l="1"/>
  <c r="D29" i="24"/>
  <c r="I14" i="118"/>
  <c r="O13" i="21"/>
  <c r="O36" i="21" s="1"/>
  <c r="I13" i="21"/>
  <c r="I36" i="21" s="1"/>
  <c r="H13" i="21"/>
  <c r="H36" i="21" s="1"/>
  <c r="L13" i="21"/>
  <c r="L36" i="21" s="1"/>
  <c r="E13" i="21"/>
  <c r="N13" i="21"/>
  <c r="N36" i="21" s="1"/>
  <c r="M13" i="21"/>
  <c r="M36" i="21" s="1"/>
  <c r="G13" i="21"/>
  <c r="G36" i="21" s="1"/>
  <c r="F13" i="21"/>
  <c r="F36" i="21" s="1"/>
  <c r="K13" i="21"/>
  <c r="K36" i="21" s="1"/>
  <c r="P13" i="21"/>
  <c r="P36" i="21" s="1"/>
  <c r="J13" i="21"/>
  <c r="J36" i="21" s="1"/>
  <c r="D100" i="21"/>
  <c r="D101" i="21"/>
  <c r="E14" i="21" l="1"/>
  <c r="E17" i="21" s="1"/>
  <c r="E36" i="21"/>
  <c r="D14" i="21"/>
  <c r="D17" i="21" s="1"/>
  <c r="D36" i="21"/>
  <c r="D99" i="21"/>
  <c r="P203" i="21" l="1"/>
  <c r="P218" i="21" s="1"/>
  <c r="O203" i="21"/>
  <c r="O218" i="21" s="1"/>
  <c r="N203" i="21"/>
  <c r="N218" i="21" s="1"/>
  <c r="M203" i="21"/>
  <c r="M218" i="21" s="1"/>
  <c r="L203" i="21"/>
  <c r="L218" i="21" s="1"/>
  <c r="K203" i="21"/>
  <c r="K218" i="21" s="1"/>
  <c r="J203" i="21"/>
  <c r="J218" i="21" s="1"/>
  <c r="I203" i="21"/>
  <c r="I218" i="21" s="1"/>
  <c r="H203" i="21"/>
  <c r="H218" i="21" s="1"/>
  <c r="G203" i="21"/>
  <c r="G218" i="21" s="1"/>
  <c r="F203" i="21"/>
  <c r="F218" i="21" s="1"/>
  <c r="E203" i="21"/>
  <c r="M202" i="21"/>
  <c r="M217" i="21" s="1"/>
  <c r="N202" i="21"/>
  <c r="N217" i="21" s="1"/>
  <c r="O202" i="21"/>
  <c r="O217" i="21" s="1"/>
  <c r="P202" i="21"/>
  <c r="P217" i="21" s="1"/>
  <c r="L202" i="21"/>
  <c r="L217" i="21" s="1"/>
  <c r="K202" i="21"/>
  <c r="K217" i="21" s="1"/>
  <c r="I202" i="21"/>
  <c r="I217" i="21" s="1"/>
  <c r="J202" i="21"/>
  <c r="J217" i="21" s="1"/>
  <c r="H202" i="21"/>
  <c r="H217" i="21" s="1"/>
  <c r="G202" i="21"/>
  <c r="G217" i="21" s="1"/>
  <c r="F202" i="21"/>
  <c r="F217" i="21" s="1"/>
  <c r="E202" i="21"/>
  <c r="D192" i="21"/>
  <c r="M70" i="21"/>
  <c r="N70" i="21"/>
  <c r="N76" i="21" s="1"/>
  <c r="O70" i="21"/>
  <c r="P70" i="21"/>
  <c r="L70" i="21"/>
  <c r="K70" i="21"/>
  <c r="I70" i="21"/>
  <c r="J70" i="21"/>
  <c r="H70" i="21"/>
  <c r="G70" i="21"/>
  <c r="G76" i="21" s="1"/>
  <c r="F70" i="21"/>
  <c r="E70" i="21"/>
  <c r="F194" i="21"/>
  <c r="G194" i="21"/>
  <c r="H194" i="21"/>
  <c r="I194" i="21"/>
  <c r="J194" i="21"/>
  <c r="L194" i="21"/>
  <c r="M194" i="21"/>
  <c r="N194" i="21"/>
  <c r="O194" i="21"/>
  <c r="P194" i="21"/>
  <c r="M153" i="21"/>
  <c r="M199" i="21" s="1"/>
  <c r="N153" i="21"/>
  <c r="N199" i="21" s="1"/>
  <c r="O153" i="21"/>
  <c r="O199" i="21" s="1"/>
  <c r="P153" i="21"/>
  <c r="P199" i="21" s="1"/>
  <c r="L153" i="21"/>
  <c r="L199" i="21" s="1"/>
  <c r="K153" i="21"/>
  <c r="K199" i="21" s="1"/>
  <c r="I153" i="21"/>
  <c r="I199" i="21" s="1"/>
  <c r="J153" i="21"/>
  <c r="J199" i="21" s="1"/>
  <c r="H153" i="21"/>
  <c r="H199" i="21" s="1"/>
  <c r="G153" i="21"/>
  <c r="G199" i="21" s="1"/>
  <c r="F153" i="21"/>
  <c r="F199" i="21" s="1"/>
  <c r="E199" i="21"/>
  <c r="M155" i="21"/>
  <c r="M200" i="21" s="1"/>
  <c r="N155" i="21"/>
  <c r="N200" i="21" s="1"/>
  <c r="O155" i="21"/>
  <c r="O200" i="21" s="1"/>
  <c r="P155" i="21"/>
  <c r="P200" i="21" s="1"/>
  <c r="L155" i="21"/>
  <c r="L200" i="21" s="1"/>
  <c r="K155" i="21"/>
  <c r="K200" i="21" s="1"/>
  <c r="I155" i="21"/>
  <c r="I200" i="21" s="1"/>
  <c r="J155" i="21"/>
  <c r="J200" i="21" s="1"/>
  <c r="H155" i="21"/>
  <c r="H200" i="21" s="1"/>
  <c r="G155" i="21"/>
  <c r="G200" i="21" s="1"/>
  <c r="F155" i="21"/>
  <c r="F200" i="21" s="1"/>
  <c r="E155" i="21"/>
  <c r="E200" i="21" s="1"/>
  <c r="E180" i="21"/>
  <c r="I178" i="21"/>
  <c r="I154" i="21" s="1"/>
  <c r="G178" i="21"/>
  <c r="G154" i="21" s="1"/>
  <c r="D190" i="21"/>
  <c r="D203" i="21" s="1"/>
  <c r="D189" i="21"/>
  <c r="D202" i="21" s="1"/>
  <c r="G70" i="120" s="1"/>
  <c r="S184" i="21"/>
  <c r="F177" i="21"/>
  <c r="G177" i="21"/>
  <c r="H177" i="21"/>
  <c r="I177" i="21"/>
  <c r="J177" i="21"/>
  <c r="K177" i="21"/>
  <c r="L177" i="21"/>
  <c r="M177" i="21"/>
  <c r="N177" i="21"/>
  <c r="O177" i="21"/>
  <c r="P177" i="21"/>
  <c r="E177" i="21"/>
  <c r="M5" i="117"/>
  <c r="K5" i="117"/>
  <c r="I5" i="117"/>
  <c r="E5" i="117"/>
  <c r="C5" i="117"/>
  <c r="D187" i="84" l="1"/>
  <c r="D203" i="84"/>
  <c r="O178" i="21"/>
  <c r="O154" i="21" s="1"/>
  <c r="O201" i="21" s="1"/>
  <c r="N198" i="21"/>
  <c r="E198" i="21"/>
  <c r="E76" i="21"/>
  <c r="J198" i="21"/>
  <c r="J76" i="21"/>
  <c r="P198" i="21"/>
  <c r="P76" i="21"/>
  <c r="H198" i="21"/>
  <c r="H76" i="21"/>
  <c r="L198" i="21"/>
  <c r="L76" i="21"/>
  <c r="M198" i="21"/>
  <c r="M76" i="21"/>
  <c r="G198" i="21"/>
  <c r="G201" i="21"/>
  <c r="G170" i="21"/>
  <c r="K198" i="21"/>
  <c r="K76" i="21"/>
  <c r="I201" i="21"/>
  <c r="I170" i="21"/>
  <c r="F198" i="21"/>
  <c r="F76" i="21"/>
  <c r="I198" i="21"/>
  <c r="I76" i="21"/>
  <c r="O198" i="21"/>
  <c r="O76" i="21"/>
  <c r="D218" i="21"/>
  <c r="D217" i="21"/>
  <c r="Q202" i="21"/>
  <c r="R202" i="21" s="1"/>
  <c r="E217" i="21"/>
  <c r="Q203" i="21"/>
  <c r="R203" i="21" s="1"/>
  <c r="E218" i="21"/>
  <c r="Q200" i="21"/>
  <c r="Q199" i="21"/>
  <c r="M178" i="21"/>
  <c r="M154" i="21" s="1"/>
  <c r="E178" i="21"/>
  <c r="E154" i="21" s="1"/>
  <c r="J178" i="21"/>
  <c r="J154" i="21" s="1"/>
  <c r="N178" i="21"/>
  <c r="N154" i="21" s="1"/>
  <c r="L178" i="21"/>
  <c r="L154" i="21" s="1"/>
  <c r="P178" i="21"/>
  <c r="P154" i="21" s="1"/>
  <c r="K178" i="21"/>
  <c r="K154" i="21" s="1"/>
  <c r="H178" i="21"/>
  <c r="H154" i="21" s="1"/>
  <c r="F178" i="21"/>
  <c r="F154" i="21" s="1"/>
  <c r="D180" i="21"/>
  <c r="D179" i="21"/>
  <c r="O170" i="21" l="1"/>
  <c r="Q198" i="21"/>
  <c r="C30" i="108"/>
  <c r="B34" i="146"/>
  <c r="C46" i="108"/>
  <c r="H203" i="84"/>
  <c r="G46" i="108" s="1"/>
  <c r="P201" i="21"/>
  <c r="P170" i="21"/>
  <c r="F201" i="21"/>
  <c r="F170" i="21"/>
  <c r="L201" i="21"/>
  <c r="L170" i="21"/>
  <c r="M201" i="21"/>
  <c r="M170" i="21"/>
  <c r="E201" i="21"/>
  <c r="E170" i="21"/>
  <c r="K201" i="21"/>
  <c r="K170" i="21"/>
  <c r="J201" i="21"/>
  <c r="J170" i="21"/>
  <c r="H201" i="21"/>
  <c r="H170" i="21"/>
  <c r="N201" i="21"/>
  <c r="N170" i="21"/>
  <c r="D178" i="21"/>
  <c r="Q201" i="21" l="1"/>
  <c r="K194" i="21" l="1"/>
  <c r="K18" i="21"/>
  <c r="E194" i="21"/>
  <c r="Q194" i="21" s="1"/>
  <c r="E18" i="21"/>
  <c r="C203" i="49" l="1"/>
  <c r="C206" i="49"/>
  <c r="D206" i="49" s="1"/>
  <c r="E206" i="49" s="1"/>
  <c r="F206" i="49" s="1"/>
  <c r="G206" i="49" s="1"/>
  <c r="M206" i="49" s="1"/>
  <c r="N206" i="49" s="1"/>
  <c r="O206" i="49" s="1"/>
  <c r="C202" i="49"/>
  <c r="D202" i="49" s="1"/>
  <c r="E202" i="49" s="1"/>
  <c r="C205" i="49"/>
  <c r="D205" i="49" s="1"/>
  <c r="E205" i="49" s="1"/>
  <c r="D207" i="49"/>
  <c r="E207" i="49" s="1"/>
  <c r="F207" i="49" s="1"/>
  <c r="G207" i="49" s="1"/>
  <c r="M207" i="49" s="1"/>
  <c r="N207" i="49" s="1"/>
  <c r="O207" i="49" s="1"/>
  <c r="D203" i="49" l="1"/>
  <c r="E203" i="49" s="1"/>
  <c r="F203" i="49" s="1"/>
  <c r="G203" i="49" s="1"/>
  <c r="M203" i="49" s="1"/>
  <c r="N203" i="49" s="1"/>
  <c r="O203" i="49" s="1"/>
  <c r="D204" i="49"/>
  <c r="D201" i="49"/>
  <c r="E201" i="49"/>
  <c r="F202" i="49"/>
  <c r="E204" i="49"/>
  <c r="F205" i="49"/>
  <c r="E200" i="49" l="1"/>
  <c r="D200" i="49"/>
  <c r="F201" i="49"/>
  <c r="G202" i="49"/>
  <c r="F204" i="49"/>
  <c r="G205" i="49"/>
  <c r="F200" i="49" l="1"/>
  <c r="G204" i="49"/>
  <c r="M205" i="49"/>
  <c r="G201" i="49"/>
  <c r="M202" i="49"/>
  <c r="N205" i="49" l="1"/>
  <c r="M204" i="49"/>
  <c r="G200" i="49"/>
  <c r="N202" i="49"/>
  <c r="M201" i="49"/>
  <c r="M200" i="49" l="1"/>
  <c r="N204" i="49"/>
  <c r="O205" i="49"/>
  <c r="O204" i="49" s="1"/>
  <c r="N201" i="49"/>
  <c r="O202" i="49"/>
  <c r="O201" i="49" s="1"/>
  <c r="O200" i="49" l="1"/>
  <c r="N200" i="49"/>
  <c r="C25" i="49" l="1"/>
  <c r="I3" i="84" l="1"/>
  <c r="K93" i="84"/>
  <c r="L2" i="21"/>
  <c r="G2" i="20"/>
  <c r="E2" i="93"/>
  <c r="E2" i="58"/>
  <c r="E6" i="57"/>
  <c r="S2" i="55"/>
  <c r="G1" i="115"/>
  <c r="P32" i="91"/>
  <c r="AA14" i="91"/>
  <c r="D174" i="68" s="1"/>
  <c r="Z14" i="91"/>
  <c r="AA13" i="91"/>
  <c r="D173" i="68" s="1"/>
  <c r="Z13" i="91"/>
  <c r="AA12" i="91"/>
  <c r="D172" i="68" s="1"/>
  <c r="Z12" i="91"/>
  <c r="E172" i="68" s="1"/>
  <c r="H172" i="68" s="1"/>
  <c r="AA11" i="91"/>
  <c r="Z11" i="91"/>
  <c r="J31" i="91" s="1"/>
  <c r="AA10" i="91"/>
  <c r="Z10" i="91"/>
  <c r="H31" i="91" s="1"/>
  <c r="AA9" i="91"/>
  <c r="D169" i="68" s="1"/>
  <c r="Z9" i="91"/>
  <c r="E169" i="68" s="1"/>
  <c r="H169" i="68" s="1"/>
  <c r="AA8" i="91"/>
  <c r="D168" i="68" s="1"/>
  <c r="Z8" i="91"/>
  <c r="E168" i="68" s="1"/>
  <c r="H168" i="68" s="1"/>
  <c r="AA7" i="91"/>
  <c r="D167" i="68" s="1"/>
  <c r="Z7" i="91"/>
  <c r="E167" i="68" s="1"/>
  <c r="H167" i="68" s="1"/>
  <c r="F165" i="68"/>
  <c r="I162" i="68"/>
  <c r="E162" i="68"/>
  <c r="P157" i="68"/>
  <c r="N157" i="68"/>
  <c r="L157" i="68"/>
  <c r="J157" i="68"/>
  <c r="H157" i="68"/>
  <c r="F157" i="68"/>
  <c r="D157" i="68"/>
  <c r="P155" i="68"/>
  <c r="N155" i="68"/>
  <c r="L155" i="68"/>
  <c r="J155" i="68"/>
  <c r="H155" i="68"/>
  <c r="F155" i="68"/>
  <c r="D155" i="68"/>
  <c r="P153" i="68"/>
  <c r="N153" i="68"/>
  <c r="L153" i="68"/>
  <c r="J153" i="68"/>
  <c r="H153" i="68"/>
  <c r="F153" i="68"/>
  <c r="D153" i="68"/>
  <c r="P151" i="68"/>
  <c r="N151" i="68"/>
  <c r="L151" i="68"/>
  <c r="J151" i="68"/>
  <c r="H151" i="68"/>
  <c r="F151" i="68"/>
  <c r="D151" i="68"/>
  <c r="P149" i="68"/>
  <c r="N149" i="68"/>
  <c r="L149" i="68"/>
  <c r="J149" i="68"/>
  <c r="H149" i="68"/>
  <c r="F149" i="68"/>
  <c r="D149" i="68"/>
  <c r="P147" i="68"/>
  <c r="N147" i="68"/>
  <c r="L147" i="68"/>
  <c r="J147" i="68"/>
  <c r="H147" i="68"/>
  <c r="F147" i="68"/>
  <c r="D147" i="68"/>
  <c r="P145" i="68"/>
  <c r="N145" i="68"/>
  <c r="L145" i="68"/>
  <c r="J145" i="68"/>
  <c r="H145" i="68"/>
  <c r="F145" i="68"/>
  <c r="D145" i="68"/>
  <c r="P143" i="68"/>
  <c r="N143" i="68"/>
  <c r="L143" i="68"/>
  <c r="J143" i="68"/>
  <c r="H143" i="68"/>
  <c r="F143" i="68"/>
  <c r="D143" i="68"/>
  <c r="P141" i="68"/>
  <c r="N141" i="68"/>
  <c r="L141" i="68"/>
  <c r="J141" i="68"/>
  <c r="H141" i="68"/>
  <c r="F141" i="68"/>
  <c r="D141" i="68"/>
  <c r="P139" i="68"/>
  <c r="N139" i="68"/>
  <c r="L139" i="68"/>
  <c r="J139" i="68"/>
  <c r="H139" i="68"/>
  <c r="F139" i="68"/>
  <c r="D139" i="68"/>
  <c r="P137" i="68"/>
  <c r="N137" i="68"/>
  <c r="L137" i="68"/>
  <c r="J137" i="68"/>
  <c r="H137" i="68"/>
  <c r="F137" i="68"/>
  <c r="D137" i="68"/>
  <c r="P135" i="68"/>
  <c r="N135" i="68"/>
  <c r="L135" i="68"/>
  <c r="J135" i="68"/>
  <c r="H135" i="68"/>
  <c r="F135" i="68"/>
  <c r="D135" i="68"/>
  <c r="O130" i="68"/>
  <c r="H130" i="68"/>
  <c r="P123" i="68"/>
  <c r="N123" i="68"/>
  <c r="L123" i="68"/>
  <c r="J123" i="68"/>
  <c r="H123" i="68"/>
  <c r="F123" i="68"/>
  <c r="D123" i="68"/>
  <c r="R122" i="68"/>
  <c r="P121" i="68"/>
  <c r="N121" i="68"/>
  <c r="L121" i="68"/>
  <c r="J121" i="68"/>
  <c r="H121" i="68"/>
  <c r="F121" i="68"/>
  <c r="D121" i="68"/>
  <c r="R120" i="68"/>
  <c r="P119" i="68"/>
  <c r="N119" i="68"/>
  <c r="L119" i="68"/>
  <c r="J119" i="68"/>
  <c r="H119" i="68"/>
  <c r="F119" i="68"/>
  <c r="D119" i="68"/>
  <c r="R118" i="68"/>
  <c r="P117" i="68"/>
  <c r="N117" i="68"/>
  <c r="L117" i="68"/>
  <c r="J117" i="68"/>
  <c r="H117" i="68"/>
  <c r="F117" i="68"/>
  <c r="D117" i="68"/>
  <c r="R116" i="68"/>
  <c r="P115" i="68"/>
  <c r="N115" i="68"/>
  <c r="L115" i="68"/>
  <c r="J115" i="68"/>
  <c r="H115" i="68"/>
  <c r="F115" i="68"/>
  <c r="D115" i="68"/>
  <c r="R114" i="68"/>
  <c r="P113" i="68"/>
  <c r="N113" i="68"/>
  <c r="L113" i="68"/>
  <c r="J113" i="68"/>
  <c r="H113" i="68"/>
  <c r="F113" i="68"/>
  <c r="D113" i="68"/>
  <c r="R112" i="68"/>
  <c r="P111" i="68"/>
  <c r="N111" i="68"/>
  <c r="L111" i="68"/>
  <c r="J111" i="68"/>
  <c r="H111" i="68"/>
  <c r="F111" i="68"/>
  <c r="D111" i="68"/>
  <c r="R110" i="68"/>
  <c r="P109" i="68"/>
  <c r="N109" i="68"/>
  <c r="L109" i="68"/>
  <c r="J109" i="68"/>
  <c r="H109" i="68"/>
  <c r="F109" i="68"/>
  <c r="D109" i="68"/>
  <c r="R108" i="68"/>
  <c r="P107" i="68"/>
  <c r="N107" i="68"/>
  <c r="L107" i="68"/>
  <c r="J107" i="68"/>
  <c r="H107" i="68"/>
  <c r="F107" i="68"/>
  <c r="D107" i="68"/>
  <c r="R106" i="68"/>
  <c r="P105" i="68"/>
  <c r="N105" i="68"/>
  <c r="L105" i="68"/>
  <c r="J105" i="68"/>
  <c r="H105" i="68"/>
  <c r="F105" i="68"/>
  <c r="D105" i="68"/>
  <c r="R104" i="68"/>
  <c r="P103" i="68"/>
  <c r="N103" i="68"/>
  <c r="L103" i="68"/>
  <c r="J103" i="68"/>
  <c r="H103" i="68"/>
  <c r="F103" i="68"/>
  <c r="D103" i="68"/>
  <c r="R102" i="68"/>
  <c r="P101" i="68"/>
  <c r="N101" i="68"/>
  <c r="L101" i="68"/>
  <c r="J101" i="68"/>
  <c r="H101" i="68"/>
  <c r="F101" i="68"/>
  <c r="D101" i="68"/>
  <c r="R100" i="68"/>
  <c r="P99" i="68"/>
  <c r="N99" i="68"/>
  <c r="L99" i="68"/>
  <c r="J99" i="68"/>
  <c r="H99" i="68"/>
  <c r="F99" i="68"/>
  <c r="D99" i="68"/>
  <c r="R98" i="68"/>
  <c r="P97" i="68"/>
  <c r="N97" i="68"/>
  <c r="L97" i="68"/>
  <c r="J97" i="68"/>
  <c r="H97" i="68"/>
  <c r="F97" i="68"/>
  <c r="D97" i="68"/>
  <c r="R96" i="68"/>
  <c r="P95" i="68"/>
  <c r="N95" i="68"/>
  <c r="L95" i="68"/>
  <c r="J95" i="68"/>
  <c r="H95" i="68"/>
  <c r="F95" i="68"/>
  <c r="D95" i="68"/>
  <c r="R94" i="68"/>
  <c r="P93" i="68"/>
  <c r="N93" i="68"/>
  <c r="L93" i="68"/>
  <c r="J93" i="68"/>
  <c r="H93" i="68"/>
  <c r="F93" i="68"/>
  <c r="D93" i="68"/>
  <c r="R92" i="68"/>
  <c r="P91" i="68"/>
  <c r="N91" i="68"/>
  <c r="L91" i="68"/>
  <c r="J91" i="68"/>
  <c r="H91" i="68"/>
  <c r="F91" i="68"/>
  <c r="D91" i="68"/>
  <c r="R90" i="68"/>
  <c r="P89" i="68"/>
  <c r="N89" i="68"/>
  <c r="L89" i="68"/>
  <c r="J89" i="68"/>
  <c r="H89" i="68"/>
  <c r="F89" i="68"/>
  <c r="D89" i="68"/>
  <c r="R88" i="68"/>
  <c r="P87" i="68"/>
  <c r="N87" i="68"/>
  <c r="L87" i="68"/>
  <c r="J87" i="68"/>
  <c r="H87" i="68"/>
  <c r="F87" i="68"/>
  <c r="D87" i="68"/>
  <c r="R86" i="68"/>
  <c r="P85" i="68"/>
  <c r="N85" i="68"/>
  <c r="L85" i="68"/>
  <c r="J85" i="68"/>
  <c r="H85" i="68"/>
  <c r="F85" i="68"/>
  <c r="D85" i="68"/>
  <c r="R84" i="68"/>
  <c r="P83" i="68"/>
  <c r="N83" i="68"/>
  <c r="L83" i="68"/>
  <c r="J83" i="68"/>
  <c r="H83" i="68"/>
  <c r="F83" i="68"/>
  <c r="D83" i="68"/>
  <c r="R82" i="68"/>
  <c r="P81" i="68"/>
  <c r="N81" i="68"/>
  <c r="L81" i="68"/>
  <c r="J81" i="68"/>
  <c r="H81" i="68"/>
  <c r="F81" i="68"/>
  <c r="D81" i="68"/>
  <c r="R80" i="68"/>
  <c r="P79" i="68"/>
  <c r="N79" i="68"/>
  <c r="L79" i="68"/>
  <c r="J79" i="68"/>
  <c r="H79" i="68"/>
  <c r="F79" i="68"/>
  <c r="D79" i="68"/>
  <c r="R78" i="68"/>
  <c r="P77" i="68"/>
  <c r="N77" i="68"/>
  <c r="L77" i="68"/>
  <c r="J77" i="68"/>
  <c r="H77" i="68"/>
  <c r="F77" i="68"/>
  <c r="D77" i="68"/>
  <c r="R76" i="68"/>
  <c r="P75" i="68"/>
  <c r="N75" i="68"/>
  <c r="L75" i="68"/>
  <c r="J75" i="68"/>
  <c r="H75" i="68"/>
  <c r="F75" i="68"/>
  <c r="D75" i="68"/>
  <c r="R74" i="68"/>
  <c r="P73" i="68"/>
  <c r="N73" i="68"/>
  <c r="L73" i="68"/>
  <c r="J73" i="68"/>
  <c r="H73" i="68"/>
  <c r="F73" i="68"/>
  <c r="D73" i="68"/>
  <c r="R72" i="68"/>
  <c r="P71" i="68"/>
  <c r="N71" i="68"/>
  <c r="L71" i="68"/>
  <c r="J71" i="68"/>
  <c r="H71" i="68"/>
  <c r="F71" i="68"/>
  <c r="D71" i="68"/>
  <c r="R70" i="68"/>
  <c r="P69" i="68"/>
  <c r="N69" i="68"/>
  <c r="L69" i="68"/>
  <c r="J69" i="68"/>
  <c r="H69" i="68"/>
  <c r="F69" i="68"/>
  <c r="D69" i="68"/>
  <c r="R68" i="68"/>
  <c r="B68" i="68"/>
  <c r="B70" i="68" s="1"/>
  <c r="B72" i="68" s="1"/>
  <c r="B74" i="68" s="1"/>
  <c r="B76" i="68" s="1"/>
  <c r="B78" i="68" s="1"/>
  <c r="B80" i="68" s="1"/>
  <c r="B82" i="68" s="1"/>
  <c r="B84" i="68" s="1"/>
  <c r="B86" i="68" s="1"/>
  <c r="B88" i="68" s="1"/>
  <c r="B90" i="68" s="1"/>
  <c r="B92" i="68" s="1"/>
  <c r="B94" i="68" s="1"/>
  <c r="B96" i="68" s="1"/>
  <c r="B98" i="68" s="1"/>
  <c r="B100" i="68" s="1"/>
  <c r="B102" i="68" s="1"/>
  <c r="B104" i="68" s="1"/>
  <c r="B106" i="68" s="1"/>
  <c r="B108" i="68" s="1"/>
  <c r="B110" i="68" s="1"/>
  <c r="B112" i="68" s="1"/>
  <c r="B114" i="68" s="1"/>
  <c r="B116" i="68" s="1"/>
  <c r="B118" i="68" s="1"/>
  <c r="B120" i="68" s="1"/>
  <c r="B122" i="68" s="1"/>
  <c r="P67" i="68"/>
  <c r="N67" i="68"/>
  <c r="L67" i="68"/>
  <c r="J67" i="68"/>
  <c r="H67" i="68"/>
  <c r="F67" i="68"/>
  <c r="D67" i="68"/>
  <c r="R66" i="68"/>
  <c r="N65" i="68"/>
  <c r="R65" i="68" s="1"/>
  <c r="R64" i="68"/>
  <c r="P63" i="68"/>
  <c r="N63" i="68"/>
  <c r="L63" i="68"/>
  <c r="J63" i="68"/>
  <c r="H63" i="68"/>
  <c r="F63" i="68"/>
  <c r="D63" i="68"/>
  <c r="R62" i="68"/>
  <c r="P61" i="68"/>
  <c r="N61" i="68"/>
  <c r="L61" i="68"/>
  <c r="J61" i="68"/>
  <c r="H61" i="68"/>
  <c r="F61" i="68"/>
  <c r="D61" i="68"/>
  <c r="R60" i="68"/>
  <c r="P59" i="68"/>
  <c r="N59" i="68"/>
  <c r="L59" i="68"/>
  <c r="J59" i="68"/>
  <c r="H59" i="68"/>
  <c r="F59" i="68"/>
  <c r="D59" i="68"/>
  <c r="R58" i="68"/>
  <c r="P57" i="68"/>
  <c r="N57" i="68"/>
  <c r="L57" i="68"/>
  <c r="J57" i="68"/>
  <c r="H57" i="68"/>
  <c r="F57" i="68"/>
  <c r="D57" i="68"/>
  <c r="R56" i="68"/>
  <c r="P55" i="68"/>
  <c r="N55" i="68"/>
  <c r="L55" i="68"/>
  <c r="J55" i="68"/>
  <c r="H55" i="68"/>
  <c r="F55" i="68"/>
  <c r="D55" i="68"/>
  <c r="R54" i="68"/>
  <c r="P53" i="68"/>
  <c r="N53" i="68"/>
  <c r="L53" i="68"/>
  <c r="J53" i="68"/>
  <c r="H53" i="68"/>
  <c r="F53" i="68"/>
  <c r="D53" i="68"/>
  <c r="R52" i="68"/>
  <c r="B52" i="68"/>
  <c r="B54" i="68" s="1"/>
  <c r="B56" i="68" s="1"/>
  <c r="B58" i="68" s="1"/>
  <c r="B60" i="68" s="1"/>
  <c r="B62" i="68" s="1"/>
  <c r="P51" i="68"/>
  <c r="N51" i="68"/>
  <c r="L51" i="68"/>
  <c r="J51" i="68"/>
  <c r="H51" i="68"/>
  <c r="F51" i="68"/>
  <c r="D51" i="68"/>
  <c r="R50" i="68"/>
  <c r="O46" i="68"/>
  <c r="H46" i="68"/>
  <c r="R39" i="68"/>
  <c r="E39" i="68"/>
  <c r="D40" i="68" s="1"/>
  <c r="P38" i="68"/>
  <c r="N38" i="68"/>
  <c r="L38" i="68"/>
  <c r="J38" i="68"/>
  <c r="H38" i="68"/>
  <c r="F38" i="68"/>
  <c r="D38" i="68"/>
  <c r="P36" i="68"/>
  <c r="N36" i="68"/>
  <c r="L36" i="68"/>
  <c r="J36" i="68"/>
  <c r="H36" i="68"/>
  <c r="F36" i="68"/>
  <c r="D36" i="68"/>
  <c r="R35" i="68"/>
  <c r="P34" i="68"/>
  <c r="N34" i="68"/>
  <c r="L34" i="68"/>
  <c r="J34" i="68"/>
  <c r="H34" i="68"/>
  <c r="F34" i="68"/>
  <c r="D34" i="68"/>
  <c r="R33" i="68"/>
  <c r="P32" i="68"/>
  <c r="N32" i="68"/>
  <c r="L32" i="68"/>
  <c r="J32" i="68"/>
  <c r="H32" i="68"/>
  <c r="F32" i="68"/>
  <c r="D32" i="68"/>
  <c r="R31" i="68"/>
  <c r="P30" i="68"/>
  <c r="N30" i="68"/>
  <c r="L30" i="68"/>
  <c r="J30" i="68"/>
  <c r="H30" i="68"/>
  <c r="F30" i="68"/>
  <c r="D30" i="68"/>
  <c r="R29" i="68"/>
  <c r="P28" i="68"/>
  <c r="N28" i="68"/>
  <c r="L28" i="68"/>
  <c r="J28" i="68"/>
  <c r="H28" i="68"/>
  <c r="F28" i="68"/>
  <c r="D28" i="68"/>
  <c r="R26" i="68"/>
  <c r="P25" i="68"/>
  <c r="N25" i="68"/>
  <c r="L25" i="68"/>
  <c r="J25" i="68"/>
  <c r="H25" i="68"/>
  <c r="F25" i="68"/>
  <c r="D25" i="68"/>
  <c r="P23" i="68"/>
  <c r="N23" i="68"/>
  <c r="L23" i="68"/>
  <c r="J23" i="68"/>
  <c r="H23" i="68"/>
  <c r="F23" i="68"/>
  <c r="D23" i="68"/>
  <c r="R22" i="68"/>
  <c r="O18" i="68"/>
  <c r="H18" i="68"/>
  <c r="P13" i="68"/>
  <c r="N13" i="68"/>
  <c r="L13" i="68"/>
  <c r="J13" i="68"/>
  <c r="G76" i="120" s="1"/>
  <c r="H13" i="68"/>
  <c r="F13" i="68"/>
  <c r="D13" i="68"/>
  <c r="S12" i="68"/>
  <c r="R12" i="68"/>
  <c r="S11" i="68"/>
  <c r="R11" i="68"/>
  <c r="S10" i="68"/>
  <c r="R10" i="68"/>
  <c r="S9" i="68"/>
  <c r="R9" i="68"/>
  <c r="S8" i="68"/>
  <c r="R8" i="68"/>
  <c r="S7" i="68"/>
  <c r="R7" i="68"/>
  <c r="O3" i="68"/>
  <c r="H3" i="68"/>
  <c r="D175" i="68" l="1"/>
  <c r="S64" i="68"/>
  <c r="H124" i="68"/>
  <c r="F19" i="83" s="1"/>
  <c r="P124" i="68"/>
  <c r="G39" i="68"/>
  <c r="F40" i="68" s="1"/>
  <c r="F41" i="68" s="1"/>
  <c r="R83" i="68"/>
  <c r="S82" i="68" s="1"/>
  <c r="R25" i="68"/>
  <c r="R155" i="68"/>
  <c r="R34" i="68"/>
  <c r="R75" i="68"/>
  <c r="O39" i="68"/>
  <c r="N40" i="68" s="1"/>
  <c r="N41" i="68" s="1"/>
  <c r="R59" i="68"/>
  <c r="S58" i="68" s="1"/>
  <c r="R71" i="68"/>
  <c r="S70" i="68" s="1"/>
  <c r="R107" i="68"/>
  <c r="S106" i="68" s="1"/>
  <c r="R109" i="68"/>
  <c r="S108" i="68" s="1"/>
  <c r="R111" i="68"/>
  <c r="S110" i="68" s="1"/>
  <c r="R117" i="68"/>
  <c r="S116" i="68" s="1"/>
  <c r="R119" i="68"/>
  <c r="S118" i="68" s="1"/>
  <c r="R135" i="68"/>
  <c r="R137" i="68"/>
  <c r="R36" i="68"/>
  <c r="D124" i="68"/>
  <c r="L124" i="68"/>
  <c r="R53" i="68"/>
  <c r="S52" i="68" s="1"/>
  <c r="R89" i="68"/>
  <c r="R97" i="68"/>
  <c r="S96" i="68" s="1"/>
  <c r="R105" i="68"/>
  <c r="S104" i="68" s="1"/>
  <c r="D41" i="68"/>
  <c r="R28" i="68"/>
  <c r="Q39" i="68"/>
  <c r="P40" i="68" s="1"/>
  <c r="P41" i="68" s="1"/>
  <c r="J124" i="68"/>
  <c r="G59" i="120" s="1"/>
  <c r="R57" i="68"/>
  <c r="S56" i="68" s="1"/>
  <c r="R63" i="68"/>
  <c r="S62" i="68" s="1"/>
  <c r="R67" i="68"/>
  <c r="S66" i="68" s="1"/>
  <c r="R113" i="68"/>
  <c r="S112" i="68" s="1"/>
  <c r="R121" i="68"/>
  <c r="S120" i="68" s="1"/>
  <c r="R145" i="68"/>
  <c r="D31" i="91"/>
  <c r="L31" i="91"/>
  <c r="R91" i="68"/>
  <c r="S90" i="68" s="1"/>
  <c r="R99" i="68"/>
  <c r="S98" i="68" s="1"/>
  <c r="N31" i="91"/>
  <c r="E173" i="68"/>
  <c r="F31" i="91"/>
  <c r="R13" i="68"/>
  <c r="R23" i="68"/>
  <c r="R30" i="68"/>
  <c r="R32" i="68"/>
  <c r="R38" i="68"/>
  <c r="R51" i="68"/>
  <c r="S50" i="68" s="1"/>
  <c r="N124" i="68"/>
  <c r="R73" i="68"/>
  <c r="S72" i="68" s="1"/>
  <c r="R77" i="68"/>
  <c r="S76" i="68" s="1"/>
  <c r="R79" i="68"/>
  <c r="S78" i="68" s="1"/>
  <c r="R85" i="68"/>
  <c r="S84" i="68" s="1"/>
  <c r="R87" i="68"/>
  <c r="S86" i="68" s="1"/>
  <c r="R93" i="68"/>
  <c r="S92" i="68" s="1"/>
  <c r="R95" i="68"/>
  <c r="S94" i="68" s="1"/>
  <c r="R101" i="68"/>
  <c r="S100" i="68" s="1"/>
  <c r="R103" i="68"/>
  <c r="S102" i="68" s="1"/>
  <c r="R115" i="68"/>
  <c r="S114" i="68" s="1"/>
  <c r="R123" i="68"/>
  <c r="S122" i="68" s="1"/>
  <c r="R55" i="68"/>
  <c r="S54" i="68" s="1"/>
  <c r="R61" i="68"/>
  <c r="S60" i="68" s="1"/>
  <c r="R69" i="68"/>
  <c r="S68" i="68" s="1"/>
  <c r="R81" i="68"/>
  <c r="S80" i="68" s="1"/>
  <c r="S88" i="68"/>
  <c r="P31" i="91"/>
  <c r="P33" i="91" s="1"/>
  <c r="E174" i="68"/>
  <c r="H174" i="68" s="1"/>
  <c r="B31" i="91"/>
  <c r="B33" i="91" s="1"/>
  <c r="R139" i="68"/>
  <c r="R147" i="68"/>
  <c r="R157" i="68"/>
  <c r="R149" i="68"/>
  <c r="H158" i="68"/>
  <c r="P158" i="68"/>
  <c r="R141" i="68"/>
  <c r="R151" i="68"/>
  <c r="F158" i="68"/>
  <c r="N158" i="68"/>
  <c r="R143" i="68"/>
  <c r="R153" i="68"/>
  <c r="D158" i="68"/>
  <c r="L158" i="68"/>
  <c r="N32" i="91"/>
  <c r="D32" i="91"/>
  <c r="F32" i="91" s="1"/>
  <c r="L32" i="91"/>
  <c r="J32" i="91"/>
  <c r="J33" i="91" s="1"/>
  <c r="G60" i="120" s="1"/>
  <c r="R32" i="91"/>
  <c r="H32" i="91"/>
  <c r="H33" i="91" s="1"/>
  <c r="J158" i="68"/>
  <c r="F124" i="68"/>
  <c r="M39" i="68"/>
  <c r="L40" i="68" s="1"/>
  <c r="L41" i="68" s="1"/>
  <c r="F33" i="91" l="1"/>
  <c r="G50" i="120"/>
  <c r="G9" i="120" s="1"/>
  <c r="L33" i="91"/>
  <c r="N33" i="91"/>
  <c r="T123" i="68"/>
  <c r="I39" i="68"/>
  <c r="R158" i="68"/>
  <c r="R31" i="91"/>
  <c r="R33" i="91" s="1"/>
  <c r="H173" i="68"/>
  <c r="H175" i="68" s="1"/>
  <c r="E175" i="68"/>
  <c r="E176" i="68" s="1"/>
  <c r="T124" i="68"/>
  <c r="D33" i="91"/>
  <c r="R124" i="68"/>
  <c r="K39" i="68" l="1"/>
  <c r="J40" i="68" s="1"/>
  <c r="J41" i="68" s="1"/>
  <c r="G77" i="120" s="1"/>
  <c r="H40" i="68"/>
  <c r="G45" i="69"/>
  <c r="G40" i="69"/>
  <c r="F16" i="83"/>
  <c r="H41" i="68" l="1"/>
  <c r="R41" i="68" s="1"/>
  <c r="R40" i="68"/>
  <c r="G21" i="77" l="1"/>
  <c r="E12" i="77"/>
  <c r="E19" i="77"/>
  <c r="F15" i="77"/>
  <c r="H15" i="77" s="1"/>
  <c r="F16" i="77"/>
  <c r="H16" i="77" s="1"/>
  <c r="H21" i="77" l="1"/>
  <c r="G20" i="77"/>
  <c r="H20" i="77" s="1"/>
  <c r="C45" i="110"/>
  <c r="D39" i="78" l="1"/>
  <c r="F187" i="84" l="1"/>
  <c r="D59" i="98" l="1"/>
  <c r="E30" i="108"/>
  <c r="H187" i="84"/>
  <c r="G30" i="108" s="1"/>
  <c r="D38" i="66"/>
  <c r="D55" i="69"/>
  <c r="E55" i="69"/>
  <c r="F55" i="69"/>
  <c r="C55" i="69"/>
  <c r="C53" i="69"/>
  <c r="F53" i="69" s="1"/>
  <c r="C52" i="69"/>
  <c r="C48" i="69"/>
  <c r="D48" i="69" s="1"/>
  <c r="C47" i="69"/>
  <c r="C43" i="69"/>
  <c r="F43" i="69" s="1"/>
  <c r="C42" i="69"/>
  <c r="F42" i="69" s="1"/>
  <c r="C38" i="69"/>
  <c r="D38" i="69" s="1"/>
  <c r="C37" i="69"/>
  <c r="F37" i="69" s="1"/>
  <c r="C33" i="69"/>
  <c r="F33" i="69" s="1"/>
  <c r="C32" i="69"/>
  <c r="F32" i="69" s="1"/>
  <c r="C28" i="69"/>
  <c r="D28" i="69" s="1"/>
  <c r="C27" i="69"/>
  <c r="C23" i="69"/>
  <c r="F23" i="69" s="1"/>
  <c r="C22" i="69"/>
  <c r="C18" i="69"/>
  <c r="D18" i="69" s="1"/>
  <c r="C17" i="69"/>
  <c r="C13" i="69"/>
  <c r="F13" i="69" s="1"/>
  <c r="C12" i="69"/>
  <c r="F110" i="84"/>
  <c r="F111" i="84"/>
  <c r="F105" i="84"/>
  <c r="F107" i="84"/>
  <c r="F109" i="84"/>
  <c r="E39" i="78"/>
  <c r="E24" i="78"/>
  <c r="F41" i="69" l="1"/>
  <c r="D37" i="69"/>
  <c r="D36" i="69" s="1"/>
  <c r="F18" i="69"/>
  <c r="F28" i="69"/>
  <c r="F38" i="69"/>
  <c r="F36" i="69" s="1"/>
  <c r="F48" i="69"/>
  <c r="D13" i="69"/>
  <c r="D23" i="69"/>
  <c r="D33" i="69"/>
  <c r="D43" i="69"/>
  <c r="D53" i="69"/>
  <c r="D32" i="69"/>
  <c r="D42" i="69"/>
  <c r="F31" i="69"/>
  <c r="D41" i="69" l="1"/>
  <c r="D31" i="69"/>
  <c r="H2" i="115"/>
  <c r="F2" i="115"/>
  <c r="D2" i="115"/>
  <c r="B2" i="115"/>
  <c r="E101" i="84"/>
  <c r="C23" i="83"/>
  <c r="C10" i="84"/>
  <c r="U23" i="55" s="1"/>
  <c r="C101" i="84"/>
  <c r="C39" i="78"/>
  <c r="C24" i="78"/>
  <c r="Y15" i="114"/>
  <c r="X15" i="114"/>
  <c r="W15" i="114"/>
  <c r="V15" i="114"/>
  <c r="Y14" i="114"/>
  <c r="X14" i="114"/>
  <c r="W14" i="114"/>
  <c r="V14" i="114"/>
  <c r="U8" i="114"/>
  <c r="P8" i="114"/>
  <c r="K8" i="114"/>
  <c r="U7" i="114"/>
  <c r="P7" i="114"/>
  <c r="K7" i="114"/>
  <c r="K23" i="114"/>
  <c r="K22" i="114"/>
  <c r="K21" i="114"/>
  <c r="K20" i="114"/>
  <c r="K19" i="114"/>
  <c r="K18" i="114"/>
  <c r="P16" i="114"/>
  <c r="P15" i="114"/>
  <c r="P14" i="114"/>
  <c r="P13" i="114"/>
  <c r="P12" i="114"/>
  <c r="P11" i="114"/>
  <c r="B63" i="112"/>
  <c r="H56" i="112"/>
  <c r="G56" i="112"/>
  <c r="F56" i="112"/>
  <c r="E56" i="112"/>
  <c r="D56" i="112"/>
  <c r="H55" i="112"/>
  <c r="G55" i="112"/>
  <c r="F55" i="112"/>
  <c r="E55" i="112"/>
  <c r="D43" i="112"/>
  <c r="D41" i="112"/>
  <c r="H40" i="112"/>
  <c r="D40" i="112"/>
  <c r="H39" i="112"/>
  <c r="G39" i="112"/>
  <c r="E39" i="112"/>
  <c r="D39" i="112"/>
  <c r="H38" i="112"/>
  <c r="G38" i="112"/>
  <c r="E38" i="112"/>
  <c r="D38" i="112"/>
  <c r="H37" i="112"/>
  <c r="G37" i="112"/>
  <c r="E37" i="112"/>
  <c r="D37" i="112"/>
  <c r="D36" i="112"/>
  <c r="M20" i="112"/>
  <c r="L20" i="112"/>
  <c r="K20" i="112"/>
  <c r="J20" i="112"/>
  <c r="I20" i="112"/>
  <c r="H20" i="112"/>
  <c r="G20" i="112"/>
  <c r="F20" i="112"/>
  <c r="E20" i="112"/>
  <c r="M19" i="112"/>
  <c r="L19" i="112"/>
  <c r="K19" i="112"/>
  <c r="J19" i="112"/>
  <c r="I19" i="112"/>
  <c r="H19" i="112"/>
  <c r="G19" i="112"/>
  <c r="F19" i="112"/>
  <c r="E19" i="112"/>
  <c r="R9" i="112"/>
  <c r="Q9" i="112"/>
  <c r="P9" i="112"/>
  <c r="O9" i="112"/>
  <c r="N9" i="112"/>
  <c r="M9" i="112"/>
  <c r="L9" i="112"/>
  <c r="K9" i="112"/>
  <c r="J9" i="112"/>
  <c r="I9" i="112"/>
  <c r="H9" i="112"/>
  <c r="F9" i="112"/>
  <c r="E9" i="112"/>
  <c r="D9" i="112"/>
  <c r="R19" i="112" l="1"/>
  <c r="Q20" i="112"/>
  <c r="C30" i="84"/>
  <c r="P20" i="112"/>
  <c r="C117" i="84"/>
  <c r="C100" i="84" s="1"/>
  <c r="C10" i="83"/>
  <c r="C9" i="83" s="1"/>
  <c r="O19" i="112"/>
  <c r="R20" i="112"/>
  <c r="Q19" i="112"/>
  <c r="P19" i="112"/>
  <c r="J8" i="114"/>
  <c r="J7" i="114"/>
  <c r="U15" i="114"/>
  <c r="O20" i="112"/>
  <c r="U14" i="114"/>
  <c r="B5" i="115" l="1"/>
  <c r="B36" i="110"/>
  <c r="B6" i="115"/>
  <c r="B48" i="110"/>
  <c r="C9" i="84"/>
  <c r="U25" i="55"/>
  <c r="U28" i="55" s="1"/>
  <c r="B4" i="115" l="1"/>
  <c r="B24" i="110"/>
  <c r="B4" i="108"/>
  <c r="B5" i="108"/>
  <c r="B6" i="108"/>
  <c r="B7" i="108"/>
  <c r="B8" i="108"/>
  <c r="B9" i="108"/>
  <c r="B10" i="108"/>
  <c r="B11" i="108"/>
  <c r="B12" i="108"/>
  <c r="B13" i="108"/>
  <c r="B14" i="108"/>
  <c r="B15" i="108"/>
  <c r="B17" i="108"/>
  <c r="B3" i="108"/>
  <c r="D73" i="21" l="1"/>
  <c r="A178" i="26" l="1"/>
  <c r="A135" i="26"/>
  <c r="A94" i="26"/>
  <c r="A53" i="26"/>
  <c r="C152" i="26"/>
  <c r="C111" i="26"/>
  <c r="C70" i="26"/>
  <c r="D43" i="109" l="1"/>
  <c r="F74" i="109" l="1"/>
  <c r="F76" i="109" s="1"/>
  <c r="D5" i="110"/>
  <c r="D9" i="110"/>
  <c r="B7" i="110"/>
  <c r="B5" i="110"/>
  <c r="K67" i="109"/>
  <c r="C6" i="110" l="1"/>
  <c r="B6" i="110"/>
  <c r="D7" i="110"/>
  <c r="D10" i="110"/>
  <c r="D6" i="110"/>
  <c r="F23" i="110"/>
  <c r="C9" i="110"/>
  <c r="E68" i="109"/>
  <c r="E92" i="109"/>
  <c r="E88" i="109"/>
  <c r="E84" i="109"/>
  <c r="E91" i="109"/>
  <c r="E87" i="109"/>
  <c r="E90" i="109"/>
  <c r="E86" i="109"/>
  <c r="E89" i="109"/>
  <c r="E85" i="109"/>
  <c r="B9" i="110"/>
  <c r="B10" i="110"/>
  <c r="C7" i="110"/>
  <c r="C10" i="110"/>
  <c r="F78" i="109"/>
  <c r="E69" i="109"/>
  <c r="E73" i="109"/>
  <c r="E74" i="109"/>
  <c r="E70" i="109"/>
  <c r="E66" i="109"/>
  <c r="E71" i="109"/>
  <c r="E67" i="109"/>
  <c r="E72" i="109"/>
  <c r="E94" i="109" l="1"/>
  <c r="C8" i="110"/>
  <c r="D8" i="110"/>
  <c r="C4" i="110"/>
  <c r="B8" i="110"/>
  <c r="B4" i="110"/>
  <c r="C3" i="110" l="1"/>
  <c r="B39" i="110"/>
  <c r="B3" i="110"/>
  <c r="E75" i="109"/>
  <c r="E76" i="109" s="1"/>
  <c r="D33" i="109"/>
  <c r="D32" i="109"/>
  <c r="D31" i="109"/>
  <c r="D30" i="109"/>
  <c r="D29" i="109"/>
  <c r="B6" i="109"/>
  <c r="C6" i="109" s="1"/>
  <c r="D6" i="109" s="1"/>
  <c r="E6" i="109" s="1"/>
  <c r="F6" i="109" s="1"/>
  <c r="G6" i="109" s="1"/>
  <c r="H6" i="109" s="1"/>
  <c r="I6" i="109" s="1"/>
  <c r="J6" i="109" s="1"/>
  <c r="K6" i="109" s="1"/>
  <c r="J37" i="109" l="1"/>
  <c r="J47" i="109" s="1"/>
  <c r="J50" i="109" l="1"/>
  <c r="G63" i="107" l="1"/>
  <c r="F63" i="107"/>
  <c r="E63" i="107"/>
  <c r="D63" i="107"/>
  <c r="C63" i="107"/>
  <c r="E55" i="107"/>
  <c r="E54" i="107"/>
  <c r="E56" i="107" l="1"/>
  <c r="E84" i="107"/>
  <c r="E113" i="107" s="1"/>
  <c r="A12" i="32"/>
  <c r="T27" i="54"/>
  <c r="E66" i="98"/>
  <c r="D66" i="98" s="1"/>
  <c r="F99" i="84"/>
  <c r="E99" i="84"/>
  <c r="D99" i="84"/>
  <c r="C99" i="84"/>
  <c r="J14" i="109" l="1"/>
  <c r="E14" i="140" l="1"/>
  <c r="J8" i="109"/>
  <c r="D58" i="145" l="1"/>
  <c r="O32" i="145"/>
  <c r="L32" i="145"/>
  <c r="I32" i="145"/>
  <c r="J18" i="112"/>
  <c r="D21" i="98"/>
  <c r="D45" i="146"/>
  <c r="F45" i="146" s="1"/>
  <c r="M45" i="146" s="1"/>
  <c r="E55" i="98"/>
  <c r="D43" i="98"/>
  <c r="E43" i="98" s="1"/>
  <c r="D41" i="98"/>
  <c r="E41" i="98" s="1"/>
  <c r="F16" i="20"/>
  <c r="G41" i="98" l="1"/>
  <c r="H41" i="98" s="1"/>
  <c r="I41" i="98"/>
  <c r="I36" i="112"/>
  <c r="N36" i="112" s="1"/>
  <c r="C50" i="145"/>
  <c r="I18" i="112"/>
  <c r="C32" i="145"/>
  <c r="I40" i="112"/>
  <c r="N40" i="112" s="1"/>
  <c r="C54" i="145"/>
  <c r="C99" i="145"/>
  <c r="I37" i="112"/>
  <c r="N37" i="112" s="1"/>
  <c r="C51" i="145"/>
  <c r="I38" i="112"/>
  <c r="N38" i="112" s="1"/>
  <c r="C52" i="145"/>
  <c r="K18" i="112"/>
  <c r="M18" i="112"/>
  <c r="L18" i="112"/>
  <c r="D50" i="146"/>
  <c r="D46" i="146"/>
  <c r="B27" i="110" l="1"/>
  <c r="I39" i="112"/>
  <c r="N39" i="112" s="1"/>
  <c r="C53" i="145"/>
  <c r="C73" i="150"/>
  <c r="C55" i="145"/>
  <c r="I41" i="112"/>
  <c r="N41" i="112" s="1"/>
  <c r="F34" i="109"/>
  <c r="D34" i="109" s="1"/>
  <c r="B15" i="110" l="1"/>
  <c r="B57" i="21" l="1"/>
  <c r="H53" i="69" l="1"/>
  <c r="H50" i="69"/>
  <c r="H48" i="69"/>
  <c r="H45" i="69"/>
  <c r="H43" i="69"/>
  <c r="H42" i="69"/>
  <c r="H40" i="69"/>
  <c r="H39" i="69"/>
  <c r="H38" i="69"/>
  <c r="H37" i="69"/>
  <c r="G35" i="69"/>
  <c r="H34" i="69"/>
  <c r="H33" i="69"/>
  <c r="H32" i="69"/>
  <c r="H30" i="69"/>
  <c r="G30" i="69"/>
  <c r="H29" i="69"/>
  <c r="H28" i="69"/>
  <c r="H25" i="69"/>
  <c r="G25" i="69"/>
  <c r="H23" i="69"/>
  <c r="H20" i="69"/>
  <c r="G20" i="69"/>
  <c r="H18" i="69"/>
  <c r="H15" i="69"/>
  <c r="G15" i="69"/>
  <c r="H10" i="69"/>
  <c r="F22" i="66" l="1"/>
  <c r="F116" i="84"/>
  <c r="F29" i="84"/>
  <c r="J10" i="124"/>
  <c r="K10" i="124" s="1"/>
  <c r="G61" i="120"/>
  <c r="G10" i="120"/>
  <c r="J12" i="120" s="1"/>
  <c r="H31" i="69"/>
  <c r="H41" i="69"/>
  <c r="H36" i="69"/>
  <c r="D57" i="21"/>
  <c r="H55" i="69"/>
  <c r="K15" i="29"/>
  <c r="F18" i="29"/>
  <c r="F14" i="29"/>
  <c r="F33" i="77"/>
  <c r="D71" i="22"/>
  <c r="F71" i="22"/>
  <c r="F95" i="22" s="1"/>
  <c r="J12" i="124" l="1"/>
  <c r="K12" i="124" s="1"/>
  <c r="K11" i="124" s="1"/>
  <c r="F89" i="22"/>
  <c r="F90" i="22"/>
  <c r="G64" i="120"/>
  <c r="G63" i="120" s="1"/>
  <c r="G14" i="120" s="1"/>
  <c r="G12" i="120"/>
  <c r="J16" i="109"/>
  <c r="G84" i="22"/>
  <c r="H74" i="98"/>
  <c r="G83" i="22"/>
  <c r="G74" i="98"/>
  <c r="G82" i="22"/>
  <c r="J11" i="124" l="1"/>
  <c r="O14" i="124"/>
  <c r="G11" i="120"/>
  <c r="G49" i="120"/>
  <c r="J18" i="109"/>
  <c r="I74" i="98" l="1"/>
  <c r="G85" i="22"/>
  <c r="F35" i="22"/>
  <c r="F37" i="22" s="1"/>
  <c r="E32" i="22"/>
  <c r="D32" i="22"/>
  <c r="E60" i="92" l="1"/>
  <c r="D60" i="92"/>
  <c r="E59" i="92"/>
  <c r="D59" i="92"/>
  <c r="E58" i="92"/>
  <c r="D58" i="92"/>
  <c r="E57" i="92"/>
  <c r="D57" i="92"/>
  <c r="E54" i="92"/>
  <c r="D54" i="92"/>
  <c r="E51" i="92"/>
  <c r="E50" i="92" s="1"/>
  <c r="D51" i="92"/>
  <c r="D50" i="92" s="1"/>
  <c r="E39" i="92"/>
  <c r="D39" i="92"/>
  <c r="G31" i="92"/>
  <c r="E31" i="92"/>
  <c r="D31" i="92"/>
  <c r="E27" i="92"/>
  <c r="D27" i="92"/>
  <c r="E23" i="92"/>
  <c r="D23" i="92"/>
  <c r="D22" i="92"/>
  <c r="E21" i="92"/>
  <c r="D21" i="92"/>
  <c r="E20" i="92"/>
  <c r="D20" i="92"/>
  <c r="E18" i="92"/>
  <c r="D18" i="92"/>
  <c r="D16" i="92"/>
  <c r="E15" i="92"/>
  <c r="D15" i="92"/>
  <c r="E13" i="92"/>
  <c r="D13" i="92"/>
  <c r="F9" i="92"/>
  <c r="E9" i="92"/>
  <c r="E51" i="61"/>
  <c r="D51" i="61"/>
  <c r="E54" i="61"/>
  <c r="D54" i="61"/>
  <c r="E60" i="61"/>
  <c r="D60" i="61"/>
  <c r="E59" i="61"/>
  <c r="D59" i="61"/>
  <c r="E58" i="61"/>
  <c r="D58" i="61"/>
  <c r="E57" i="61"/>
  <c r="D57" i="61"/>
  <c r="E56" i="92" l="1"/>
  <c r="E53" i="92" s="1"/>
  <c r="D56" i="92"/>
  <c r="D53" i="92" s="1"/>
  <c r="D19" i="92"/>
  <c r="D12" i="92"/>
  <c r="F47" i="127" l="1"/>
  <c r="D11" i="92"/>
  <c r="D37" i="92" s="1"/>
  <c r="D45" i="92" s="1"/>
  <c r="D46" i="92" s="1"/>
  <c r="D22" i="61"/>
  <c r="E21" i="61"/>
  <c r="D21" i="61"/>
  <c r="E20" i="61"/>
  <c r="D20" i="61"/>
  <c r="E18" i="61"/>
  <c r="D18" i="61"/>
  <c r="D16" i="61"/>
  <c r="E15" i="61"/>
  <c r="D15" i="61"/>
  <c r="E13" i="61"/>
  <c r="D13" i="61"/>
  <c r="N21" i="67" l="1"/>
  <c r="K64" i="63"/>
  <c r="N23" i="67"/>
  <c r="O3" i="67"/>
  <c r="J3" i="67"/>
  <c r="H4" i="69"/>
  <c r="E4" i="69"/>
  <c r="I28" i="75"/>
  <c r="F28" i="75"/>
  <c r="G4" i="75"/>
  <c r="C4" i="75"/>
  <c r="D4" i="77"/>
  <c r="E53" i="76"/>
  <c r="B53" i="76"/>
  <c r="H4" i="82"/>
  <c r="C4" i="82"/>
  <c r="N26" i="88"/>
  <c r="H26" i="88"/>
  <c r="N3" i="88"/>
  <c r="H3" i="88"/>
  <c r="H4" i="81"/>
  <c r="D4" i="81"/>
  <c r="J58" i="55" l="1"/>
  <c r="I58" i="55"/>
  <c r="W55" i="55" l="1"/>
  <c r="V55" i="55"/>
  <c r="U55" i="55"/>
  <c r="R55" i="55"/>
  <c r="Q55" i="55"/>
  <c r="N55" i="55"/>
  <c r="M55" i="55"/>
  <c r="J55" i="55"/>
  <c r="I55" i="55"/>
  <c r="G33" i="55"/>
  <c r="E33" i="55"/>
  <c r="F37" i="55"/>
  <c r="G37" i="55"/>
  <c r="E37" i="55"/>
  <c r="F33" i="55"/>
  <c r="F29" i="55"/>
  <c r="E29" i="55"/>
  <c r="F27" i="55"/>
  <c r="G27" i="55"/>
  <c r="E27" i="55"/>
  <c r="F26" i="55"/>
  <c r="F24" i="55"/>
  <c r="E24" i="22" s="1"/>
  <c r="E23" i="22" s="1"/>
  <c r="E24" i="55"/>
  <c r="D24" i="22" s="1"/>
  <c r="D23" i="22" s="1"/>
  <c r="F22" i="55"/>
  <c r="G22" i="55"/>
  <c r="E22" i="55"/>
  <c r="F18" i="55"/>
  <c r="E18" i="55"/>
  <c r="M19" i="55"/>
  <c r="N19" i="55"/>
  <c r="P19" i="55"/>
  <c r="F18" i="112" s="1"/>
  <c r="P18" i="112" s="1"/>
  <c r="Q19" i="55"/>
  <c r="R19" i="55"/>
  <c r="T19" i="55"/>
  <c r="G18" i="112" s="1"/>
  <c r="Q18" i="112" s="1"/>
  <c r="U19" i="55"/>
  <c r="V19" i="55"/>
  <c r="X19" i="55"/>
  <c r="H18" i="112" s="1"/>
  <c r="R18" i="112" s="1"/>
  <c r="I19" i="55"/>
  <c r="J19" i="55"/>
  <c r="L19" i="55"/>
  <c r="E18" i="112" s="1"/>
  <c r="O18" i="112" s="1"/>
  <c r="F55" i="55" l="1"/>
  <c r="V14" i="55" s="1"/>
  <c r="V53" i="55" s="1"/>
  <c r="X10" i="55"/>
  <c r="W10" i="55"/>
  <c r="V10" i="55"/>
  <c r="T10" i="55"/>
  <c r="S10" i="55"/>
  <c r="R10" i="55"/>
  <c r="P10" i="55"/>
  <c r="O10" i="55"/>
  <c r="N10" i="55"/>
  <c r="L10" i="55"/>
  <c r="K10" i="55"/>
  <c r="J10" i="55"/>
  <c r="H10" i="55"/>
  <c r="G10" i="55"/>
  <c r="F10" i="55"/>
  <c r="I4" i="63"/>
  <c r="E4" i="63"/>
  <c r="E51" i="57"/>
  <c r="E50" i="57"/>
  <c r="E49" i="57"/>
  <c r="E48" i="57"/>
  <c r="D51" i="57"/>
  <c r="D50" i="57"/>
  <c r="D49" i="57"/>
  <c r="D48" i="57"/>
  <c r="R31" i="55" l="1"/>
  <c r="R30" i="55"/>
  <c r="R17" i="55"/>
  <c r="V30" i="55"/>
  <c r="V26" i="55"/>
  <c r="V22" i="55"/>
  <c r="V16" i="55"/>
  <c r="V18" i="55"/>
  <c r="V31" i="55"/>
  <c r="V24" i="55"/>
  <c r="V17" i="55"/>
  <c r="F53" i="55"/>
  <c r="V15" i="55"/>
  <c r="V27" i="55"/>
  <c r="R22" i="55"/>
  <c r="R27" i="55"/>
  <c r="R18" i="55"/>
  <c r="R34" i="55"/>
  <c r="R24" i="55"/>
  <c r="R26" i="55"/>
  <c r="R16" i="55"/>
  <c r="E21" i="57"/>
  <c r="E20" i="57"/>
  <c r="F20" i="57"/>
  <c r="E18" i="57"/>
  <c r="E75" i="22" s="1"/>
  <c r="E61" i="22" s="1"/>
  <c r="F18" i="57"/>
  <c r="D18" i="57"/>
  <c r="D75" i="22" s="1"/>
  <c r="D61" i="22" s="1"/>
  <c r="K3" i="90"/>
  <c r="G3" i="90"/>
  <c r="L8" i="90"/>
  <c r="K8" i="90"/>
  <c r="F18" i="83"/>
  <c r="D100" i="66"/>
  <c r="B100" i="66"/>
  <c r="I28" i="91"/>
  <c r="C28" i="91"/>
  <c r="X25" i="91"/>
  <c r="V25" i="91"/>
  <c r="T25" i="91"/>
  <c r="R25" i="91"/>
  <c r="P25" i="91"/>
  <c r="N25" i="91"/>
  <c r="L25" i="91"/>
  <c r="J25" i="91"/>
  <c r="F25" i="91"/>
  <c r="D25" i="91"/>
  <c r="B25" i="91"/>
  <c r="AA24" i="91"/>
  <c r="Z24" i="91"/>
  <c r="AA23" i="91"/>
  <c r="Z23" i="91"/>
  <c r="AA22" i="91"/>
  <c r="Z22" i="91"/>
  <c r="AA21" i="91"/>
  <c r="Z21" i="91"/>
  <c r="AA20" i="91"/>
  <c r="Z20" i="91"/>
  <c r="AA19" i="91"/>
  <c r="Z19" i="91"/>
  <c r="AA18" i="91"/>
  <c r="Z18" i="91"/>
  <c r="AA17" i="91"/>
  <c r="Z17" i="91"/>
  <c r="AA16" i="91"/>
  <c r="Z16" i="91"/>
  <c r="AA15" i="91"/>
  <c r="Z15" i="91"/>
  <c r="R53" i="55" l="1"/>
  <c r="AA25" i="91"/>
  <c r="H25" i="91"/>
  <c r="Z25" i="91"/>
  <c r="Z26" i="91" s="1"/>
  <c r="AA28" i="91" l="1"/>
  <c r="G167" i="68"/>
  <c r="D32" i="146" l="1"/>
  <c r="C120" i="145"/>
  <c r="G168" i="68"/>
  <c r="G169" i="68" s="1"/>
  <c r="F169" i="68" s="1"/>
  <c r="F167" i="68"/>
  <c r="F25" i="84"/>
  <c r="F13" i="83"/>
  <c r="P8" i="88"/>
  <c r="O8" i="88"/>
  <c r="L8" i="88"/>
  <c r="J8" i="88"/>
  <c r="H8" i="88"/>
  <c r="R19" i="88"/>
  <c r="R18" i="88"/>
  <c r="R17" i="88"/>
  <c r="R16" i="88"/>
  <c r="R15" i="88"/>
  <c r="R13" i="88"/>
  <c r="R12" i="88"/>
  <c r="R11" i="88"/>
  <c r="R9" i="88"/>
  <c r="G170" i="68" l="1"/>
  <c r="F168" i="68"/>
  <c r="G8" i="88"/>
  <c r="E8" i="88"/>
  <c r="F10" i="83"/>
  <c r="R31" i="88"/>
  <c r="R10" i="88"/>
  <c r="R14" i="88"/>
  <c r="C11" i="135" l="1"/>
  <c r="C118" i="150" s="1"/>
  <c r="G171" i="68"/>
  <c r="F170" i="68"/>
  <c r="G17" i="57"/>
  <c r="R8" i="88"/>
  <c r="F171" i="68" l="1"/>
  <c r="G172" i="68"/>
  <c r="F21" i="84"/>
  <c r="D30" i="146" l="1"/>
  <c r="C119" i="145"/>
  <c r="G173" i="68"/>
  <c r="F172" i="68"/>
  <c r="E23" i="55"/>
  <c r="E10" i="84"/>
  <c r="G23" i="55" l="1"/>
  <c r="G174" i="68"/>
  <c r="F173" i="68"/>
  <c r="O3" i="87"/>
  <c r="I3" i="87"/>
  <c r="P24" i="87"/>
  <c r="P25" i="87" s="1"/>
  <c r="N24" i="87"/>
  <c r="N25" i="87" s="1"/>
  <c r="L24" i="87"/>
  <c r="L25" i="87" s="1"/>
  <c r="J24" i="87"/>
  <c r="J25" i="87" s="1"/>
  <c r="H24" i="87"/>
  <c r="H25" i="87" s="1"/>
  <c r="F24" i="87"/>
  <c r="F25" i="87" s="1"/>
  <c r="D24" i="87"/>
  <c r="D25" i="87" s="1"/>
  <c r="R23" i="87"/>
  <c r="R24" i="87" s="1"/>
  <c r="R21" i="87"/>
  <c r="R22" i="87" s="1"/>
  <c r="S20" i="87"/>
  <c r="R19" i="87"/>
  <c r="R18" i="87"/>
  <c r="R17" i="87"/>
  <c r="R16" i="87"/>
  <c r="R15" i="87"/>
  <c r="R14" i="87"/>
  <c r="R13" i="87"/>
  <c r="R12" i="87"/>
  <c r="R11" i="87"/>
  <c r="R9" i="87"/>
  <c r="R8" i="87"/>
  <c r="R20" i="87" l="1"/>
  <c r="R25" i="87" s="1"/>
  <c r="F174" i="68"/>
  <c r="F175" i="68" s="1"/>
  <c r="G175" i="68"/>
  <c r="H176" i="68" s="1"/>
  <c r="S19" i="87" l="1"/>
  <c r="B78" i="66"/>
  <c r="C77" i="66"/>
  <c r="H6" i="77"/>
  <c r="F3" i="77"/>
  <c r="R9" i="85" l="1"/>
  <c r="M9" i="85"/>
  <c r="Y10" i="85"/>
  <c r="AL28" i="85"/>
  <c r="AJ28" i="85"/>
  <c r="AL24" i="85"/>
  <c r="AL23" i="85"/>
  <c r="AJ23" i="85"/>
  <c r="AJ22" i="85"/>
  <c r="AL22" i="85"/>
  <c r="AL21" i="85"/>
  <c r="AF21" i="85"/>
  <c r="AF20" i="85"/>
  <c r="AN20" i="85"/>
  <c r="AJ20" i="85"/>
  <c r="AD20" i="85"/>
  <c r="AJ19" i="85"/>
  <c r="AL29" i="85"/>
  <c r="AD19" i="85"/>
  <c r="AB8" i="85"/>
  <c r="AA8" i="85"/>
  <c r="Y8" i="85"/>
  <c r="AA28" i="85" l="1"/>
  <c r="AL18" i="85"/>
  <c r="AJ24" i="85"/>
  <c r="AN24" i="85"/>
  <c r="AJ18" i="85"/>
  <c r="AF19" i="85"/>
  <c r="AJ21" i="85"/>
  <c r="AN22" i="85"/>
  <c r="AN23" i="85"/>
  <c r="AA10" i="85"/>
  <c r="AL20" i="85"/>
  <c r="AH21" i="85"/>
  <c r="AJ29" i="85"/>
  <c r="AD21" i="85"/>
  <c r="AL19" i="85"/>
  <c r="AN21" i="85"/>
  <c r="AJ17" i="85" l="1"/>
  <c r="AN28" i="85"/>
  <c r="AL16" i="85"/>
  <c r="AL17" i="85"/>
  <c r="AJ16" i="85"/>
  <c r="AN19" i="85"/>
  <c r="AN18" i="85"/>
  <c r="AB10" i="85"/>
  <c r="AN29" i="85"/>
  <c r="Z29" i="85"/>
  <c r="Y11" i="85"/>
  <c r="AA11" i="85" l="1"/>
  <c r="AN17" i="85"/>
  <c r="AN16" i="85" l="1"/>
  <c r="AB11" i="85"/>
  <c r="D117" i="84" l="1"/>
  <c r="E117" i="84"/>
  <c r="E22" i="92" l="1"/>
  <c r="E19" i="92" s="1"/>
  <c r="E22" i="61"/>
  <c r="D101" i="84"/>
  <c r="E16" i="92" l="1"/>
  <c r="E12" i="92" s="1"/>
  <c r="E11" i="92" s="1"/>
  <c r="E37" i="92" s="1"/>
  <c r="E45" i="92" s="1"/>
  <c r="E46" i="92" s="1"/>
  <c r="E16" i="61"/>
  <c r="J99" i="84"/>
  <c r="I99" i="84"/>
  <c r="H99" i="84"/>
  <c r="G99" i="84"/>
  <c r="H95" i="84"/>
  <c r="D95" i="84"/>
  <c r="G26" i="55"/>
  <c r="G24" i="55"/>
  <c r="F66" i="127" l="1"/>
  <c r="D100" i="84"/>
  <c r="C36" i="110" s="1"/>
  <c r="C27" i="110" s="1"/>
  <c r="E100" i="84"/>
  <c r="F206" i="84" l="1"/>
  <c r="E205" i="84" s="1"/>
  <c r="D36" i="110"/>
  <c r="D27" i="110" s="1"/>
  <c r="F5" i="115"/>
  <c r="D5" i="115"/>
  <c r="D30" i="84"/>
  <c r="F25" i="55" s="1"/>
  <c r="F28" i="55" s="1"/>
  <c r="E198" i="84" l="1"/>
  <c r="E196" i="84"/>
  <c r="E199" i="84"/>
  <c r="D42" i="108" s="1"/>
  <c r="E197" i="84"/>
  <c r="E200" i="84"/>
  <c r="D43" i="108" s="1"/>
  <c r="E203" i="84"/>
  <c r="D46" i="108" s="1"/>
  <c r="E202" i="84"/>
  <c r="D45" i="108" s="1"/>
  <c r="E201" i="84"/>
  <c r="D44" i="108" s="1"/>
  <c r="V28" i="55"/>
  <c r="R28" i="55"/>
  <c r="D39" i="108"/>
  <c r="D186" i="84"/>
  <c r="H186" i="84" l="1"/>
  <c r="G29" i="108" s="1"/>
  <c r="C29" i="108"/>
  <c r="H14" i="108" s="1"/>
  <c r="E25" i="55"/>
  <c r="E26" i="55"/>
  <c r="K159" i="84"/>
  <c r="C66" i="127" s="1"/>
  <c r="H66" i="127" s="1"/>
  <c r="K140" i="84"/>
  <c r="C47" i="127" s="1"/>
  <c r="H47" i="127" s="1"/>
  <c r="E30" i="84"/>
  <c r="E9" i="84" s="1"/>
  <c r="J8" i="84"/>
  <c r="I8" i="84"/>
  <c r="H8" i="84"/>
  <c r="G8" i="84"/>
  <c r="F8" i="84"/>
  <c r="E8" i="84"/>
  <c r="D8" i="84"/>
  <c r="H4" i="84"/>
  <c r="D4" i="84"/>
  <c r="D24" i="66"/>
  <c r="E24" i="66"/>
  <c r="N11" i="66"/>
  <c r="N14" i="66"/>
  <c r="N19" i="66"/>
  <c r="N26" i="66"/>
  <c r="N29" i="66"/>
  <c r="N30" i="66"/>
  <c r="N31" i="66"/>
  <c r="N32" i="66"/>
  <c r="N33" i="66"/>
  <c r="N34" i="66"/>
  <c r="N35" i="66"/>
  <c r="N37" i="66"/>
  <c r="N44" i="66"/>
  <c r="N45" i="66"/>
  <c r="N47" i="66"/>
  <c r="N57" i="66"/>
  <c r="N63" i="66"/>
  <c r="N65" i="66"/>
  <c r="D24" i="110" l="1"/>
  <c r="J14" i="108"/>
  <c r="I14" i="108"/>
  <c r="E28" i="55"/>
  <c r="F190" i="84"/>
  <c r="G25" i="55"/>
  <c r="G28" i="55" s="1"/>
  <c r="D15" i="110" l="1"/>
  <c r="E184" i="84"/>
  <c r="D27" i="108" s="1"/>
  <c r="E180" i="84"/>
  <c r="E189" i="84"/>
  <c r="D32" i="108" s="1"/>
  <c r="E185" i="84"/>
  <c r="D28" i="108" s="1"/>
  <c r="E181" i="84"/>
  <c r="D24" i="108" s="1"/>
  <c r="E186" i="84"/>
  <c r="D29" i="108" s="1"/>
  <c r="E182" i="84"/>
  <c r="D25" i="108" s="1"/>
  <c r="E33" i="108"/>
  <c r="E187" i="84"/>
  <c r="D30" i="108" s="1"/>
  <c r="E183" i="84"/>
  <c r="D26" i="108" s="1"/>
  <c r="F188" i="84"/>
  <c r="F4" i="115"/>
  <c r="B171" i="21"/>
  <c r="B164" i="21"/>
  <c r="B165" i="21"/>
  <c r="B159" i="21"/>
  <c r="B168" i="21" s="1"/>
  <c r="B178" i="21" s="1"/>
  <c r="B160" i="21"/>
  <c r="B169" i="21" s="1"/>
  <c r="E152" i="21"/>
  <c r="F152" i="21"/>
  <c r="G152" i="21"/>
  <c r="H152" i="21"/>
  <c r="I152" i="21"/>
  <c r="J152" i="21"/>
  <c r="K152" i="21"/>
  <c r="L152" i="21"/>
  <c r="M152" i="21"/>
  <c r="N152" i="21"/>
  <c r="O152" i="21"/>
  <c r="P152" i="21"/>
  <c r="D154" i="21"/>
  <c r="D21" i="57"/>
  <c r="D20" i="57"/>
  <c r="F8" i="83"/>
  <c r="E8" i="83"/>
  <c r="D8" i="83"/>
  <c r="G4" i="83"/>
  <c r="C4" i="83"/>
  <c r="D23" i="83"/>
  <c r="E19" i="57" s="1"/>
  <c r="E22" i="57" s="1"/>
  <c r="D19" i="57"/>
  <c r="D23" i="108" l="1"/>
  <c r="E188" i="84"/>
  <c r="D31" i="108" s="1"/>
  <c r="E31" i="108"/>
  <c r="D201" i="21"/>
  <c r="R201" i="21" s="1"/>
  <c r="D170" i="21"/>
  <c r="D22" i="57"/>
  <c r="N42" i="66"/>
  <c r="F21" i="57"/>
  <c r="F22" i="83"/>
  <c r="E190" i="84" l="1"/>
  <c r="D33" i="108" s="1"/>
  <c r="F19" i="57"/>
  <c r="F22" i="57" s="1"/>
  <c r="D10" i="83" l="1"/>
  <c r="E17" i="57" s="1"/>
  <c r="E10" i="83"/>
  <c r="J8" i="83"/>
  <c r="I8" i="83"/>
  <c r="H8" i="83"/>
  <c r="G8" i="83"/>
  <c r="D17" i="57"/>
  <c r="F17" i="57" l="1"/>
  <c r="E9" i="83"/>
  <c r="D9" i="83"/>
  <c r="C48" i="110" s="1"/>
  <c r="C39" i="110" s="1"/>
  <c r="F84" i="83" l="1"/>
  <c r="E80" i="83" s="1"/>
  <c r="D60" i="108" s="1"/>
  <c r="D48" i="110"/>
  <c r="D33" i="146"/>
  <c r="C122" i="145"/>
  <c r="F6" i="115"/>
  <c r="D6" i="115"/>
  <c r="I12" i="82"/>
  <c r="I11" i="82"/>
  <c r="I32" i="81"/>
  <c r="I40" i="81" s="1"/>
  <c r="I22" i="81"/>
  <c r="I21" i="81"/>
  <c r="E74" i="83" l="1"/>
  <c r="E64" i="108"/>
  <c r="E75" i="83"/>
  <c r="D55" i="108" s="1"/>
  <c r="F82" i="83"/>
  <c r="E82" i="83" s="1"/>
  <c r="D62" i="108" s="1"/>
  <c r="E78" i="83"/>
  <c r="D58" i="108" s="1"/>
  <c r="E77" i="83"/>
  <c r="D57" i="108" s="1"/>
  <c r="E81" i="83"/>
  <c r="D61" i="108" s="1"/>
  <c r="E76" i="83"/>
  <c r="D56" i="108" s="1"/>
  <c r="E83" i="83"/>
  <c r="D63" i="108" s="1"/>
  <c r="E79" i="83"/>
  <c r="D59" i="108" s="1"/>
  <c r="D39" i="110"/>
  <c r="I41" i="81"/>
  <c r="D54" i="108"/>
  <c r="I39" i="81"/>
  <c r="E62" i="108" l="1"/>
  <c r="E84" i="83"/>
  <c r="D64" i="108" s="1"/>
  <c r="C64" i="76"/>
  <c r="F22" i="78" l="1"/>
  <c r="N25" i="66" l="1"/>
  <c r="F52" i="78" l="1"/>
  <c r="D24" i="78"/>
  <c r="E9" i="78"/>
  <c r="D9" i="78"/>
  <c r="C9" i="78"/>
  <c r="F7" i="78"/>
  <c r="E7" i="78"/>
  <c r="D7" i="78"/>
  <c r="H3" i="78"/>
  <c r="C3" i="78"/>
  <c r="C25" i="26"/>
  <c r="C24" i="27"/>
  <c r="C24" i="30"/>
  <c r="C24" i="31"/>
  <c r="C25" i="76"/>
  <c r="E9" i="66"/>
  <c r="E33" i="77"/>
  <c r="B9" i="77"/>
  <c r="B10" i="77" s="1"/>
  <c r="B11" i="77" s="1"/>
  <c r="B13" i="77" s="1"/>
  <c r="B14" i="77" s="1"/>
  <c r="B15" i="77" s="1"/>
  <c r="B16" i="77" s="1"/>
  <c r="B17" i="77" s="1"/>
  <c r="B18" i="77" s="1"/>
  <c r="B19" i="77" s="1"/>
  <c r="B20" i="77" s="1"/>
  <c r="B25" i="77" s="1"/>
  <c r="B27" i="77" s="1"/>
  <c r="B28" i="77" s="1"/>
  <c r="B29" i="77" s="1"/>
  <c r="B30" i="77" s="1"/>
  <c r="B32" i="77" s="1"/>
  <c r="H8" i="77"/>
  <c r="J32" i="75"/>
  <c r="J31" i="75"/>
  <c r="I25" i="75"/>
  <c r="I24" i="75"/>
  <c r="I23" i="75"/>
  <c r="I21" i="75"/>
  <c r="I19" i="75"/>
  <c r="G33" i="77" l="1"/>
  <c r="N53" i="66"/>
  <c r="N46" i="66"/>
  <c r="I18" i="75"/>
  <c r="N48" i="66"/>
  <c r="D8" i="78"/>
  <c r="C60" i="110" s="1"/>
  <c r="E8" i="78"/>
  <c r="C8" i="78"/>
  <c r="B60" i="110" s="1"/>
  <c r="B51" i="110" s="1"/>
  <c r="H33" i="77"/>
  <c r="F90" i="78" l="1"/>
  <c r="F88" i="78" s="1"/>
  <c r="D60" i="110"/>
  <c r="E85" i="78"/>
  <c r="D74" i="108" s="1"/>
  <c r="E89" i="78"/>
  <c r="D78" i="108" s="1"/>
  <c r="E80" i="78"/>
  <c r="E87" i="78"/>
  <c r="D76" i="108" s="1"/>
  <c r="E79" i="108"/>
  <c r="O2" i="78"/>
  <c r="B7" i="115"/>
  <c r="N41" i="66"/>
  <c r="D7" i="115"/>
  <c r="P2" i="78"/>
  <c r="N49" i="66"/>
  <c r="F7" i="115"/>
  <c r="Q2" i="78"/>
  <c r="E82" i="78" l="1"/>
  <c r="D71" i="108" s="1"/>
  <c r="E86" i="78"/>
  <c r="D75" i="108" s="1"/>
  <c r="E83" i="78"/>
  <c r="D72" i="108" s="1"/>
  <c r="E84" i="78"/>
  <c r="D73" i="108" s="1"/>
  <c r="E81" i="78"/>
  <c r="D70" i="108" s="1"/>
  <c r="D51" i="110"/>
  <c r="D69" i="108"/>
  <c r="E88" i="78"/>
  <c r="D77" i="108" s="1"/>
  <c r="E77" i="108"/>
  <c r="N43" i="66"/>
  <c r="E38" i="66"/>
  <c r="E8" i="66" s="1"/>
  <c r="F116" i="66" l="1"/>
  <c r="D72" i="110"/>
  <c r="E90" i="78"/>
  <c r="D79" i="108" s="1"/>
  <c r="F114" i="66"/>
  <c r="E115" i="66"/>
  <c r="D93" i="108" s="1"/>
  <c r="E109" i="66"/>
  <c r="D87" i="108" s="1"/>
  <c r="E110" i="66"/>
  <c r="D88" i="108" s="1"/>
  <c r="E108" i="66"/>
  <c r="D86" i="108" s="1"/>
  <c r="E107" i="66"/>
  <c r="D85" i="108" s="1"/>
  <c r="E106" i="66"/>
  <c r="E113" i="66"/>
  <c r="D91" i="108" s="1"/>
  <c r="E112" i="66"/>
  <c r="D90" i="108" s="1"/>
  <c r="E111" i="66"/>
  <c r="D89" i="108" s="1"/>
  <c r="E94" i="108"/>
  <c r="F8" i="115"/>
  <c r="F9" i="115" s="1"/>
  <c r="N12" i="66"/>
  <c r="D63" i="110" l="1"/>
  <c r="D11" i="110"/>
  <c r="D2" i="110" s="1"/>
  <c r="D84" i="108"/>
  <c r="E114" i="66"/>
  <c r="D92" i="108" s="1"/>
  <c r="E92" i="108"/>
  <c r="B13" i="115"/>
  <c r="D13" i="115" s="1"/>
  <c r="F20" i="110"/>
  <c r="B14" i="115"/>
  <c r="D14" i="115" s="1"/>
  <c r="F13" i="109"/>
  <c r="B31" i="146"/>
  <c r="F71" i="54"/>
  <c r="F178" i="54" s="1"/>
  <c r="F188" i="54" s="1"/>
  <c r="E116" i="66" l="1"/>
  <c r="D94" i="108" s="1"/>
  <c r="F32" i="110"/>
  <c r="H13" i="109"/>
  <c r="D13" i="109" s="1"/>
  <c r="D70" i="109" s="1"/>
  <c r="H70" i="109" s="1"/>
  <c r="D73" i="22"/>
  <c r="D74" i="22" s="1"/>
  <c r="E178" i="54"/>
  <c r="E188" i="54" s="1"/>
  <c r="E73" i="22"/>
  <c r="E74" i="22" s="1"/>
  <c r="D24" i="98"/>
  <c r="C35" i="145" l="1"/>
  <c r="I21" i="112"/>
  <c r="B15" i="115" l="1"/>
  <c r="D15" i="115" s="1"/>
  <c r="N27" i="66" l="1"/>
  <c r="B19" i="115"/>
  <c r="D19" i="115" s="1"/>
  <c r="N18" i="66" l="1"/>
  <c r="B18" i="115"/>
  <c r="D18" i="115" l="1"/>
  <c r="B20" i="115"/>
  <c r="D20" i="115" s="1"/>
  <c r="A23" i="67"/>
  <c r="A21" i="67"/>
  <c r="M19" i="70" l="1"/>
  <c r="B19" i="70"/>
  <c r="L3" i="70"/>
  <c r="C114" i="70" s="1"/>
  <c r="E3" i="70"/>
  <c r="E17" i="70"/>
  <c r="J18" i="67"/>
  <c r="E18" i="67"/>
  <c r="D9" i="66" l="1"/>
  <c r="D8" i="66" s="1"/>
  <c r="C72" i="110" s="1"/>
  <c r="N22" i="66"/>
  <c r="N13" i="66"/>
  <c r="O15" i="70"/>
  <c r="B93" i="70" s="1"/>
  <c r="C17" i="70"/>
  <c r="G17" i="70"/>
  <c r="K17" i="70"/>
  <c r="B17" i="70"/>
  <c r="Q17" i="70" s="1"/>
  <c r="F17" i="70"/>
  <c r="J17" i="70"/>
  <c r="D17" i="70"/>
  <c r="H17" i="70"/>
  <c r="L17" i="70"/>
  <c r="O9" i="70"/>
  <c r="O14" i="70"/>
  <c r="B85" i="70" s="1"/>
  <c r="O13" i="70"/>
  <c r="B77" i="70" s="1"/>
  <c r="O12" i="70"/>
  <c r="B69" i="70" s="1"/>
  <c r="O16" i="70"/>
  <c r="B101" i="70" s="1"/>
  <c r="M13" i="67"/>
  <c r="H14" i="67"/>
  <c r="D18" i="67"/>
  <c r="M16" i="67"/>
  <c r="H17" i="67"/>
  <c r="H12" i="67"/>
  <c r="G18" i="67"/>
  <c r="L18" i="67"/>
  <c r="H13" i="67"/>
  <c r="M14" i="67"/>
  <c r="I18" i="67"/>
  <c r="C18" i="67"/>
  <c r="B18" i="67"/>
  <c r="F18" i="67"/>
  <c r="K18" i="67"/>
  <c r="H16" i="67"/>
  <c r="M17" i="67"/>
  <c r="H15" i="67"/>
  <c r="M15" i="67"/>
  <c r="M12" i="67"/>
  <c r="H11" i="67"/>
  <c r="M11" i="67"/>
  <c r="D201" i="84" l="1"/>
  <c r="D8" i="115"/>
  <c r="F42" i="78"/>
  <c r="N17" i="67"/>
  <c r="N14" i="67"/>
  <c r="M17" i="70"/>
  <c r="I17" i="70"/>
  <c r="O11" i="70"/>
  <c r="B61" i="70" s="1"/>
  <c r="N13" i="67"/>
  <c r="P18" i="67" s="1"/>
  <c r="N12" i="67"/>
  <c r="M18" i="67"/>
  <c r="N15" i="67"/>
  <c r="H18" i="67"/>
  <c r="N16" i="67"/>
  <c r="N11" i="67"/>
  <c r="C63" i="110" l="1"/>
  <c r="C44" i="108"/>
  <c r="H201" i="84"/>
  <c r="G44" i="108" s="1"/>
  <c r="N36" i="66"/>
  <c r="N40" i="66"/>
  <c r="H16" i="109"/>
  <c r="F16" i="109"/>
  <c r="B32" i="146"/>
  <c r="F33" i="110"/>
  <c r="H19" i="109"/>
  <c r="N17" i="70"/>
  <c r="O8" i="70"/>
  <c r="N18" i="67"/>
  <c r="O18" i="67"/>
  <c r="D79" i="83" l="1"/>
  <c r="H79" i="83" s="1"/>
  <c r="G59" i="108" s="1"/>
  <c r="C15" i="135"/>
  <c r="C122" i="150" s="1"/>
  <c r="D16" i="109"/>
  <c r="D40" i="108"/>
  <c r="E40" i="108"/>
  <c r="G21" i="57"/>
  <c r="F18" i="109"/>
  <c r="B33" i="146"/>
  <c r="H18" i="109"/>
  <c r="J19" i="109"/>
  <c r="O17" i="70"/>
  <c r="C19" i="132"/>
  <c r="C60" i="150" s="1"/>
  <c r="E7" i="66"/>
  <c r="C9" i="66"/>
  <c r="C8" i="66" s="1"/>
  <c r="B72" i="110" s="1"/>
  <c r="F7" i="66"/>
  <c r="D7" i="66"/>
  <c r="H3" i="66"/>
  <c r="C3" i="66"/>
  <c r="C79" i="63"/>
  <c r="B74" i="63"/>
  <c r="B73" i="63"/>
  <c r="B11" i="110" l="1"/>
  <c r="B2" i="110" s="1"/>
  <c r="B63" i="110"/>
  <c r="F45" i="110"/>
  <c r="D29" i="146"/>
  <c r="C37" i="145"/>
  <c r="C59" i="108"/>
  <c r="D185" i="84"/>
  <c r="B8" i="115"/>
  <c r="B9" i="115" s="1"/>
  <c r="D18" i="109"/>
  <c r="I23" i="112"/>
  <c r="D79" i="63"/>
  <c r="N10" i="66"/>
  <c r="C123" i="145" l="1"/>
  <c r="B29" i="146"/>
  <c r="C39" i="145"/>
  <c r="C28" i="108"/>
  <c r="H185" i="84"/>
  <c r="G28" i="108" s="1"/>
  <c r="F19" i="109"/>
  <c r="D19" i="109" s="1"/>
  <c r="F21" i="110"/>
  <c r="E79" i="63"/>
  <c r="F79" i="63"/>
  <c r="I25" i="112"/>
  <c r="C64" i="63"/>
  <c r="N55" i="63"/>
  <c r="N60" i="63" s="1"/>
  <c r="T60" i="63" s="1"/>
  <c r="O55" i="63"/>
  <c r="P55" i="63"/>
  <c r="Q55" i="63"/>
  <c r="R55" i="63"/>
  <c r="S55" i="63"/>
  <c r="U55" i="63"/>
  <c r="S60" i="63"/>
  <c r="R60" i="63"/>
  <c r="Q60" i="63"/>
  <c r="P60" i="63"/>
  <c r="T59" i="63"/>
  <c r="T57" i="63"/>
  <c r="T56" i="63"/>
  <c r="T54" i="63"/>
  <c r="T55" i="63" s="1"/>
  <c r="T53" i="63"/>
  <c r="T52" i="63"/>
  <c r="T51" i="63"/>
  <c r="T50" i="63"/>
  <c r="T49" i="63"/>
  <c r="T48" i="63"/>
  <c r="T47" i="63"/>
  <c r="T46" i="63"/>
  <c r="U45" i="63"/>
  <c r="S45" i="63"/>
  <c r="R45" i="63"/>
  <c r="Q45" i="63"/>
  <c r="P45" i="63"/>
  <c r="O45" i="63"/>
  <c r="N45" i="63"/>
  <c r="T44" i="63"/>
  <c r="T43" i="63"/>
  <c r="T42" i="63"/>
  <c r="T41" i="63"/>
  <c r="T40" i="63"/>
  <c r="T39" i="63"/>
  <c r="T38" i="63"/>
  <c r="T37" i="63"/>
  <c r="T36" i="63"/>
  <c r="T35" i="63"/>
  <c r="T33" i="63"/>
  <c r="T32" i="63"/>
  <c r="T31" i="63"/>
  <c r="T30" i="63"/>
  <c r="T29" i="63"/>
  <c r="T28" i="63"/>
  <c r="T25" i="63"/>
  <c r="T24" i="63"/>
  <c r="T21" i="63"/>
  <c r="T18" i="63"/>
  <c r="T17" i="63"/>
  <c r="O16" i="63"/>
  <c r="O60" i="63" s="1"/>
  <c r="T15" i="63"/>
  <c r="T14" i="63"/>
  <c r="T13" i="63"/>
  <c r="T12" i="63"/>
  <c r="T11" i="63"/>
  <c r="T10" i="63"/>
  <c r="T9" i="63"/>
  <c r="D90" i="109" l="1"/>
  <c r="H90" i="109" s="1"/>
  <c r="D72" i="109"/>
  <c r="H72" i="109" s="1"/>
  <c r="U14" i="63"/>
  <c r="T45" i="63"/>
  <c r="H60" i="63"/>
  <c r="L60" i="63"/>
  <c r="K60" i="63"/>
  <c r="I60" i="63"/>
  <c r="J60" i="63"/>
  <c r="T16" i="63"/>
  <c r="O19" i="124" l="1"/>
  <c r="P14" i="124" s="1"/>
  <c r="C40" i="145"/>
  <c r="I26" i="112"/>
  <c r="M60" i="63"/>
  <c r="N52" i="66" l="1"/>
  <c r="N51" i="66" l="1"/>
  <c r="C2" i="54"/>
  <c r="F38" i="22" l="1"/>
  <c r="F41" i="22"/>
  <c r="E54" i="22"/>
  <c r="F40" i="22" l="1"/>
  <c r="F62" i="22"/>
  <c r="E81" i="22"/>
  <c r="D81" i="22"/>
  <c r="F88" i="22" l="1"/>
  <c r="L64" i="22"/>
  <c r="H29" i="29"/>
  <c r="C40" i="29"/>
  <c r="F40" i="29" s="1"/>
  <c r="I40" i="29" s="1"/>
  <c r="L40" i="29" s="1"/>
  <c r="F34" i="29"/>
  <c r="I34" i="29" s="1"/>
  <c r="L34" i="29" s="1"/>
  <c r="F35" i="29"/>
  <c r="I35" i="29" s="1"/>
  <c r="L35" i="29" s="1"/>
  <c r="F36" i="29"/>
  <c r="I36" i="29" s="1"/>
  <c r="L36" i="29" s="1"/>
  <c r="F37" i="29"/>
  <c r="I37" i="29" s="1"/>
  <c r="L37" i="29" s="1"/>
  <c r="F38" i="29"/>
  <c r="I38" i="29" s="1"/>
  <c r="L38" i="29" s="1"/>
  <c r="F39" i="29"/>
  <c r="I39" i="29" s="1"/>
  <c r="L39" i="29" s="1"/>
  <c r="F41" i="29"/>
  <c r="I41" i="29" s="1"/>
  <c r="L41" i="29" s="1"/>
  <c r="F30" i="29"/>
  <c r="I30" i="29" s="1"/>
  <c r="L30" i="29" s="1"/>
  <c r="F21" i="29"/>
  <c r="F20" i="29"/>
  <c r="F17" i="29"/>
  <c r="F16" i="29"/>
  <c r="H15" i="29"/>
  <c r="F29" i="29" l="1"/>
  <c r="B163" i="21"/>
  <c r="B158" i="21"/>
  <c r="B167" i="21" s="1"/>
  <c r="D150" i="21"/>
  <c r="D161" i="21"/>
  <c r="D164" i="21" s="1"/>
  <c r="B161" i="21"/>
  <c r="D156" i="21"/>
  <c r="B156" i="21"/>
  <c r="D153" i="21"/>
  <c r="D187" i="21" s="1"/>
  <c r="T187" i="21" s="1"/>
  <c r="B80" i="21"/>
  <c r="B77" i="21"/>
  <c r="B73" i="21"/>
  <c r="D71" i="21"/>
  <c r="B71" i="21"/>
  <c r="D70" i="21"/>
  <c r="B22" i="21"/>
  <c r="D79" i="21" l="1"/>
  <c r="F42" i="83"/>
  <c r="D199" i="21"/>
  <c r="R199" i="21" s="1"/>
  <c r="D163" i="21"/>
  <c r="D198" i="21"/>
  <c r="R198" i="21" s="1"/>
  <c r="D76" i="21"/>
  <c r="D74" i="21"/>
  <c r="E161" i="21"/>
  <c r="E165" i="21" s="1"/>
  <c r="E156" i="21"/>
  <c r="D159" i="21"/>
  <c r="F15" i="29"/>
  <c r="D158" i="21"/>
  <c r="D155" i="21"/>
  <c r="D152" i="21" s="1"/>
  <c r="D72" i="21"/>
  <c r="E73" i="21"/>
  <c r="E71" i="21"/>
  <c r="D200" i="21" l="1"/>
  <c r="R200" i="21" s="1"/>
  <c r="D165" i="21"/>
  <c r="E160" i="21"/>
  <c r="E169" i="21" s="1"/>
  <c r="E215" i="21" s="1"/>
  <c r="E158" i="21"/>
  <c r="D162" i="21"/>
  <c r="D188" i="21"/>
  <c r="T188" i="21" s="1"/>
  <c r="D168" i="21"/>
  <c r="O6" i="117" s="1"/>
  <c r="O5" i="117" s="1"/>
  <c r="E163" i="21"/>
  <c r="F161" i="21"/>
  <c r="E164" i="21"/>
  <c r="F156" i="21"/>
  <c r="E159" i="21"/>
  <c r="D167" i="21"/>
  <c r="E157" i="21"/>
  <c r="E162" i="21"/>
  <c r="D160" i="21"/>
  <c r="D75" i="21"/>
  <c r="E74" i="21"/>
  <c r="F73" i="21"/>
  <c r="E72" i="21"/>
  <c r="F71" i="21"/>
  <c r="H2" i="117" l="1"/>
  <c r="D214" i="21"/>
  <c r="D157" i="21"/>
  <c r="D166" i="21" s="1"/>
  <c r="E168" i="21"/>
  <c r="E167" i="21"/>
  <c r="E214" i="21" s="1"/>
  <c r="F162" i="21"/>
  <c r="F165" i="21"/>
  <c r="F163" i="21"/>
  <c r="G161" i="21"/>
  <c r="F164" i="21"/>
  <c r="G156" i="21"/>
  <c r="F159" i="21"/>
  <c r="F160" i="21"/>
  <c r="F158" i="21"/>
  <c r="F157" i="21"/>
  <c r="F28" i="78"/>
  <c r="D169" i="21"/>
  <c r="E67" i="110" s="1"/>
  <c r="E166" i="21"/>
  <c r="E75" i="21"/>
  <c r="F72" i="21"/>
  <c r="G71" i="21"/>
  <c r="F74" i="21"/>
  <c r="G73" i="21"/>
  <c r="E55" i="110" l="1"/>
  <c r="D215" i="21"/>
  <c r="F167" i="21"/>
  <c r="F214" i="21" s="1"/>
  <c r="F166" i="21"/>
  <c r="F168" i="21"/>
  <c r="G163" i="21"/>
  <c r="G165" i="21"/>
  <c r="G162" i="21"/>
  <c r="F169" i="21"/>
  <c r="F215" i="21" s="1"/>
  <c r="H161" i="21"/>
  <c r="G164" i="21"/>
  <c r="H156" i="21"/>
  <c r="G159" i="21"/>
  <c r="G157" i="21"/>
  <c r="G158" i="21"/>
  <c r="G160" i="21"/>
  <c r="G74" i="21"/>
  <c r="H73" i="21"/>
  <c r="F75" i="21"/>
  <c r="G72" i="21"/>
  <c r="H71" i="21"/>
  <c r="N28" i="66" l="1"/>
  <c r="N24" i="66" s="1"/>
  <c r="F24" i="66"/>
  <c r="G168" i="21"/>
  <c r="G166" i="21"/>
  <c r="G167" i="21"/>
  <c r="G214" i="21" s="1"/>
  <c r="H165" i="21"/>
  <c r="H163" i="21"/>
  <c r="H162" i="21"/>
  <c r="G169" i="21"/>
  <c r="G215" i="21" s="1"/>
  <c r="I161" i="21"/>
  <c r="H164" i="21"/>
  <c r="I156" i="21"/>
  <c r="H159" i="21"/>
  <c r="H160" i="21"/>
  <c r="H157" i="21"/>
  <c r="H158" i="21"/>
  <c r="G75" i="21"/>
  <c r="H74" i="21"/>
  <c r="I73" i="21"/>
  <c r="H72" i="21"/>
  <c r="I71" i="21"/>
  <c r="H169" i="21" l="1"/>
  <c r="H215" i="21" s="1"/>
  <c r="H166" i="21"/>
  <c r="H168" i="21"/>
  <c r="I163" i="21"/>
  <c r="I162" i="21"/>
  <c r="I165" i="21"/>
  <c r="H167" i="21"/>
  <c r="H214" i="21" s="1"/>
  <c r="J161" i="21"/>
  <c r="I164" i="21"/>
  <c r="J156" i="21"/>
  <c r="I159" i="21"/>
  <c r="I157" i="21"/>
  <c r="I160" i="21"/>
  <c r="I158" i="21"/>
  <c r="H75" i="21"/>
  <c r="I72" i="21"/>
  <c r="J71" i="21"/>
  <c r="I74" i="21"/>
  <c r="J73" i="21"/>
  <c r="I166" i="21" l="1"/>
  <c r="I169" i="21"/>
  <c r="I215" i="21" s="1"/>
  <c r="I168" i="21"/>
  <c r="J165" i="21"/>
  <c r="J163" i="21"/>
  <c r="J162" i="21"/>
  <c r="I167" i="21"/>
  <c r="I214" i="21" s="1"/>
  <c r="K161" i="21"/>
  <c r="J164" i="21"/>
  <c r="K156" i="21"/>
  <c r="J159" i="21"/>
  <c r="J160" i="21"/>
  <c r="J158" i="21"/>
  <c r="J157" i="21"/>
  <c r="I75" i="21"/>
  <c r="J72" i="21"/>
  <c r="K71" i="21"/>
  <c r="J74" i="21"/>
  <c r="K73" i="21"/>
  <c r="J169" i="21" l="1"/>
  <c r="J215" i="21" s="1"/>
  <c r="J167" i="21"/>
  <c r="J214" i="21" s="1"/>
  <c r="J166" i="21"/>
  <c r="J168" i="21"/>
  <c r="K162" i="21"/>
  <c r="K163" i="21"/>
  <c r="K165" i="21"/>
  <c r="L161" i="21"/>
  <c r="K164" i="21"/>
  <c r="L156" i="21"/>
  <c r="K159" i="21"/>
  <c r="K158" i="21"/>
  <c r="K160" i="21"/>
  <c r="K157" i="21"/>
  <c r="J75" i="21"/>
  <c r="K72" i="21"/>
  <c r="L71" i="21"/>
  <c r="K74" i="21"/>
  <c r="L73" i="21"/>
  <c r="K169" i="21" l="1"/>
  <c r="K215" i="21" s="1"/>
  <c r="K168" i="21"/>
  <c r="L165" i="21"/>
  <c r="L163" i="21"/>
  <c r="L162" i="21"/>
  <c r="K166" i="21"/>
  <c r="K167" i="21"/>
  <c r="K214" i="21" s="1"/>
  <c r="M161" i="21"/>
  <c r="L164" i="21"/>
  <c r="M156" i="21"/>
  <c r="L159" i="21"/>
  <c r="L157" i="21"/>
  <c r="L158" i="21"/>
  <c r="L160" i="21"/>
  <c r="K75" i="21"/>
  <c r="L72" i="21"/>
  <c r="M71" i="21"/>
  <c r="L74" i="21"/>
  <c r="M73" i="21"/>
  <c r="L166" i="21" l="1"/>
  <c r="L168" i="21"/>
  <c r="L167" i="21"/>
  <c r="L214" i="21" s="1"/>
  <c r="M162" i="21"/>
  <c r="M165" i="21"/>
  <c r="M163" i="21"/>
  <c r="L169" i="21"/>
  <c r="L215" i="21" s="1"/>
  <c r="N161" i="21"/>
  <c r="M164" i="21"/>
  <c r="N156" i="21"/>
  <c r="M159" i="21"/>
  <c r="M160" i="21"/>
  <c r="M158" i="21"/>
  <c r="M157" i="21"/>
  <c r="M74" i="21"/>
  <c r="N73" i="21"/>
  <c r="M72" i="21"/>
  <c r="N71" i="21"/>
  <c r="L75" i="21"/>
  <c r="M167" i="21" l="1"/>
  <c r="M214" i="21" s="1"/>
  <c r="M168" i="21"/>
  <c r="M169" i="21"/>
  <c r="M215" i="21" s="1"/>
  <c r="N165" i="21"/>
  <c r="N163" i="21"/>
  <c r="N162" i="21"/>
  <c r="M166" i="21"/>
  <c r="O161" i="21"/>
  <c r="N164" i="21"/>
  <c r="O156" i="21"/>
  <c r="N159" i="21"/>
  <c r="N160" i="21"/>
  <c r="N157" i="21"/>
  <c r="N158" i="21"/>
  <c r="N74" i="21"/>
  <c r="O73" i="21"/>
  <c r="N72" i="21"/>
  <c r="O71" i="21"/>
  <c r="M75" i="21"/>
  <c r="N169" i="21" l="1"/>
  <c r="N215" i="21" s="1"/>
  <c r="N166" i="21"/>
  <c r="N168" i="21"/>
  <c r="O162" i="21"/>
  <c r="O165" i="21"/>
  <c r="O163" i="21"/>
  <c r="N167" i="21"/>
  <c r="N214" i="21" s="1"/>
  <c r="P161" i="21"/>
  <c r="O164" i="21"/>
  <c r="P156" i="21"/>
  <c r="O159" i="21"/>
  <c r="O160" i="21"/>
  <c r="O157" i="21"/>
  <c r="O158" i="21"/>
  <c r="O72" i="21"/>
  <c r="P71" i="21"/>
  <c r="P72" i="21" s="1"/>
  <c r="O74" i="21"/>
  <c r="P73" i="21"/>
  <c r="N75" i="21"/>
  <c r="O167" i="21" l="1"/>
  <c r="O214" i="21" s="1"/>
  <c r="O168" i="21"/>
  <c r="O169" i="21"/>
  <c r="O215" i="21" s="1"/>
  <c r="P164" i="21"/>
  <c r="P165" i="21"/>
  <c r="P163" i="21"/>
  <c r="P162" i="21"/>
  <c r="O166" i="21"/>
  <c r="P159" i="21"/>
  <c r="P158" i="21"/>
  <c r="P157" i="21"/>
  <c r="P160" i="21"/>
  <c r="O75" i="21"/>
  <c r="P74" i="21"/>
  <c r="P75" i="21" s="1"/>
  <c r="P166" i="21" l="1"/>
  <c r="P169" i="21"/>
  <c r="P215" i="21" s="1"/>
  <c r="P168" i="21"/>
  <c r="P167" i="21"/>
  <c r="P214" i="21" s="1"/>
  <c r="F27" i="20"/>
  <c r="E155" i="20"/>
  <c r="E156" i="20"/>
  <c r="H26" i="20"/>
  <c r="E157" i="20" s="1"/>
  <c r="H22" i="20"/>
  <c r="E154" i="20"/>
  <c r="D63" i="20"/>
  <c r="E61" i="98"/>
  <c r="I61" i="98" s="1"/>
  <c r="E60" i="98"/>
  <c r="E153" i="20" l="1"/>
  <c r="E62" i="98"/>
  <c r="I62" i="98" s="1"/>
  <c r="D100" i="20"/>
  <c r="C95" i="20"/>
  <c r="O40" i="54" l="1"/>
  <c r="O176" i="54" s="1"/>
  <c r="O189" i="54" s="1"/>
  <c r="P40" i="54"/>
  <c r="P176" i="54" s="1"/>
  <c r="Q40" i="54"/>
  <c r="Q176" i="54" s="1"/>
  <c r="Q189" i="54" s="1"/>
  <c r="R40" i="54"/>
  <c r="R176" i="54" s="1"/>
  <c r="S40" i="54"/>
  <c r="S176" i="54" s="1"/>
  <c r="S189" i="54" s="1"/>
  <c r="O50" i="54"/>
  <c r="O196" i="54" s="1"/>
  <c r="P50" i="54"/>
  <c r="P196" i="54" s="1"/>
  <c r="Q50" i="54"/>
  <c r="Q196" i="54" s="1"/>
  <c r="R50" i="54"/>
  <c r="R196" i="54" s="1"/>
  <c r="S50" i="54"/>
  <c r="S196" i="54" s="1"/>
  <c r="O71" i="54"/>
  <c r="O178" i="54" s="1"/>
  <c r="P71" i="54"/>
  <c r="P178" i="54" s="1"/>
  <c r="Q71" i="54"/>
  <c r="Q178" i="54" s="1"/>
  <c r="R71" i="54"/>
  <c r="R178" i="54" s="1"/>
  <c r="S71" i="54"/>
  <c r="D40" i="21"/>
  <c r="E40" i="21" s="1"/>
  <c r="B50" i="21"/>
  <c r="B40" i="21"/>
  <c r="B36" i="21"/>
  <c r="B19" i="21"/>
  <c r="B15" i="21"/>
  <c r="B13" i="21"/>
  <c r="E131" i="21"/>
  <c r="F131" i="21"/>
  <c r="G131" i="21"/>
  <c r="H131" i="21"/>
  <c r="I131" i="21"/>
  <c r="J131" i="21"/>
  <c r="K131" i="21"/>
  <c r="L131" i="21"/>
  <c r="M131" i="21"/>
  <c r="N131" i="21"/>
  <c r="O131" i="21"/>
  <c r="P131" i="21"/>
  <c r="E130" i="21"/>
  <c r="F130" i="21"/>
  <c r="G130" i="21"/>
  <c r="H130" i="21"/>
  <c r="I130" i="21"/>
  <c r="J130" i="21"/>
  <c r="K130" i="21"/>
  <c r="L130" i="21"/>
  <c r="M130" i="21"/>
  <c r="N130" i="21"/>
  <c r="O130" i="21"/>
  <c r="P130" i="21"/>
  <c r="E127" i="21"/>
  <c r="F127" i="21"/>
  <c r="G127" i="21"/>
  <c r="H127" i="21"/>
  <c r="I127" i="21"/>
  <c r="J127" i="21"/>
  <c r="K127" i="21"/>
  <c r="L127" i="21"/>
  <c r="M127" i="21"/>
  <c r="N127" i="21"/>
  <c r="O127" i="21"/>
  <c r="P127" i="21"/>
  <c r="D115" i="21"/>
  <c r="D116" i="21"/>
  <c r="D114" i="21"/>
  <c r="E119" i="21"/>
  <c r="E120" i="21" s="1"/>
  <c r="F119" i="21"/>
  <c r="F120" i="21" s="1"/>
  <c r="G119" i="21"/>
  <c r="G120" i="21" s="1"/>
  <c r="H119" i="21"/>
  <c r="H120" i="21" s="1"/>
  <c r="I119" i="21"/>
  <c r="I120" i="21" s="1"/>
  <c r="J119" i="21"/>
  <c r="J120" i="21" s="1"/>
  <c r="K119" i="21"/>
  <c r="K120" i="21" s="1"/>
  <c r="L119" i="21"/>
  <c r="L120" i="21" s="1"/>
  <c r="M119" i="21"/>
  <c r="M120" i="21" s="1"/>
  <c r="N119" i="21"/>
  <c r="N120" i="21" s="1"/>
  <c r="O119" i="21"/>
  <c r="O120" i="21" s="1"/>
  <c r="P119" i="21"/>
  <c r="P120" i="21" s="1"/>
  <c r="H95" i="21"/>
  <c r="S178" i="54" l="1"/>
  <c r="P189" i="54"/>
  <c r="R189" i="54"/>
  <c r="Q177" i="54"/>
  <c r="Q190" i="54" s="1"/>
  <c r="R177" i="54"/>
  <c r="R190" i="54" s="1"/>
  <c r="S177" i="54"/>
  <c r="S190" i="54" s="1"/>
  <c r="O177" i="54"/>
  <c r="O190" i="54" s="1"/>
  <c r="P177" i="54"/>
  <c r="P190" i="54" s="1"/>
  <c r="D131" i="21"/>
  <c r="F28" i="20"/>
  <c r="S39" i="54"/>
  <c r="S175" i="54" s="1"/>
  <c r="O39" i="54"/>
  <c r="O175" i="54" s="1"/>
  <c r="R39" i="54"/>
  <c r="R175" i="54" s="1"/>
  <c r="P39" i="54"/>
  <c r="P175" i="54" s="1"/>
  <c r="Q39" i="54"/>
  <c r="Q175" i="54" s="1"/>
  <c r="G79" i="21"/>
  <c r="K79" i="21"/>
  <c r="O79" i="21"/>
  <c r="L79" i="21"/>
  <c r="F79" i="21"/>
  <c r="J79" i="21"/>
  <c r="N79" i="21"/>
  <c r="E79" i="21"/>
  <c r="I79" i="21"/>
  <c r="M79" i="21"/>
  <c r="H79" i="21"/>
  <c r="P79" i="21"/>
  <c r="D119" i="21"/>
  <c r="D127" i="21"/>
  <c r="M121" i="21"/>
  <c r="I121" i="21"/>
  <c r="E121" i="21"/>
  <c r="D130" i="21"/>
  <c r="N121" i="21"/>
  <c r="J121" i="21"/>
  <c r="F121" i="21"/>
  <c r="O121" i="21"/>
  <c r="K121" i="21"/>
  <c r="G121" i="21"/>
  <c r="P121" i="21"/>
  <c r="L121" i="21"/>
  <c r="H121" i="21"/>
  <c r="F40" i="21"/>
  <c r="D171" i="21"/>
  <c r="D120" i="21" l="1"/>
  <c r="D121" i="21" s="1"/>
  <c r="O188" i="54"/>
  <c r="R188" i="54"/>
  <c r="P188" i="54"/>
  <c r="Q188" i="54"/>
  <c r="S188" i="54"/>
  <c r="F29" i="20"/>
  <c r="E171" i="21"/>
  <c r="D172" i="21"/>
  <c r="D173" i="21" s="1"/>
  <c r="D80" i="21"/>
  <c r="D22" i="21"/>
  <c r="E22" i="21" s="1"/>
  <c r="F22" i="21" s="1"/>
  <c r="G22" i="21" s="1"/>
  <c r="H22" i="21" s="1"/>
  <c r="I22" i="21" s="1"/>
  <c r="J22" i="21" s="1"/>
  <c r="K22" i="21" s="1"/>
  <c r="L22" i="21" s="1"/>
  <c r="D77" i="21"/>
  <c r="E77" i="21" s="1"/>
  <c r="F77" i="21" s="1"/>
  <c r="G77" i="21" s="1"/>
  <c r="H77" i="21" s="1"/>
  <c r="I77" i="21" s="1"/>
  <c r="J77" i="21" s="1"/>
  <c r="K77" i="21" s="1"/>
  <c r="L77" i="21" s="1"/>
  <c r="M77" i="21" s="1"/>
  <c r="N77" i="21" s="1"/>
  <c r="O77" i="21" s="1"/>
  <c r="P77" i="21" s="1"/>
  <c r="P78" i="21" s="1"/>
  <c r="E57" i="21"/>
  <c r="F57" i="21" s="1"/>
  <c r="G57" i="21" s="1"/>
  <c r="H57" i="21" s="1"/>
  <c r="I57" i="21" s="1"/>
  <c r="J57" i="21" s="1"/>
  <c r="K57" i="21" s="1"/>
  <c r="L57" i="21" s="1"/>
  <c r="M57" i="21" s="1"/>
  <c r="N57" i="21" s="1"/>
  <c r="O57" i="21" s="1"/>
  <c r="P57" i="21" s="1"/>
  <c r="D50" i="21"/>
  <c r="E50" i="21" s="1"/>
  <c r="F50" i="21" s="1"/>
  <c r="G50" i="21" s="1"/>
  <c r="H50" i="21" s="1"/>
  <c r="I50" i="21" s="1"/>
  <c r="J50" i="21" s="1"/>
  <c r="K50" i="21" s="1"/>
  <c r="L50" i="21" s="1"/>
  <c r="M50" i="21" s="1"/>
  <c r="E19" i="21"/>
  <c r="G40" i="21"/>
  <c r="F19" i="21" l="1"/>
  <c r="G19" i="21" s="1"/>
  <c r="H19" i="21" s="1"/>
  <c r="I19" i="21" s="1"/>
  <c r="J19" i="21" s="1"/>
  <c r="K19" i="21" s="1"/>
  <c r="L19" i="21" s="1"/>
  <c r="M19" i="21" s="1"/>
  <c r="N19" i="21" s="1"/>
  <c r="O19" i="21" s="1"/>
  <c r="P19" i="21" s="1"/>
  <c r="E20" i="21"/>
  <c r="Q18" i="21"/>
  <c r="D18" i="21"/>
  <c r="D20" i="21" s="1"/>
  <c r="D23" i="21"/>
  <c r="D216" i="21"/>
  <c r="D194" i="21"/>
  <c r="R194" i="21" s="1"/>
  <c r="F19" i="20"/>
  <c r="F30" i="20"/>
  <c r="E59" i="110"/>
  <c r="F171" i="21"/>
  <c r="E172" i="21"/>
  <c r="E173" i="21" s="1"/>
  <c r="E216" i="21" s="1"/>
  <c r="E80" i="21"/>
  <c r="F80" i="21" s="1"/>
  <c r="G80" i="21" s="1"/>
  <c r="H80" i="21" s="1"/>
  <c r="I80" i="21" s="1"/>
  <c r="J80" i="21" s="1"/>
  <c r="K80" i="21" s="1"/>
  <c r="L80" i="21" s="1"/>
  <c r="M80" i="21" s="1"/>
  <c r="N80" i="21" s="1"/>
  <c r="O80" i="21" s="1"/>
  <c r="P80" i="21" s="1"/>
  <c r="P81" i="21" s="1"/>
  <c r="P82" i="21" s="1"/>
  <c r="P83" i="21" s="1"/>
  <c r="P213" i="21" s="1"/>
  <c r="D81" i="21"/>
  <c r="K20" i="21"/>
  <c r="M20" i="21"/>
  <c r="F20" i="21"/>
  <c r="G20" i="21"/>
  <c r="I20" i="21"/>
  <c r="P20" i="21"/>
  <c r="H20" i="21"/>
  <c r="O20" i="21"/>
  <c r="J20" i="21"/>
  <c r="N20" i="21"/>
  <c r="L20" i="21"/>
  <c r="L78" i="21"/>
  <c r="D78" i="21"/>
  <c r="G78" i="21"/>
  <c r="K78" i="21"/>
  <c r="E78" i="21"/>
  <c r="H78" i="21"/>
  <c r="F78" i="21"/>
  <c r="J78" i="21"/>
  <c r="N78" i="21"/>
  <c r="I78" i="21"/>
  <c r="M78" i="21"/>
  <c r="O78" i="21"/>
  <c r="H40" i="21"/>
  <c r="N50" i="21"/>
  <c r="P14" i="21"/>
  <c r="E23" i="21"/>
  <c r="M22" i="21"/>
  <c r="N22" i="21" s="1"/>
  <c r="E24" i="21" l="1"/>
  <c r="D24" i="21"/>
  <c r="R24" i="21" s="1"/>
  <c r="F20" i="20"/>
  <c r="F31" i="20"/>
  <c r="F81" i="21"/>
  <c r="F82" i="21" s="1"/>
  <c r="F83" i="21" s="1"/>
  <c r="F213" i="21" s="1"/>
  <c r="I81" i="21"/>
  <c r="I82" i="21" s="1"/>
  <c r="I83" i="21" s="1"/>
  <c r="I213" i="21" s="1"/>
  <c r="D82" i="21"/>
  <c r="D83" i="21" s="1"/>
  <c r="R83" i="21" s="1"/>
  <c r="G171" i="21"/>
  <c r="F172" i="21"/>
  <c r="F173" i="21" s="1"/>
  <c r="F216" i="21" s="1"/>
  <c r="L81" i="21"/>
  <c r="L82" i="21" s="1"/>
  <c r="L83" i="21" s="1"/>
  <c r="L213" i="21" s="1"/>
  <c r="M81" i="21"/>
  <c r="M82" i="21" s="1"/>
  <c r="M83" i="21" s="1"/>
  <c r="M213" i="21" s="1"/>
  <c r="K81" i="21"/>
  <c r="K82" i="21" s="1"/>
  <c r="K83" i="21" s="1"/>
  <c r="K213" i="21" s="1"/>
  <c r="N81" i="21"/>
  <c r="N82" i="21" s="1"/>
  <c r="N83" i="21" s="1"/>
  <c r="N213" i="21" s="1"/>
  <c r="O81" i="21"/>
  <c r="O82" i="21" s="1"/>
  <c r="O83" i="21" s="1"/>
  <c r="O213" i="21" s="1"/>
  <c r="G81" i="21"/>
  <c r="G82" i="21" s="1"/>
  <c r="G83" i="21" s="1"/>
  <c r="G213" i="21" s="1"/>
  <c r="E81" i="21"/>
  <c r="E82" i="21" s="1"/>
  <c r="E83" i="21" s="1"/>
  <c r="E213" i="21" s="1"/>
  <c r="J81" i="21"/>
  <c r="J82" i="21" s="1"/>
  <c r="J83" i="21" s="1"/>
  <c r="J213" i="21" s="1"/>
  <c r="H81" i="21"/>
  <c r="H82" i="21" s="1"/>
  <c r="H83" i="21" s="1"/>
  <c r="H213" i="21" s="1"/>
  <c r="E25" i="21"/>
  <c r="E209" i="21" s="1"/>
  <c r="O50" i="21"/>
  <c r="I40" i="21"/>
  <c r="G14" i="21"/>
  <c r="M14" i="21"/>
  <c r="I14" i="21"/>
  <c r="F14" i="21"/>
  <c r="H14" i="21"/>
  <c r="K14" i="21"/>
  <c r="N14" i="21"/>
  <c r="L14" i="21"/>
  <c r="O14" i="21"/>
  <c r="J14" i="21"/>
  <c r="R17" i="21"/>
  <c r="F23" i="21"/>
  <c r="F24" i="21" s="1"/>
  <c r="F16" i="21"/>
  <c r="O22" i="21"/>
  <c r="D213" i="21" l="1"/>
  <c r="H171" i="21"/>
  <c r="G172" i="21"/>
  <c r="G173" i="21" s="1"/>
  <c r="G216" i="21" s="1"/>
  <c r="F30" i="83"/>
  <c r="D25" i="21"/>
  <c r="P50" i="21"/>
  <c r="J40" i="21"/>
  <c r="F17" i="21"/>
  <c r="F25" i="21" s="1"/>
  <c r="F209" i="21" s="1"/>
  <c r="G23" i="21"/>
  <c r="G24" i="21" s="1"/>
  <c r="G16" i="21"/>
  <c r="G17" i="21" s="1"/>
  <c r="P22" i="21"/>
  <c r="E43" i="110" l="1"/>
  <c r="D209" i="21"/>
  <c r="I171" i="21"/>
  <c r="H172" i="21"/>
  <c r="H173" i="21" s="1"/>
  <c r="H216" i="21" s="1"/>
  <c r="R25" i="21"/>
  <c r="F15" i="84"/>
  <c r="E19" i="110" s="1"/>
  <c r="G25" i="21"/>
  <c r="G209" i="21" s="1"/>
  <c r="K40" i="21"/>
  <c r="H23" i="21"/>
  <c r="H24" i="21" s="1"/>
  <c r="H16" i="21"/>
  <c r="H17" i="21" s="1"/>
  <c r="C13" i="132" l="1"/>
  <c r="D183" i="84"/>
  <c r="J20" i="109"/>
  <c r="J17" i="109" s="1"/>
  <c r="F12" i="109"/>
  <c r="J171" i="21"/>
  <c r="I172" i="21"/>
  <c r="I173" i="21" s="1"/>
  <c r="I216" i="21" s="1"/>
  <c r="H25" i="21"/>
  <c r="H209" i="21" s="1"/>
  <c r="L40" i="21"/>
  <c r="I23" i="21"/>
  <c r="I24" i="21" s="1"/>
  <c r="I16" i="21"/>
  <c r="I17" i="21" s="1"/>
  <c r="F19" i="110" l="1"/>
  <c r="C54" i="150"/>
  <c r="C26" i="108"/>
  <c r="H183" i="84"/>
  <c r="G26" i="108" s="1"/>
  <c r="K171" i="21"/>
  <c r="J172" i="21"/>
  <c r="J173" i="21" s="1"/>
  <c r="J216" i="21" s="1"/>
  <c r="I25" i="21"/>
  <c r="I209" i="21" s="1"/>
  <c r="M40" i="21"/>
  <c r="J23" i="21"/>
  <c r="J24" i="21" s="1"/>
  <c r="J16" i="21"/>
  <c r="J17" i="21" s="1"/>
  <c r="B25" i="146" l="1"/>
  <c r="C31" i="145"/>
  <c r="I17" i="112"/>
  <c r="L171" i="21"/>
  <c r="K172" i="21"/>
  <c r="K173" i="21" s="1"/>
  <c r="K216" i="21" s="1"/>
  <c r="J25" i="21"/>
  <c r="J209" i="21" s="1"/>
  <c r="N40" i="21"/>
  <c r="K23" i="21"/>
  <c r="K24" i="21" s="1"/>
  <c r="K16" i="21"/>
  <c r="K17" i="21" s="1"/>
  <c r="C121" i="145" l="1"/>
  <c r="C124" i="145"/>
  <c r="M171" i="21"/>
  <c r="L172" i="21"/>
  <c r="L173" i="21" s="1"/>
  <c r="L216" i="21" s="1"/>
  <c r="K25" i="21"/>
  <c r="K209" i="21" s="1"/>
  <c r="O40" i="21"/>
  <c r="L23" i="21"/>
  <c r="L24" i="21" s="1"/>
  <c r="L16" i="21"/>
  <c r="L17" i="21" s="1"/>
  <c r="D36" i="146" l="1"/>
  <c r="N171" i="21"/>
  <c r="M172" i="21"/>
  <c r="M173" i="21" s="1"/>
  <c r="M216" i="21" s="1"/>
  <c r="L25" i="21"/>
  <c r="L209" i="21" s="1"/>
  <c r="P40" i="21"/>
  <c r="M23" i="21"/>
  <c r="M24" i="21" s="1"/>
  <c r="M16" i="21"/>
  <c r="M17" i="21" s="1"/>
  <c r="O171" i="21" l="1"/>
  <c r="N172" i="21"/>
  <c r="N173" i="21" s="1"/>
  <c r="N216" i="21" s="1"/>
  <c r="M25" i="21"/>
  <c r="M209" i="21" s="1"/>
  <c r="N23" i="21"/>
  <c r="N24" i="21" s="1"/>
  <c r="N16" i="21"/>
  <c r="N17" i="21" s="1"/>
  <c r="P171" i="21" l="1"/>
  <c r="P172" i="21" s="1"/>
  <c r="P173" i="21" s="1"/>
  <c r="P216" i="21" s="1"/>
  <c r="O172" i="21"/>
  <c r="O173" i="21" s="1"/>
  <c r="O216" i="21" s="1"/>
  <c r="N25" i="21"/>
  <c r="N209" i="21" s="1"/>
  <c r="O23" i="21"/>
  <c r="O24" i="21" s="1"/>
  <c r="O16" i="21"/>
  <c r="O17" i="21" s="1"/>
  <c r="O25" i="21" l="1"/>
  <c r="O209" i="21" s="1"/>
  <c r="P16" i="21"/>
  <c r="P17" i="21" s="1"/>
  <c r="P23" i="21"/>
  <c r="P24" i="21" s="1"/>
  <c r="P25" i="21" l="1"/>
  <c r="P209" i="21" s="1"/>
  <c r="G25" i="54"/>
  <c r="D140" i="49" l="1"/>
  <c r="D139" i="49" s="1"/>
  <c r="E140" i="49"/>
  <c r="E139" i="49" s="1"/>
  <c r="F140" i="49"/>
  <c r="F139" i="49" s="1"/>
  <c r="G140" i="49"/>
  <c r="G139" i="49" s="1"/>
  <c r="M139" i="49"/>
  <c r="N139" i="49"/>
  <c r="O140" i="49"/>
  <c r="O139" i="49" s="1"/>
  <c r="D23" i="49"/>
  <c r="E23" i="49" s="1"/>
  <c r="F23" i="49" s="1"/>
  <c r="G23" i="49" s="1"/>
  <c r="M23" i="49" s="1"/>
  <c r="N23" i="49" s="1"/>
  <c r="O23" i="49" s="1"/>
  <c r="D37" i="49"/>
  <c r="E37" i="49" s="1"/>
  <c r="F37" i="49" s="1"/>
  <c r="G37" i="49" s="1"/>
  <c r="M37" i="49" s="1"/>
  <c r="N37" i="49" s="1"/>
  <c r="O37" i="49" s="1"/>
  <c r="E168" i="49"/>
  <c r="F168" i="49"/>
  <c r="G168" i="49"/>
  <c r="M168" i="49"/>
  <c r="N168" i="49"/>
  <c r="D168" i="49"/>
  <c r="G64" i="54" l="1"/>
  <c r="E34" i="22"/>
  <c r="D34" i="22"/>
  <c r="E67" i="22"/>
  <c r="D67" i="22"/>
  <c r="O78" i="54"/>
  <c r="P78" i="54"/>
  <c r="Q78" i="54"/>
  <c r="R78" i="54"/>
  <c r="S78" i="54"/>
  <c r="O79" i="54"/>
  <c r="P79" i="54"/>
  <c r="Q79" i="54"/>
  <c r="R79" i="54"/>
  <c r="S79" i="54"/>
  <c r="O81" i="54"/>
  <c r="P81" i="54"/>
  <c r="Q81" i="54"/>
  <c r="R81" i="54"/>
  <c r="S81" i="54"/>
  <c r="O82" i="54"/>
  <c r="P82" i="54"/>
  <c r="Q82" i="54"/>
  <c r="R82" i="54"/>
  <c r="S82" i="54"/>
  <c r="E69" i="22"/>
  <c r="D69" i="22"/>
  <c r="E71" i="22"/>
  <c r="O37" i="54"/>
  <c r="P37" i="54"/>
  <c r="R37" i="54"/>
  <c r="S37" i="54"/>
  <c r="O38" i="54"/>
  <c r="P38" i="54"/>
  <c r="Q38" i="54"/>
  <c r="R38" i="54"/>
  <c r="S38" i="54"/>
  <c r="O89" i="54"/>
  <c r="O34" i="54" s="1"/>
  <c r="P89" i="54"/>
  <c r="P34" i="54" s="1"/>
  <c r="Q89" i="54"/>
  <c r="Q34" i="54" s="1"/>
  <c r="R89" i="54"/>
  <c r="R34" i="54" s="1"/>
  <c r="S89" i="54"/>
  <c r="S34" i="54" s="1"/>
  <c r="O90" i="54"/>
  <c r="O35" i="54" s="1"/>
  <c r="P90" i="54"/>
  <c r="P35" i="54" s="1"/>
  <c r="Q90" i="54"/>
  <c r="Q35" i="54" s="1"/>
  <c r="R90" i="54"/>
  <c r="R35" i="54" s="1"/>
  <c r="S90" i="54"/>
  <c r="S35" i="54" s="1"/>
  <c r="O85" i="54"/>
  <c r="O31" i="54" s="1"/>
  <c r="P85" i="54"/>
  <c r="P31" i="54" s="1"/>
  <c r="Q85" i="54"/>
  <c r="Q31" i="54" s="1"/>
  <c r="R85" i="54"/>
  <c r="R31" i="54" s="1"/>
  <c r="S85" i="54"/>
  <c r="S31" i="54" s="1"/>
  <c r="O86" i="54"/>
  <c r="O32" i="54" s="1"/>
  <c r="P86" i="54"/>
  <c r="P32" i="54" s="1"/>
  <c r="Q86" i="54"/>
  <c r="Q32" i="54" s="1"/>
  <c r="R86" i="54"/>
  <c r="R32" i="54" s="1"/>
  <c r="S86" i="54"/>
  <c r="S32" i="54" s="1"/>
  <c r="S91" i="54"/>
  <c r="Q91" i="54"/>
  <c r="O91" i="54"/>
  <c r="S87" i="54"/>
  <c r="R87" i="54"/>
  <c r="S124" i="54"/>
  <c r="S83" i="54" s="1"/>
  <c r="R124" i="54"/>
  <c r="R83" i="54" s="1"/>
  <c r="Q124" i="54"/>
  <c r="Q83" i="54" s="1"/>
  <c r="P124" i="54"/>
  <c r="P83" i="54" s="1"/>
  <c r="O124" i="54"/>
  <c r="S121" i="54"/>
  <c r="S80" i="54" s="1"/>
  <c r="R121" i="54"/>
  <c r="R80" i="54" s="1"/>
  <c r="Q121" i="54"/>
  <c r="Q80" i="54" s="1"/>
  <c r="P121" i="54"/>
  <c r="P80" i="54" s="1"/>
  <c r="O121" i="54"/>
  <c r="O80" i="54" s="1"/>
  <c r="O118" i="54"/>
  <c r="O77" i="54" s="1"/>
  <c r="P118" i="54"/>
  <c r="P77" i="54" s="1"/>
  <c r="Q118" i="54"/>
  <c r="Q77" i="54" s="1"/>
  <c r="R118" i="54"/>
  <c r="R77" i="54" s="1"/>
  <c r="S118" i="54"/>
  <c r="S77" i="54" s="1"/>
  <c r="D6" i="49"/>
  <c r="E6" i="49" s="1"/>
  <c r="F6" i="49" s="1"/>
  <c r="G6" i="49" s="1"/>
  <c r="G102" i="54"/>
  <c r="G99" i="54"/>
  <c r="D22" i="49"/>
  <c r="E22" i="49" s="1"/>
  <c r="F22" i="49" s="1"/>
  <c r="G22" i="49" s="1"/>
  <c r="M22" i="49" s="1"/>
  <c r="N22" i="49" s="1"/>
  <c r="O22" i="49" s="1"/>
  <c r="C20" i="49"/>
  <c r="D19" i="49"/>
  <c r="C17" i="49"/>
  <c r="F121" i="54"/>
  <c r="E121" i="54"/>
  <c r="F118" i="54"/>
  <c r="E118" i="54"/>
  <c r="F133" i="54"/>
  <c r="H133" i="54"/>
  <c r="I133" i="54"/>
  <c r="J133" i="54"/>
  <c r="K133" i="54"/>
  <c r="L133" i="54"/>
  <c r="M133" i="54"/>
  <c r="N133" i="54"/>
  <c r="O133" i="54"/>
  <c r="P133" i="54"/>
  <c r="Q133" i="54"/>
  <c r="R133" i="54"/>
  <c r="S133" i="54"/>
  <c r="E133" i="54"/>
  <c r="F124" i="54"/>
  <c r="E124" i="54"/>
  <c r="F127" i="54"/>
  <c r="P87" i="54"/>
  <c r="Q87" i="54"/>
  <c r="E127" i="54"/>
  <c r="F130" i="54"/>
  <c r="P91" i="54"/>
  <c r="E130" i="54"/>
  <c r="R91" i="54"/>
  <c r="G67" i="54"/>
  <c r="G66" i="54"/>
  <c r="G56" i="54"/>
  <c r="G44" i="54"/>
  <c r="G43" i="54"/>
  <c r="S42" i="54"/>
  <c r="R42" i="54"/>
  <c r="Q42" i="54"/>
  <c r="P42" i="54"/>
  <c r="O42" i="54"/>
  <c r="N42" i="54"/>
  <c r="M42" i="54"/>
  <c r="L42" i="54"/>
  <c r="K42" i="54"/>
  <c r="J42" i="54"/>
  <c r="I42" i="54"/>
  <c r="H42" i="54"/>
  <c r="F42" i="54"/>
  <c r="E42" i="54"/>
  <c r="A8" i="26"/>
  <c r="O28" i="21" l="1"/>
  <c r="E19" i="49"/>
  <c r="F19" i="49" s="1"/>
  <c r="G19" i="49" s="1"/>
  <c r="M19" i="49" s="1"/>
  <c r="N19" i="49" s="1"/>
  <c r="O19" i="49" s="1"/>
  <c r="M6" i="49"/>
  <c r="N6" i="49" s="1"/>
  <c r="O6" i="49" s="1"/>
  <c r="H6" i="49"/>
  <c r="I6" i="49" s="1"/>
  <c r="J6" i="49" s="1"/>
  <c r="K6" i="49" s="1"/>
  <c r="L6" i="49" s="1"/>
  <c r="P28" i="21"/>
  <c r="O29" i="54"/>
  <c r="O174" i="54" s="1"/>
  <c r="L29" i="21"/>
  <c r="O183" i="54"/>
  <c r="S29" i="54"/>
  <c r="S174" i="54" s="1"/>
  <c r="P29" i="21"/>
  <c r="L28" i="21"/>
  <c r="O182" i="54"/>
  <c r="R29" i="54"/>
  <c r="R174" i="54" s="1"/>
  <c r="O29" i="21"/>
  <c r="P182" i="54"/>
  <c r="M28" i="21"/>
  <c r="Q29" i="54"/>
  <c r="Q174" i="54" s="1"/>
  <c r="Q183" i="54"/>
  <c r="N29" i="21"/>
  <c r="N28" i="21"/>
  <c r="Q182" i="54"/>
  <c r="P29" i="54"/>
  <c r="M29" i="21"/>
  <c r="P183" i="54"/>
  <c r="R28" i="54"/>
  <c r="R182" i="54"/>
  <c r="S183" i="54"/>
  <c r="S28" i="54"/>
  <c r="S173" i="54" s="1"/>
  <c r="S182" i="54"/>
  <c r="O28" i="54"/>
  <c r="O173" i="54" s="1"/>
  <c r="P28" i="54"/>
  <c r="P173" i="54" s="1"/>
  <c r="Q28" i="54"/>
  <c r="R183" i="54"/>
  <c r="C201" i="49"/>
  <c r="S30" i="54"/>
  <c r="O30" i="54"/>
  <c r="Q30" i="54"/>
  <c r="P36" i="54"/>
  <c r="P30" i="54"/>
  <c r="R33" i="54"/>
  <c r="S33" i="54"/>
  <c r="O33" i="54"/>
  <c r="Q36" i="54"/>
  <c r="R30" i="54"/>
  <c r="P33" i="54"/>
  <c r="Q33" i="54"/>
  <c r="S36" i="54"/>
  <c r="O36" i="54"/>
  <c r="Q117" i="54"/>
  <c r="Q75" i="54" s="1"/>
  <c r="Q74" i="54" s="1"/>
  <c r="Q181" i="54" s="1"/>
  <c r="R117" i="54"/>
  <c r="R75" i="54" s="1"/>
  <c r="R74" i="54" s="1"/>
  <c r="F95" i="54"/>
  <c r="H99" i="54"/>
  <c r="I99" i="54" s="1"/>
  <c r="J99" i="54" s="1"/>
  <c r="K99" i="54" s="1"/>
  <c r="L99" i="54" s="1"/>
  <c r="M99" i="54" s="1"/>
  <c r="N99" i="54" s="1"/>
  <c r="O99" i="54" s="1"/>
  <c r="P99" i="54" s="1"/>
  <c r="Q99" i="54" s="1"/>
  <c r="R99" i="54" s="1"/>
  <c r="S99" i="54" s="1"/>
  <c r="H102" i="54"/>
  <c r="I102" i="54" s="1"/>
  <c r="J102" i="54" s="1"/>
  <c r="K102" i="54" s="1"/>
  <c r="L102" i="54" s="1"/>
  <c r="M102" i="54" s="1"/>
  <c r="N102" i="54" s="1"/>
  <c r="O102" i="54" s="1"/>
  <c r="P102" i="54" s="1"/>
  <c r="Q102" i="54" s="1"/>
  <c r="R102" i="54" s="1"/>
  <c r="S102" i="54" s="1"/>
  <c r="D14" i="22"/>
  <c r="F117" i="54"/>
  <c r="F116" i="54" s="1"/>
  <c r="F115" i="54" s="1"/>
  <c r="P117" i="54"/>
  <c r="P75" i="54" s="1"/>
  <c r="P74" i="54" s="1"/>
  <c r="S117" i="54"/>
  <c r="S116" i="54" s="1"/>
  <c r="S115" i="54" s="1"/>
  <c r="O117" i="54"/>
  <c r="O75" i="54" s="1"/>
  <c r="E117" i="54"/>
  <c r="E116" i="54" s="1"/>
  <c r="E115" i="54" s="1"/>
  <c r="O87" i="54"/>
  <c r="G42" i="54"/>
  <c r="S187" i="54" l="1"/>
  <c r="O18" i="54"/>
  <c r="O23" i="54" s="1"/>
  <c r="O170" i="54" s="1"/>
  <c r="P17" i="54"/>
  <c r="Q18" i="54"/>
  <c r="Q23" i="54" s="1"/>
  <c r="Q170" i="54" s="1"/>
  <c r="Q173" i="54"/>
  <c r="Q17" i="54"/>
  <c r="Q22" i="54" s="1"/>
  <c r="Q169" i="54" s="1"/>
  <c r="P174" i="54"/>
  <c r="P193" i="54" s="1"/>
  <c r="R17" i="54"/>
  <c r="R166" i="54" s="1"/>
  <c r="R173" i="54"/>
  <c r="R186" i="54" s="1"/>
  <c r="R18" i="54"/>
  <c r="R167" i="54" s="1"/>
  <c r="R69" i="54"/>
  <c r="R58" i="54" s="1"/>
  <c r="R48" i="54" s="1"/>
  <c r="R195" i="54" s="1"/>
  <c r="R181" i="54"/>
  <c r="Q27" i="54"/>
  <c r="O17" i="54"/>
  <c r="O22" i="54" s="1"/>
  <c r="O169" i="54" s="1"/>
  <c r="S17" i="54"/>
  <c r="S22" i="54" s="1"/>
  <c r="S169" i="54" s="1"/>
  <c r="P18" i="54"/>
  <c r="P167" i="54" s="1"/>
  <c r="S18" i="54"/>
  <c r="S167" i="54" s="1"/>
  <c r="Q187" i="54"/>
  <c r="R187" i="54"/>
  <c r="O27" i="54"/>
  <c r="O187" i="54"/>
  <c r="P27" i="54"/>
  <c r="S27" i="54"/>
  <c r="O193" i="54"/>
  <c r="Q193" i="54"/>
  <c r="S193" i="54"/>
  <c r="R27" i="54"/>
  <c r="P69" i="54"/>
  <c r="P181" i="54"/>
  <c r="P58" i="54" s="1"/>
  <c r="Q69" i="54"/>
  <c r="Q58" i="54"/>
  <c r="Q48" i="54" s="1"/>
  <c r="P122" i="21"/>
  <c r="S186" i="54"/>
  <c r="S192" i="54"/>
  <c r="R193" i="54"/>
  <c r="O186" i="54"/>
  <c r="O192" i="54"/>
  <c r="P186" i="54"/>
  <c r="P192" i="54"/>
  <c r="D11" i="98"/>
  <c r="D10" i="98" s="1"/>
  <c r="E14" i="22"/>
  <c r="F181" i="54"/>
  <c r="E63" i="22"/>
  <c r="E62" i="22" s="1"/>
  <c r="K64" i="22" s="1"/>
  <c r="R36" i="54"/>
  <c r="L27" i="21"/>
  <c r="L68" i="21" s="1"/>
  <c r="N27" i="21"/>
  <c r="N68" i="21" s="1"/>
  <c r="P27" i="21"/>
  <c r="P68" i="21" s="1"/>
  <c r="M27" i="21"/>
  <c r="M68" i="21" s="1"/>
  <c r="M122" i="21"/>
  <c r="O122" i="21"/>
  <c r="O27" i="21"/>
  <c r="O68" i="21" s="1"/>
  <c r="R116" i="54"/>
  <c r="R115" i="54" s="1"/>
  <c r="Q116" i="54"/>
  <c r="Q115" i="54" s="1"/>
  <c r="O116" i="54"/>
  <c r="O115" i="54" s="1"/>
  <c r="P116" i="54"/>
  <c r="P115" i="54" s="1"/>
  <c r="S75" i="54"/>
  <c r="S74" i="54" s="1"/>
  <c r="O167" i="54" l="1"/>
  <c r="R197" i="54"/>
  <c r="R192" i="54"/>
  <c r="P187" i="54"/>
  <c r="S23" i="54"/>
  <c r="S170" i="54" s="1"/>
  <c r="R23" i="54"/>
  <c r="R170" i="54" s="1"/>
  <c r="S166" i="54"/>
  <c r="N122" i="21"/>
  <c r="P23" i="54"/>
  <c r="P170" i="54" s="1"/>
  <c r="O166" i="54"/>
  <c r="R22" i="54"/>
  <c r="R169" i="54" s="1"/>
  <c r="S58" i="54"/>
  <c r="S48" i="54" s="1"/>
  <c r="S195" i="54" s="1"/>
  <c r="S181" i="54"/>
  <c r="S69" i="54"/>
  <c r="Q197" i="54"/>
  <c r="Q195" i="54"/>
  <c r="P197" i="54"/>
  <c r="P48" i="54"/>
  <c r="P47" i="54" s="1"/>
  <c r="Q166" i="54"/>
  <c r="Q167" i="54"/>
  <c r="L122" i="21"/>
  <c r="P22" i="54"/>
  <c r="P169" i="54" s="1"/>
  <c r="P166" i="54"/>
  <c r="Q186" i="54"/>
  <c r="Q192" i="54"/>
  <c r="F76" i="54"/>
  <c r="D17" i="98"/>
  <c r="D15" i="98" s="1"/>
  <c r="F88" i="54"/>
  <c r="F92" i="54"/>
  <c r="F84" i="54"/>
  <c r="F69" i="54"/>
  <c r="R47" i="54"/>
  <c r="Q47" i="54"/>
  <c r="S197" i="54" l="1"/>
  <c r="P195" i="54"/>
  <c r="P26" i="54"/>
  <c r="F47" i="54"/>
  <c r="F49" i="54" s="1"/>
  <c r="D25" i="98"/>
  <c r="D23" i="98"/>
  <c r="Q26" i="54"/>
  <c r="R26" i="54"/>
  <c r="S47" i="54"/>
  <c r="D36" i="98" l="1"/>
  <c r="D32" i="98"/>
  <c r="K32" i="98"/>
  <c r="D26" i="98"/>
  <c r="F26" i="54"/>
  <c r="E48" i="61" s="1"/>
  <c r="R58" i="55"/>
  <c r="V58" i="55"/>
  <c r="N58" i="55"/>
  <c r="S26" i="54"/>
  <c r="F58" i="55" l="1"/>
  <c r="F24" i="54"/>
  <c r="E48" i="92"/>
  <c r="E47" i="92" s="1"/>
  <c r="F16" i="54" l="1"/>
  <c r="F21" i="54" s="1"/>
  <c r="F19" i="54" s="1"/>
  <c r="F172" i="54"/>
  <c r="F191" i="54" s="1"/>
  <c r="E33" i="22"/>
  <c r="E41" i="22" s="1"/>
  <c r="E40" i="22" s="1"/>
  <c r="B3" i="26"/>
  <c r="F14" i="54" l="1"/>
  <c r="E19" i="22" s="1"/>
  <c r="E37" i="22"/>
  <c r="E38" i="22"/>
  <c r="F185" i="54"/>
  <c r="F184" i="54" s="1"/>
  <c r="E35" i="22"/>
  <c r="E20" i="22"/>
  <c r="F168" i="54"/>
  <c r="D21" i="49"/>
  <c r="D20" i="49" s="1"/>
  <c r="D18" i="49"/>
  <c r="D17" i="49" s="1"/>
  <c r="D29" i="49"/>
  <c r="E29" i="49" s="1"/>
  <c r="D26" i="49"/>
  <c r="E26" i="49" s="1"/>
  <c r="C28" i="49"/>
  <c r="F165" i="54" l="1"/>
  <c r="F171" i="54" s="1"/>
  <c r="E21" i="22"/>
  <c r="C204" i="49"/>
  <c r="C200" i="49" s="1"/>
  <c r="G101" i="54"/>
  <c r="E28" i="49"/>
  <c r="F26" i="49"/>
  <c r="E25" i="49"/>
  <c r="D25" i="49"/>
  <c r="E21" i="49"/>
  <c r="E18" i="49"/>
  <c r="E17" i="49" s="1"/>
  <c r="D16" i="49"/>
  <c r="F29" i="49"/>
  <c r="D28" i="49"/>
  <c r="C16" i="49"/>
  <c r="D45" i="49"/>
  <c r="E45" i="49" s="1"/>
  <c r="F45" i="49" s="1"/>
  <c r="G45" i="49" s="1"/>
  <c r="M45" i="49" s="1"/>
  <c r="N45" i="49" s="1"/>
  <c r="O45" i="49" s="1"/>
  <c r="D44" i="49"/>
  <c r="E44" i="49" s="1"/>
  <c r="C50" i="49"/>
  <c r="C47" i="49"/>
  <c r="D38" i="49"/>
  <c r="E38" i="49" s="1"/>
  <c r="F38" i="49" s="1"/>
  <c r="G38" i="49" s="1"/>
  <c r="M38" i="49" s="1"/>
  <c r="N38" i="49" s="1"/>
  <c r="O38" i="49" s="1"/>
  <c r="D36" i="49"/>
  <c r="D33" i="49"/>
  <c r="D32" i="49" s="1"/>
  <c r="C35" i="49"/>
  <c r="G108" i="54" s="1"/>
  <c r="F5" i="129" s="1"/>
  <c r="C32" i="49"/>
  <c r="G107" i="54" s="1"/>
  <c r="F4" i="129" s="1"/>
  <c r="D58" i="49"/>
  <c r="E58" i="49" s="1"/>
  <c r="F58" i="49" s="1"/>
  <c r="G58" i="49" s="1"/>
  <c r="M58" i="49" s="1"/>
  <c r="N58" i="49" s="1"/>
  <c r="O58" i="49" s="1"/>
  <c r="E36" i="49" l="1"/>
  <c r="F36" i="49" s="1"/>
  <c r="G36" i="49" s="1"/>
  <c r="M36" i="49" s="1"/>
  <c r="G114" i="54"/>
  <c r="H114" i="54" s="1"/>
  <c r="I114" i="54" s="1"/>
  <c r="J114" i="54" s="1"/>
  <c r="K114" i="54" s="1"/>
  <c r="L114" i="54" s="1"/>
  <c r="M114" i="54" s="1"/>
  <c r="N114" i="54" s="1"/>
  <c r="O114" i="54" s="1"/>
  <c r="P114" i="54" s="1"/>
  <c r="Q114" i="54" s="1"/>
  <c r="R114" i="54" s="1"/>
  <c r="S114" i="54" s="1"/>
  <c r="G111" i="54"/>
  <c r="G113" i="54"/>
  <c r="F113" i="20" s="1"/>
  <c r="G112" i="20"/>
  <c r="F112" i="20"/>
  <c r="C40" i="49"/>
  <c r="H108" i="54"/>
  <c r="I108" i="54" s="1"/>
  <c r="J108" i="54" s="1"/>
  <c r="K108" i="54" s="1"/>
  <c r="L108" i="54" s="1"/>
  <c r="M108" i="54" s="1"/>
  <c r="N108" i="54" s="1"/>
  <c r="O108" i="54" s="1"/>
  <c r="P108" i="54" s="1"/>
  <c r="Q108" i="54" s="1"/>
  <c r="R108" i="54" s="1"/>
  <c r="S108" i="54" s="1"/>
  <c r="F21" i="49"/>
  <c r="F20" i="49" s="1"/>
  <c r="E20" i="49"/>
  <c r="H107" i="54"/>
  <c r="G106" i="54"/>
  <c r="H101" i="54"/>
  <c r="G100" i="54"/>
  <c r="E24" i="49"/>
  <c r="C46" i="49"/>
  <c r="D50" i="49"/>
  <c r="D24" i="49"/>
  <c r="G26" i="49"/>
  <c r="F25" i="49"/>
  <c r="F18" i="49"/>
  <c r="F17" i="49" s="1"/>
  <c r="G29" i="49"/>
  <c r="F28" i="49"/>
  <c r="E43" i="49"/>
  <c r="E33" i="49"/>
  <c r="F33" i="49" s="1"/>
  <c r="F32" i="49" s="1"/>
  <c r="D47" i="49"/>
  <c r="E48" i="49"/>
  <c r="E47" i="49" s="1"/>
  <c r="D41" i="49"/>
  <c r="F44" i="49"/>
  <c r="D43" i="49"/>
  <c r="C31" i="49"/>
  <c r="E35" i="49"/>
  <c r="D35" i="49"/>
  <c r="D31" i="49" s="1"/>
  <c r="G35" i="49" l="1"/>
  <c r="G113" i="20"/>
  <c r="H113" i="54"/>
  <c r="G112" i="54"/>
  <c r="G206" i="54" s="1"/>
  <c r="N36" i="49"/>
  <c r="O36" i="49" s="1"/>
  <c r="M35" i="49"/>
  <c r="G110" i="54"/>
  <c r="G4" i="129" s="1"/>
  <c r="G22" i="142"/>
  <c r="G94" i="142" s="1"/>
  <c r="G5" i="129"/>
  <c r="H111" i="54"/>
  <c r="I111" i="54" s="1"/>
  <c r="J111" i="54" s="1"/>
  <c r="K111" i="54" s="1"/>
  <c r="L111" i="54" s="1"/>
  <c r="M111" i="54" s="1"/>
  <c r="N111" i="54" s="1"/>
  <c r="O111" i="54" s="1"/>
  <c r="P111" i="54" s="1"/>
  <c r="Q111" i="54" s="1"/>
  <c r="R111" i="54" s="1"/>
  <c r="S111" i="54" s="1"/>
  <c r="F22" i="142"/>
  <c r="F94" i="142" s="1"/>
  <c r="D5" i="129"/>
  <c r="F21" i="142"/>
  <c r="G22" i="140"/>
  <c r="F22" i="140"/>
  <c r="F21" i="140"/>
  <c r="F94" i="140" s="1"/>
  <c r="F3" i="129"/>
  <c r="E112" i="20"/>
  <c r="L13" i="98" s="1"/>
  <c r="G217" i="54"/>
  <c r="G110" i="20"/>
  <c r="H11" i="98"/>
  <c r="H10" i="98" s="1"/>
  <c r="C39" i="49"/>
  <c r="F24" i="49"/>
  <c r="G21" i="49"/>
  <c r="G20" i="49" s="1"/>
  <c r="I113" i="54"/>
  <c r="H112" i="54"/>
  <c r="I107" i="54"/>
  <c r="H106" i="54"/>
  <c r="H100" i="54"/>
  <c r="I101" i="54"/>
  <c r="G33" i="49"/>
  <c r="M33" i="49" s="1"/>
  <c r="D46" i="49"/>
  <c r="E32" i="49"/>
  <c r="E31" i="49" s="1"/>
  <c r="G25" i="49"/>
  <c r="M26" i="49"/>
  <c r="E16" i="49"/>
  <c r="G18" i="49"/>
  <c r="G17" i="49" s="1"/>
  <c r="F16" i="49"/>
  <c r="M29" i="49"/>
  <c r="G28" i="49"/>
  <c r="D40" i="49"/>
  <c r="D39" i="49" s="1"/>
  <c r="E41" i="49"/>
  <c r="E50" i="49"/>
  <c r="E46" i="49" s="1"/>
  <c r="F48" i="49"/>
  <c r="F47" i="49" s="1"/>
  <c r="F43" i="49"/>
  <c r="G44" i="49"/>
  <c r="F35" i="49"/>
  <c r="F31" i="49" s="1"/>
  <c r="G32" i="49" l="1"/>
  <c r="H110" i="54"/>
  <c r="I110" i="54" s="1"/>
  <c r="J110" i="54" s="1"/>
  <c r="G109" i="54"/>
  <c r="E113" i="20" s="1"/>
  <c r="L14" i="98" s="1"/>
  <c r="D216" i="54"/>
  <c r="E114" i="20"/>
  <c r="AG73" i="20" s="1"/>
  <c r="G73" i="20" s="1"/>
  <c r="J109" i="20" s="1"/>
  <c r="H206" i="54"/>
  <c r="G21" i="140"/>
  <c r="G94" i="140" s="1"/>
  <c r="D22" i="140"/>
  <c r="D22" i="142"/>
  <c r="D94" i="142" s="1"/>
  <c r="M13" i="98"/>
  <c r="N13" i="98" s="1"/>
  <c r="M21" i="49"/>
  <c r="M20" i="49" s="1"/>
  <c r="J107" i="54"/>
  <c r="I106" i="54"/>
  <c r="I100" i="54"/>
  <c r="J101" i="54"/>
  <c r="J113" i="54"/>
  <c r="I112" i="54"/>
  <c r="I206" i="54" s="1"/>
  <c r="G48" i="49"/>
  <c r="M48" i="49" s="1"/>
  <c r="N26" i="49"/>
  <c r="M25" i="49"/>
  <c r="G24" i="49"/>
  <c r="G16" i="49"/>
  <c r="M18" i="49"/>
  <c r="M17" i="49" s="1"/>
  <c r="M28" i="49"/>
  <c r="N29" i="49"/>
  <c r="F50" i="49"/>
  <c r="F46" i="49" s="1"/>
  <c r="F41" i="49"/>
  <c r="E40" i="49"/>
  <c r="E39" i="49" s="1"/>
  <c r="M44" i="49"/>
  <c r="G43" i="49"/>
  <c r="M32" i="49"/>
  <c r="N33" i="49"/>
  <c r="G31" i="49"/>
  <c r="I109" i="54" l="1"/>
  <c r="H109" i="54"/>
  <c r="G3" i="129"/>
  <c r="I11" i="98"/>
  <c r="I10" i="98" s="1"/>
  <c r="M14" i="98" s="1"/>
  <c r="N14" i="98" s="1"/>
  <c r="H217" i="54"/>
  <c r="G70" i="140"/>
  <c r="G21" i="142"/>
  <c r="F20" i="142"/>
  <c r="N5" i="145"/>
  <c r="F20" i="140"/>
  <c r="L5" i="145"/>
  <c r="N21" i="49"/>
  <c r="N20" i="49" s="1"/>
  <c r="G47" i="49"/>
  <c r="J100" i="54"/>
  <c r="K101" i="54"/>
  <c r="K113" i="54"/>
  <c r="J112" i="54"/>
  <c r="J206" i="54" s="1"/>
  <c r="K107" i="54"/>
  <c r="J106" i="54"/>
  <c r="K110" i="54"/>
  <c r="J109" i="54"/>
  <c r="N25" i="49"/>
  <c r="O26" i="49"/>
  <c r="O25" i="49" s="1"/>
  <c r="M24" i="49"/>
  <c r="M16" i="49"/>
  <c r="N18" i="49"/>
  <c r="N17" i="49" s="1"/>
  <c r="N28" i="49"/>
  <c r="O29" i="49"/>
  <c r="O28" i="49" s="1"/>
  <c r="G50" i="49"/>
  <c r="G41" i="49"/>
  <c r="F40" i="49"/>
  <c r="F39" i="49" s="1"/>
  <c r="M43" i="49"/>
  <c r="N44" i="49"/>
  <c r="M47" i="49"/>
  <c r="N48" i="49"/>
  <c r="O33" i="49"/>
  <c r="O32" i="49" s="1"/>
  <c r="N32" i="49"/>
  <c r="M31" i="49"/>
  <c r="G20" i="142" l="1"/>
  <c r="N34" i="145"/>
  <c r="N28" i="145"/>
  <c r="N33" i="145"/>
  <c r="N32" i="145"/>
  <c r="N29" i="145"/>
  <c r="N31" i="145"/>
  <c r="G20" i="140"/>
  <c r="Q5" i="145"/>
  <c r="E2" i="111"/>
  <c r="O24" i="49"/>
  <c r="O5" i="145"/>
  <c r="G46" i="49"/>
  <c r="O21" i="49"/>
  <c r="O20" i="49" s="1"/>
  <c r="K106" i="54"/>
  <c r="L107" i="54"/>
  <c r="K100" i="54"/>
  <c r="L101" i="54"/>
  <c r="L110" i="54"/>
  <c r="K109" i="54"/>
  <c r="L113" i="54"/>
  <c r="K112" i="54"/>
  <c r="K206" i="54" s="1"/>
  <c r="N24" i="49"/>
  <c r="O18" i="49"/>
  <c r="O17" i="49" s="1"/>
  <c r="N16" i="49"/>
  <c r="M50" i="49"/>
  <c r="M46" i="49" s="1"/>
  <c r="M41" i="49"/>
  <c r="G40" i="49"/>
  <c r="G39" i="49" s="1"/>
  <c r="N43" i="49"/>
  <c r="O44" i="49"/>
  <c r="O43" i="49" s="1"/>
  <c r="O48" i="49"/>
  <c r="O47" i="49" s="1"/>
  <c r="N47" i="49"/>
  <c r="O35" i="49"/>
  <c r="O31" i="49" s="1"/>
  <c r="N35" i="49"/>
  <c r="N31" i="49" s="1"/>
  <c r="Q32" i="145" l="1"/>
  <c r="Q33" i="145"/>
  <c r="Q28" i="145"/>
  <c r="Q34" i="145"/>
  <c r="Q29" i="145"/>
  <c r="Q31" i="145"/>
  <c r="F2" i="111"/>
  <c r="L100" i="54"/>
  <c r="M101" i="54"/>
  <c r="L112" i="54"/>
  <c r="L206" i="54" s="1"/>
  <c r="M113" i="54"/>
  <c r="M110" i="54"/>
  <c r="L109" i="54"/>
  <c r="L106" i="54"/>
  <c r="M107" i="54"/>
  <c r="O16" i="49"/>
  <c r="N50" i="49"/>
  <c r="N46" i="49" s="1"/>
  <c r="O50" i="49"/>
  <c r="O46" i="49" s="1"/>
  <c r="M40" i="49"/>
  <c r="M39" i="49" s="1"/>
  <c r="N41" i="49"/>
  <c r="M106" i="54" l="1"/>
  <c r="N107" i="54"/>
  <c r="M112" i="54"/>
  <c r="M206" i="54" s="1"/>
  <c r="N113" i="54"/>
  <c r="N110" i="54"/>
  <c r="M109" i="54"/>
  <c r="N101" i="54"/>
  <c r="M100" i="54"/>
  <c r="N40" i="49"/>
  <c r="N39" i="49" s="1"/>
  <c r="O41" i="49"/>
  <c r="O40" i="49" s="1"/>
  <c r="O39" i="49" s="1"/>
  <c r="N100" i="54" l="1"/>
  <c r="O101" i="54"/>
  <c r="N112" i="54"/>
  <c r="N206" i="54" s="1"/>
  <c r="O113" i="54"/>
  <c r="O110" i="54"/>
  <c r="N109" i="54"/>
  <c r="N106" i="54"/>
  <c r="O107" i="54"/>
  <c r="D54" i="49"/>
  <c r="E54" i="49"/>
  <c r="F54" i="49"/>
  <c r="G54" i="49"/>
  <c r="M54" i="49"/>
  <c r="N54" i="49"/>
  <c r="O54" i="49"/>
  <c r="C54" i="49"/>
  <c r="G104" i="54" s="1"/>
  <c r="E4" i="129" s="1"/>
  <c r="C57" i="49"/>
  <c r="L30" i="62"/>
  <c r="K30" i="62"/>
  <c r="J30" i="62"/>
  <c r="I30" i="62"/>
  <c r="O29" i="62"/>
  <c r="N29" i="62"/>
  <c r="M29" i="62"/>
  <c r="D68" i="24" s="1"/>
  <c r="L29" i="62"/>
  <c r="D67" i="24" s="1"/>
  <c r="K29" i="62"/>
  <c r="D66" i="24" s="1"/>
  <c r="J29" i="62"/>
  <c r="D65" i="24" s="1"/>
  <c r="L28" i="62"/>
  <c r="K28" i="62"/>
  <c r="I28" i="62"/>
  <c r="H29" i="62"/>
  <c r="D63" i="24" s="1"/>
  <c r="G29" i="62"/>
  <c r="D62" i="24" s="1"/>
  <c r="F8" i="49" s="1"/>
  <c r="F29" i="62"/>
  <c r="E8" i="49" s="1"/>
  <c r="E29" i="62"/>
  <c r="D29" i="62"/>
  <c r="O8" i="49" s="1"/>
  <c r="Q21" i="62"/>
  <c r="Q20" i="62"/>
  <c r="Q19" i="62"/>
  <c r="L15" i="62"/>
  <c r="K15" i="62"/>
  <c r="J15" i="62"/>
  <c r="I15" i="62"/>
  <c r="O14" i="62"/>
  <c r="O30" i="62" s="1"/>
  <c r="N14" i="62"/>
  <c r="N30" i="62" s="1"/>
  <c r="M14" i="62"/>
  <c r="M30" i="62" s="1"/>
  <c r="G14" i="62"/>
  <c r="F14" i="62"/>
  <c r="F28" i="62" s="1"/>
  <c r="E14" i="62"/>
  <c r="E28" i="62" s="1"/>
  <c r="E30" i="62" s="1"/>
  <c r="D14" i="62"/>
  <c r="D28" i="62" s="1"/>
  <c r="D30" i="62" s="1"/>
  <c r="B14" i="62"/>
  <c r="Q22" i="62"/>
  <c r="P12" i="62"/>
  <c r="P21" i="62" s="1"/>
  <c r="P11" i="62"/>
  <c r="P20" i="62" s="1"/>
  <c r="P10" i="62"/>
  <c r="P19" i="62" s="1"/>
  <c r="P9" i="62"/>
  <c r="P18" i="62" s="1"/>
  <c r="G28" i="62" l="1"/>
  <c r="D8" i="49"/>
  <c r="G8" i="49"/>
  <c r="D51" i="24"/>
  <c r="D57" i="24"/>
  <c r="B29" i="62"/>
  <c r="F111" i="20"/>
  <c r="F30" i="62"/>
  <c r="D52" i="24"/>
  <c r="H30" i="62"/>
  <c r="D54" i="24"/>
  <c r="G10" i="49" s="1"/>
  <c r="O106" i="54"/>
  <c r="P107" i="54"/>
  <c r="P113" i="54"/>
  <c r="O112" i="54"/>
  <c r="P110" i="54"/>
  <c r="O109" i="54"/>
  <c r="H104" i="54"/>
  <c r="P101" i="54"/>
  <c r="O100" i="54"/>
  <c r="C53" i="49"/>
  <c r="G105" i="54"/>
  <c r="D57" i="49"/>
  <c r="D53" i="49" s="1"/>
  <c r="D15" i="49" s="1"/>
  <c r="E57" i="49"/>
  <c r="E53" i="49" s="1"/>
  <c r="E15" i="49" s="1"/>
  <c r="B30" i="62"/>
  <c r="P13" i="62"/>
  <c r="P22" i="62" s="1"/>
  <c r="O28" i="62"/>
  <c r="N28" i="62"/>
  <c r="C14" i="62"/>
  <c r="C28" i="62" s="1"/>
  <c r="M28" i="62"/>
  <c r="G30" i="62" l="1"/>
  <c r="D53" i="24"/>
  <c r="P23" i="62"/>
  <c r="C29" i="62"/>
  <c r="M8" i="49"/>
  <c r="E5" i="129"/>
  <c r="C5" i="129" s="1"/>
  <c r="E21" i="142"/>
  <c r="E21" i="140"/>
  <c r="G111" i="20"/>
  <c r="G109" i="20" s="1"/>
  <c r="D162" i="54"/>
  <c r="C30" i="62"/>
  <c r="D56" i="24"/>
  <c r="P28" i="62"/>
  <c r="D50" i="24" s="1"/>
  <c r="E59" i="88" s="1"/>
  <c r="R59" i="88" s="1"/>
  <c r="P14" i="62"/>
  <c r="N8" i="49"/>
  <c r="I104" i="54"/>
  <c r="Q110" i="54"/>
  <c r="P109" i="54"/>
  <c r="H105" i="54"/>
  <c r="I105" i="54" s="1"/>
  <c r="J105" i="54" s="1"/>
  <c r="K105" i="54" s="1"/>
  <c r="L105" i="54" s="1"/>
  <c r="M105" i="54" s="1"/>
  <c r="N105" i="54" s="1"/>
  <c r="O105" i="54" s="1"/>
  <c r="P105" i="54" s="1"/>
  <c r="Q105" i="54" s="1"/>
  <c r="R105" i="54" s="1"/>
  <c r="S105" i="54" s="1"/>
  <c r="Q107" i="54"/>
  <c r="P106" i="54"/>
  <c r="P100" i="54"/>
  <c r="Q101" i="54"/>
  <c r="Q113" i="54"/>
  <c r="P112" i="54"/>
  <c r="G103" i="54"/>
  <c r="F57" i="49"/>
  <c r="F53" i="49" s="1"/>
  <c r="F15" i="49" s="1"/>
  <c r="Q28" i="62"/>
  <c r="P29" i="62" l="1"/>
  <c r="D59" i="24" s="1"/>
  <c r="E42" i="98" s="1"/>
  <c r="P30" i="62"/>
  <c r="R31" i="62" s="1"/>
  <c r="Q29" i="62"/>
  <c r="E22" i="142"/>
  <c r="E94" i="142" s="1"/>
  <c r="E22" i="140"/>
  <c r="E70" i="140"/>
  <c r="E94" i="140"/>
  <c r="E3" i="129"/>
  <c r="E111" i="20"/>
  <c r="L12" i="98" s="1"/>
  <c r="F217" i="54"/>
  <c r="E39" i="98"/>
  <c r="I39" i="98" s="1"/>
  <c r="I40" i="98" s="1"/>
  <c r="G39" i="88"/>
  <c r="E33" i="88"/>
  <c r="K9" i="69"/>
  <c r="D55" i="24"/>
  <c r="G11" i="98"/>
  <c r="G10" i="98" s="1"/>
  <c r="Q112" i="54"/>
  <c r="R113" i="54"/>
  <c r="Q106" i="54"/>
  <c r="R107" i="54"/>
  <c r="I103" i="54"/>
  <c r="J104" i="54"/>
  <c r="R101" i="54"/>
  <c r="Q100" i="54"/>
  <c r="R110" i="54"/>
  <c r="Q109" i="54"/>
  <c r="H103" i="54"/>
  <c r="G57" i="49"/>
  <c r="G53" i="49" s="1"/>
  <c r="G15" i="49" s="1"/>
  <c r="C7" i="145" l="1"/>
  <c r="K5" i="145"/>
  <c r="E20" i="140"/>
  <c r="E40" i="98"/>
  <c r="R33" i="88"/>
  <c r="E30" i="88"/>
  <c r="L9" i="69"/>
  <c r="G9" i="69" s="1"/>
  <c r="R39" i="88"/>
  <c r="G30" i="88"/>
  <c r="M12" i="98"/>
  <c r="N12" i="98" s="1"/>
  <c r="S110" i="54"/>
  <c r="S109" i="54" s="1"/>
  <c r="R109" i="54"/>
  <c r="J103" i="54"/>
  <c r="K104" i="54"/>
  <c r="R112" i="54"/>
  <c r="S113" i="54"/>
  <c r="S112" i="54" s="1"/>
  <c r="S101" i="54"/>
  <c r="S100" i="54" s="1"/>
  <c r="R100" i="54"/>
  <c r="S107" i="54"/>
  <c r="S106" i="54" s="1"/>
  <c r="R106" i="54"/>
  <c r="M57" i="49"/>
  <c r="M53" i="49" s="1"/>
  <c r="M15" i="49" s="1"/>
  <c r="G14" i="69" l="1"/>
  <c r="G34" i="69"/>
  <c r="G19" i="69"/>
  <c r="G24" i="69"/>
  <c r="G29" i="69"/>
  <c r="J31" i="69" s="1"/>
  <c r="D90" i="142"/>
  <c r="F91" i="142"/>
  <c r="F89" i="142"/>
  <c r="E89" i="142"/>
  <c r="E92" i="142"/>
  <c r="D89" i="142"/>
  <c r="D91" i="142"/>
  <c r="F88" i="142"/>
  <c r="F90" i="142"/>
  <c r="G88" i="142"/>
  <c r="E90" i="142"/>
  <c r="E88" i="142"/>
  <c r="F92" i="142"/>
  <c r="G91" i="142"/>
  <c r="G90" i="142"/>
  <c r="E91" i="142"/>
  <c r="D92" i="142"/>
  <c r="D88" i="142"/>
  <c r="G89" i="142"/>
  <c r="G92" i="142"/>
  <c r="G49" i="69"/>
  <c r="G39" i="69"/>
  <c r="G10" i="69"/>
  <c r="G55" i="69" s="1"/>
  <c r="K31" i="145"/>
  <c r="K33" i="145"/>
  <c r="K29" i="145"/>
  <c r="K28" i="145"/>
  <c r="K34" i="145"/>
  <c r="K32" i="145"/>
  <c r="E20" i="142"/>
  <c r="E69" i="142"/>
  <c r="E70" i="142"/>
  <c r="E98" i="142"/>
  <c r="G69" i="142"/>
  <c r="G98" i="142"/>
  <c r="F69" i="142"/>
  <c r="E99" i="142"/>
  <c r="D99" i="142"/>
  <c r="G70" i="142"/>
  <c r="G99" i="142"/>
  <c r="F98" i="142"/>
  <c r="F70" i="142"/>
  <c r="D70" i="142"/>
  <c r="D98" i="142"/>
  <c r="D69" i="142"/>
  <c r="F99" i="142"/>
  <c r="G44" i="69"/>
  <c r="R30" i="88"/>
  <c r="I5" i="145"/>
  <c r="K103" i="54"/>
  <c r="L104" i="54"/>
  <c r="O57" i="49"/>
  <c r="O53" i="49" s="1"/>
  <c r="O15" i="49" s="1"/>
  <c r="N57" i="49"/>
  <c r="N53" i="49" s="1"/>
  <c r="N15" i="49" s="1"/>
  <c r="L4" i="83" l="1"/>
  <c r="G54" i="69"/>
  <c r="K35" i="69" s="1"/>
  <c r="O4" i="66"/>
  <c r="O3" i="78"/>
  <c r="Q21" i="114"/>
  <c r="Q22" i="114"/>
  <c r="R21" i="114"/>
  <c r="R22" i="114"/>
  <c r="S22" i="114"/>
  <c r="S21" i="114"/>
  <c r="T22" i="114"/>
  <c r="T21" i="114"/>
  <c r="G87" i="142"/>
  <c r="D87" i="142"/>
  <c r="E87" i="142"/>
  <c r="F87" i="142"/>
  <c r="D2" i="111"/>
  <c r="M104" i="54"/>
  <c r="L103" i="54"/>
  <c r="N15" i="66" l="1"/>
  <c r="F9" i="66"/>
  <c r="N17" i="66"/>
  <c r="P22" i="114"/>
  <c r="P29" i="114" s="1"/>
  <c r="P21" i="114"/>
  <c r="P28" i="114" s="1"/>
  <c r="N16" i="66"/>
  <c r="M103" i="54"/>
  <c r="N104" i="54"/>
  <c r="J21" i="114" l="1"/>
  <c r="J22" i="114"/>
  <c r="N9" i="66"/>
  <c r="N103" i="54"/>
  <c r="O104" i="54"/>
  <c r="O103" i="54" l="1"/>
  <c r="P104" i="54"/>
  <c r="P103" i="54" l="1"/>
  <c r="Q104" i="54"/>
  <c r="Q103" i="54" l="1"/>
  <c r="R104" i="54"/>
  <c r="S104" i="54" l="1"/>
  <c r="S103" i="54" s="1"/>
  <c r="R103" i="54"/>
  <c r="E56" i="61" l="1"/>
  <c r="E53" i="61" s="1"/>
  <c r="D56" i="61"/>
  <c r="D53" i="61" s="1"/>
  <c r="E50" i="61"/>
  <c r="D50" i="61"/>
  <c r="E47" i="61"/>
  <c r="E39" i="61"/>
  <c r="D39" i="61"/>
  <c r="G31" i="61"/>
  <c r="E31" i="61"/>
  <c r="D31" i="61"/>
  <c r="D27" i="61"/>
  <c r="E23" i="61"/>
  <c r="D23" i="61"/>
  <c r="E19" i="61"/>
  <c r="D19" i="61"/>
  <c r="E12" i="61"/>
  <c r="D12" i="61"/>
  <c r="G9" i="61"/>
  <c r="F9" i="61"/>
  <c r="E9" i="61"/>
  <c r="G14" i="57"/>
  <c r="F14" i="57"/>
  <c r="E14" i="57"/>
  <c r="E11" i="61" l="1"/>
  <c r="E37" i="61" s="1"/>
  <c r="E45" i="61" s="1"/>
  <c r="E46" i="61" s="1"/>
  <c r="D11" i="61"/>
  <c r="D37" i="61" l="1"/>
  <c r="D45" i="61" s="1"/>
  <c r="D46" i="61" s="1"/>
  <c r="D47" i="26" l="1"/>
  <c r="B47" i="26"/>
  <c r="A23" i="32" l="1"/>
  <c r="E47" i="57" l="1"/>
  <c r="D47" i="57"/>
  <c r="F39" i="57"/>
  <c r="E39" i="57"/>
  <c r="D39" i="57"/>
  <c r="G31" i="57"/>
  <c r="F31" i="57"/>
  <c r="E31" i="57"/>
  <c r="D31" i="57"/>
  <c r="F27" i="57"/>
  <c r="E27" i="57"/>
  <c r="D27" i="57"/>
  <c r="F23" i="57"/>
  <c r="F16" i="57" s="1"/>
  <c r="E23" i="57"/>
  <c r="E16" i="57" s="1"/>
  <c r="D23" i="57"/>
  <c r="D16" i="57" s="1"/>
  <c r="W16" i="57"/>
  <c r="V16" i="57"/>
  <c r="U16" i="57"/>
  <c r="T16" i="57"/>
  <c r="S16" i="57"/>
  <c r="R16" i="57"/>
  <c r="Q16" i="57"/>
  <c r="P16" i="57"/>
  <c r="O16" i="57"/>
  <c r="N16" i="57"/>
  <c r="M16" i="57"/>
  <c r="L16" i="57"/>
  <c r="K16" i="57"/>
  <c r="J16" i="57"/>
  <c r="I16" i="57"/>
  <c r="H16" i="57"/>
  <c r="H56" i="55"/>
  <c r="D55" i="112" s="1"/>
  <c r="G56" i="55"/>
  <c r="F56" i="55"/>
  <c r="E56" i="55"/>
  <c r="G55" i="55"/>
  <c r="E55" i="55"/>
  <c r="W45" i="55"/>
  <c r="F45" i="55"/>
  <c r="E45" i="55"/>
  <c r="X37" i="55"/>
  <c r="H36" i="112" s="1"/>
  <c r="H21" i="55"/>
  <c r="D20" i="112" s="1"/>
  <c r="N20" i="112" s="1"/>
  <c r="H20" i="55"/>
  <c r="D19" i="112" s="1"/>
  <c r="N19" i="112" s="1"/>
  <c r="J24" i="55" l="1"/>
  <c r="K45" i="55"/>
  <c r="V36" i="55"/>
  <c r="V35" i="55"/>
  <c r="V32" i="55"/>
  <c r="V34" i="55"/>
  <c r="V42" i="55"/>
  <c r="V41" i="55"/>
  <c r="S45" i="55"/>
  <c r="W41" i="55"/>
  <c r="U42" i="55"/>
  <c r="U41" i="55"/>
  <c r="U31" i="55"/>
  <c r="U36" i="55"/>
  <c r="U34" i="55"/>
  <c r="U32" i="55"/>
  <c r="U30" i="55"/>
  <c r="Q18" i="55"/>
  <c r="U35" i="55"/>
  <c r="R32" i="55"/>
  <c r="R41" i="55"/>
  <c r="R36" i="55"/>
  <c r="R35" i="55"/>
  <c r="R42" i="55"/>
  <c r="Q32" i="55"/>
  <c r="Q23" i="55"/>
  <c r="Q24" i="55"/>
  <c r="Q31" i="55"/>
  <c r="Q42" i="55"/>
  <c r="Q22" i="55"/>
  <c r="Q36" i="55"/>
  <c r="Q30" i="55"/>
  <c r="Q41" i="55"/>
  <c r="Q26" i="55"/>
  <c r="Q27" i="55"/>
  <c r="Q28" i="55"/>
  <c r="Q35" i="55"/>
  <c r="Q34" i="55"/>
  <c r="S41" i="55"/>
  <c r="N35" i="55"/>
  <c r="N30" i="55"/>
  <c r="J35" i="55"/>
  <c r="J30" i="55"/>
  <c r="N34" i="55"/>
  <c r="J34" i="55"/>
  <c r="N41" i="55"/>
  <c r="N32" i="55"/>
  <c r="J42" i="55"/>
  <c r="J32" i="55"/>
  <c r="N42" i="55"/>
  <c r="N36" i="55"/>
  <c r="N31" i="55"/>
  <c r="J41" i="55"/>
  <c r="J36" i="55"/>
  <c r="J31" i="55"/>
  <c r="N26" i="55"/>
  <c r="N27" i="55"/>
  <c r="N22" i="55"/>
  <c r="J26" i="55"/>
  <c r="J27" i="55"/>
  <c r="J22" i="55"/>
  <c r="N18" i="55"/>
  <c r="N28" i="55"/>
  <c r="N24" i="55"/>
  <c r="J28" i="55"/>
  <c r="J18" i="55"/>
  <c r="M42" i="55"/>
  <c r="M34" i="55"/>
  <c r="M26" i="55"/>
  <c r="I41" i="55"/>
  <c r="I34" i="55"/>
  <c r="I26" i="55"/>
  <c r="M32" i="55"/>
  <c r="M27" i="55"/>
  <c r="I32" i="55"/>
  <c r="I28" i="55"/>
  <c r="M36" i="55"/>
  <c r="M31" i="55"/>
  <c r="M28" i="55"/>
  <c r="I36" i="55"/>
  <c r="I31" i="55"/>
  <c r="I27" i="55"/>
  <c r="M41" i="55"/>
  <c r="M35" i="55"/>
  <c r="M30" i="55"/>
  <c r="I42" i="55"/>
  <c r="I35" i="55"/>
  <c r="I30" i="55"/>
  <c r="M23" i="55"/>
  <c r="M24" i="55"/>
  <c r="M22" i="55"/>
  <c r="I23" i="55"/>
  <c r="I24" i="55"/>
  <c r="I22" i="55"/>
  <c r="M18" i="55"/>
  <c r="I18" i="55"/>
  <c r="G13" i="55"/>
  <c r="G12" i="55" s="1"/>
  <c r="H19" i="55"/>
  <c r="D18" i="112" s="1"/>
  <c r="N18" i="112" s="1"/>
  <c r="E13" i="55"/>
  <c r="E12" i="55" s="1"/>
  <c r="E37" i="57"/>
  <c r="E45" i="57" s="1"/>
  <c r="E46" i="57" s="1"/>
  <c r="E65" i="57" s="1"/>
  <c r="D37" i="57"/>
  <c r="D45" i="57" s="1"/>
  <c r="D46" i="57" s="1"/>
  <c r="D65" i="57" s="1"/>
  <c r="F37" i="57"/>
  <c r="Q17" i="55" l="1"/>
  <c r="F45" i="57"/>
  <c r="V29" i="55"/>
  <c r="W13" i="55"/>
  <c r="Q37" i="55"/>
  <c r="U33" i="55"/>
  <c r="W33" i="55"/>
  <c r="U13" i="55"/>
  <c r="V37" i="55"/>
  <c r="W37" i="55"/>
  <c r="U37" i="55"/>
  <c r="W29" i="55"/>
  <c r="V25" i="55"/>
  <c r="V33" i="55"/>
  <c r="U29" i="55"/>
  <c r="Q25" i="55"/>
  <c r="Q33" i="55"/>
  <c r="Q29" i="55"/>
  <c r="S13" i="55"/>
  <c r="R25" i="55"/>
  <c r="R37" i="55"/>
  <c r="S33" i="55"/>
  <c r="R33" i="55"/>
  <c r="R29" i="55"/>
  <c r="S37" i="55"/>
  <c r="S29" i="55"/>
  <c r="J37" i="55"/>
  <c r="M13" i="55"/>
  <c r="J33" i="55"/>
  <c r="M37" i="55"/>
  <c r="J25" i="55"/>
  <c r="J29" i="55"/>
  <c r="I37" i="55"/>
  <c r="I33" i="55"/>
  <c r="M33" i="55"/>
  <c r="N25" i="55"/>
  <c r="N33" i="55"/>
  <c r="N29" i="55"/>
  <c r="I13" i="55"/>
  <c r="I29" i="55"/>
  <c r="M29" i="55"/>
  <c r="I25" i="55"/>
  <c r="M25" i="55"/>
  <c r="N37" i="55"/>
  <c r="G43" i="55"/>
  <c r="G59" i="55" s="1"/>
  <c r="E43" i="55"/>
  <c r="E59" i="55" s="1"/>
  <c r="F10" i="22"/>
  <c r="Q16" i="55" l="1"/>
  <c r="Q15" i="55" s="1"/>
  <c r="Q14" i="55" s="1"/>
  <c r="F65" i="57"/>
  <c r="K12" i="55"/>
  <c r="K43" i="55" s="1"/>
  <c r="K51" i="55" s="1"/>
  <c r="W12" i="55"/>
  <c r="W43" i="55" s="1"/>
  <c r="W54" i="55" s="1"/>
  <c r="U12" i="55"/>
  <c r="U43" i="55" s="1"/>
  <c r="S12" i="55"/>
  <c r="E51" i="55"/>
  <c r="M12" i="55"/>
  <c r="M43" i="55" s="1"/>
  <c r="I12" i="55"/>
  <c r="I43" i="55" s="1"/>
  <c r="C14" i="29"/>
  <c r="F74" i="98" s="1"/>
  <c r="E74" i="98" s="1"/>
  <c r="C32" i="29"/>
  <c r="F32" i="29" s="1"/>
  <c r="I32" i="29" s="1"/>
  <c r="L32" i="29" s="1"/>
  <c r="D48" i="27"/>
  <c r="B48" i="27"/>
  <c r="A5" i="27"/>
  <c r="Q13" i="55" l="1"/>
  <c r="Q12" i="55" s="1"/>
  <c r="Q43" i="55" s="1"/>
  <c r="Q51" i="55" s="1"/>
  <c r="I51" i="55"/>
  <c r="W51" i="55"/>
  <c r="W52" i="55" s="1"/>
  <c r="W59" i="55"/>
  <c r="S51" i="55"/>
  <c r="U59" i="55"/>
  <c r="U51" i="55"/>
  <c r="M51" i="55"/>
  <c r="E53" i="55"/>
  <c r="E54" i="55"/>
  <c r="C31" i="29"/>
  <c r="F31" i="29" s="1"/>
  <c r="I31" i="29" s="1"/>
  <c r="L31" i="29" s="1"/>
  <c r="D34" i="30"/>
  <c r="Q59" i="55" l="1"/>
  <c r="G54" i="22"/>
  <c r="G81" i="22" s="1"/>
  <c r="C33" i="29"/>
  <c r="F33" i="29" s="1"/>
  <c r="I33" i="29" s="1"/>
  <c r="L33" i="29" s="1"/>
  <c r="A7" i="30"/>
  <c r="G12" i="54" l="1"/>
  <c r="F12" i="54"/>
  <c r="N6" i="54"/>
  <c r="O10" i="49" l="1"/>
  <c r="N10" i="49"/>
  <c r="M10" i="49"/>
  <c r="E10" i="49"/>
  <c r="F10" i="49"/>
  <c r="D10" i="49"/>
  <c r="C10" i="49"/>
  <c r="D9" i="49"/>
  <c r="E9" i="49" s="1"/>
  <c r="F9" i="49" s="1"/>
  <c r="C8" i="49"/>
  <c r="C7" i="49"/>
  <c r="D7" i="49" s="1"/>
  <c r="C5" i="49"/>
  <c r="D5" i="49" s="1"/>
  <c r="D12" i="49" l="1"/>
  <c r="D96" i="49" s="1"/>
  <c r="G9" i="49"/>
  <c r="E7" i="49"/>
  <c r="D11" i="49"/>
  <c r="D79" i="49" s="1"/>
  <c r="E5" i="49"/>
  <c r="F5" i="49" s="1"/>
  <c r="M9" i="49" l="1"/>
  <c r="N9" i="49" s="1"/>
  <c r="O9" i="49" s="1"/>
  <c r="H9" i="49"/>
  <c r="I9" i="49" s="1"/>
  <c r="J9" i="49" s="1"/>
  <c r="K9" i="49" s="1"/>
  <c r="L9" i="49" s="1"/>
  <c r="G5" i="49"/>
  <c r="E12" i="49"/>
  <c r="E104" i="49" s="1"/>
  <c r="D97" i="49"/>
  <c r="D82" i="49"/>
  <c r="D83" i="49"/>
  <c r="K123" i="54" s="1"/>
  <c r="K82" i="54" s="1"/>
  <c r="K120" i="54"/>
  <c r="K79" i="54" s="1"/>
  <c r="F7" i="49"/>
  <c r="G7" i="49" s="1"/>
  <c r="E11" i="49"/>
  <c r="D81" i="49"/>
  <c r="D78" i="49"/>
  <c r="D87" i="49"/>
  <c r="D86" i="49"/>
  <c r="D119" i="49"/>
  <c r="D118" i="49"/>
  <c r="D116" i="49"/>
  <c r="D115" i="49"/>
  <c r="D112" i="49"/>
  <c r="D111" i="49"/>
  <c r="D109" i="49"/>
  <c r="D108" i="49"/>
  <c r="D105" i="49"/>
  <c r="D104" i="49"/>
  <c r="D102" i="49"/>
  <c r="D101" i="49"/>
  <c r="D98" i="49"/>
  <c r="D95" i="49" s="1"/>
  <c r="D94" i="49"/>
  <c r="D93" i="49"/>
  <c r="D90" i="49"/>
  <c r="D89" i="49"/>
  <c r="D173" i="49" l="1"/>
  <c r="E82" i="49"/>
  <c r="E173" i="49" s="1"/>
  <c r="H7" i="49"/>
  <c r="I7" i="49" s="1"/>
  <c r="J7" i="49" s="1"/>
  <c r="K7" i="49" s="1"/>
  <c r="L7" i="49" s="1"/>
  <c r="G11" i="49"/>
  <c r="H5" i="49"/>
  <c r="I5" i="49" s="1"/>
  <c r="J5" i="49" s="1"/>
  <c r="K5" i="49" s="1"/>
  <c r="L5" i="49" s="1"/>
  <c r="G12" i="49"/>
  <c r="M5" i="49"/>
  <c r="N5" i="49" s="1"/>
  <c r="O5" i="49" s="1"/>
  <c r="D180" i="49"/>
  <c r="D174" i="49"/>
  <c r="E96" i="49"/>
  <c r="E118" i="49"/>
  <c r="E111" i="49"/>
  <c r="E89" i="49"/>
  <c r="E78" i="49"/>
  <c r="E87" i="49"/>
  <c r="E94" i="49"/>
  <c r="E102" i="49"/>
  <c r="E109" i="49"/>
  <c r="E116" i="49"/>
  <c r="E93" i="49"/>
  <c r="E101" i="49"/>
  <c r="E108" i="49"/>
  <c r="E115" i="49"/>
  <c r="E86" i="49"/>
  <c r="E90" i="49"/>
  <c r="E98" i="49"/>
  <c r="E105" i="49"/>
  <c r="E112" i="49"/>
  <c r="E119" i="49"/>
  <c r="E81" i="49"/>
  <c r="E97" i="49"/>
  <c r="D80" i="49"/>
  <c r="F11" i="49"/>
  <c r="F12" i="49"/>
  <c r="D77" i="49"/>
  <c r="E83" i="49"/>
  <c r="L123" i="54" s="1"/>
  <c r="L82" i="54" s="1"/>
  <c r="E79" i="49"/>
  <c r="L120" i="54" s="1"/>
  <c r="L79" i="54" s="1"/>
  <c r="D92" i="49"/>
  <c r="D157" i="49" s="1"/>
  <c r="D88" i="49"/>
  <c r="D100" i="49"/>
  <c r="D158" i="49" s="1"/>
  <c r="D107" i="49"/>
  <c r="D103" i="49"/>
  <c r="D164" i="49" s="1"/>
  <c r="D110" i="49"/>
  <c r="D117" i="49"/>
  <c r="D85" i="49"/>
  <c r="K119" i="54" s="1"/>
  <c r="D114" i="49"/>
  <c r="D172" i="49" l="1"/>
  <c r="D162" i="49"/>
  <c r="D165" i="49"/>
  <c r="K73" i="54"/>
  <c r="D159" i="49"/>
  <c r="K72" i="54"/>
  <c r="K179" i="54" s="1"/>
  <c r="E92" i="49"/>
  <c r="E157" i="49" s="1"/>
  <c r="E100" i="49"/>
  <c r="E158" i="49" s="1"/>
  <c r="E107" i="49"/>
  <c r="E114" i="49"/>
  <c r="E160" i="49" s="1"/>
  <c r="E110" i="49"/>
  <c r="E88" i="49"/>
  <c r="L122" i="54" s="1"/>
  <c r="L121" i="54" s="1"/>
  <c r="L80" i="54" s="1"/>
  <c r="E174" i="49"/>
  <c r="E172" i="49" s="1"/>
  <c r="E180" i="49"/>
  <c r="D156" i="49"/>
  <c r="K126" i="54"/>
  <c r="K86" i="54" s="1"/>
  <c r="D166" i="49"/>
  <c r="K125" i="54"/>
  <c r="D160" i="49"/>
  <c r="K132" i="54"/>
  <c r="K94" i="54" s="1"/>
  <c r="K129" i="54"/>
  <c r="K90" i="54" s="1"/>
  <c r="D163" i="49"/>
  <c r="E95" i="49"/>
  <c r="D76" i="49"/>
  <c r="E103" i="49"/>
  <c r="E164" i="49" s="1"/>
  <c r="E117" i="49"/>
  <c r="E85" i="49"/>
  <c r="L119" i="54" s="1"/>
  <c r="L78" i="54" s="1"/>
  <c r="F97" i="49"/>
  <c r="F82" i="49"/>
  <c r="F173" i="49" s="1"/>
  <c r="E77" i="49"/>
  <c r="E80" i="49"/>
  <c r="K78" i="54"/>
  <c r="K118" i="54"/>
  <c r="F81" i="49"/>
  <c r="F78" i="49"/>
  <c r="F118" i="49"/>
  <c r="F111" i="49"/>
  <c r="F104" i="49"/>
  <c r="F96" i="49"/>
  <c r="F89" i="49"/>
  <c r="F119" i="49"/>
  <c r="F112" i="49"/>
  <c r="F105" i="49"/>
  <c r="F98" i="49"/>
  <c r="F90" i="49"/>
  <c r="F115" i="49"/>
  <c r="F108" i="49"/>
  <c r="F101" i="49"/>
  <c r="F93" i="49"/>
  <c r="F86" i="49"/>
  <c r="F116" i="49"/>
  <c r="F109" i="49"/>
  <c r="F102" i="49"/>
  <c r="F94" i="49"/>
  <c r="F87" i="49"/>
  <c r="D84" i="49"/>
  <c r="K122" i="54"/>
  <c r="D91" i="49"/>
  <c r="K128" i="54"/>
  <c r="M7" i="49"/>
  <c r="D99" i="49"/>
  <c r="K131" i="54"/>
  <c r="K93" i="54" s="1"/>
  <c r="F83" i="49"/>
  <c r="M123" i="54" s="1"/>
  <c r="M82" i="54" s="1"/>
  <c r="F79" i="49"/>
  <c r="M120" i="54" s="1"/>
  <c r="M79" i="54" s="1"/>
  <c r="D106" i="49"/>
  <c r="D113" i="49"/>
  <c r="L131" i="54" l="1"/>
  <c r="L93" i="54" s="1"/>
  <c r="L128" i="54"/>
  <c r="L89" i="54" s="1"/>
  <c r="E91" i="49"/>
  <c r="K200" i="54"/>
  <c r="E165" i="49"/>
  <c r="L73" i="54"/>
  <c r="E159" i="49"/>
  <c r="L72" i="54"/>
  <c r="L179" i="54" s="1"/>
  <c r="D75" i="49"/>
  <c r="D176" i="49" s="1"/>
  <c r="D177" i="49" s="1"/>
  <c r="K180" i="54"/>
  <c r="L125" i="54"/>
  <c r="L85" i="54" s="1"/>
  <c r="E113" i="49"/>
  <c r="E106" i="49"/>
  <c r="E162" i="49"/>
  <c r="E84" i="49"/>
  <c r="K71" i="54"/>
  <c r="K178" i="54" s="1"/>
  <c r="F174" i="49"/>
  <c r="F172" i="49" s="1"/>
  <c r="F180" i="49"/>
  <c r="D161" i="49"/>
  <c r="D155" i="49"/>
  <c r="D178" i="49" s="1"/>
  <c r="K124" i="54"/>
  <c r="K83" i="54" s="1"/>
  <c r="K85" i="54"/>
  <c r="L126" i="54"/>
  <c r="L86" i="54" s="1"/>
  <c r="E166" i="49"/>
  <c r="L129" i="54"/>
  <c r="L90" i="54" s="1"/>
  <c r="E163" i="49"/>
  <c r="E99" i="49"/>
  <c r="L132" i="54"/>
  <c r="L94" i="54" s="1"/>
  <c r="E156" i="49"/>
  <c r="L81" i="54"/>
  <c r="L118" i="54"/>
  <c r="L77" i="54" s="1"/>
  <c r="G97" i="49"/>
  <c r="G82" i="49"/>
  <c r="G173" i="49" s="1"/>
  <c r="E76" i="49"/>
  <c r="F107" i="49"/>
  <c r="F95" i="49"/>
  <c r="F92" i="49"/>
  <c r="F110" i="49"/>
  <c r="F85" i="49"/>
  <c r="M119" i="54" s="1"/>
  <c r="F114" i="49"/>
  <c r="F160" i="49" s="1"/>
  <c r="F103" i="49"/>
  <c r="F164" i="49" s="1"/>
  <c r="G83" i="49"/>
  <c r="N123" i="54" s="1"/>
  <c r="N82" i="54" s="1"/>
  <c r="G79" i="49"/>
  <c r="N120" i="54" s="1"/>
  <c r="N79" i="54" s="1"/>
  <c r="F80" i="49"/>
  <c r="K77" i="54"/>
  <c r="N7" i="49"/>
  <c r="M11" i="49"/>
  <c r="M12" i="49"/>
  <c r="K130" i="54"/>
  <c r="K91" i="54" s="1"/>
  <c r="G78" i="49"/>
  <c r="G81" i="49"/>
  <c r="G118" i="49"/>
  <c r="G111" i="49"/>
  <c r="G104" i="49"/>
  <c r="G96" i="49"/>
  <c r="G89" i="49"/>
  <c r="G119" i="49"/>
  <c r="G112" i="49"/>
  <c r="G105" i="49"/>
  <c r="G98" i="49"/>
  <c r="G90" i="49"/>
  <c r="G115" i="49"/>
  <c r="G108" i="49"/>
  <c r="G101" i="49"/>
  <c r="G93" i="49"/>
  <c r="G86" i="49"/>
  <c r="G116" i="49"/>
  <c r="G109" i="49"/>
  <c r="G102" i="49"/>
  <c r="G94" i="49"/>
  <c r="G87" i="49"/>
  <c r="K81" i="54"/>
  <c r="K121" i="54"/>
  <c r="K80" i="54" s="1"/>
  <c r="F77" i="49"/>
  <c r="K127" i="54"/>
  <c r="K87" i="54" s="1"/>
  <c r="K89" i="54"/>
  <c r="F100" i="49"/>
  <c r="F158" i="49" s="1"/>
  <c r="F88" i="49"/>
  <c r="M122" i="54" s="1"/>
  <c r="F117" i="49"/>
  <c r="D152" i="49" l="1"/>
  <c r="K60" i="54" s="1"/>
  <c r="K32" i="54" s="1"/>
  <c r="D179" i="49"/>
  <c r="D151" i="49"/>
  <c r="K63" i="54" s="1"/>
  <c r="K41" i="54" s="1"/>
  <c r="L71" i="54"/>
  <c r="L178" i="54" s="1"/>
  <c r="L200" i="54"/>
  <c r="F165" i="49"/>
  <c r="M73" i="54"/>
  <c r="F159" i="49"/>
  <c r="M72" i="54"/>
  <c r="D143" i="49"/>
  <c r="K53" i="54" s="1"/>
  <c r="K34" i="54" s="1"/>
  <c r="D144" i="49"/>
  <c r="C167" i="49"/>
  <c r="C168" i="49"/>
  <c r="L183" i="54"/>
  <c r="I29" i="21"/>
  <c r="K183" i="54"/>
  <c r="H29" i="21"/>
  <c r="I28" i="21"/>
  <c r="L182" i="54"/>
  <c r="H28" i="21"/>
  <c r="K182" i="54"/>
  <c r="L180" i="54"/>
  <c r="D149" i="49"/>
  <c r="K61" i="54" s="1"/>
  <c r="K35" i="54" s="1"/>
  <c r="D150" i="49"/>
  <c r="K62" i="54" s="1"/>
  <c r="K38" i="54" s="1"/>
  <c r="D148" i="49"/>
  <c r="K59" i="54" s="1"/>
  <c r="D142" i="49"/>
  <c r="K51" i="54" s="1"/>
  <c r="M125" i="54"/>
  <c r="M85" i="54" s="1"/>
  <c r="E161" i="49"/>
  <c r="F156" i="49"/>
  <c r="G174" i="49"/>
  <c r="G172" i="49" s="1"/>
  <c r="G180" i="49"/>
  <c r="E75" i="49"/>
  <c r="E155" i="49"/>
  <c r="E178" i="49" s="1"/>
  <c r="D154" i="49"/>
  <c r="D145" i="49"/>
  <c r="D146" i="49"/>
  <c r="K52" i="54" s="1"/>
  <c r="L124" i="54"/>
  <c r="L83" i="54" s="1"/>
  <c r="L130" i="54"/>
  <c r="L91" i="54" s="1"/>
  <c r="M132" i="54"/>
  <c r="M94" i="54" s="1"/>
  <c r="L127" i="54"/>
  <c r="L87" i="54" s="1"/>
  <c r="F162" i="49"/>
  <c r="M126" i="54"/>
  <c r="M86" i="54" s="1"/>
  <c r="F166" i="49"/>
  <c r="M129" i="54"/>
  <c r="M90" i="54" s="1"/>
  <c r="F163" i="49"/>
  <c r="M128" i="54"/>
  <c r="M89" i="54" s="1"/>
  <c r="F157" i="49"/>
  <c r="L117" i="54"/>
  <c r="M97" i="49"/>
  <c r="M82" i="49"/>
  <c r="M173" i="49" s="1"/>
  <c r="G85" i="49"/>
  <c r="N119" i="54" s="1"/>
  <c r="G114" i="49"/>
  <c r="G103" i="49"/>
  <c r="G164" i="49" s="1"/>
  <c r="F76" i="49"/>
  <c r="F91" i="49"/>
  <c r="F106" i="49"/>
  <c r="G107" i="49"/>
  <c r="G95" i="49"/>
  <c r="M81" i="54"/>
  <c r="M121" i="54"/>
  <c r="M80" i="54" s="1"/>
  <c r="M78" i="54"/>
  <c r="M118" i="54"/>
  <c r="M81" i="49"/>
  <c r="M78" i="49"/>
  <c r="M86" i="49"/>
  <c r="M115" i="49"/>
  <c r="M108" i="49"/>
  <c r="M101" i="49"/>
  <c r="M93" i="49"/>
  <c r="M87" i="49"/>
  <c r="M116" i="49"/>
  <c r="M109" i="49"/>
  <c r="M102" i="49"/>
  <c r="M94" i="49"/>
  <c r="M118" i="49"/>
  <c r="M111" i="49"/>
  <c r="M104" i="49"/>
  <c r="M96" i="49"/>
  <c r="M89" i="49"/>
  <c r="M119" i="49"/>
  <c r="M112" i="49"/>
  <c r="M105" i="49"/>
  <c r="M98" i="49"/>
  <c r="M90" i="49"/>
  <c r="G92" i="49"/>
  <c r="G157" i="49" s="1"/>
  <c r="G110" i="49"/>
  <c r="K117" i="54"/>
  <c r="G77" i="49"/>
  <c r="F84" i="49"/>
  <c r="M131" i="54"/>
  <c r="M93" i="54" s="1"/>
  <c r="F99" i="49"/>
  <c r="G80" i="49"/>
  <c r="O7" i="49"/>
  <c r="N11" i="49"/>
  <c r="N12" i="49"/>
  <c r="M83" i="49"/>
  <c r="H123" i="54" s="1"/>
  <c r="M79" i="49"/>
  <c r="H120" i="54" s="1"/>
  <c r="G100" i="49"/>
  <c r="G158" i="49" s="1"/>
  <c r="G88" i="49"/>
  <c r="N122" i="54" s="1"/>
  <c r="G117" i="49"/>
  <c r="F113" i="49"/>
  <c r="E176" i="49" l="1"/>
  <c r="E177" i="49" s="1"/>
  <c r="H203" i="54"/>
  <c r="M200" i="54"/>
  <c r="K55" i="54"/>
  <c r="K54" i="54"/>
  <c r="K37" i="54" s="1"/>
  <c r="G165" i="49"/>
  <c r="N73" i="54"/>
  <c r="G159" i="49"/>
  <c r="N72" i="54"/>
  <c r="N179" i="54" s="1"/>
  <c r="M179" i="54"/>
  <c r="J29" i="21"/>
  <c r="M183" i="54"/>
  <c r="M180" i="54"/>
  <c r="E179" i="49"/>
  <c r="I124" i="21" s="1"/>
  <c r="E150" i="49"/>
  <c r="L62" i="54" s="1"/>
  <c r="L38" i="54" s="1"/>
  <c r="E151" i="49"/>
  <c r="E152" i="49"/>
  <c r="L60" i="54" s="1"/>
  <c r="L32" i="54" s="1"/>
  <c r="E149" i="49"/>
  <c r="L61" i="54" s="1"/>
  <c r="L35" i="54" s="1"/>
  <c r="E148" i="49"/>
  <c r="L59" i="54" s="1"/>
  <c r="H123" i="21"/>
  <c r="I123" i="21"/>
  <c r="H124" i="21"/>
  <c r="N94" i="49"/>
  <c r="O94" i="49"/>
  <c r="G156" i="49"/>
  <c r="K29" i="54"/>
  <c r="K28" i="54"/>
  <c r="M71" i="54"/>
  <c r="M178" i="54" s="1"/>
  <c r="M174" i="49"/>
  <c r="M172" i="49" s="1"/>
  <c r="M180" i="49"/>
  <c r="F161" i="49"/>
  <c r="F179" i="49" s="1"/>
  <c r="K31" i="54"/>
  <c r="K30" i="54" s="1"/>
  <c r="K33" i="54"/>
  <c r="E144" i="49"/>
  <c r="L54" i="54" s="1"/>
  <c r="L37" i="54" s="1"/>
  <c r="E145" i="49"/>
  <c r="E143" i="49"/>
  <c r="L53" i="54" s="1"/>
  <c r="L34" i="54" s="1"/>
  <c r="E146" i="49"/>
  <c r="E154" i="49"/>
  <c r="E142" i="49"/>
  <c r="L51" i="54" s="1"/>
  <c r="F155" i="49"/>
  <c r="F178" i="49" s="1"/>
  <c r="M127" i="54"/>
  <c r="M87" i="54" s="1"/>
  <c r="G162" i="49"/>
  <c r="L116" i="54"/>
  <c r="L115" i="54" s="1"/>
  <c r="M124" i="54"/>
  <c r="M83" i="54" s="1"/>
  <c r="N126" i="54"/>
  <c r="N86" i="54" s="1"/>
  <c r="G166" i="49"/>
  <c r="N129" i="54"/>
  <c r="N90" i="54" s="1"/>
  <c r="G163" i="49"/>
  <c r="N132" i="54"/>
  <c r="N94" i="54" s="1"/>
  <c r="N125" i="54"/>
  <c r="N85" i="54" s="1"/>
  <c r="G160" i="49"/>
  <c r="L75" i="54"/>
  <c r="L74" i="54" s="1"/>
  <c r="L181" i="54" s="1"/>
  <c r="N97" i="49"/>
  <c r="N82" i="49"/>
  <c r="N173" i="49" s="1"/>
  <c r="M100" i="49"/>
  <c r="M88" i="49"/>
  <c r="H122" i="54" s="1"/>
  <c r="M117" i="49"/>
  <c r="G106" i="49"/>
  <c r="M103" i="49"/>
  <c r="M164" i="49" s="1"/>
  <c r="M107" i="49"/>
  <c r="F75" i="49"/>
  <c r="M92" i="49"/>
  <c r="M85" i="49"/>
  <c r="N81" i="54"/>
  <c r="N121" i="54"/>
  <c r="N80" i="54" s="1"/>
  <c r="O83" i="54"/>
  <c r="O74" i="54" s="1"/>
  <c r="O181" i="54" s="1"/>
  <c r="O58" i="54" s="1"/>
  <c r="M80" i="49"/>
  <c r="H82" i="54"/>
  <c r="N81" i="49"/>
  <c r="N78" i="49"/>
  <c r="N118" i="49"/>
  <c r="N111" i="49"/>
  <c r="N104" i="49"/>
  <c r="N96" i="49"/>
  <c r="N89" i="49"/>
  <c r="N119" i="49"/>
  <c r="N112" i="49"/>
  <c r="N105" i="49"/>
  <c r="N98" i="49"/>
  <c r="N90" i="49"/>
  <c r="N115" i="49"/>
  <c r="N108" i="49"/>
  <c r="N101" i="49"/>
  <c r="N93" i="49"/>
  <c r="N86" i="49"/>
  <c r="N116" i="49"/>
  <c r="N109" i="49"/>
  <c r="N102" i="49"/>
  <c r="N87" i="49"/>
  <c r="N128" i="54"/>
  <c r="G91" i="49"/>
  <c r="M77" i="49"/>
  <c r="G84" i="49"/>
  <c r="G113" i="49"/>
  <c r="M110" i="49"/>
  <c r="N83" i="49"/>
  <c r="I123" i="54" s="1"/>
  <c r="I82" i="54" s="1"/>
  <c r="N79" i="49"/>
  <c r="I120" i="54" s="1"/>
  <c r="I79" i="54" s="1"/>
  <c r="N78" i="54"/>
  <c r="N118" i="54"/>
  <c r="N131" i="54"/>
  <c r="N93" i="54" s="1"/>
  <c r="G99" i="49"/>
  <c r="H79" i="54"/>
  <c r="O11" i="49"/>
  <c r="C11" i="49" s="1"/>
  <c r="O12" i="49"/>
  <c r="M130" i="54"/>
  <c r="M91" i="54" s="1"/>
  <c r="K116" i="54"/>
  <c r="K115" i="54" s="1"/>
  <c r="K75" i="54"/>
  <c r="K74" i="54" s="1"/>
  <c r="M77" i="54"/>
  <c r="M117" i="54"/>
  <c r="G76" i="49"/>
  <c r="M95" i="49"/>
  <c r="M114" i="49"/>
  <c r="M160" i="49" s="1"/>
  <c r="G10" i="22"/>
  <c r="E10" i="22"/>
  <c r="K17" i="54" l="1"/>
  <c r="F176" i="49"/>
  <c r="F177" i="49" s="1"/>
  <c r="L63" i="54"/>
  <c r="L41" i="54" s="1"/>
  <c r="L177" i="54" s="1"/>
  <c r="L190" i="54" s="1"/>
  <c r="I203" i="54"/>
  <c r="K18" i="54"/>
  <c r="K174" i="54"/>
  <c r="N200" i="54"/>
  <c r="L55" i="54"/>
  <c r="L40" i="54" s="1"/>
  <c r="O197" i="54"/>
  <c r="O48" i="54"/>
  <c r="O195" i="54" s="1"/>
  <c r="M165" i="49"/>
  <c r="H73" i="54"/>
  <c r="M159" i="49"/>
  <c r="H72" i="54"/>
  <c r="H179" i="54" s="1"/>
  <c r="M158" i="49"/>
  <c r="T131" i="54"/>
  <c r="L52" i="54"/>
  <c r="L31" i="54" s="1"/>
  <c r="L30" i="54" s="1"/>
  <c r="C147" i="49"/>
  <c r="C140" i="49" s="1"/>
  <c r="F154" i="49"/>
  <c r="K69" i="54"/>
  <c r="K181" i="54"/>
  <c r="J28" i="21"/>
  <c r="M182" i="54"/>
  <c r="N183" i="54"/>
  <c r="K29" i="21"/>
  <c r="N180" i="54"/>
  <c r="F152" i="49"/>
  <c r="M60" i="54" s="1"/>
  <c r="M32" i="54" s="1"/>
  <c r="F148" i="49"/>
  <c r="M59" i="54" s="1"/>
  <c r="F151" i="49"/>
  <c r="F150" i="49"/>
  <c r="M62" i="54" s="1"/>
  <c r="M38" i="54" s="1"/>
  <c r="F149" i="49"/>
  <c r="M61" i="54" s="1"/>
  <c r="M35" i="54" s="1"/>
  <c r="L33" i="54"/>
  <c r="I122" i="21"/>
  <c r="I126" i="21" s="1"/>
  <c r="H122" i="21"/>
  <c r="H126" i="21" s="1"/>
  <c r="P126" i="21" s="1"/>
  <c r="J123" i="21"/>
  <c r="J124" i="21"/>
  <c r="N71" i="54"/>
  <c r="N178" i="54" s="1"/>
  <c r="K27" i="54"/>
  <c r="K36" i="54"/>
  <c r="O69" i="54"/>
  <c r="N174" i="49"/>
  <c r="N172" i="49" s="1"/>
  <c r="N180" i="49"/>
  <c r="L92" i="54"/>
  <c r="L69" i="54"/>
  <c r="G161" i="49"/>
  <c r="G152" i="49" s="1"/>
  <c r="L29" i="54"/>
  <c r="L28" i="54"/>
  <c r="F144" i="49"/>
  <c r="M54" i="54" s="1"/>
  <c r="M37" i="54" s="1"/>
  <c r="F145" i="49"/>
  <c r="F142" i="49"/>
  <c r="M51" i="54" s="1"/>
  <c r="F146" i="49"/>
  <c r="M52" i="54" s="1"/>
  <c r="M31" i="54" s="1"/>
  <c r="F143" i="49"/>
  <c r="M53" i="54" s="1"/>
  <c r="M34" i="54" s="1"/>
  <c r="M156" i="49"/>
  <c r="L84" i="54"/>
  <c r="G155" i="49"/>
  <c r="H126" i="54"/>
  <c r="H86" i="54" s="1"/>
  <c r="M166" i="49"/>
  <c r="H129" i="54"/>
  <c r="H90" i="54" s="1"/>
  <c r="M163" i="49"/>
  <c r="M162" i="49"/>
  <c r="H132" i="54"/>
  <c r="H94" i="54" s="1"/>
  <c r="N124" i="54"/>
  <c r="N83" i="54" s="1"/>
  <c r="H128" i="54"/>
  <c r="M157" i="49"/>
  <c r="L88" i="54"/>
  <c r="L76" i="54"/>
  <c r="M84" i="49"/>
  <c r="O97" i="49"/>
  <c r="O82" i="49"/>
  <c r="O173" i="49" s="1"/>
  <c r="H119" i="54"/>
  <c r="H78" i="54" s="1"/>
  <c r="M76" i="49"/>
  <c r="M99" i="49"/>
  <c r="H131" i="54"/>
  <c r="H93" i="54" s="1"/>
  <c r="N85" i="49"/>
  <c r="I119" i="54" s="1"/>
  <c r="N114" i="49"/>
  <c r="N103" i="49"/>
  <c r="N164" i="49" s="1"/>
  <c r="H125" i="54"/>
  <c r="M113" i="49"/>
  <c r="M75" i="54"/>
  <c r="M116" i="54"/>
  <c r="M115" i="54" s="1"/>
  <c r="N89" i="54"/>
  <c r="N127" i="54"/>
  <c r="N87" i="54" s="1"/>
  <c r="N92" i="49"/>
  <c r="N110" i="49"/>
  <c r="M106" i="49"/>
  <c r="C79" i="49"/>
  <c r="C83" i="49"/>
  <c r="N80" i="49"/>
  <c r="O83" i="49"/>
  <c r="J123" i="54" s="1"/>
  <c r="J82" i="54" s="1"/>
  <c r="G82" i="54" s="1"/>
  <c r="O79" i="49"/>
  <c r="J120" i="54" s="1"/>
  <c r="N130" i="54"/>
  <c r="N91" i="54" s="1"/>
  <c r="N77" i="49"/>
  <c r="M91" i="49"/>
  <c r="N107" i="49"/>
  <c r="N95" i="49"/>
  <c r="N163" i="49" s="1"/>
  <c r="H81" i="54"/>
  <c r="H121" i="54"/>
  <c r="H80" i="54" s="1"/>
  <c r="K76" i="54"/>
  <c r="K84" i="54"/>
  <c r="K92" i="54"/>
  <c r="K88" i="54"/>
  <c r="O81" i="49"/>
  <c r="O78" i="49"/>
  <c r="O118" i="49"/>
  <c r="O111" i="49"/>
  <c r="O104" i="49"/>
  <c r="O96" i="49"/>
  <c r="O89" i="49"/>
  <c r="O119" i="49"/>
  <c r="O112" i="49"/>
  <c r="O105" i="49"/>
  <c r="O98" i="49"/>
  <c r="O90" i="49"/>
  <c r="O115" i="49"/>
  <c r="O108" i="49"/>
  <c r="O101" i="49"/>
  <c r="O93" i="49"/>
  <c r="O86" i="49"/>
  <c r="O116" i="49"/>
  <c r="O109" i="49"/>
  <c r="O102" i="49"/>
  <c r="O87" i="49"/>
  <c r="N77" i="54"/>
  <c r="N117" i="54"/>
  <c r="G75" i="49"/>
  <c r="C12" i="49"/>
  <c r="C102" i="49" s="1"/>
  <c r="N100" i="49"/>
  <c r="N158" i="49" s="1"/>
  <c r="N88" i="49"/>
  <c r="I122" i="54" s="1"/>
  <c r="N117" i="49"/>
  <c r="F46" i="29"/>
  <c r="E19" i="29"/>
  <c r="E15" i="29"/>
  <c r="C16" i="29"/>
  <c r="C17" i="29"/>
  <c r="C18" i="29"/>
  <c r="G176" i="49" l="1"/>
  <c r="G177" i="49" s="1"/>
  <c r="H200" i="54"/>
  <c r="L18" i="54"/>
  <c r="L174" i="54"/>
  <c r="L193" i="54" s="1"/>
  <c r="J203" i="54"/>
  <c r="M63" i="54"/>
  <c r="M41" i="54" s="1"/>
  <c r="M55" i="54"/>
  <c r="L17" i="54"/>
  <c r="L173" i="54"/>
  <c r="N159" i="49"/>
  <c r="I72" i="54"/>
  <c r="I179" i="54" s="1"/>
  <c r="N165" i="49"/>
  <c r="I73" i="54"/>
  <c r="C139" i="49"/>
  <c r="L50" i="54"/>
  <c r="L196" i="54" s="1"/>
  <c r="L58" i="54"/>
  <c r="L197" i="54" s="1"/>
  <c r="L39" i="54"/>
  <c r="L176" i="54"/>
  <c r="L189" i="54" s="1"/>
  <c r="E29" i="21"/>
  <c r="H183" i="54"/>
  <c r="N182" i="54"/>
  <c r="K28" i="21"/>
  <c r="O47" i="54"/>
  <c r="O26" i="54" s="1"/>
  <c r="K23" i="54"/>
  <c r="K170" i="54" s="1"/>
  <c r="K167" i="54"/>
  <c r="H180" i="54"/>
  <c r="K22" i="54"/>
  <c r="K169" i="54" s="1"/>
  <c r="K166" i="54"/>
  <c r="G149" i="49"/>
  <c r="N61" i="54" s="1"/>
  <c r="N35" i="54" s="1"/>
  <c r="G150" i="49"/>
  <c r="N62" i="54" s="1"/>
  <c r="N38" i="54" s="1"/>
  <c r="G148" i="49"/>
  <c r="N59" i="54" s="1"/>
  <c r="G151" i="49"/>
  <c r="H127" i="54"/>
  <c r="H87" i="54" s="1"/>
  <c r="J122" i="21"/>
  <c r="J126" i="21" s="1"/>
  <c r="I125" i="21"/>
  <c r="I128" i="21" s="1"/>
  <c r="I132" i="21" s="1"/>
  <c r="I134" i="21" s="1"/>
  <c r="H125" i="21"/>
  <c r="H128" i="21" s="1"/>
  <c r="H129" i="21" s="1"/>
  <c r="H133" i="21" s="1"/>
  <c r="H89" i="54"/>
  <c r="N156" i="49"/>
  <c r="C82" i="49"/>
  <c r="C173" i="49" s="1"/>
  <c r="O180" i="49"/>
  <c r="G154" i="49"/>
  <c r="G178" i="49"/>
  <c r="G179" i="49"/>
  <c r="H27" i="21"/>
  <c r="H68" i="21" s="1"/>
  <c r="H71" i="54"/>
  <c r="M30" i="54"/>
  <c r="M161" i="49"/>
  <c r="M179" i="49" s="1"/>
  <c r="L27" i="54"/>
  <c r="L36" i="54"/>
  <c r="M33" i="54"/>
  <c r="M29" i="54"/>
  <c r="H130" i="54"/>
  <c r="H91" i="54" s="1"/>
  <c r="M28" i="54"/>
  <c r="G143" i="49"/>
  <c r="N53" i="54" s="1"/>
  <c r="N34" i="54" s="1"/>
  <c r="G144" i="49"/>
  <c r="N54" i="54" s="1"/>
  <c r="N37" i="54" s="1"/>
  <c r="G142" i="49"/>
  <c r="N51" i="54" s="1"/>
  <c r="G145" i="49"/>
  <c r="G146" i="49"/>
  <c r="N52" i="54" s="1"/>
  <c r="N31" i="54" s="1"/>
  <c r="N60" i="54"/>
  <c r="N32" i="54" s="1"/>
  <c r="M155" i="49"/>
  <c r="I126" i="54"/>
  <c r="I86" i="54" s="1"/>
  <c r="N166" i="49"/>
  <c r="I132" i="54"/>
  <c r="I94" i="54" s="1"/>
  <c r="I125" i="54"/>
  <c r="I85" i="54" s="1"/>
  <c r="N160" i="49"/>
  <c r="N162" i="49"/>
  <c r="I128" i="54"/>
  <c r="I89" i="54" s="1"/>
  <c r="N157" i="49"/>
  <c r="O85" i="49"/>
  <c r="J119" i="54" s="1"/>
  <c r="O114" i="49"/>
  <c r="O103" i="49"/>
  <c r="O164" i="49" s="1"/>
  <c r="H118" i="54"/>
  <c r="H117" i="54" s="1"/>
  <c r="C97" i="49"/>
  <c r="O174" i="49"/>
  <c r="O172" i="49" s="1"/>
  <c r="G123" i="54"/>
  <c r="M75" i="49"/>
  <c r="O92" i="49"/>
  <c r="O157" i="49" s="1"/>
  <c r="O110" i="49"/>
  <c r="N113" i="49"/>
  <c r="O107" i="49"/>
  <c r="O95" i="49"/>
  <c r="I81" i="54"/>
  <c r="I121" i="54"/>
  <c r="I80" i="54" s="1"/>
  <c r="C81" i="49"/>
  <c r="C80" i="49" s="1"/>
  <c r="C78" i="49"/>
  <c r="C77" i="49" s="1"/>
  <c r="C118" i="49"/>
  <c r="C111" i="49"/>
  <c r="C104" i="49"/>
  <c r="C96" i="49"/>
  <c r="J20" i="29" s="1"/>
  <c r="J19" i="29" s="1"/>
  <c r="C86" i="49"/>
  <c r="C119" i="49"/>
  <c r="C112" i="49"/>
  <c r="C105" i="49"/>
  <c r="N20" i="29" s="1"/>
  <c r="N19" i="29" s="1"/>
  <c r="N28" i="29" s="1"/>
  <c r="C98" i="49"/>
  <c r="C90" i="49"/>
  <c r="C89" i="49"/>
  <c r="C115" i="49"/>
  <c r="C108" i="49"/>
  <c r="C101" i="49"/>
  <c r="C93" i="49"/>
  <c r="C116" i="49"/>
  <c r="C109" i="49"/>
  <c r="C94" i="49"/>
  <c r="C87" i="49"/>
  <c r="O77" i="49"/>
  <c r="N91" i="49"/>
  <c r="I129" i="54"/>
  <c r="M74" i="54"/>
  <c r="N84" i="49"/>
  <c r="N76" i="49"/>
  <c r="N106" i="49"/>
  <c r="H85" i="54"/>
  <c r="H124" i="54"/>
  <c r="H83" i="54" s="1"/>
  <c r="O80" i="49"/>
  <c r="I131" i="54"/>
  <c r="I93" i="54" s="1"/>
  <c r="N99" i="49"/>
  <c r="N116" i="54"/>
  <c r="N115" i="54" s="1"/>
  <c r="N75" i="54"/>
  <c r="N74" i="54" s="1"/>
  <c r="I78" i="54"/>
  <c r="I118" i="54"/>
  <c r="J79" i="54"/>
  <c r="G79" i="54" s="1"/>
  <c r="G120" i="54"/>
  <c r="O100" i="49"/>
  <c r="O158" i="49" s="1"/>
  <c r="C158" i="49" s="1"/>
  <c r="O88" i="49"/>
  <c r="J122" i="54" s="1"/>
  <c r="O117" i="49"/>
  <c r="C15" i="29"/>
  <c r="A8" i="29"/>
  <c r="B7" i="31"/>
  <c r="I19" i="29" l="1"/>
  <c r="J28" i="29"/>
  <c r="I28" i="29" s="1"/>
  <c r="M20" i="29"/>
  <c r="H135" i="21"/>
  <c r="H35" i="21" s="1"/>
  <c r="M176" i="49"/>
  <c r="M177" i="49" s="1"/>
  <c r="I200" i="54"/>
  <c r="M18" i="54"/>
  <c r="M174" i="54"/>
  <c r="K203" i="54"/>
  <c r="N63" i="54"/>
  <c r="N41" i="54" s="1"/>
  <c r="N55" i="54"/>
  <c r="M17" i="54"/>
  <c r="H178" i="54"/>
  <c r="L175" i="54"/>
  <c r="L188" i="54" s="1"/>
  <c r="O159" i="49"/>
  <c r="C159" i="49" s="1"/>
  <c r="J72" i="54"/>
  <c r="G72" i="54" s="1"/>
  <c r="O165" i="49"/>
  <c r="J73" i="54"/>
  <c r="J180" i="54" s="1"/>
  <c r="L48" i="54"/>
  <c r="L47" i="54" s="1"/>
  <c r="L26" i="54" s="1"/>
  <c r="L187" i="54"/>
  <c r="L192" i="54"/>
  <c r="L186" i="54"/>
  <c r="K58" i="54"/>
  <c r="K197" i="54" s="1"/>
  <c r="N69" i="54"/>
  <c r="N181" i="54"/>
  <c r="M69" i="54"/>
  <c r="M181" i="54"/>
  <c r="K40" i="54"/>
  <c r="K173" i="54" s="1"/>
  <c r="K50" i="54"/>
  <c r="I180" i="54"/>
  <c r="L23" i="54"/>
  <c r="L170" i="54" s="1"/>
  <c r="L167" i="54"/>
  <c r="L22" i="54"/>
  <c r="L169" i="54" s="1"/>
  <c r="L166" i="54"/>
  <c r="M149" i="49"/>
  <c r="H61" i="54" s="1"/>
  <c r="M150" i="49"/>
  <c r="H62" i="54" s="1"/>
  <c r="H38" i="54" s="1"/>
  <c r="M148" i="49"/>
  <c r="H59" i="54" s="1"/>
  <c r="M151" i="49"/>
  <c r="H63" i="54" s="1"/>
  <c r="H41" i="54" s="1"/>
  <c r="M152" i="49"/>
  <c r="H60" i="54" s="1"/>
  <c r="J125" i="21"/>
  <c r="J128" i="21" s="1"/>
  <c r="J132" i="21" s="1"/>
  <c r="I129" i="21"/>
  <c r="I133" i="21" s="1"/>
  <c r="H132" i="21"/>
  <c r="E124" i="21"/>
  <c r="K123" i="21"/>
  <c r="I34" i="21"/>
  <c r="K124" i="21"/>
  <c r="H22" i="29"/>
  <c r="H19" i="29" s="1"/>
  <c r="H28" i="29" s="1"/>
  <c r="O156" i="49"/>
  <c r="C156" i="49" s="1"/>
  <c r="N29" i="54"/>
  <c r="C174" i="49"/>
  <c r="C172" i="49" s="1"/>
  <c r="C180" i="49"/>
  <c r="M145" i="49"/>
  <c r="M178" i="49"/>
  <c r="I27" i="21"/>
  <c r="I68" i="21" s="1"/>
  <c r="I71" i="54"/>
  <c r="N161" i="49"/>
  <c r="N148" i="49" s="1"/>
  <c r="M36" i="54"/>
  <c r="N33" i="54"/>
  <c r="M154" i="49"/>
  <c r="N30" i="54"/>
  <c r="M27" i="54"/>
  <c r="N28" i="54"/>
  <c r="M142" i="49"/>
  <c r="H51" i="54" s="1"/>
  <c r="N155" i="49"/>
  <c r="M146" i="49"/>
  <c r="H52" i="54" s="1"/>
  <c r="H31" i="54" s="1"/>
  <c r="M144" i="49"/>
  <c r="H54" i="54" s="1"/>
  <c r="H37" i="54" s="1"/>
  <c r="M143" i="49"/>
  <c r="H53" i="54" s="1"/>
  <c r="H77" i="54"/>
  <c r="I124" i="54"/>
  <c r="I83" i="54" s="1"/>
  <c r="J129" i="54"/>
  <c r="J90" i="54" s="1"/>
  <c r="O163" i="49"/>
  <c r="J125" i="54"/>
  <c r="J85" i="54" s="1"/>
  <c r="O160" i="49"/>
  <c r="J126" i="54"/>
  <c r="J86" i="54" s="1"/>
  <c r="O166" i="49"/>
  <c r="J132" i="54"/>
  <c r="J94" i="54" s="1"/>
  <c r="O162" i="49"/>
  <c r="I127" i="54"/>
  <c r="I87" i="54" s="1"/>
  <c r="C157" i="49"/>
  <c r="O106" i="49"/>
  <c r="O91" i="49"/>
  <c r="J128" i="54"/>
  <c r="G128" i="54" s="1"/>
  <c r="N75" i="49"/>
  <c r="C76" i="49"/>
  <c r="C88" i="49"/>
  <c r="C85" i="49"/>
  <c r="C117" i="49"/>
  <c r="C110" i="49"/>
  <c r="J81" i="54"/>
  <c r="G81" i="54" s="1"/>
  <c r="J121" i="54"/>
  <c r="J80" i="54" s="1"/>
  <c r="G122" i="54"/>
  <c r="G121" i="54" s="1"/>
  <c r="N76" i="54"/>
  <c r="N84" i="54"/>
  <c r="I130" i="54"/>
  <c r="I91" i="54" s="1"/>
  <c r="I90" i="54"/>
  <c r="I183" i="54" s="1"/>
  <c r="C92" i="49"/>
  <c r="O84" i="49"/>
  <c r="C114" i="49"/>
  <c r="O113" i="49"/>
  <c r="I117" i="54"/>
  <c r="I77" i="54"/>
  <c r="M88" i="54"/>
  <c r="M84" i="54"/>
  <c r="M92" i="54"/>
  <c r="N88" i="54"/>
  <c r="O76" i="49"/>
  <c r="C107" i="49"/>
  <c r="C103" i="49"/>
  <c r="H116" i="54"/>
  <c r="H115" i="54" s="1"/>
  <c r="H75" i="54"/>
  <c r="O99" i="49"/>
  <c r="J131" i="54"/>
  <c r="J93" i="54" s="1"/>
  <c r="J78" i="54"/>
  <c r="J118" i="54"/>
  <c r="G119" i="54"/>
  <c r="G118" i="54" s="1"/>
  <c r="N92" i="54"/>
  <c r="M76" i="54"/>
  <c r="C100" i="49"/>
  <c r="C95" i="49"/>
  <c r="G73" i="54" l="1"/>
  <c r="G71" i="54" s="1"/>
  <c r="C91" i="49"/>
  <c r="M19" i="29"/>
  <c r="L20" i="29"/>
  <c r="H39" i="21"/>
  <c r="H32" i="21"/>
  <c r="H43" i="21"/>
  <c r="H49" i="21"/>
  <c r="H53" i="21" s="1"/>
  <c r="H56" i="21"/>
  <c r="H60" i="21" s="1"/>
  <c r="H197" i="21"/>
  <c r="H134" i="21"/>
  <c r="H141" i="21" s="1"/>
  <c r="I135" i="21"/>
  <c r="I35" i="21" s="1"/>
  <c r="J134" i="21"/>
  <c r="J34" i="21" s="1"/>
  <c r="N176" i="49"/>
  <c r="N177" i="49" s="1"/>
  <c r="J179" i="54"/>
  <c r="J200" i="54"/>
  <c r="H74" i="54"/>
  <c r="H69" i="54" s="1"/>
  <c r="N18" i="54"/>
  <c r="N174" i="54"/>
  <c r="N17" i="54"/>
  <c r="H55" i="54"/>
  <c r="I178" i="54"/>
  <c r="L195" i="54"/>
  <c r="G179" i="54"/>
  <c r="N177" i="54"/>
  <c r="N190" i="54" s="1"/>
  <c r="N58" i="54"/>
  <c r="N197" i="54" s="1"/>
  <c r="F29" i="21"/>
  <c r="K39" i="54"/>
  <c r="K176" i="54"/>
  <c r="K189" i="54" s="1"/>
  <c r="F28" i="21"/>
  <c r="I182" i="54"/>
  <c r="K196" i="54"/>
  <c r="K48" i="54"/>
  <c r="K177" i="54"/>
  <c r="K190" i="54" s="1"/>
  <c r="E28" i="21"/>
  <c r="H182" i="54"/>
  <c r="M22" i="54"/>
  <c r="M169" i="54" s="1"/>
  <c r="M166" i="54"/>
  <c r="G78" i="54"/>
  <c r="M23" i="54"/>
  <c r="M170" i="54" s="1"/>
  <c r="M167" i="54"/>
  <c r="N152" i="49"/>
  <c r="I60" i="54" s="1"/>
  <c r="I32" i="54" s="1"/>
  <c r="N179" i="49"/>
  <c r="F124" i="21" s="1"/>
  <c r="N149" i="49"/>
  <c r="I61" i="54" s="1"/>
  <c r="I35" i="54" s="1"/>
  <c r="N151" i="49"/>
  <c r="I63" i="54" s="1"/>
  <c r="I41" i="54" s="1"/>
  <c r="I196" i="21"/>
  <c r="I55" i="21"/>
  <c r="I59" i="21" s="1"/>
  <c r="I48" i="21"/>
  <c r="I52" i="21" s="1"/>
  <c r="N150" i="49"/>
  <c r="I62" i="54" s="1"/>
  <c r="I38" i="54" s="1"/>
  <c r="J129" i="21"/>
  <c r="J133" i="21" s="1"/>
  <c r="G90" i="54"/>
  <c r="K122" i="21"/>
  <c r="K125" i="21" s="1"/>
  <c r="K128" i="21" s="1"/>
  <c r="K132" i="21" s="1"/>
  <c r="I38" i="21"/>
  <c r="I31" i="21"/>
  <c r="I42" i="21"/>
  <c r="E123" i="21"/>
  <c r="N178" i="49"/>
  <c r="F123" i="21" s="1"/>
  <c r="F22" i="29"/>
  <c r="G200" i="54"/>
  <c r="J27" i="21"/>
  <c r="J68" i="21" s="1"/>
  <c r="J71" i="54"/>
  <c r="J178" i="54" s="1"/>
  <c r="N27" i="54"/>
  <c r="O161" i="49"/>
  <c r="O179" i="49" s="1"/>
  <c r="N36" i="54"/>
  <c r="H34" i="54"/>
  <c r="H29" i="54"/>
  <c r="H32" i="54"/>
  <c r="H30" i="54" s="1"/>
  <c r="H35" i="54"/>
  <c r="G126" i="54"/>
  <c r="G86" i="54"/>
  <c r="G80" i="54"/>
  <c r="G85" i="54"/>
  <c r="H28" i="54"/>
  <c r="C164" i="49"/>
  <c r="C166" i="49"/>
  <c r="C163" i="49"/>
  <c r="N154" i="49"/>
  <c r="N144" i="49"/>
  <c r="I54" i="54" s="1"/>
  <c r="I37" i="54" s="1"/>
  <c r="N142" i="49"/>
  <c r="I51" i="54" s="1"/>
  <c r="N145" i="49"/>
  <c r="C165" i="49"/>
  <c r="C160" i="49"/>
  <c r="N143" i="49"/>
  <c r="I53" i="54" s="1"/>
  <c r="I34" i="54" s="1"/>
  <c r="I59" i="54"/>
  <c r="N146" i="49"/>
  <c r="I52" i="54" s="1"/>
  <c r="I31" i="54" s="1"/>
  <c r="G125" i="54"/>
  <c r="G29" i="21"/>
  <c r="G132" i="54"/>
  <c r="J124" i="54"/>
  <c r="J83" i="54" s="1"/>
  <c r="G83" i="54" s="1"/>
  <c r="G17" i="98" s="1"/>
  <c r="O155" i="49"/>
  <c r="C162" i="49"/>
  <c r="J89" i="54"/>
  <c r="C113" i="49"/>
  <c r="G129" i="54"/>
  <c r="G127" i="54" s="1"/>
  <c r="E225" i="54" s="1"/>
  <c r="G54" i="61"/>
  <c r="K54" i="61" s="1"/>
  <c r="G117" i="54"/>
  <c r="E223" i="54" s="1"/>
  <c r="C106" i="49"/>
  <c r="J127" i="54"/>
  <c r="C84" i="49"/>
  <c r="I116" i="54"/>
  <c r="I115" i="54" s="1"/>
  <c r="I75" i="54"/>
  <c r="J77" i="54"/>
  <c r="J117" i="54"/>
  <c r="J130" i="54"/>
  <c r="J91" i="54" s="1"/>
  <c r="C99" i="49"/>
  <c r="O75" i="49"/>
  <c r="G131" i="54"/>
  <c r="H34" i="21" l="1"/>
  <c r="H46" i="21"/>
  <c r="G91" i="54"/>
  <c r="I17" i="98" s="1"/>
  <c r="H18" i="54"/>
  <c r="D158" i="54"/>
  <c r="H17" i="54"/>
  <c r="H63" i="21"/>
  <c r="M28" i="29"/>
  <c r="L19" i="29"/>
  <c r="I141" i="21"/>
  <c r="I32" i="21"/>
  <c r="I56" i="21"/>
  <c r="I60" i="21" s="1"/>
  <c r="I197" i="21"/>
  <c r="I39" i="21"/>
  <c r="I33" i="21"/>
  <c r="I47" i="21" s="1"/>
  <c r="I51" i="21" s="1"/>
  <c r="I49" i="21"/>
  <c r="I53" i="21" s="1"/>
  <c r="I43" i="21"/>
  <c r="J31" i="21"/>
  <c r="J55" i="21"/>
  <c r="J59" i="21" s="1"/>
  <c r="J48" i="21"/>
  <c r="J52" i="21" s="1"/>
  <c r="J42" i="21"/>
  <c r="J196" i="21"/>
  <c r="J38" i="21"/>
  <c r="J135" i="21"/>
  <c r="J141" i="21" s="1"/>
  <c r="K134" i="21"/>
  <c r="K34" i="21" s="1"/>
  <c r="O176" i="49"/>
  <c r="O177" i="49" s="1"/>
  <c r="D159" i="54"/>
  <c r="C75" i="49"/>
  <c r="C176" i="49" s="1"/>
  <c r="H88" i="54"/>
  <c r="I74" i="54"/>
  <c r="I69" i="54" s="1"/>
  <c r="I55" i="54"/>
  <c r="K175" i="54"/>
  <c r="K188" i="54" s="1"/>
  <c r="J87" i="54"/>
  <c r="G87" i="54" s="1"/>
  <c r="H17" i="98" s="1"/>
  <c r="E122" i="21"/>
  <c r="E125" i="21" s="1"/>
  <c r="E128" i="21" s="1"/>
  <c r="E132" i="21" s="1"/>
  <c r="E134" i="21" s="1"/>
  <c r="D19" i="140"/>
  <c r="F19" i="142"/>
  <c r="E17" i="142"/>
  <c r="N40" i="54"/>
  <c r="N39" i="54" s="1"/>
  <c r="N50" i="54"/>
  <c r="N196" i="54" s="1"/>
  <c r="M50" i="54"/>
  <c r="M40" i="54"/>
  <c r="M173" i="54" s="1"/>
  <c r="K47" i="54"/>
  <c r="K26" i="54" s="1"/>
  <c r="K195" i="54"/>
  <c r="M58" i="54"/>
  <c r="M197" i="54" s="1"/>
  <c r="H181" i="54"/>
  <c r="J182" i="54"/>
  <c r="G28" i="21"/>
  <c r="K186" i="54"/>
  <c r="K192" i="54"/>
  <c r="J183" i="54"/>
  <c r="K187" i="54"/>
  <c r="K193" i="54"/>
  <c r="I30" i="54"/>
  <c r="G54" i="92"/>
  <c r="K54" i="92" s="1"/>
  <c r="G180" i="54"/>
  <c r="G77" i="54"/>
  <c r="N23" i="54"/>
  <c r="N170" i="54" s="1"/>
  <c r="N167" i="54"/>
  <c r="N22" i="54"/>
  <c r="N169" i="54" s="1"/>
  <c r="N166" i="54"/>
  <c r="O149" i="49"/>
  <c r="C149" i="49" s="1"/>
  <c r="H48" i="21"/>
  <c r="H52" i="21" s="1"/>
  <c r="H55" i="21"/>
  <c r="H59" i="21" s="1"/>
  <c r="O151" i="49"/>
  <c r="J63" i="54" s="1"/>
  <c r="J41" i="54" s="1"/>
  <c r="O148" i="49"/>
  <c r="C148" i="49" s="1"/>
  <c r="O150" i="49"/>
  <c r="C150" i="49" s="1"/>
  <c r="I54" i="21"/>
  <c r="I58" i="21" s="1"/>
  <c r="O152" i="49"/>
  <c r="C152" i="49" s="1"/>
  <c r="H196" i="21"/>
  <c r="H31" i="21"/>
  <c r="H42" i="21"/>
  <c r="H33" i="21"/>
  <c r="H37" i="21" s="1"/>
  <c r="H38" i="21"/>
  <c r="G37" i="93"/>
  <c r="G59" i="92"/>
  <c r="J56" i="92" s="1"/>
  <c r="D9" i="92"/>
  <c r="U10" i="55"/>
  <c r="Q10" i="55"/>
  <c r="M10" i="55"/>
  <c r="I10" i="55"/>
  <c r="E10" i="55"/>
  <c r="C5" i="111"/>
  <c r="G15" i="98"/>
  <c r="G25" i="98" s="1"/>
  <c r="G67" i="22"/>
  <c r="F37" i="93"/>
  <c r="G58" i="92"/>
  <c r="I56" i="92" s="1"/>
  <c r="G57" i="92"/>
  <c r="H56" i="92" s="1"/>
  <c r="E37" i="93"/>
  <c r="E59" i="58" s="1"/>
  <c r="F34" i="58"/>
  <c r="G58" i="61"/>
  <c r="I56" i="61" s="1"/>
  <c r="P55" i="55"/>
  <c r="F54" i="112" s="1"/>
  <c r="G49" i="57"/>
  <c r="C8" i="84"/>
  <c r="C8" i="83"/>
  <c r="K129" i="21"/>
  <c r="K133" i="21" s="1"/>
  <c r="K126" i="21"/>
  <c r="I62" i="21"/>
  <c r="C7" i="78"/>
  <c r="F122" i="21"/>
  <c r="F126" i="21" s="1"/>
  <c r="N126" i="21" s="1"/>
  <c r="I45" i="21"/>
  <c r="G124" i="21"/>
  <c r="D124" i="21" s="1"/>
  <c r="D9" i="61"/>
  <c r="C7" i="66"/>
  <c r="F19" i="29"/>
  <c r="C155" i="49"/>
  <c r="P142" i="49" s="1"/>
  <c r="Q142" i="49" s="1"/>
  <c r="O145" i="49"/>
  <c r="O178" i="49"/>
  <c r="K27" i="21"/>
  <c r="K68" i="21" s="1"/>
  <c r="C161" i="49"/>
  <c r="P143" i="49" s="1"/>
  <c r="Q143" i="49" s="1"/>
  <c r="G124" i="54"/>
  <c r="E224" i="54" s="1"/>
  <c r="G130" i="54"/>
  <c r="E226" i="54" s="1"/>
  <c r="H33" i="54"/>
  <c r="H36" i="54"/>
  <c r="I33" i="54"/>
  <c r="I29" i="54"/>
  <c r="H27" i="54"/>
  <c r="I28" i="54"/>
  <c r="G93" i="54"/>
  <c r="G89" i="54"/>
  <c r="G94" i="54"/>
  <c r="D29" i="21" s="1"/>
  <c r="O146" i="49"/>
  <c r="J52" i="54" s="1"/>
  <c r="O154" i="49"/>
  <c r="O142" i="49"/>
  <c r="J51" i="54" s="1"/>
  <c r="O143" i="49"/>
  <c r="J53" i="54" s="1"/>
  <c r="G53" i="54" s="1"/>
  <c r="O144" i="49"/>
  <c r="H76" i="54"/>
  <c r="H92" i="54"/>
  <c r="H84" i="54"/>
  <c r="I84" i="54"/>
  <c r="J116" i="54"/>
  <c r="J115" i="54" s="1"/>
  <c r="J75" i="54"/>
  <c r="I92" i="54"/>
  <c r="E12" i="54"/>
  <c r="D14" i="57"/>
  <c r="D10" i="22"/>
  <c r="G98" i="54"/>
  <c r="I37" i="21" l="1"/>
  <c r="G51" i="57"/>
  <c r="G36" i="135" s="1"/>
  <c r="G71" i="22"/>
  <c r="G95" i="22" s="1"/>
  <c r="X55" i="55"/>
  <c r="H54" i="112" s="1"/>
  <c r="I76" i="54"/>
  <c r="I88" i="54"/>
  <c r="H66" i="21"/>
  <c r="H212" i="21" s="1"/>
  <c r="G70" i="22"/>
  <c r="G94" i="22" s="1"/>
  <c r="J62" i="21"/>
  <c r="I15" i="98"/>
  <c r="I25" i="98" s="1"/>
  <c r="I63" i="21"/>
  <c r="I181" i="54"/>
  <c r="I41" i="21"/>
  <c r="I44" i="21" s="1"/>
  <c r="I195" i="21"/>
  <c r="I193" i="21" s="1"/>
  <c r="I30" i="21"/>
  <c r="I46" i="21"/>
  <c r="J45" i="21"/>
  <c r="L28" i="29"/>
  <c r="G72" i="22"/>
  <c r="E126" i="21"/>
  <c r="M126" i="21" s="1"/>
  <c r="J35" i="21"/>
  <c r="K42" i="21"/>
  <c r="K55" i="21"/>
  <c r="K59" i="21" s="1"/>
  <c r="K196" i="21"/>
  <c r="K31" i="21"/>
  <c r="K48" i="21"/>
  <c r="K52" i="21" s="1"/>
  <c r="K38" i="21"/>
  <c r="K135" i="21"/>
  <c r="K35" i="21" s="1"/>
  <c r="I18" i="54"/>
  <c r="I174" i="54"/>
  <c r="I187" i="54" s="1"/>
  <c r="J54" i="54"/>
  <c r="J37" i="54" s="1"/>
  <c r="C144" i="49"/>
  <c r="I17" i="54"/>
  <c r="J55" i="54"/>
  <c r="C145" i="49"/>
  <c r="N175" i="54"/>
  <c r="N188" i="54" s="1"/>
  <c r="N173" i="54"/>
  <c r="H15" i="98"/>
  <c r="G69" i="22"/>
  <c r="G93" i="22" s="1"/>
  <c r="T55" i="55"/>
  <c r="G54" i="112" s="1"/>
  <c r="G50" i="57"/>
  <c r="G178" i="54"/>
  <c r="N125" i="21"/>
  <c r="N128" i="21" s="1"/>
  <c r="N129" i="21" s="1"/>
  <c r="N133" i="21" s="1"/>
  <c r="H41" i="21"/>
  <c r="H44" i="21" s="1"/>
  <c r="G36" i="93"/>
  <c r="G59" i="58"/>
  <c r="F33" i="58"/>
  <c r="F58" i="58"/>
  <c r="F36" i="93"/>
  <c r="F59" i="58"/>
  <c r="I53" i="61"/>
  <c r="U34" i="92"/>
  <c r="U33" i="92"/>
  <c r="U38" i="92"/>
  <c r="U14" i="92"/>
  <c r="U32" i="92"/>
  <c r="U36" i="92"/>
  <c r="U31" i="92"/>
  <c r="U35" i="92"/>
  <c r="U42" i="92"/>
  <c r="U43" i="92"/>
  <c r="H53" i="92"/>
  <c r="I53" i="92"/>
  <c r="J53" i="92"/>
  <c r="J60" i="54"/>
  <c r="G60" i="54" s="1"/>
  <c r="E8" i="129" s="1"/>
  <c r="D19" i="142"/>
  <c r="E17" i="140"/>
  <c r="E18" i="140"/>
  <c r="E19" i="140"/>
  <c r="F19" i="140"/>
  <c r="D18" i="140"/>
  <c r="G17" i="140"/>
  <c r="J62" i="54"/>
  <c r="J38" i="54" s="1"/>
  <c r="N48" i="54"/>
  <c r="N47" i="54" s="1"/>
  <c r="N26" i="54" s="1"/>
  <c r="E34" i="58"/>
  <c r="E18" i="142"/>
  <c r="E19" i="142"/>
  <c r="C4" i="111"/>
  <c r="P2" i="145"/>
  <c r="J2" i="145"/>
  <c r="D4" i="111"/>
  <c r="D16" i="111" s="1"/>
  <c r="D5" i="111"/>
  <c r="E5" i="111"/>
  <c r="F3" i="111"/>
  <c r="G45" i="115"/>
  <c r="E41" i="134"/>
  <c r="E44" i="115"/>
  <c r="E41" i="133"/>
  <c r="G44" i="115"/>
  <c r="D41" i="133"/>
  <c r="G43" i="115"/>
  <c r="F7" i="129"/>
  <c r="I40" i="54"/>
  <c r="I176" i="54" s="1"/>
  <c r="I189" i="54" s="1"/>
  <c r="I50" i="54"/>
  <c r="N176" i="54"/>
  <c r="N189" i="54" s="1"/>
  <c r="G57" i="61"/>
  <c r="H56" i="61" s="1"/>
  <c r="G182" i="54"/>
  <c r="D28" i="21"/>
  <c r="N187" i="54"/>
  <c r="N193" i="54"/>
  <c r="M196" i="54"/>
  <c r="M48" i="54"/>
  <c r="M176" i="54"/>
  <c r="M189" i="54" s="1"/>
  <c r="M39" i="54"/>
  <c r="M177" i="54"/>
  <c r="M190" i="54" s="1"/>
  <c r="G183" i="54"/>
  <c r="J61" i="54"/>
  <c r="J35" i="54" s="1"/>
  <c r="G35" i="54" s="1"/>
  <c r="J59" i="54"/>
  <c r="J29" i="54" s="1"/>
  <c r="H23" i="54"/>
  <c r="H170" i="54" s="1"/>
  <c r="H167" i="54"/>
  <c r="H22" i="54"/>
  <c r="H169" i="54" s="1"/>
  <c r="H166" i="54"/>
  <c r="H47" i="21"/>
  <c r="H51" i="21" s="1"/>
  <c r="H54" i="21"/>
  <c r="H58" i="21" s="1"/>
  <c r="H195" i="21"/>
  <c r="H193" i="21" s="1"/>
  <c r="H62" i="21"/>
  <c r="C151" i="49"/>
  <c r="G203" i="54" s="1"/>
  <c r="H45" i="21"/>
  <c r="H30" i="21"/>
  <c r="G73" i="22"/>
  <c r="G97" i="22" s="1"/>
  <c r="G91" i="22"/>
  <c r="G68" i="22"/>
  <c r="G92" i="22" s="1"/>
  <c r="H34" i="58"/>
  <c r="G60" i="61"/>
  <c r="K56" i="61" s="1"/>
  <c r="R46" i="61" s="1"/>
  <c r="G34" i="58"/>
  <c r="G59" i="61"/>
  <c r="J56" i="61" s="1"/>
  <c r="C179" i="49"/>
  <c r="C178" i="49"/>
  <c r="E36" i="93"/>
  <c r="H37" i="93"/>
  <c r="G60" i="92"/>
  <c r="F125" i="21"/>
  <c r="O125" i="21" s="1"/>
  <c r="O128" i="21" s="1"/>
  <c r="D157" i="54"/>
  <c r="E157" i="54" s="1"/>
  <c r="I65" i="21"/>
  <c r="I211" i="21" s="1"/>
  <c r="C146" i="49"/>
  <c r="G123" i="21"/>
  <c r="D123" i="21" s="1"/>
  <c r="I61" i="21"/>
  <c r="J31" i="54"/>
  <c r="G31" i="54" s="1"/>
  <c r="C143" i="49"/>
  <c r="F28" i="29"/>
  <c r="C142" i="49"/>
  <c r="C177" i="49"/>
  <c r="E34" i="21"/>
  <c r="E129" i="21"/>
  <c r="E133" i="21" s="1"/>
  <c r="E135" i="21" s="1"/>
  <c r="E141" i="21" s="1"/>
  <c r="E27" i="21"/>
  <c r="E68" i="21" s="1"/>
  <c r="G116" i="54"/>
  <c r="I27" i="54"/>
  <c r="J34" i="54"/>
  <c r="G34" i="54" s="1"/>
  <c r="G52" i="54"/>
  <c r="G51" i="54"/>
  <c r="J28" i="54"/>
  <c r="C154" i="49"/>
  <c r="J74" i="54"/>
  <c r="J181" i="54" s="1"/>
  <c r="G75" i="54"/>
  <c r="H98" i="54"/>
  <c r="G97" i="54"/>
  <c r="D161" i="54" s="1"/>
  <c r="C24" i="49"/>
  <c r="J65" i="21" l="1"/>
  <c r="J211" i="21" s="1"/>
  <c r="R42" i="61"/>
  <c r="R43" i="61"/>
  <c r="R38" i="61"/>
  <c r="I66" i="21"/>
  <c r="I212" i="21" s="1"/>
  <c r="G17" i="142"/>
  <c r="E158" i="54"/>
  <c r="E159" i="54"/>
  <c r="K141" i="21"/>
  <c r="K45" i="21"/>
  <c r="G54" i="54"/>
  <c r="G7" i="129" s="1"/>
  <c r="K62" i="21"/>
  <c r="R154" i="49"/>
  <c r="P141" i="49"/>
  <c r="Q141" i="49" s="1"/>
  <c r="J39" i="21"/>
  <c r="J49" i="21"/>
  <c r="J53" i="21" s="1"/>
  <c r="J197" i="21"/>
  <c r="J43" i="21"/>
  <c r="J56" i="21"/>
  <c r="J60" i="21" s="1"/>
  <c r="J33" i="21"/>
  <c r="J32" i="21"/>
  <c r="K56" i="21"/>
  <c r="K60" i="21" s="1"/>
  <c r="K32" i="21"/>
  <c r="K39" i="21"/>
  <c r="K43" i="21"/>
  <c r="K49" i="21"/>
  <c r="K53" i="21" s="1"/>
  <c r="K33" i="21"/>
  <c r="K195" i="21" s="1"/>
  <c r="K193" i="21" s="1"/>
  <c r="K197" i="21"/>
  <c r="N135" i="21"/>
  <c r="N35" i="21" s="1"/>
  <c r="Z43" i="92"/>
  <c r="S23" i="49"/>
  <c r="C15" i="49"/>
  <c r="J17" i="54"/>
  <c r="M175" i="54"/>
  <c r="M188" i="54" s="1"/>
  <c r="I196" i="54"/>
  <c r="I173" i="54"/>
  <c r="I186" i="54" s="1"/>
  <c r="G40" i="93"/>
  <c r="G39" i="93" s="1"/>
  <c r="G33" i="54"/>
  <c r="H25" i="98"/>
  <c r="N132" i="21"/>
  <c r="N195" i="54"/>
  <c r="J32" i="54"/>
  <c r="G32" i="54" s="1"/>
  <c r="I48" i="92" s="1"/>
  <c r="D19" i="111"/>
  <c r="D17" i="111"/>
  <c r="Z42" i="92"/>
  <c r="Z38" i="92"/>
  <c r="F37" i="58"/>
  <c r="F36" i="58" s="1"/>
  <c r="I48" i="61"/>
  <c r="G33" i="58"/>
  <c r="G58" i="58"/>
  <c r="G60" i="58" s="1"/>
  <c r="X38" i="92"/>
  <c r="X43" i="92"/>
  <c r="X42" i="92"/>
  <c r="H53" i="61"/>
  <c r="O2" i="145"/>
  <c r="H61" i="58"/>
  <c r="E33" i="58"/>
  <c r="E58" i="58"/>
  <c r="E60" i="58" s="1"/>
  <c r="J53" i="61"/>
  <c r="F67" i="20"/>
  <c r="J48" i="92"/>
  <c r="H33" i="58"/>
  <c r="H58" i="58"/>
  <c r="I2" i="145"/>
  <c r="F61" i="58"/>
  <c r="F60" i="58"/>
  <c r="E67" i="20"/>
  <c r="L8" i="132" s="1"/>
  <c r="J48" i="61"/>
  <c r="G37" i="58"/>
  <c r="G36" i="58" s="1"/>
  <c r="H36" i="93"/>
  <c r="H59" i="58"/>
  <c r="Q43" i="61"/>
  <c r="Q42" i="61"/>
  <c r="Q38" i="61"/>
  <c r="K53" i="61"/>
  <c r="Y38" i="92"/>
  <c r="Y43" i="92"/>
  <c r="Y42" i="92"/>
  <c r="O8" i="135"/>
  <c r="O30" i="135" s="1"/>
  <c r="P8" i="135"/>
  <c r="P30" i="135" s="1"/>
  <c r="Q8" i="135"/>
  <c r="G46" i="115"/>
  <c r="K56" i="92"/>
  <c r="D20" i="111"/>
  <c r="D18" i="111"/>
  <c r="D15" i="111"/>
  <c r="G59" i="54"/>
  <c r="D8" i="129" s="1"/>
  <c r="K8" i="135"/>
  <c r="K29" i="135" s="1"/>
  <c r="E115" i="150"/>
  <c r="G18" i="140"/>
  <c r="F18" i="140"/>
  <c r="G19" i="140"/>
  <c r="G61" i="54"/>
  <c r="F8" i="129" s="1"/>
  <c r="D3" i="111"/>
  <c r="E143" i="150"/>
  <c r="D4" i="129"/>
  <c r="C4" i="129" s="1"/>
  <c r="G18" i="142"/>
  <c r="D18" i="142"/>
  <c r="F18" i="142"/>
  <c r="G19" i="142"/>
  <c r="E4" i="111"/>
  <c r="F4" i="111"/>
  <c r="G41" i="134"/>
  <c r="E46" i="115"/>
  <c r="D41" i="134"/>
  <c r="E43" i="115"/>
  <c r="E66" i="20"/>
  <c r="K8" i="132" s="1"/>
  <c r="F43" i="58"/>
  <c r="F20" i="58"/>
  <c r="F12" i="58"/>
  <c r="F40" i="58"/>
  <c r="F41" i="58"/>
  <c r="F10" i="58"/>
  <c r="E14" i="153" s="1"/>
  <c r="F42" i="58"/>
  <c r="F18" i="58"/>
  <c r="F11" i="58"/>
  <c r="F27" i="58" s="1"/>
  <c r="F41" i="134"/>
  <c r="E45" i="115"/>
  <c r="G56" i="92"/>
  <c r="G41" i="133"/>
  <c r="R8" i="135" s="1"/>
  <c r="D7" i="129"/>
  <c r="E7" i="129"/>
  <c r="E6" i="129"/>
  <c r="G56" i="61"/>
  <c r="C41" i="134" s="1"/>
  <c r="F110" i="20"/>
  <c r="F109" i="20" s="1"/>
  <c r="I58" i="54"/>
  <c r="I48" i="54" s="1"/>
  <c r="F17" i="98"/>
  <c r="F15" i="98" s="1"/>
  <c r="G74" i="54"/>
  <c r="N192" i="54"/>
  <c r="N186" i="54"/>
  <c r="J40" i="54"/>
  <c r="J173" i="54" s="1"/>
  <c r="G55" i="54"/>
  <c r="K73" i="20" s="1"/>
  <c r="J50" i="54"/>
  <c r="J196" i="54" s="1"/>
  <c r="M195" i="54"/>
  <c r="M47" i="54"/>
  <c r="M26" i="54" s="1"/>
  <c r="J58" i="54"/>
  <c r="M187" i="54"/>
  <c r="M193" i="54"/>
  <c r="M192" i="54"/>
  <c r="M186" i="54"/>
  <c r="H58" i="54"/>
  <c r="H197" i="54" s="1"/>
  <c r="H40" i="54"/>
  <c r="H50" i="54"/>
  <c r="H61" i="21"/>
  <c r="H64" i="21" s="1"/>
  <c r="H210" i="21" s="1"/>
  <c r="H208" i="21" s="1"/>
  <c r="I23" i="54"/>
  <c r="I170" i="54" s="1"/>
  <c r="I167" i="54"/>
  <c r="E196" i="21"/>
  <c r="E48" i="21"/>
  <c r="E55" i="21"/>
  <c r="E59" i="21" s="1"/>
  <c r="K47" i="21"/>
  <c r="K51" i="21" s="1"/>
  <c r="H65" i="21"/>
  <c r="H211" i="21" s="1"/>
  <c r="G96" i="22"/>
  <c r="G74" i="22"/>
  <c r="G98" i="22" s="1"/>
  <c r="G63" i="22"/>
  <c r="D37" i="93"/>
  <c r="D34" i="58"/>
  <c r="F128" i="21"/>
  <c r="F132" i="21" s="1"/>
  <c r="F134" i="21" s="1"/>
  <c r="L55" i="55"/>
  <c r="G48" i="57"/>
  <c r="G122" i="21"/>
  <c r="G125" i="21" s="1"/>
  <c r="G128" i="21" s="1"/>
  <c r="I64" i="21"/>
  <c r="I210" i="21" s="1"/>
  <c r="I208" i="21" s="1"/>
  <c r="D29" i="29"/>
  <c r="C29" i="29" s="1"/>
  <c r="E31" i="21"/>
  <c r="E35" i="21"/>
  <c r="O132" i="21"/>
  <c r="O134" i="21" s="1"/>
  <c r="O129" i="21"/>
  <c r="O133" i="21" s="1"/>
  <c r="G115" i="54"/>
  <c r="E222" i="54" s="1"/>
  <c r="J76" i="54"/>
  <c r="J69" i="54"/>
  <c r="F27" i="21"/>
  <c r="F68" i="21" s="1"/>
  <c r="G29" i="54"/>
  <c r="J33" i="54"/>
  <c r="I36" i="54"/>
  <c r="G37" i="54"/>
  <c r="G62" i="54"/>
  <c r="G8" i="129" s="1"/>
  <c r="J27" i="54"/>
  <c r="G28" i="54"/>
  <c r="J84" i="54"/>
  <c r="J88" i="54"/>
  <c r="J92" i="54"/>
  <c r="I98" i="54"/>
  <c r="H97" i="54"/>
  <c r="H96" i="54" s="1"/>
  <c r="H95" i="54" s="1"/>
  <c r="G96" i="54"/>
  <c r="G95" i="54" s="1"/>
  <c r="G92" i="54" l="1"/>
  <c r="G69" i="54"/>
  <c r="K12" i="132"/>
  <c r="K14" i="132"/>
  <c r="F45" i="150"/>
  <c r="L13" i="132"/>
  <c r="L14" i="132"/>
  <c r="F14" i="153"/>
  <c r="K30" i="21"/>
  <c r="K41" i="21"/>
  <c r="G47" i="57"/>
  <c r="D36" i="135"/>
  <c r="G39" i="134"/>
  <c r="G113" i="150" s="1"/>
  <c r="C41" i="133"/>
  <c r="G39" i="133" s="1"/>
  <c r="R46" i="92"/>
  <c r="K65" i="21"/>
  <c r="K211" i="21" s="1"/>
  <c r="K63" i="21"/>
  <c r="Q8" i="132"/>
  <c r="F45" i="151" s="1"/>
  <c r="G88" i="54"/>
  <c r="K46" i="21"/>
  <c r="K37" i="21"/>
  <c r="K54" i="21"/>
  <c r="K58" i="21" s="1"/>
  <c r="K61" i="21" s="1"/>
  <c r="G17" i="54"/>
  <c r="J41" i="21"/>
  <c r="J195" i="21"/>
  <c r="J193" i="21" s="1"/>
  <c r="J30" i="21"/>
  <c r="J47" i="21"/>
  <c r="J51" i="21" s="1"/>
  <c r="J54" i="21"/>
  <c r="J58" i="21" s="1"/>
  <c r="J37" i="21"/>
  <c r="J63" i="21"/>
  <c r="J46" i="21"/>
  <c r="G55" i="58"/>
  <c r="G30" i="54"/>
  <c r="D66" i="20" s="1"/>
  <c r="N32" i="21"/>
  <c r="N49" i="21"/>
  <c r="N53" i="21" s="1"/>
  <c r="N56" i="21"/>
  <c r="N60" i="21" s="1"/>
  <c r="N43" i="21"/>
  <c r="N197" i="21"/>
  <c r="N39" i="21"/>
  <c r="N134" i="21"/>
  <c r="N141" i="21" s="1"/>
  <c r="O135" i="21"/>
  <c r="O35" i="21" s="1"/>
  <c r="J174" i="54"/>
  <c r="G50" i="54"/>
  <c r="G196" i="54" s="1"/>
  <c r="H48" i="54"/>
  <c r="J18" i="54"/>
  <c r="G181" i="54"/>
  <c r="F17" i="140"/>
  <c r="M2" i="145"/>
  <c r="F17" i="142"/>
  <c r="F66" i="20"/>
  <c r="P8" i="132" s="1"/>
  <c r="E45" i="151" s="1"/>
  <c r="F40" i="93"/>
  <c r="F39" i="93" s="1"/>
  <c r="J30" i="54"/>
  <c r="F5" i="111"/>
  <c r="F46" i="130"/>
  <c r="E47" i="130"/>
  <c r="I192" i="54"/>
  <c r="L31" i="132"/>
  <c r="H60" i="58"/>
  <c r="P29" i="135"/>
  <c r="E47" i="131"/>
  <c r="D47" i="131"/>
  <c r="F25" i="98"/>
  <c r="O28" i="135"/>
  <c r="D46" i="151"/>
  <c r="O27" i="135"/>
  <c r="F26" i="58"/>
  <c r="O29" i="135"/>
  <c r="Q28" i="135"/>
  <c r="Q30" i="135"/>
  <c r="J47" i="92"/>
  <c r="J51" i="92"/>
  <c r="J50" i="92" s="1"/>
  <c r="I47" i="92"/>
  <c r="I51" i="92"/>
  <c r="I50" i="92" s="1"/>
  <c r="E68" i="20"/>
  <c r="H37" i="58"/>
  <c r="H36" i="58" s="1"/>
  <c r="K48" i="61"/>
  <c r="D36" i="93"/>
  <c r="D59" i="58"/>
  <c r="J47" i="61"/>
  <c r="J51" i="61"/>
  <c r="J50" i="61" s="1"/>
  <c r="I47" i="61"/>
  <c r="I51" i="61"/>
  <c r="I50" i="61" s="1"/>
  <c r="E65" i="20"/>
  <c r="J8" i="132" s="1"/>
  <c r="D45" i="150" s="1"/>
  <c r="E37" i="58"/>
  <c r="H48" i="61"/>
  <c r="D33" i="58"/>
  <c r="D58" i="58"/>
  <c r="C4" i="145"/>
  <c r="V33" i="92"/>
  <c r="V38" i="92"/>
  <c r="V14" i="92"/>
  <c r="V32" i="92"/>
  <c r="V36" i="92"/>
  <c r="V31" i="92"/>
  <c r="V35" i="92"/>
  <c r="V34" i="92"/>
  <c r="V42" i="92"/>
  <c r="V43" i="92"/>
  <c r="F65" i="20"/>
  <c r="O8" i="132" s="1"/>
  <c r="D45" i="151" s="1"/>
  <c r="H48" i="92"/>
  <c r="F46" i="151"/>
  <c r="Q27" i="135"/>
  <c r="Q29" i="135"/>
  <c r="P28" i="135"/>
  <c r="E46" i="151"/>
  <c r="P27" i="135"/>
  <c r="Q43" i="92"/>
  <c r="Q42" i="92"/>
  <c r="Q38" i="92"/>
  <c r="K14" i="61"/>
  <c r="H14" i="61"/>
  <c r="J36" i="61"/>
  <c r="K35" i="61"/>
  <c r="I33" i="61"/>
  <c r="J32" i="61"/>
  <c r="K31" i="61"/>
  <c r="H34" i="61"/>
  <c r="I36" i="61"/>
  <c r="J35" i="61"/>
  <c r="K34" i="61"/>
  <c r="I32" i="61"/>
  <c r="J31" i="61"/>
  <c r="H33" i="61"/>
  <c r="J14" i="61"/>
  <c r="I35" i="61"/>
  <c r="J34" i="61"/>
  <c r="K33" i="61"/>
  <c r="I31" i="61"/>
  <c r="H32" i="61"/>
  <c r="H36" i="61"/>
  <c r="I14" i="61"/>
  <c r="K36" i="61"/>
  <c r="I34" i="61"/>
  <c r="J33" i="61"/>
  <c r="K32" i="61"/>
  <c r="H31" i="61"/>
  <c r="H35" i="61"/>
  <c r="G53" i="92"/>
  <c r="K36" i="92"/>
  <c r="I35" i="92"/>
  <c r="Y35" i="92" s="1"/>
  <c r="I33" i="92"/>
  <c r="Y33" i="92" s="1"/>
  <c r="I14" i="92"/>
  <c r="Y14" i="92" s="1"/>
  <c r="K35" i="92"/>
  <c r="K33" i="92"/>
  <c r="K14" i="92"/>
  <c r="I36" i="92"/>
  <c r="Y36" i="92" s="1"/>
  <c r="I34" i="92"/>
  <c r="Y34" i="92" s="1"/>
  <c r="I32" i="92"/>
  <c r="Y32" i="92" s="1"/>
  <c r="K34" i="92"/>
  <c r="K32" i="92"/>
  <c r="H33" i="92"/>
  <c r="X33" i="92" s="1"/>
  <c r="J34" i="92"/>
  <c r="Z34" i="92" s="1"/>
  <c r="H32" i="92"/>
  <c r="X32" i="92" s="1"/>
  <c r="H36" i="92"/>
  <c r="X36" i="92" s="1"/>
  <c r="J33" i="92"/>
  <c r="Z33" i="92" s="1"/>
  <c r="H14" i="92"/>
  <c r="X14" i="92" s="1"/>
  <c r="H35" i="92"/>
  <c r="X35" i="92" s="1"/>
  <c r="J32" i="92"/>
  <c r="Z32" i="92" s="1"/>
  <c r="J36" i="92"/>
  <c r="H34" i="92"/>
  <c r="X34" i="92" s="1"/>
  <c r="J14" i="92"/>
  <c r="Z14" i="92" s="1"/>
  <c r="J35" i="92"/>
  <c r="H31" i="92"/>
  <c r="X31" i="92" s="1"/>
  <c r="K31" i="92"/>
  <c r="I31" i="92"/>
  <c r="Y31" i="92" s="1"/>
  <c r="J31" i="92"/>
  <c r="Z31" i="92" s="1"/>
  <c r="K53" i="92"/>
  <c r="K27" i="135"/>
  <c r="K30" i="135"/>
  <c r="D21" i="111"/>
  <c r="D6" i="129"/>
  <c r="J8" i="135"/>
  <c r="J28" i="135" s="1"/>
  <c r="D115" i="150"/>
  <c r="D21" i="140"/>
  <c r="D91" i="140" s="1"/>
  <c r="D21" i="142"/>
  <c r="K28" i="135"/>
  <c r="E46" i="150"/>
  <c r="L8" i="135"/>
  <c r="L30" i="135" s="1"/>
  <c r="F115" i="150"/>
  <c r="K31" i="132"/>
  <c r="E45" i="150"/>
  <c r="G115" i="150"/>
  <c r="F6" i="129"/>
  <c r="C8" i="129"/>
  <c r="D17" i="142"/>
  <c r="B5" i="111"/>
  <c r="E46" i="130"/>
  <c r="G42" i="115"/>
  <c r="M45" i="115" s="1"/>
  <c r="E42" i="115"/>
  <c r="D3" i="129"/>
  <c r="C3" i="129" s="1"/>
  <c r="D67" i="20"/>
  <c r="T58" i="55"/>
  <c r="G53" i="58" s="1"/>
  <c r="G54" i="58" s="1"/>
  <c r="C7" i="129"/>
  <c r="G6" i="129"/>
  <c r="G53" i="61"/>
  <c r="E110" i="20"/>
  <c r="L11" i="98" s="1"/>
  <c r="E217" i="54"/>
  <c r="I39" i="54"/>
  <c r="I177" i="54"/>
  <c r="I190" i="54" s="1"/>
  <c r="I197" i="54"/>
  <c r="I47" i="54"/>
  <c r="J176" i="54"/>
  <c r="J189" i="54" s="1"/>
  <c r="H176" i="54"/>
  <c r="H189" i="54" s="1"/>
  <c r="H39" i="54"/>
  <c r="H175" i="54" s="1"/>
  <c r="H188" i="54" s="1"/>
  <c r="H173" i="54"/>
  <c r="H186" i="54" s="1"/>
  <c r="G40" i="54"/>
  <c r="G173" i="54" s="1"/>
  <c r="J39" i="54"/>
  <c r="G63" i="54"/>
  <c r="H196" i="54"/>
  <c r="H177" i="54"/>
  <c r="H190" i="54" s="1"/>
  <c r="H174" i="54"/>
  <c r="J186" i="54"/>
  <c r="G58" i="54"/>
  <c r="J197" i="54"/>
  <c r="I22" i="54"/>
  <c r="I169" i="54" s="1"/>
  <c r="I166" i="54"/>
  <c r="J22" i="54"/>
  <c r="J169" i="54" s="1"/>
  <c r="J166" i="54"/>
  <c r="E197" i="21"/>
  <c r="E56" i="21"/>
  <c r="E60" i="21" s="1"/>
  <c r="E49" i="21"/>
  <c r="E53" i="21" s="1"/>
  <c r="H55" i="55"/>
  <c r="E54" i="112"/>
  <c r="L97" i="84"/>
  <c r="K97" i="84"/>
  <c r="F11" i="98"/>
  <c r="E11" i="98" s="1"/>
  <c r="E10" i="98" s="1"/>
  <c r="D160" i="54"/>
  <c r="G76" i="54"/>
  <c r="G6" i="83" s="1"/>
  <c r="G61" i="83" s="1"/>
  <c r="E17" i="98"/>
  <c r="E15" i="98" s="1"/>
  <c r="F129" i="21"/>
  <c r="F133" i="21" s="1"/>
  <c r="G89" i="22"/>
  <c r="G64" i="22"/>
  <c r="G90" i="22" s="1"/>
  <c r="G62" i="22"/>
  <c r="E40" i="93"/>
  <c r="E55" i="58" s="1"/>
  <c r="D122" i="21"/>
  <c r="D126" i="21" s="1"/>
  <c r="L126" i="21" s="1"/>
  <c r="P125" i="21"/>
  <c r="P128" i="21" s="1"/>
  <c r="P132" i="21" s="1"/>
  <c r="P134" i="21" s="1"/>
  <c r="G126" i="21"/>
  <c r="O126" i="21" s="1"/>
  <c r="E32" i="21"/>
  <c r="E52" i="21"/>
  <c r="E62" i="21" s="1"/>
  <c r="E38" i="21"/>
  <c r="E42" i="21"/>
  <c r="E33" i="21"/>
  <c r="E43" i="21"/>
  <c r="E39" i="21"/>
  <c r="O34" i="21"/>
  <c r="O31" i="21" s="1"/>
  <c r="G132" i="21"/>
  <c r="G134" i="21" s="1"/>
  <c r="G129" i="21"/>
  <c r="G133" i="21" s="1"/>
  <c r="F34" i="21"/>
  <c r="G27" i="21"/>
  <c r="G68" i="21" s="1"/>
  <c r="G27" i="54"/>
  <c r="G38" i="54"/>
  <c r="G18" i="54" s="1"/>
  <c r="J36" i="54"/>
  <c r="J48" i="54"/>
  <c r="G84" i="54"/>
  <c r="J98" i="54"/>
  <c r="I97" i="54"/>
  <c r="I96" i="54" s="1"/>
  <c r="I95" i="54" s="1"/>
  <c r="K44" i="21" l="1"/>
  <c r="K119" i="84"/>
  <c r="K106" i="84"/>
  <c r="Q108" i="84"/>
  <c r="Q112" i="84"/>
  <c r="K112" i="84"/>
  <c r="Q104" i="84"/>
  <c r="Q109" i="84"/>
  <c r="Q113" i="84"/>
  <c r="Q120" i="84"/>
  <c r="Q124" i="84"/>
  <c r="Q128" i="84"/>
  <c r="Q132" i="84"/>
  <c r="Q136" i="84"/>
  <c r="Q145" i="84"/>
  <c r="Q149" i="84"/>
  <c r="Q153" i="84"/>
  <c r="Q157" i="84"/>
  <c r="Q161" i="84"/>
  <c r="Q146" i="84"/>
  <c r="Q154" i="84"/>
  <c r="Q158" i="84"/>
  <c r="Q107" i="84"/>
  <c r="Q111" i="84"/>
  <c r="Q116" i="84"/>
  <c r="Q126" i="84"/>
  <c r="Q130" i="84"/>
  <c r="Q139" i="84"/>
  <c r="Q147" i="84"/>
  <c r="Q151" i="84"/>
  <c r="Q155" i="84"/>
  <c r="Q119" i="84"/>
  <c r="Q127" i="84"/>
  <c r="Q135" i="84"/>
  <c r="Q140" i="84"/>
  <c r="Q148" i="84"/>
  <c r="Q152" i="84"/>
  <c r="Q160" i="84"/>
  <c r="Q105" i="84"/>
  <c r="Q110" i="84"/>
  <c r="Q121" i="84"/>
  <c r="Q125" i="84"/>
  <c r="Q129" i="84"/>
  <c r="Q133" i="84"/>
  <c r="Q138" i="84"/>
  <c r="Q142" i="84"/>
  <c r="Q150" i="84"/>
  <c r="Q122" i="84"/>
  <c r="Q134" i="84"/>
  <c r="Q143" i="84"/>
  <c r="Q159" i="84"/>
  <c r="Q123" i="84"/>
  <c r="Q131" i="84"/>
  <c r="Q144" i="84"/>
  <c r="Q156" i="84"/>
  <c r="Q103" i="84"/>
  <c r="K103" i="84"/>
  <c r="L119" i="84"/>
  <c r="R105" i="84"/>
  <c r="R109" i="84"/>
  <c r="R113" i="84"/>
  <c r="R121" i="84"/>
  <c r="R125" i="84"/>
  <c r="R129" i="84"/>
  <c r="R133" i="84"/>
  <c r="R138" i="84"/>
  <c r="R142" i="84"/>
  <c r="R146" i="84"/>
  <c r="R150" i="84"/>
  <c r="R154" i="84"/>
  <c r="R158" i="84"/>
  <c r="L106" i="84"/>
  <c r="D13" i="127" s="1"/>
  <c r="R106" i="84"/>
  <c r="R110" i="84"/>
  <c r="R116" i="84"/>
  <c r="R122" i="84"/>
  <c r="R126" i="84"/>
  <c r="R130" i="84"/>
  <c r="R134" i="84"/>
  <c r="R139" i="84"/>
  <c r="R143" i="84"/>
  <c r="R147" i="84"/>
  <c r="R151" i="84"/>
  <c r="R155" i="84"/>
  <c r="R159" i="84"/>
  <c r="R160" i="84"/>
  <c r="R107" i="84"/>
  <c r="R111" i="84"/>
  <c r="R119" i="84"/>
  <c r="R123" i="84"/>
  <c r="R127" i="84"/>
  <c r="R131" i="84"/>
  <c r="R135" i="84"/>
  <c r="R140" i="84"/>
  <c r="R144" i="84"/>
  <c r="R148" i="84"/>
  <c r="R152" i="84"/>
  <c r="R156" i="84"/>
  <c r="R104" i="84"/>
  <c r="R108" i="84"/>
  <c r="R112" i="84"/>
  <c r="R120" i="84"/>
  <c r="R124" i="84"/>
  <c r="R128" i="84"/>
  <c r="R132" i="84"/>
  <c r="R136" i="84"/>
  <c r="R145" i="84"/>
  <c r="R149" i="84"/>
  <c r="R153" i="84"/>
  <c r="R157" i="84"/>
  <c r="R161" i="84"/>
  <c r="L112" i="84"/>
  <c r="D19" i="127" s="1"/>
  <c r="R103" i="84"/>
  <c r="L103" i="84"/>
  <c r="O141" i="21"/>
  <c r="AF47" i="57"/>
  <c r="AF32" i="57" s="1"/>
  <c r="C36" i="135"/>
  <c r="P58" i="55"/>
  <c r="F53" i="58" s="1"/>
  <c r="F54" i="58" s="1"/>
  <c r="F46" i="131"/>
  <c r="Q31" i="132"/>
  <c r="Q32" i="92"/>
  <c r="AA32" i="92" s="1"/>
  <c r="R32" i="92"/>
  <c r="Q33" i="61"/>
  <c r="R33" i="61"/>
  <c r="Q34" i="92"/>
  <c r="AA34" i="92" s="1"/>
  <c r="R34" i="92"/>
  <c r="Q35" i="92"/>
  <c r="AA35" i="92" s="1"/>
  <c r="R35" i="92"/>
  <c r="Q36" i="61"/>
  <c r="R36" i="61"/>
  <c r="Q34" i="61"/>
  <c r="R34" i="61"/>
  <c r="Q35" i="61"/>
  <c r="R35" i="61"/>
  <c r="R42" i="92"/>
  <c r="R43" i="92"/>
  <c r="R38" i="92"/>
  <c r="Q31" i="92"/>
  <c r="AA31" i="92" s="1"/>
  <c r="R31" i="92"/>
  <c r="Q32" i="61"/>
  <c r="R32" i="61"/>
  <c r="Q33" i="92"/>
  <c r="AA33" i="92" s="1"/>
  <c r="R33" i="92"/>
  <c r="Q14" i="92"/>
  <c r="AA14" i="92" s="1"/>
  <c r="R14" i="92"/>
  <c r="Q36" i="92"/>
  <c r="AA36" i="92" s="1"/>
  <c r="R36" i="92"/>
  <c r="Q31" i="61"/>
  <c r="R31" i="61"/>
  <c r="Q14" i="61"/>
  <c r="R14" i="61"/>
  <c r="K66" i="21"/>
  <c r="K212" i="21" s="1"/>
  <c r="N8" i="135"/>
  <c r="C47" i="131" s="1"/>
  <c r="K134" i="84"/>
  <c r="C41" i="127" s="1"/>
  <c r="K121" i="84"/>
  <c r="L142" i="84"/>
  <c r="D49" i="127" s="1"/>
  <c r="L144" i="84"/>
  <c r="D51" i="127" s="1"/>
  <c r="N46" i="21"/>
  <c r="Z36" i="92"/>
  <c r="Z35" i="92"/>
  <c r="C19" i="127"/>
  <c r="G51" i="61"/>
  <c r="G50" i="61" s="1"/>
  <c r="L120" i="84"/>
  <c r="G27" i="127" s="1"/>
  <c r="L135" i="84"/>
  <c r="D42" i="127" s="1"/>
  <c r="L121" i="84"/>
  <c r="K120" i="84"/>
  <c r="C27" i="127" s="1"/>
  <c r="K135" i="84"/>
  <c r="C42" i="127" s="1"/>
  <c r="J44" i="21"/>
  <c r="J61" i="21"/>
  <c r="J66" i="21"/>
  <c r="J212" i="21" s="1"/>
  <c r="N63" i="21"/>
  <c r="O32" i="21"/>
  <c r="O49" i="21"/>
  <c r="O53" i="21" s="1"/>
  <c r="O197" i="21"/>
  <c r="O43" i="21"/>
  <c r="O56" i="21"/>
  <c r="O60" i="21" s="1"/>
  <c r="O39" i="21"/>
  <c r="N34" i="21"/>
  <c r="F135" i="21"/>
  <c r="F35" i="21" s="1"/>
  <c r="G135" i="21"/>
  <c r="G35" i="21" s="1"/>
  <c r="J175" i="54"/>
  <c r="J188" i="54" s="1"/>
  <c r="I175" i="54"/>
  <c r="I188" i="54" s="1"/>
  <c r="G48" i="54"/>
  <c r="G47" i="54" s="1"/>
  <c r="G26" i="54" s="1"/>
  <c r="G24" i="54" s="1"/>
  <c r="L2" i="145"/>
  <c r="G61" i="58"/>
  <c r="E3" i="111"/>
  <c r="F143" i="150"/>
  <c r="F55" i="58"/>
  <c r="E46" i="131"/>
  <c r="P31" i="132"/>
  <c r="AA38" i="92"/>
  <c r="D2" i="145"/>
  <c r="G2" i="145"/>
  <c r="D34" i="133"/>
  <c r="F34" i="133" s="1"/>
  <c r="D92" i="140"/>
  <c r="D17" i="140"/>
  <c r="E35" i="133"/>
  <c r="D60" i="58"/>
  <c r="E64" i="20"/>
  <c r="E70" i="20" s="1"/>
  <c r="K75" i="20" s="1"/>
  <c r="G66" i="20" s="1"/>
  <c r="O31" i="132"/>
  <c r="D46" i="131"/>
  <c r="AA43" i="92"/>
  <c r="J30" i="135"/>
  <c r="C3" i="145"/>
  <c r="D35" i="133"/>
  <c r="F35" i="133" s="1"/>
  <c r="C6" i="129"/>
  <c r="F47" i="130"/>
  <c r="L27" i="135"/>
  <c r="L28" i="135"/>
  <c r="D94" i="140"/>
  <c r="AA42" i="92"/>
  <c r="H47" i="92"/>
  <c r="H51" i="92"/>
  <c r="H50" i="92" s="1"/>
  <c r="H47" i="61"/>
  <c r="H51" i="61"/>
  <c r="H50" i="61" s="1"/>
  <c r="K51" i="61"/>
  <c r="K50" i="61" s="1"/>
  <c r="K47" i="61"/>
  <c r="F68" i="20"/>
  <c r="H40" i="93"/>
  <c r="H55" i="58" s="1"/>
  <c r="K48" i="92"/>
  <c r="G48" i="61"/>
  <c r="G47" i="61" s="1"/>
  <c r="G51" i="92"/>
  <c r="G50" i="92" s="1"/>
  <c r="E36" i="58"/>
  <c r="D37" i="58"/>
  <c r="D36" i="58" s="1"/>
  <c r="J27" i="135"/>
  <c r="J29" i="135"/>
  <c r="K64" i="21"/>
  <c r="K210" i="21" s="1"/>
  <c r="K208" i="21" s="1"/>
  <c r="I8" i="135"/>
  <c r="C115" i="150"/>
  <c r="L29" i="135"/>
  <c r="F46" i="150"/>
  <c r="D47" i="130"/>
  <c r="D46" i="150"/>
  <c r="F113" i="150"/>
  <c r="B4" i="111"/>
  <c r="E34" i="133"/>
  <c r="G33" i="133"/>
  <c r="G35" i="133"/>
  <c r="G34" i="133"/>
  <c r="D113" i="150"/>
  <c r="D33" i="133"/>
  <c r="F33" i="133" s="1"/>
  <c r="E33" i="133"/>
  <c r="D69" i="140"/>
  <c r="G47" i="115"/>
  <c r="M43" i="115"/>
  <c r="M44" i="115"/>
  <c r="M46" i="115"/>
  <c r="L45" i="115"/>
  <c r="E47" i="115"/>
  <c r="L44" i="115"/>
  <c r="L46" i="115"/>
  <c r="L43" i="115"/>
  <c r="D46" i="130"/>
  <c r="J31" i="132"/>
  <c r="D65" i="20"/>
  <c r="L58" i="55"/>
  <c r="E53" i="58" s="1"/>
  <c r="L116" i="84"/>
  <c r="D23" i="127" s="1"/>
  <c r="K116" i="84"/>
  <c r="C23" i="127" s="1"/>
  <c r="D217" i="54"/>
  <c r="D212" i="54"/>
  <c r="E109" i="20"/>
  <c r="AH73" i="20"/>
  <c r="H73" i="20" s="1"/>
  <c r="J73" i="20"/>
  <c r="I193" i="54"/>
  <c r="I195" i="54"/>
  <c r="I26" i="54"/>
  <c r="G41" i="54"/>
  <c r="G177" i="54" s="1"/>
  <c r="G190" i="54" s="1"/>
  <c r="G186" i="54"/>
  <c r="K126" i="84"/>
  <c r="C33" i="127" s="1"/>
  <c r="K125" i="84"/>
  <c r="C32" i="127" s="1"/>
  <c r="K124" i="84"/>
  <c r="C31" i="127" s="1"/>
  <c r="H192" i="54"/>
  <c r="J192" i="54"/>
  <c r="G176" i="54"/>
  <c r="G189" i="54" s="1"/>
  <c r="H187" i="54"/>
  <c r="H193" i="54"/>
  <c r="J177" i="54"/>
  <c r="J190" i="54" s="1"/>
  <c r="E162" i="54"/>
  <c r="E161" i="54"/>
  <c r="L126" i="84"/>
  <c r="D33" i="127" s="1"/>
  <c r="L125" i="84"/>
  <c r="D32" i="127" s="1"/>
  <c r="L124" i="84"/>
  <c r="D31" i="127" s="1"/>
  <c r="H195" i="54"/>
  <c r="H47" i="54"/>
  <c r="H26" i="54" s="1"/>
  <c r="H24" i="54" s="1"/>
  <c r="L150" i="84"/>
  <c r="D57" i="127" s="1"/>
  <c r="L147" i="84"/>
  <c r="D54" i="127" s="1"/>
  <c r="L145" i="84"/>
  <c r="D52" i="127" s="1"/>
  <c r="L151" i="84"/>
  <c r="D58" i="127" s="1"/>
  <c r="L155" i="84"/>
  <c r="D62" i="127" s="1"/>
  <c r="L152" i="84"/>
  <c r="D59" i="127" s="1"/>
  <c r="K151" i="84"/>
  <c r="C58" i="127" s="1"/>
  <c r="K144" i="84"/>
  <c r="C51" i="127" s="1"/>
  <c r="K147" i="84"/>
  <c r="C54" i="127" s="1"/>
  <c r="K152" i="84"/>
  <c r="C59" i="127" s="1"/>
  <c r="K145" i="84"/>
  <c r="C52" i="127" s="1"/>
  <c r="K155" i="84"/>
  <c r="C62" i="127" s="1"/>
  <c r="K150" i="84"/>
  <c r="C57" i="127" s="1"/>
  <c r="K111" i="84"/>
  <c r="K110" i="84"/>
  <c r="K109" i="84"/>
  <c r="K108" i="84"/>
  <c r="C15" i="127" s="1"/>
  <c r="D54" i="112"/>
  <c r="L90" i="85"/>
  <c r="L89" i="85" s="1"/>
  <c r="L111" i="84"/>
  <c r="L110" i="84"/>
  <c r="L109" i="84"/>
  <c r="L108" i="84"/>
  <c r="D15" i="127" s="1"/>
  <c r="G197" i="54"/>
  <c r="J47" i="54"/>
  <c r="J26" i="54" s="1"/>
  <c r="J195" i="54"/>
  <c r="G22" i="54"/>
  <c r="G169" i="54" s="1"/>
  <c r="G166" i="54"/>
  <c r="J23" i="54"/>
  <c r="J170" i="54" s="1"/>
  <c r="J167" i="54"/>
  <c r="L105" i="84"/>
  <c r="D12" i="127" s="1"/>
  <c r="L131" i="84"/>
  <c r="D38" i="127" s="1"/>
  <c r="L113" i="84"/>
  <c r="D20" i="127" s="1"/>
  <c r="F196" i="21"/>
  <c r="F48" i="21"/>
  <c r="F52" i="21" s="1"/>
  <c r="F55" i="21"/>
  <c r="F59" i="21" s="1"/>
  <c r="E195" i="21"/>
  <c r="E193" i="21" s="1"/>
  <c r="E47" i="21"/>
  <c r="E51" i="21" s="1"/>
  <c r="E54" i="21"/>
  <c r="E58" i="21" s="1"/>
  <c r="O196" i="21"/>
  <c r="O55" i="21"/>
  <c r="O59" i="21" s="1"/>
  <c r="O48" i="21"/>
  <c r="O52" i="21" s="1"/>
  <c r="P129" i="21"/>
  <c r="P133" i="21" s="1"/>
  <c r="L104" i="84"/>
  <c r="D11" i="127" s="1"/>
  <c r="L122" i="84"/>
  <c r="D29" i="127" s="1"/>
  <c r="L158" i="84"/>
  <c r="D65" i="127" s="1"/>
  <c r="L128" i="84"/>
  <c r="D35" i="127" s="1"/>
  <c r="L129" i="84"/>
  <c r="D36" i="127" s="1"/>
  <c r="G97" i="84"/>
  <c r="K104" i="84"/>
  <c r="C11" i="127" s="1"/>
  <c r="K142" i="84"/>
  <c r="C49" i="127" s="1"/>
  <c r="L148" i="84"/>
  <c r="D55" i="127" s="1"/>
  <c r="L143" i="84"/>
  <c r="D50" i="127" s="1"/>
  <c r="L136" i="84"/>
  <c r="D43" i="127" s="1"/>
  <c r="L133" i="84"/>
  <c r="D40" i="127" s="1"/>
  <c r="L153" i="84"/>
  <c r="D60" i="127" s="1"/>
  <c r="L130" i="84"/>
  <c r="D37" i="127" s="1"/>
  <c r="L149" i="84"/>
  <c r="D56" i="127" s="1"/>
  <c r="F10" i="98"/>
  <c r="K122" i="84"/>
  <c r="C29" i="127" s="1"/>
  <c r="K123" i="84"/>
  <c r="C30" i="127" s="1"/>
  <c r="L161" i="84"/>
  <c r="D68" i="127" s="1"/>
  <c r="I68" i="127" s="1"/>
  <c r="L123" i="84"/>
  <c r="D30" i="127" s="1"/>
  <c r="G14" i="22"/>
  <c r="K158" i="84"/>
  <c r="C65" i="127" s="1"/>
  <c r="L107" i="84"/>
  <c r="D14" i="127" s="1"/>
  <c r="E160" i="54"/>
  <c r="E25" i="98"/>
  <c r="K149" i="84"/>
  <c r="C56" i="127" s="1"/>
  <c r="K129" i="84"/>
  <c r="C36" i="127" s="1"/>
  <c r="K136" i="84"/>
  <c r="C43" i="127" s="1"/>
  <c r="L132" i="84"/>
  <c r="D39" i="127" s="1"/>
  <c r="K127" i="84"/>
  <c r="C34" i="127" s="1"/>
  <c r="L127" i="84"/>
  <c r="D34" i="127" s="1"/>
  <c r="L156" i="84"/>
  <c r="D63" i="127" s="1"/>
  <c r="L157" i="84"/>
  <c r="D64" i="127" s="1"/>
  <c r="K156" i="84"/>
  <c r="C63" i="127" s="1"/>
  <c r="K128" i="84"/>
  <c r="C35" i="127" s="1"/>
  <c r="K143" i="84"/>
  <c r="C50" i="127" s="1"/>
  <c r="K105" i="84"/>
  <c r="C12" i="127" s="1"/>
  <c r="K131" i="84"/>
  <c r="C38" i="127" s="1"/>
  <c r="K113" i="84"/>
  <c r="C20" i="127" s="1"/>
  <c r="K153" i="84"/>
  <c r="C60" i="127" s="1"/>
  <c r="K130" i="84"/>
  <c r="C37" i="127" s="1"/>
  <c r="K133" i="84"/>
  <c r="C40" i="127" s="1"/>
  <c r="K107" i="84"/>
  <c r="C14" i="127" s="1"/>
  <c r="K154" i="84"/>
  <c r="C61" i="127" s="1"/>
  <c r="K132" i="84"/>
  <c r="C39" i="127" s="1"/>
  <c r="G88" i="22"/>
  <c r="M64" i="22"/>
  <c r="K148" i="84"/>
  <c r="C55" i="127" s="1"/>
  <c r="L154" i="84"/>
  <c r="D61" i="127" s="1"/>
  <c r="K157" i="84"/>
  <c r="C64" i="127" s="1"/>
  <c r="L139" i="84"/>
  <c r="D46" i="127" s="1"/>
  <c r="L134" i="84"/>
  <c r="D41" i="127" s="1"/>
  <c r="K161" i="84"/>
  <c r="C68" i="127" s="1"/>
  <c r="H68" i="127" s="1"/>
  <c r="E39" i="93"/>
  <c r="K139" i="84"/>
  <c r="C46" i="127" s="1"/>
  <c r="D125" i="21"/>
  <c r="L125" i="21" s="1"/>
  <c r="L128" i="21" s="1"/>
  <c r="I97" i="84"/>
  <c r="I6" i="83"/>
  <c r="I61" i="83" s="1"/>
  <c r="J97" i="84"/>
  <c r="J119" i="84" s="1"/>
  <c r="J6" i="83"/>
  <c r="J61" i="83" s="1"/>
  <c r="H97" i="84"/>
  <c r="H6" i="83"/>
  <c r="H61" i="83" s="1"/>
  <c r="G55" i="83"/>
  <c r="G11" i="83"/>
  <c r="G22" i="83"/>
  <c r="G15" i="83"/>
  <c r="G29" i="83"/>
  <c r="G25" i="83"/>
  <c r="G39" i="83"/>
  <c r="G34" i="83"/>
  <c r="G53" i="83"/>
  <c r="G49" i="83"/>
  <c r="G45" i="83"/>
  <c r="G62" i="83"/>
  <c r="G57" i="83"/>
  <c r="G20" i="83"/>
  <c r="G14" i="83"/>
  <c r="G41" i="83"/>
  <c r="G47" i="83"/>
  <c r="G16" i="83"/>
  <c r="G13" i="83"/>
  <c r="G52" i="83"/>
  <c r="G60" i="83"/>
  <c r="G17" i="83"/>
  <c r="G18" i="83"/>
  <c r="G31" i="83"/>
  <c r="G26" i="83"/>
  <c r="G35" i="83"/>
  <c r="G50" i="83"/>
  <c r="G46" i="83"/>
  <c r="G42" i="83"/>
  <c r="G58" i="83"/>
  <c r="G59" i="83"/>
  <c r="G48" i="83"/>
  <c r="G19" i="83"/>
  <c r="G12" i="83"/>
  <c r="G27" i="83"/>
  <c r="G37" i="83"/>
  <c r="G32" i="83"/>
  <c r="G51" i="83"/>
  <c r="G43" i="83"/>
  <c r="G28" i="83"/>
  <c r="G33" i="83"/>
  <c r="G44" i="83"/>
  <c r="G56" i="83"/>
  <c r="G36" i="83"/>
  <c r="G30" i="83"/>
  <c r="H88" i="22"/>
  <c r="E63" i="21"/>
  <c r="E30" i="21"/>
  <c r="F31" i="21"/>
  <c r="E45" i="21"/>
  <c r="E65" i="21" s="1"/>
  <c r="E211" i="21" s="1"/>
  <c r="E46" i="21"/>
  <c r="P34" i="21"/>
  <c r="P31" i="21" s="1"/>
  <c r="O33" i="21"/>
  <c r="O30" i="21" s="1"/>
  <c r="O42" i="21"/>
  <c r="O38" i="21"/>
  <c r="F42" i="21"/>
  <c r="F38" i="21"/>
  <c r="G34" i="21"/>
  <c r="E41" i="21"/>
  <c r="E37" i="21"/>
  <c r="D27" i="21"/>
  <c r="D68" i="21" s="1"/>
  <c r="R82" i="21" s="1"/>
  <c r="G36" i="54"/>
  <c r="K98" i="54"/>
  <c r="J97" i="54"/>
  <c r="J96" i="54" s="1"/>
  <c r="J95" i="54" s="1"/>
  <c r="H8" i="135" l="1"/>
  <c r="AF33" i="57"/>
  <c r="AF21" i="57"/>
  <c r="AF17" i="57"/>
  <c r="AF43" i="57"/>
  <c r="AF38" i="57"/>
  <c r="AF31" i="57"/>
  <c r="AF34" i="57"/>
  <c r="AF35" i="57"/>
  <c r="AF42" i="57"/>
  <c r="AF36" i="57"/>
  <c r="N66" i="21"/>
  <c r="N212" i="21" s="1"/>
  <c r="G143" i="150"/>
  <c r="G29" i="135"/>
  <c r="G136" i="150" s="1"/>
  <c r="G11" i="135"/>
  <c r="G30" i="135"/>
  <c r="G137" i="150" s="1"/>
  <c r="G34" i="135"/>
  <c r="G27" i="135"/>
  <c r="G134" i="150" s="1"/>
  <c r="G15" i="135"/>
  <c r="G28" i="135"/>
  <c r="G135" i="150" s="1"/>
  <c r="O63" i="21"/>
  <c r="F141" i="21"/>
  <c r="O46" i="21"/>
  <c r="F64" i="20"/>
  <c r="N8" i="132" s="1"/>
  <c r="C46" i="131" s="1"/>
  <c r="D27" i="127"/>
  <c r="I27" i="127" s="1"/>
  <c r="M8" i="135"/>
  <c r="C46" i="151"/>
  <c r="H110" i="20"/>
  <c r="H112" i="20"/>
  <c r="H113" i="20"/>
  <c r="G21" i="92"/>
  <c r="H21" i="92" s="1"/>
  <c r="C10" i="20"/>
  <c r="D10" i="20" s="1"/>
  <c r="F27" i="127"/>
  <c r="H27" i="127" s="1"/>
  <c r="C18" i="134"/>
  <c r="G18" i="134" s="1"/>
  <c r="G141" i="21"/>
  <c r="J64" i="21"/>
  <c r="J210" i="21" s="1"/>
  <c r="J208" i="21" s="1"/>
  <c r="F197" i="21"/>
  <c r="F43" i="21"/>
  <c r="F49" i="21"/>
  <c r="F53" i="21" s="1"/>
  <c r="F56" i="21"/>
  <c r="F60" i="21" s="1"/>
  <c r="F32" i="21"/>
  <c r="F39" i="21"/>
  <c r="F33" i="21"/>
  <c r="F37" i="21" s="1"/>
  <c r="G49" i="21"/>
  <c r="G53" i="21" s="1"/>
  <c r="G43" i="21"/>
  <c r="G197" i="21"/>
  <c r="G56" i="21"/>
  <c r="G60" i="21" s="1"/>
  <c r="G32" i="21"/>
  <c r="G39" i="21"/>
  <c r="N31" i="21"/>
  <c r="N196" i="21"/>
  <c r="N33" i="21"/>
  <c r="N55" i="21"/>
  <c r="N59" i="21" s="1"/>
  <c r="N42" i="21"/>
  <c r="N48" i="21"/>
  <c r="N52" i="21" s="1"/>
  <c r="N38" i="21"/>
  <c r="P135" i="21"/>
  <c r="P35" i="21" s="1"/>
  <c r="H208" i="54"/>
  <c r="H207" i="54"/>
  <c r="H205" i="54"/>
  <c r="H204" i="54"/>
  <c r="H16" i="54"/>
  <c r="H172" i="54"/>
  <c r="D143" i="150"/>
  <c r="C3" i="111"/>
  <c r="E61" i="58"/>
  <c r="F89" i="140"/>
  <c r="F2" i="145"/>
  <c r="G48" i="92"/>
  <c r="G47" i="92" s="1"/>
  <c r="E90" i="140"/>
  <c r="G90" i="140"/>
  <c r="F88" i="140"/>
  <c r="I8" i="132"/>
  <c r="E71" i="20"/>
  <c r="K76" i="20" s="1"/>
  <c r="G67" i="20" s="1"/>
  <c r="E69" i="20"/>
  <c r="K74" i="20" s="1"/>
  <c r="G65" i="20" s="1"/>
  <c r="E72" i="20"/>
  <c r="K77" i="20" s="1"/>
  <c r="G68" i="20" s="1"/>
  <c r="G88" i="140"/>
  <c r="E88" i="140"/>
  <c r="E91" i="140"/>
  <c r="G92" i="140"/>
  <c r="F90" i="140"/>
  <c r="E92" i="140"/>
  <c r="F91" i="140"/>
  <c r="G91" i="140"/>
  <c r="F92" i="140"/>
  <c r="R8" i="132"/>
  <c r="G34" i="22"/>
  <c r="G36" i="22" s="1"/>
  <c r="G195" i="54"/>
  <c r="E21" i="98"/>
  <c r="C2" i="145"/>
  <c r="D61" i="58"/>
  <c r="K47" i="92"/>
  <c r="K51" i="92"/>
  <c r="K50" i="92" s="1"/>
  <c r="C6" i="145"/>
  <c r="E54" i="58"/>
  <c r="H39" i="93"/>
  <c r="D88" i="140"/>
  <c r="D89" i="140"/>
  <c r="D90" i="140"/>
  <c r="D20" i="142"/>
  <c r="C47" i="130"/>
  <c r="C46" i="150"/>
  <c r="G69" i="140"/>
  <c r="D70" i="140"/>
  <c r="D122" i="150"/>
  <c r="L42" i="115"/>
  <c r="M42" i="115"/>
  <c r="C10" i="127"/>
  <c r="C13" i="134"/>
  <c r="D68" i="20"/>
  <c r="D64" i="20" s="1"/>
  <c r="X58" i="55"/>
  <c r="F92" i="150"/>
  <c r="H161" i="84"/>
  <c r="H150" i="84"/>
  <c r="H126" i="84"/>
  <c r="H157" i="84"/>
  <c r="H151" i="84"/>
  <c r="H147" i="84"/>
  <c r="H139" i="84"/>
  <c r="H152" i="84"/>
  <c r="H148" i="84"/>
  <c r="H144" i="84"/>
  <c r="H124" i="84"/>
  <c r="H155" i="84"/>
  <c r="H149" i="84"/>
  <c r="H125" i="84"/>
  <c r="H154" i="84"/>
  <c r="H116" i="84"/>
  <c r="H153" i="84"/>
  <c r="H156" i="84"/>
  <c r="H132" i="84"/>
  <c r="H146" i="84"/>
  <c r="H120" i="84"/>
  <c r="H140" i="84"/>
  <c r="H158" i="84"/>
  <c r="H122" i="84"/>
  <c r="H121" i="84"/>
  <c r="H112" i="84"/>
  <c r="H103" i="84"/>
  <c r="H123" i="84"/>
  <c r="H105" i="84"/>
  <c r="H107" i="84"/>
  <c r="H111" i="84"/>
  <c r="H108" i="84"/>
  <c r="H110" i="84"/>
  <c r="H109" i="84"/>
  <c r="H142" i="84"/>
  <c r="H143" i="84"/>
  <c r="H145" i="84"/>
  <c r="H133" i="84"/>
  <c r="H113" i="84"/>
  <c r="H127" i="84"/>
  <c r="H131" i="84"/>
  <c r="H159" i="84"/>
  <c r="H130" i="84"/>
  <c r="H134" i="84"/>
  <c r="H129" i="84"/>
  <c r="H135" i="84"/>
  <c r="H136" i="84"/>
  <c r="H119" i="84"/>
  <c r="H104" i="84"/>
  <c r="H128" i="84"/>
  <c r="G107" i="84"/>
  <c r="F97" i="84"/>
  <c r="L10" i="98"/>
  <c r="M109" i="20"/>
  <c r="G220" i="54"/>
  <c r="H220" i="54"/>
  <c r="F220" i="54"/>
  <c r="E220" i="54"/>
  <c r="H111" i="20"/>
  <c r="M11" i="98"/>
  <c r="N11" i="98" s="1"/>
  <c r="G39" i="54"/>
  <c r="D222" i="54" s="1"/>
  <c r="D225" i="54" s="1"/>
  <c r="G174" i="54"/>
  <c r="G187" i="54" s="1"/>
  <c r="M73" i="20"/>
  <c r="L109" i="20" s="1"/>
  <c r="L73" i="20"/>
  <c r="K109" i="20" s="1"/>
  <c r="F30" i="127"/>
  <c r="H30" i="127" s="1"/>
  <c r="F15" i="127"/>
  <c r="H15" i="127" s="1"/>
  <c r="F67" i="127"/>
  <c r="H67" i="127" s="1"/>
  <c r="F60" i="127"/>
  <c r="H60" i="127" s="1"/>
  <c r="F64" i="127"/>
  <c r="H64" i="127" s="1"/>
  <c r="F46" i="127"/>
  <c r="H46" i="127" s="1"/>
  <c r="F40" i="127"/>
  <c r="H40" i="127" s="1"/>
  <c r="F39" i="127"/>
  <c r="H39" i="127" s="1"/>
  <c r="F20" i="127"/>
  <c r="H20" i="127" s="1"/>
  <c r="F55" i="127"/>
  <c r="H55" i="127" s="1"/>
  <c r="F49" i="127"/>
  <c r="H49" i="127" s="1"/>
  <c r="F43" i="127"/>
  <c r="H43" i="127" s="1"/>
  <c r="F50" i="127"/>
  <c r="H50" i="127" s="1"/>
  <c r="F56" i="127"/>
  <c r="H56" i="127" s="1"/>
  <c r="F35" i="127"/>
  <c r="H35" i="127" s="1"/>
  <c r="F63" i="127"/>
  <c r="H63" i="127" s="1"/>
  <c r="F45" i="127"/>
  <c r="F41" i="127"/>
  <c r="H41" i="127" s="1"/>
  <c r="F23" i="127"/>
  <c r="H23" i="127" s="1"/>
  <c r="F44" i="127"/>
  <c r="F14" i="127"/>
  <c r="H14" i="127" s="1"/>
  <c r="F29" i="127"/>
  <c r="H29" i="127" s="1"/>
  <c r="F34" i="127"/>
  <c r="H34" i="127" s="1"/>
  <c r="F61" i="127"/>
  <c r="H61" i="127" s="1"/>
  <c r="F52" i="127"/>
  <c r="H52" i="127" s="1"/>
  <c r="F13" i="127"/>
  <c r="F38" i="127"/>
  <c r="H38" i="127" s="1"/>
  <c r="F12" i="127"/>
  <c r="H12" i="127" s="1"/>
  <c r="F65" i="127"/>
  <c r="H65" i="127" s="1"/>
  <c r="F19" i="127"/>
  <c r="H19" i="127" s="1"/>
  <c r="F42" i="127"/>
  <c r="H42" i="127" s="1"/>
  <c r="F36" i="127"/>
  <c r="H36" i="127" s="1"/>
  <c r="F37" i="127"/>
  <c r="H37" i="127" s="1"/>
  <c r="D26" i="127"/>
  <c r="G17" i="127"/>
  <c r="D17" i="127"/>
  <c r="C26" i="127"/>
  <c r="C16" i="127"/>
  <c r="F16" i="127"/>
  <c r="G192" i="54"/>
  <c r="G15" i="92"/>
  <c r="D10" i="127"/>
  <c r="G16" i="127"/>
  <c r="D16" i="127"/>
  <c r="C53" i="127"/>
  <c r="D53" i="127"/>
  <c r="G53" i="127"/>
  <c r="J193" i="54"/>
  <c r="J187" i="54"/>
  <c r="F18" i="127"/>
  <c r="C18" i="127"/>
  <c r="G30" i="127"/>
  <c r="I30" i="127" s="1"/>
  <c r="G62" i="127"/>
  <c r="I62" i="127" s="1"/>
  <c r="G59" i="127"/>
  <c r="I59" i="127" s="1"/>
  <c r="G54" i="127"/>
  <c r="I54" i="127" s="1"/>
  <c r="G31" i="127"/>
  <c r="I31" i="127" s="1"/>
  <c r="G58" i="127"/>
  <c r="I58" i="127" s="1"/>
  <c r="G57" i="127"/>
  <c r="I57" i="127" s="1"/>
  <c r="G51" i="127"/>
  <c r="I51" i="127" s="1"/>
  <c r="G33" i="127"/>
  <c r="I33" i="127" s="1"/>
  <c r="G32" i="127"/>
  <c r="I32" i="127" s="1"/>
  <c r="G28" i="127"/>
  <c r="D28" i="127"/>
  <c r="D18" i="127"/>
  <c r="G18" i="127"/>
  <c r="C28" i="127"/>
  <c r="F28" i="127"/>
  <c r="C17" i="127"/>
  <c r="F17" i="127"/>
  <c r="G23" i="54"/>
  <c r="G170" i="54" s="1"/>
  <c r="G167" i="54"/>
  <c r="O195" i="21"/>
  <c r="O193" i="21" s="1"/>
  <c r="O54" i="21"/>
  <c r="O58" i="21" s="1"/>
  <c r="O47" i="21"/>
  <c r="O51" i="21" s="1"/>
  <c r="G196" i="21"/>
  <c r="G55" i="21"/>
  <c r="G59" i="21" s="1"/>
  <c r="G48" i="21"/>
  <c r="G52" i="21" s="1"/>
  <c r="P196" i="21"/>
  <c r="P48" i="21"/>
  <c r="P52" i="21" s="1"/>
  <c r="P55" i="21"/>
  <c r="P59" i="21" s="1"/>
  <c r="D51" i="109"/>
  <c r="F51" i="109" s="1"/>
  <c r="B3" i="111"/>
  <c r="G157" i="84"/>
  <c r="G154" i="84"/>
  <c r="G104" i="84"/>
  <c r="G124" i="84"/>
  <c r="G110" i="84"/>
  <c r="G113" i="84"/>
  <c r="G134" i="84"/>
  <c r="G144" i="84"/>
  <c r="G143" i="84"/>
  <c r="G150" i="84"/>
  <c r="G108" i="84"/>
  <c r="G156" i="84"/>
  <c r="G159" i="84"/>
  <c r="G133" i="84"/>
  <c r="G145" i="84"/>
  <c r="G158" i="84"/>
  <c r="G146" i="84"/>
  <c r="G125" i="84"/>
  <c r="G153" i="84"/>
  <c r="G129" i="84"/>
  <c r="G116" i="84"/>
  <c r="G109" i="84"/>
  <c r="G127" i="84"/>
  <c r="G119" i="84"/>
  <c r="G136" i="84"/>
  <c r="G161" i="84"/>
  <c r="G152" i="84"/>
  <c r="G147" i="84"/>
  <c r="G140" i="84"/>
  <c r="G126" i="84"/>
  <c r="G130" i="84"/>
  <c r="G103" i="84"/>
  <c r="G149" i="84"/>
  <c r="G123" i="84"/>
  <c r="G151" i="84"/>
  <c r="G139" i="84"/>
  <c r="G120" i="84"/>
  <c r="G112" i="84"/>
  <c r="G111" i="84"/>
  <c r="G105" i="84"/>
  <c r="G131" i="84"/>
  <c r="G128" i="84"/>
  <c r="G135" i="84"/>
  <c r="G142" i="84"/>
  <c r="G155" i="84"/>
  <c r="G148" i="84"/>
  <c r="G132" i="84"/>
  <c r="G122" i="84"/>
  <c r="K10" i="98"/>
  <c r="G15" i="61"/>
  <c r="T2" i="145"/>
  <c r="U2" i="145"/>
  <c r="S2" i="145"/>
  <c r="R2" i="145"/>
  <c r="G55" i="127"/>
  <c r="I55" i="127" s="1"/>
  <c r="G21" i="61"/>
  <c r="D40" i="93"/>
  <c r="I107" i="84"/>
  <c r="I108" i="84"/>
  <c r="I120" i="84"/>
  <c r="I122" i="84"/>
  <c r="I124" i="84"/>
  <c r="I125" i="84"/>
  <c r="I126" i="84"/>
  <c r="I132" i="84"/>
  <c r="I139" i="84"/>
  <c r="I140" i="84"/>
  <c r="I144" i="84"/>
  <c r="I146" i="84"/>
  <c r="I147" i="84"/>
  <c r="I148" i="84"/>
  <c r="I150" i="84"/>
  <c r="I151" i="84"/>
  <c r="I152" i="84"/>
  <c r="I155" i="84"/>
  <c r="I157" i="84"/>
  <c r="I158" i="84"/>
  <c r="I161" i="84"/>
  <c r="I142" i="84"/>
  <c r="I136" i="84"/>
  <c r="I135" i="84"/>
  <c r="I134" i="84"/>
  <c r="I145" i="84"/>
  <c r="I123" i="84"/>
  <c r="I133" i="84"/>
  <c r="I149" i="84"/>
  <c r="I131" i="84"/>
  <c r="I119" i="84"/>
  <c r="I128" i="84"/>
  <c r="I127" i="84"/>
  <c r="I154" i="84"/>
  <c r="I143" i="84"/>
  <c r="I111" i="84"/>
  <c r="I109" i="84"/>
  <c r="I105" i="84"/>
  <c r="I110" i="84"/>
  <c r="I103" i="84"/>
  <c r="I113" i="84"/>
  <c r="I159" i="84"/>
  <c r="I116" i="84"/>
  <c r="I130" i="84"/>
  <c r="I129" i="84"/>
  <c r="I112" i="84"/>
  <c r="I104" i="84"/>
  <c r="I156" i="84"/>
  <c r="I153" i="84"/>
  <c r="J125" i="84"/>
  <c r="J132" i="84"/>
  <c r="J139" i="84"/>
  <c r="J140" i="84"/>
  <c r="J142" i="84"/>
  <c r="J144" i="84"/>
  <c r="J146" i="84"/>
  <c r="J147" i="84"/>
  <c r="J150" i="84"/>
  <c r="J152" i="84"/>
  <c r="J155" i="84"/>
  <c r="J157" i="84"/>
  <c r="J107" i="84"/>
  <c r="J108" i="84"/>
  <c r="J120" i="84"/>
  <c r="J122" i="84"/>
  <c r="J124" i="84"/>
  <c r="J126" i="84"/>
  <c r="J148" i="84"/>
  <c r="J151" i="84"/>
  <c r="J158" i="84"/>
  <c r="J161" i="84"/>
  <c r="J134" i="84"/>
  <c r="J145" i="84"/>
  <c r="J123" i="84"/>
  <c r="J136" i="84"/>
  <c r="J135" i="84"/>
  <c r="J131" i="84"/>
  <c r="J154" i="84"/>
  <c r="J127" i="84"/>
  <c r="J133" i="84"/>
  <c r="J128" i="84"/>
  <c r="J143" i="84"/>
  <c r="J149" i="84"/>
  <c r="J110" i="84"/>
  <c r="J103" i="84"/>
  <c r="J111" i="84"/>
  <c r="J109" i="84"/>
  <c r="J105" i="84"/>
  <c r="J113" i="84"/>
  <c r="J159" i="84"/>
  <c r="J116" i="84"/>
  <c r="J130" i="84"/>
  <c r="J129" i="84"/>
  <c r="J112" i="84"/>
  <c r="J104" i="84"/>
  <c r="J156" i="84"/>
  <c r="J153" i="84"/>
  <c r="M125" i="21"/>
  <c r="M128" i="21" s="1"/>
  <c r="M129" i="21" s="1"/>
  <c r="M133" i="21" s="1"/>
  <c r="I18" i="83"/>
  <c r="I31" i="83"/>
  <c r="I26" i="83"/>
  <c r="I35" i="83"/>
  <c r="I50" i="83"/>
  <c r="I46" i="83"/>
  <c r="I42" i="83"/>
  <c r="I58" i="83"/>
  <c r="I13" i="83"/>
  <c r="I52" i="83"/>
  <c r="I60" i="83"/>
  <c r="I55" i="83"/>
  <c r="I20" i="83"/>
  <c r="I22" i="83"/>
  <c r="I25" i="83"/>
  <c r="I53" i="83"/>
  <c r="I62" i="83"/>
  <c r="I14" i="83"/>
  <c r="I11" i="83"/>
  <c r="I19" i="83"/>
  <c r="I12" i="83"/>
  <c r="I27" i="83"/>
  <c r="I41" i="83"/>
  <c r="I37" i="83"/>
  <c r="I32" i="83"/>
  <c r="I51" i="83"/>
  <c r="I47" i="83"/>
  <c r="I43" i="83"/>
  <c r="I59" i="83"/>
  <c r="I28" i="83"/>
  <c r="I48" i="83"/>
  <c r="I15" i="83"/>
  <c r="I34" i="83"/>
  <c r="I45" i="83"/>
  <c r="I17" i="83"/>
  <c r="I33" i="83"/>
  <c r="I44" i="83"/>
  <c r="I56" i="83"/>
  <c r="I16" i="83"/>
  <c r="I29" i="83"/>
  <c r="I39" i="83"/>
  <c r="I49" i="83"/>
  <c r="I57" i="83"/>
  <c r="I36" i="83"/>
  <c r="I30" i="83"/>
  <c r="G10" i="83"/>
  <c r="F6" i="83"/>
  <c r="H29" i="83"/>
  <c r="H15" i="83"/>
  <c r="H18" i="83"/>
  <c r="H19" i="83"/>
  <c r="H37" i="83"/>
  <c r="H32" i="83"/>
  <c r="H51" i="83"/>
  <c r="H47" i="83"/>
  <c r="H43" i="83"/>
  <c r="H59" i="83"/>
  <c r="H55" i="83"/>
  <c r="H20" i="83"/>
  <c r="H14" i="83"/>
  <c r="H39" i="83"/>
  <c r="H53" i="83"/>
  <c r="H62" i="83"/>
  <c r="H12" i="83"/>
  <c r="H46" i="83"/>
  <c r="H22" i="83"/>
  <c r="H41" i="83"/>
  <c r="H33" i="83"/>
  <c r="H52" i="83"/>
  <c r="H48" i="83"/>
  <c r="H44" i="83"/>
  <c r="H60" i="83"/>
  <c r="H56" i="83"/>
  <c r="H31" i="83"/>
  <c r="H35" i="83"/>
  <c r="H42" i="83"/>
  <c r="H11" i="83"/>
  <c r="H25" i="83"/>
  <c r="H13" i="83"/>
  <c r="H27" i="83"/>
  <c r="H28" i="83"/>
  <c r="H34" i="83"/>
  <c r="H49" i="83"/>
  <c r="H45" i="83"/>
  <c r="H57" i="83"/>
  <c r="H16" i="83"/>
  <c r="H26" i="83"/>
  <c r="H50" i="83"/>
  <c r="H58" i="83"/>
  <c r="H17" i="83"/>
  <c r="H36" i="83"/>
  <c r="H30" i="83"/>
  <c r="J18" i="83"/>
  <c r="J31" i="83"/>
  <c r="J26" i="83"/>
  <c r="J35" i="83"/>
  <c r="J50" i="83"/>
  <c r="J46" i="83"/>
  <c r="J42" i="83"/>
  <c r="J58" i="83"/>
  <c r="J20" i="83"/>
  <c r="J14" i="83"/>
  <c r="J15" i="83"/>
  <c r="J39" i="83"/>
  <c r="J53" i="83"/>
  <c r="J62" i="83"/>
  <c r="J11" i="83"/>
  <c r="J19" i="83"/>
  <c r="J12" i="83"/>
  <c r="J27" i="83"/>
  <c r="J41" i="83"/>
  <c r="J37" i="83"/>
  <c r="J32" i="83"/>
  <c r="J51" i="83"/>
  <c r="J47" i="83"/>
  <c r="J43" i="83"/>
  <c r="J59" i="83"/>
  <c r="J55" i="83"/>
  <c r="J16" i="83"/>
  <c r="J25" i="83"/>
  <c r="J45" i="83"/>
  <c r="J17" i="83"/>
  <c r="J13" i="83"/>
  <c r="J28" i="83"/>
  <c r="J33" i="83"/>
  <c r="J52" i="83"/>
  <c r="J48" i="83"/>
  <c r="J44" i="83"/>
  <c r="J60" i="83"/>
  <c r="J56" i="83"/>
  <c r="J22" i="83"/>
  <c r="J29" i="83"/>
  <c r="J34" i="83"/>
  <c r="J49" i="83"/>
  <c r="J57" i="83"/>
  <c r="J36" i="83"/>
  <c r="J30" i="83"/>
  <c r="F62" i="21"/>
  <c r="E61" i="21"/>
  <c r="O62" i="21"/>
  <c r="E66" i="21"/>
  <c r="E212" i="21" s="1"/>
  <c r="G31" i="21"/>
  <c r="E44" i="21"/>
  <c r="O45" i="21"/>
  <c r="O37" i="21"/>
  <c r="O41" i="21"/>
  <c r="G38" i="21"/>
  <c r="G42" i="21"/>
  <c r="G33" i="21"/>
  <c r="L129" i="21"/>
  <c r="L132" i="21"/>
  <c r="P42" i="21"/>
  <c r="P38" i="21"/>
  <c r="F45" i="21"/>
  <c r="L98" i="54"/>
  <c r="K97" i="54"/>
  <c r="K96" i="54" s="1"/>
  <c r="K95" i="54" s="1"/>
  <c r="P123" i="84" l="1"/>
  <c r="O123" i="84"/>
  <c r="D14" i="20"/>
  <c r="F63" i="21"/>
  <c r="F69" i="20"/>
  <c r="J74" i="20" s="1"/>
  <c r="H65" i="20" s="1"/>
  <c r="O66" i="21"/>
  <c r="O212" i="21" s="1"/>
  <c r="G63" i="21"/>
  <c r="F70" i="20"/>
  <c r="J75" i="20" s="1"/>
  <c r="H66" i="20" s="1"/>
  <c r="I66" i="20" s="1"/>
  <c r="F72" i="20"/>
  <c r="J77" i="20" s="1"/>
  <c r="H68" i="20" s="1"/>
  <c r="I68" i="20" s="1"/>
  <c r="F71" i="20"/>
  <c r="J76" i="20" s="1"/>
  <c r="H67" i="20" s="1"/>
  <c r="I67" i="20" s="1"/>
  <c r="C45" i="151"/>
  <c r="F46" i="21"/>
  <c r="R29" i="135"/>
  <c r="N29" i="135" s="1"/>
  <c r="M30" i="135"/>
  <c r="I30" i="135" s="1"/>
  <c r="M29" i="135"/>
  <c r="I29" i="135" s="1"/>
  <c r="M11" i="135"/>
  <c r="R30" i="135"/>
  <c r="N30" i="135" s="1"/>
  <c r="R27" i="135"/>
  <c r="N27" i="135" s="1"/>
  <c r="R28" i="135"/>
  <c r="N28" i="135" s="1"/>
  <c r="R11" i="135"/>
  <c r="M15" i="135"/>
  <c r="M27" i="135"/>
  <c r="I27" i="135" s="1"/>
  <c r="M34" i="135"/>
  <c r="R15" i="135"/>
  <c r="M28" i="135"/>
  <c r="R34" i="135"/>
  <c r="B46" i="115"/>
  <c r="C45" i="150"/>
  <c r="M8" i="132"/>
  <c r="G46" i="150"/>
  <c r="G47" i="130"/>
  <c r="G46" i="151"/>
  <c r="G47" i="131"/>
  <c r="C87" i="150"/>
  <c r="G13" i="134"/>
  <c r="G87" i="150" s="1"/>
  <c r="C92" i="150"/>
  <c r="G92" i="150"/>
  <c r="G45" i="151"/>
  <c r="O55" i="83"/>
  <c r="H8" i="132"/>
  <c r="G46" i="21"/>
  <c r="K21" i="92"/>
  <c r="I21" i="92"/>
  <c r="C18" i="133"/>
  <c r="J21" i="92"/>
  <c r="G49" i="54"/>
  <c r="H49" i="54" s="1"/>
  <c r="I49" i="54" s="1"/>
  <c r="J49" i="54" s="1"/>
  <c r="K49" i="54" s="1"/>
  <c r="L49" i="54" s="1"/>
  <c r="M49" i="54" s="1"/>
  <c r="N49" i="54" s="1"/>
  <c r="O49" i="54" s="1"/>
  <c r="P49" i="54" s="1"/>
  <c r="Q49" i="54" s="1"/>
  <c r="R49" i="54" s="1"/>
  <c r="S49" i="54" s="1"/>
  <c r="F89" i="150"/>
  <c r="F47" i="21"/>
  <c r="F51" i="21" s="1"/>
  <c r="F30" i="21"/>
  <c r="F54" i="21"/>
  <c r="F58" i="21" s="1"/>
  <c r="F195" i="21"/>
  <c r="F193" i="21" s="1"/>
  <c r="F41" i="21"/>
  <c r="F44" i="21" s="1"/>
  <c r="O52" i="83"/>
  <c r="N62" i="21"/>
  <c r="P141" i="21"/>
  <c r="N45" i="21"/>
  <c r="P32" i="21"/>
  <c r="P39" i="21"/>
  <c r="P197" i="21"/>
  <c r="P49" i="21"/>
  <c r="P53" i="21" s="1"/>
  <c r="P33" i="21"/>
  <c r="P30" i="21" s="1"/>
  <c r="P43" i="21"/>
  <c r="P56" i="21"/>
  <c r="P60" i="21" s="1"/>
  <c r="L134" i="21"/>
  <c r="L34" i="21" s="1"/>
  <c r="L31" i="21" s="1"/>
  <c r="M135" i="21"/>
  <c r="M35" i="21" s="1"/>
  <c r="N30" i="21"/>
  <c r="N195" i="21"/>
  <c r="N193" i="21" s="1"/>
  <c r="N47" i="21"/>
  <c r="N51" i="21" s="1"/>
  <c r="N41" i="21"/>
  <c r="N54" i="21"/>
  <c r="N58" i="21" s="1"/>
  <c r="N37" i="21"/>
  <c r="C46" i="130"/>
  <c r="I65" i="20"/>
  <c r="E89" i="140"/>
  <c r="G89" i="140"/>
  <c r="G64" i="20"/>
  <c r="G69" i="20" s="1"/>
  <c r="G46" i="131"/>
  <c r="G175" i="54"/>
  <c r="G188" i="54" s="1"/>
  <c r="F69" i="140"/>
  <c r="F70" i="140"/>
  <c r="E69" i="140"/>
  <c r="D73" i="20"/>
  <c r="D76" i="20" s="1"/>
  <c r="F25" i="127"/>
  <c r="F122" i="150"/>
  <c r="K15" i="61"/>
  <c r="I15" i="61"/>
  <c r="J15" i="61"/>
  <c r="H15" i="61"/>
  <c r="I21" i="61"/>
  <c r="J21" i="61"/>
  <c r="H21" i="61"/>
  <c r="K21" i="61"/>
  <c r="H58" i="55"/>
  <c r="H53" i="58"/>
  <c r="I15" i="92"/>
  <c r="K15" i="92"/>
  <c r="H15" i="92"/>
  <c r="J15" i="92"/>
  <c r="D39" i="93"/>
  <c r="D55" i="58"/>
  <c r="E141" i="150"/>
  <c r="D123" i="150"/>
  <c r="F141" i="150"/>
  <c r="C143" i="150"/>
  <c r="D20" i="140"/>
  <c r="D120" i="150"/>
  <c r="P12" i="135"/>
  <c r="P16" i="135"/>
  <c r="J11" i="135"/>
  <c r="G22" i="127"/>
  <c r="G10" i="127"/>
  <c r="I10" i="127" s="1"/>
  <c r="F22" i="127"/>
  <c r="G26" i="127"/>
  <c r="I26" i="127" s="1"/>
  <c r="D121" i="150"/>
  <c r="G11" i="127"/>
  <c r="I11" i="127" s="1"/>
  <c r="F26" i="127"/>
  <c r="H26" i="127" s="1"/>
  <c r="F11" i="127"/>
  <c r="H11" i="127" s="1"/>
  <c r="H5" i="145"/>
  <c r="D224" i="54"/>
  <c r="D223" i="54"/>
  <c r="D74" i="20" s="1"/>
  <c r="D226" i="54"/>
  <c r="K11" i="135"/>
  <c r="J12" i="135"/>
  <c r="J34" i="135"/>
  <c r="C109" i="20"/>
  <c r="C139" i="20"/>
  <c r="O15" i="135"/>
  <c r="J15" i="135"/>
  <c r="C13" i="133"/>
  <c r="H216" i="54"/>
  <c r="H218" i="54" s="1"/>
  <c r="E24" i="98"/>
  <c r="E23" i="98" s="1"/>
  <c r="F87" i="150"/>
  <c r="H109" i="20"/>
  <c r="H18" i="127"/>
  <c r="I53" i="127"/>
  <c r="H212" i="54"/>
  <c r="H215" i="54" s="1"/>
  <c r="G216" i="54"/>
  <c r="G218" i="54" s="1"/>
  <c r="F212" i="54"/>
  <c r="F215" i="54" s="1"/>
  <c r="F216" i="54"/>
  <c r="F218" i="54" s="1"/>
  <c r="E212" i="54"/>
  <c r="E215" i="54" s="1"/>
  <c r="E216" i="54"/>
  <c r="E218" i="54" s="1"/>
  <c r="G212" i="54"/>
  <c r="G215" i="54" s="1"/>
  <c r="D72" i="20"/>
  <c r="H17" i="127"/>
  <c r="H16" i="127"/>
  <c r="G193" i="54"/>
  <c r="I16" i="127"/>
  <c r="I18" i="127"/>
  <c r="L111" i="20"/>
  <c r="L110" i="20"/>
  <c r="J110" i="20" s="1"/>
  <c r="L113" i="20"/>
  <c r="L112" i="20"/>
  <c r="D70" i="20"/>
  <c r="D71" i="20"/>
  <c r="D69" i="20"/>
  <c r="G29" i="127"/>
  <c r="I29" i="127" s="1"/>
  <c r="G44" i="127"/>
  <c r="G20" i="127"/>
  <c r="I20" i="127" s="1"/>
  <c r="G60" i="127"/>
  <c r="I60" i="127" s="1"/>
  <c r="G38" i="127"/>
  <c r="I38" i="127" s="1"/>
  <c r="G67" i="127"/>
  <c r="I67" i="127" s="1"/>
  <c r="F10" i="127"/>
  <c r="H10" i="127" s="1"/>
  <c r="F54" i="127"/>
  <c r="H54" i="127" s="1"/>
  <c r="F31" i="127"/>
  <c r="H31" i="127" s="1"/>
  <c r="I17" i="127"/>
  <c r="G46" i="127"/>
  <c r="I46" i="127" s="1"/>
  <c r="G50" i="127"/>
  <c r="I50" i="127" s="1"/>
  <c r="G61" i="127"/>
  <c r="I61" i="127" s="1"/>
  <c r="G41" i="127"/>
  <c r="I41" i="127" s="1"/>
  <c r="G23" i="127"/>
  <c r="I23" i="127" s="1"/>
  <c r="G14" i="127"/>
  <c r="I14" i="127" s="1"/>
  <c r="G19" i="127"/>
  <c r="I19" i="127" s="1"/>
  <c r="G40" i="127"/>
  <c r="I40" i="127" s="1"/>
  <c r="F33" i="127"/>
  <c r="H33" i="127" s="1"/>
  <c r="F58" i="127"/>
  <c r="H58" i="127" s="1"/>
  <c r="F32" i="127"/>
  <c r="H32" i="127" s="1"/>
  <c r="G49" i="127"/>
  <c r="I49" i="127" s="1"/>
  <c r="G63" i="127"/>
  <c r="I63" i="127" s="1"/>
  <c r="G43" i="127"/>
  <c r="I43" i="127" s="1"/>
  <c r="G35" i="127"/>
  <c r="I35" i="127" s="1"/>
  <c r="G34" i="127"/>
  <c r="I34" i="127" s="1"/>
  <c r="G39" i="127"/>
  <c r="I39" i="127" s="1"/>
  <c r="G42" i="127"/>
  <c r="I42" i="127" s="1"/>
  <c r="G45" i="127"/>
  <c r="F62" i="127"/>
  <c r="H62" i="127" s="1"/>
  <c r="F59" i="127"/>
  <c r="H59" i="127" s="1"/>
  <c r="H28" i="127"/>
  <c r="I28" i="127"/>
  <c r="G65" i="127"/>
  <c r="I65" i="127" s="1"/>
  <c r="G12" i="127"/>
  <c r="I12" i="127" s="1"/>
  <c r="G64" i="127"/>
  <c r="I64" i="127" s="1"/>
  <c r="G13" i="127"/>
  <c r="I13" i="127" s="1"/>
  <c r="G37" i="127"/>
  <c r="I37" i="127" s="1"/>
  <c r="G36" i="127"/>
  <c r="I36" i="127" s="1"/>
  <c r="G15" i="127"/>
  <c r="I15" i="127" s="1"/>
  <c r="G52" i="127"/>
  <c r="I52" i="127" s="1"/>
  <c r="G56" i="127"/>
  <c r="I56" i="127" s="1"/>
  <c r="F53" i="127"/>
  <c r="H53" i="127" s="1"/>
  <c r="F57" i="127"/>
  <c r="H57" i="127" s="1"/>
  <c r="F51" i="127"/>
  <c r="H51" i="127" s="1"/>
  <c r="E5" i="145"/>
  <c r="F5" i="145"/>
  <c r="G195" i="21"/>
  <c r="G193" i="21" s="1"/>
  <c r="G54" i="21"/>
  <c r="G58" i="21" s="1"/>
  <c r="G47" i="21"/>
  <c r="G51" i="21" s="1"/>
  <c r="J51" i="109"/>
  <c r="K34" i="109" s="1"/>
  <c r="H51" i="109"/>
  <c r="I31" i="109" s="1"/>
  <c r="C16" i="20"/>
  <c r="C147" i="20" s="1"/>
  <c r="O48" i="83"/>
  <c r="O14" i="83"/>
  <c r="O26" i="83"/>
  <c r="O49" i="83"/>
  <c r="O43" i="83"/>
  <c r="O37" i="83"/>
  <c r="O50" i="83"/>
  <c r="O31" i="83"/>
  <c r="O44" i="83"/>
  <c r="O53" i="83"/>
  <c r="O46" i="83"/>
  <c r="O42" i="83"/>
  <c r="O56" i="83"/>
  <c r="O41" i="83"/>
  <c r="O12" i="83"/>
  <c r="O29" i="83"/>
  <c r="O45" i="83"/>
  <c r="O51" i="83"/>
  <c r="O27" i="83"/>
  <c r="O36" i="83"/>
  <c r="O11" i="83"/>
  <c r="O54" i="83"/>
  <c r="O39" i="83"/>
  <c r="O59" i="83"/>
  <c r="O15" i="83"/>
  <c r="O30" i="83"/>
  <c r="O58" i="83"/>
  <c r="O57" i="83"/>
  <c r="O28" i="83"/>
  <c r="O25" i="83"/>
  <c r="O17" i="83"/>
  <c r="O16" i="83"/>
  <c r="O34" i="83"/>
  <c r="O13" i="83"/>
  <c r="O35" i="83"/>
  <c r="O60" i="83"/>
  <c r="O33" i="83"/>
  <c r="O22" i="83"/>
  <c r="O62" i="83"/>
  <c r="O20" i="83"/>
  <c r="O47" i="83"/>
  <c r="O19" i="83"/>
  <c r="O32" i="83"/>
  <c r="O18" i="83"/>
  <c r="M132" i="21"/>
  <c r="D128" i="21"/>
  <c r="D132" i="21" s="1"/>
  <c r="K141" i="84" s="1"/>
  <c r="F65" i="21"/>
  <c r="F211" i="21" s="1"/>
  <c r="J10" i="83"/>
  <c r="H10" i="83"/>
  <c r="I10" i="83"/>
  <c r="E64" i="21"/>
  <c r="E210" i="21" s="1"/>
  <c r="E208" i="21" s="1"/>
  <c r="C27" i="20"/>
  <c r="C159" i="20" s="1"/>
  <c r="O61" i="21"/>
  <c r="P62" i="21"/>
  <c r="G62" i="21"/>
  <c r="O65" i="21"/>
  <c r="O211" i="21" s="1"/>
  <c r="G30" i="21"/>
  <c r="G45" i="21"/>
  <c r="O44" i="21"/>
  <c r="L133" i="21"/>
  <c r="D129" i="21"/>
  <c r="D133" i="21" s="1"/>
  <c r="L141" i="84" s="1"/>
  <c r="G37" i="21"/>
  <c r="G41" i="21"/>
  <c r="P45" i="21"/>
  <c r="M98" i="54"/>
  <c r="L97" i="54"/>
  <c r="L96" i="54" s="1"/>
  <c r="L95" i="54" s="1"/>
  <c r="F141" i="84" l="1"/>
  <c r="G13" i="133"/>
  <c r="G18" i="133"/>
  <c r="D89" i="20"/>
  <c r="F66" i="21"/>
  <c r="F212" i="21" s="1"/>
  <c r="G66" i="21"/>
  <c r="G212" i="21" s="1"/>
  <c r="H64" i="20"/>
  <c r="H71" i="20" s="1"/>
  <c r="F61" i="21"/>
  <c r="F64" i="21" s="1"/>
  <c r="F210" i="21" s="1"/>
  <c r="F208" i="21" s="1"/>
  <c r="R13" i="132"/>
  <c r="R19" i="132"/>
  <c r="R31" i="132"/>
  <c r="N31" i="132" s="1"/>
  <c r="M33" i="132"/>
  <c r="M31" i="132"/>
  <c r="I31" i="132" s="1"/>
  <c r="R14" i="132"/>
  <c r="R32" i="132"/>
  <c r="M14" i="132"/>
  <c r="M32" i="132"/>
  <c r="R33" i="132"/>
  <c r="M19" i="132"/>
  <c r="M13" i="132"/>
  <c r="H27" i="135"/>
  <c r="H30" i="135"/>
  <c r="Q15" i="92"/>
  <c r="R15" i="92"/>
  <c r="H29" i="135"/>
  <c r="Q21" i="92"/>
  <c r="R21" i="92"/>
  <c r="Q21" i="61"/>
  <c r="R21" i="61"/>
  <c r="Q15" i="61"/>
  <c r="R15" i="61"/>
  <c r="G45" i="150"/>
  <c r="G46" i="130"/>
  <c r="P54" i="21"/>
  <c r="P58" i="21" s="1"/>
  <c r="P47" i="21"/>
  <c r="P51" i="21" s="1"/>
  <c r="P195" i="21"/>
  <c r="P193" i="21" s="1"/>
  <c r="P37" i="21"/>
  <c r="P41" i="21"/>
  <c r="D135" i="21"/>
  <c r="N65" i="21"/>
  <c r="N211" i="21" s="1"/>
  <c r="D134" i="21"/>
  <c r="C13" i="20"/>
  <c r="E13" i="20" s="1"/>
  <c r="D77" i="20"/>
  <c r="C14" i="20" s="1"/>
  <c r="E14" i="20" s="1"/>
  <c r="G14" i="20" s="1"/>
  <c r="I14" i="20" s="1"/>
  <c r="J14" i="20" s="1"/>
  <c r="E26" i="98"/>
  <c r="J24" i="98"/>
  <c r="N44" i="21"/>
  <c r="P63" i="21"/>
  <c r="M32" i="21"/>
  <c r="M49" i="21"/>
  <c r="M53" i="21" s="1"/>
  <c r="M56" i="21"/>
  <c r="M60" i="21" s="1"/>
  <c r="M39" i="21"/>
  <c r="M197" i="21"/>
  <c r="M43" i="21"/>
  <c r="L135" i="21"/>
  <c r="L35" i="21" s="1"/>
  <c r="M134" i="21"/>
  <c r="M141" i="21" s="1"/>
  <c r="N61" i="21"/>
  <c r="P46" i="21"/>
  <c r="G70" i="20"/>
  <c r="G71" i="20"/>
  <c r="G72" i="20"/>
  <c r="AI73" i="20"/>
  <c r="I73" i="20" s="1"/>
  <c r="F73" i="20"/>
  <c r="F77" i="20" s="1"/>
  <c r="D75" i="20"/>
  <c r="C12" i="20" s="1"/>
  <c r="L15" i="135"/>
  <c r="L34" i="135"/>
  <c r="Q15" i="135"/>
  <c r="E73" i="20"/>
  <c r="E75" i="20" s="1"/>
  <c r="J14" i="135"/>
  <c r="O16" i="135"/>
  <c r="J16" i="135"/>
  <c r="D89" i="150"/>
  <c r="D92" i="150"/>
  <c r="D87" i="150"/>
  <c r="H54" i="58"/>
  <c r="D54" i="58" s="1"/>
  <c r="D53" i="58"/>
  <c r="O13" i="135"/>
  <c r="K34" i="135"/>
  <c r="J13" i="135"/>
  <c r="P34" i="135"/>
  <c r="O14" i="135"/>
  <c r="Q34" i="135"/>
  <c r="G118" i="150"/>
  <c r="K15" i="135"/>
  <c r="E122" i="150"/>
  <c r="P14" i="135"/>
  <c r="E121" i="150"/>
  <c r="G141" i="150"/>
  <c r="P11" i="135"/>
  <c r="E118" i="150"/>
  <c r="G122" i="150"/>
  <c r="O12" i="135"/>
  <c r="D119" i="150"/>
  <c r="O34" i="135"/>
  <c r="D141" i="150"/>
  <c r="L11" i="135"/>
  <c r="I11" i="135" s="1"/>
  <c r="F118" i="150"/>
  <c r="O11" i="135"/>
  <c r="D118" i="150"/>
  <c r="K12" i="135"/>
  <c r="E119" i="150"/>
  <c r="K16" i="135"/>
  <c r="E123" i="150"/>
  <c r="P13" i="135"/>
  <c r="E120" i="150"/>
  <c r="P15" i="135"/>
  <c r="K14" i="135"/>
  <c r="C29" i="146"/>
  <c r="C32" i="146"/>
  <c r="F32" i="146" s="1"/>
  <c r="M32" i="146" s="1"/>
  <c r="C31" i="146"/>
  <c r="F31" i="146" s="1"/>
  <c r="M31" i="146" s="1"/>
  <c r="G25" i="127"/>
  <c r="D74" i="140"/>
  <c r="E29" i="145"/>
  <c r="E33" i="145"/>
  <c r="E37" i="145"/>
  <c r="E53" i="145"/>
  <c r="E28" i="145"/>
  <c r="E32" i="145"/>
  <c r="E40" i="145"/>
  <c r="E52" i="145"/>
  <c r="E31" i="145"/>
  <c r="E39" i="145"/>
  <c r="E51" i="145"/>
  <c r="E55" i="145"/>
  <c r="E34" i="145"/>
  <c r="E50" i="145"/>
  <c r="E54" i="145"/>
  <c r="E35" i="145"/>
  <c r="H29" i="145"/>
  <c r="H33" i="145"/>
  <c r="H28" i="145"/>
  <c r="H32" i="145"/>
  <c r="H31" i="145"/>
  <c r="H34" i="145"/>
  <c r="K13" i="135"/>
  <c r="Q11" i="135"/>
  <c r="AH77" i="20"/>
  <c r="H77" i="20" s="1"/>
  <c r="C2" i="111"/>
  <c r="F91" i="150"/>
  <c r="K16" i="109"/>
  <c r="F214" i="54"/>
  <c r="G214" i="54"/>
  <c r="I32" i="109"/>
  <c r="D218" i="54"/>
  <c r="H219" i="54" s="1"/>
  <c r="H214" i="54"/>
  <c r="K44" i="109"/>
  <c r="E214" i="54"/>
  <c r="AH74" i="20"/>
  <c r="H74" i="20" s="1"/>
  <c r="J113" i="20"/>
  <c r="M113" i="20" s="1"/>
  <c r="N113" i="20" s="1"/>
  <c r="J112" i="20"/>
  <c r="M112" i="20" s="1"/>
  <c r="N112" i="20" s="1"/>
  <c r="AH75" i="20"/>
  <c r="H75" i="20" s="1"/>
  <c r="J111" i="20"/>
  <c r="M111" i="20" s="1"/>
  <c r="N111" i="20" s="1"/>
  <c r="AH76" i="20"/>
  <c r="H76" i="20" s="1"/>
  <c r="M110" i="20"/>
  <c r="N110" i="20" s="1"/>
  <c r="K15" i="109"/>
  <c r="I18" i="109"/>
  <c r="K10" i="109"/>
  <c r="K33" i="109"/>
  <c r="I11" i="109"/>
  <c r="K20" i="109"/>
  <c r="K31" i="109"/>
  <c r="I29" i="109"/>
  <c r="I9" i="109"/>
  <c r="I43" i="109"/>
  <c r="I33" i="109"/>
  <c r="K17" i="109"/>
  <c r="K14" i="109"/>
  <c r="K13" i="109"/>
  <c r="K30" i="109"/>
  <c r="K9" i="109"/>
  <c r="K37" i="109"/>
  <c r="I13" i="109"/>
  <c r="I19" i="109"/>
  <c r="I10" i="109"/>
  <c r="I30" i="109"/>
  <c r="I34" i="109"/>
  <c r="K18" i="109"/>
  <c r="J56" i="109"/>
  <c r="K29" i="109"/>
  <c r="K12" i="109"/>
  <c r="K50" i="109"/>
  <c r="I16" i="109"/>
  <c r="I44" i="109"/>
  <c r="K8" i="109"/>
  <c r="K19" i="109"/>
  <c r="K11" i="109"/>
  <c r="K32" i="109"/>
  <c r="K43" i="109"/>
  <c r="L196" i="21"/>
  <c r="L48" i="21"/>
  <c r="L52" i="21" s="1"/>
  <c r="L55" i="21"/>
  <c r="L59" i="21" s="1"/>
  <c r="V22" i="114"/>
  <c r="V21" i="114"/>
  <c r="X22" i="114"/>
  <c r="X29" i="114" s="1"/>
  <c r="Y22" i="114"/>
  <c r="Y29" i="114" s="1"/>
  <c r="W22" i="114"/>
  <c r="W29" i="114" s="1"/>
  <c r="D130" i="140"/>
  <c r="D129" i="140"/>
  <c r="O10" i="83"/>
  <c r="C47" i="20"/>
  <c r="D17" i="20"/>
  <c r="O64" i="21"/>
  <c r="O210" i="21" s="1"/>
  <c r="O208" i="21" s="1"/>
  <c r="G61" i="21"/>
  <c r="P65" i="21"/>
  <c r="P211" i="21" s="1"/>
  <c r="G65" i="21"/>
  <c r="G211" i="21" s="1"/>
  <c r="G44" i="21"/>
  <c r="L42" i="21"/>
  <c r="L38" i="21"/>
  <c r="M97" i="54"/>
  <c r="M96" i="54" s="1"/>
  <c r="M95" i="54" s="1"/>
  <c r="N98" i="54"/>
  <c r="R141" i="84" l="1"/>
  <c r="Q141" i="84"/>
  <c r="N11" i="135"/>
  <c r="I64" i="20"/>
  <c r="I70" i="20" s="1"/>
  <c r="I111" i="20" s="1"/>
  <c r="H72" i="20"/>
  <c r="H69" i="20"/>
  <c r="H70" i="20"/>
  <c r="P44" i="21"/>
  <c r="H31" i="132"/>
  <c r="P61" i="21"/>
  <c r="H24" i="98"/>
  <c r="D141" i="21"/>
  <c r="L141" i="21"/>
  <c r="M63" i="21"/>
  <c r="C19" i="20"/>
  <c r="C150" i="20" s="1"/>
  <c r="N64" i="21"/>
  <c r="N210" i="21" s="1"/>
  <c r="N208" i="21" s="1"/>
  <c r="P66" i="21"/>
  <c r="P212" i="21" s="1"/>
  <c r="M46" i="21"/>
  <c r="M34" i="21"/>
  <c r="M31" i="21" s="1"/>
  <c r="L32" i="21"/>
  <c r="L49" i="21"/>
  <c r="L53" i="21" s="1"/>
  <c r="L39" i="21"/>
  <c r="D35" i="21"/>
  <c r="D32" i="21" s="1"/>
  <c r="L33" i="21"/>
  <c r="L30" i="21" s="1"/>
  <c r="L56" i="21"/>
  <c r="L60" i="21" s="1"/>
  <c r="L43" i="21"/>
  <c r="L197" i="21"/>
  <c r="Q197" i="21" s="1"/>
  <c r="G74" i="140"/>
  <c r="D76" i="140"/>
  <c r="E74" i="140"/>
  <c r="E107" i="140"/>
  <c r="D52" i="109"/>
  <c r="F52" i="109" s="1"/>
  <c r="F75" i="20"/>
  <c r="F74" i="20"/>
  <c r="F74" i="140"/>
  <c r="G24" i="98"/>
  <c r="F76" i="20"/>
  <c r="D77" i="140"/>
  <c r="I15" i="135"/>
  <c r="E77" i="140"/>
  <c r="E76" i="20"/>
  <c r="AI76" i="20"/>
  <c r="I76" i="20" s="1"/>
  <c r="AI75" i="20"/>
  <c r="I75" i="20" s="1"/>
  <c r="E77" i="20"/>
  <c r="AI74" i="20"/>
  <c r="I74" i="20" s="1"/>
  <c r="E74" i="20"/>
  <c r="G77" i="140"/>
  <c r="N15" i="135"/>
  <c r="AI77" i="20"/>
  <c r="I77" i="20" s="1"/>
  <c r="F120" i="140"/>
  <c r="I24" i="98"/>
  <c r="E123" i="140"/>
  <c r="D120" i="140"/>
  <c r="D109" i="140"/>
  <c r="F77" i="140"/>
  <c r="U5" i="145"/>
  <c r="F121" i="140"/>
  <c r="D125" i="140"/>
  <c r="D105" i="140"/>
  <c r="G107" i="140"/>
  <c r="B2" i="111"/>
  <c r="F104" i="140"/>
  <c r="F123" i="140"/>
  <c r="E109" i="140"/>
  <c r="F125" i="140"/>
  <c r="C5" i="145"/>
  <c r="D119" i="140"/>
  <c r="F119" i="140"/>
  <c r="G123" i="140"/>
  <c r="E120" i="140"/>
  <c r="D104" i="140"/>
  <c r="E108" i="140"/>
  <c r="F105" i="140"/>
  <c r="G122" i="140"/>
  <c r="G130" i="140"/>
  <c r="G129" i="140"/>
  <c r="F129" i="140"/>
  <c r="E130" i="140"/>
  <c r="F130" i="140"/>
  <c r="E129" i="140"/>
  <c r="D91" i="150"/>
  <c r="N34" i="135"/>
  <c r="E121" i="142"/>
  <c r="G123" i="142"/>
  <c r="G122" i="142"/>
  <c r="G121" i="142"/>
  <c r="F123" i="142"/>
  <c r="F120" i="142"/>
  <c r="D77" i="142"/>
  <c r="D104" i="142"/>
  <c r="F76" i="140"/>
  <c r="E122" i="142"/>
  <c r="G120" i="142"/>
  <c r="F121" i="142"/>
  <c r="F104" i="142"/>
  <c r="D121" i="142"/>
  <c r="D123" i="142"/>
  <c r="D108" i="142"/>
  <c r="D119" i="142"/>
  <c r="E123" i="142"/>
  <c r="E120" i="142"/>
  <c r="G105" i="142"/>
  <c r="G104" i="142"/>
  <c r="F105" i="142"/>
  <c r="D107" i="142"/>
  <c r="D105" i="142"/>
  <c r="D71" i="142"/>
  <c r="E108" i="142"/>
  <c r="E105" i="142"/>
  <c r="E104" i="142"/>
  <c r="G108" i="142"/>
  <c r="F108" i="142"/>
  <c r="F122" i="142"/>
  <c r="D120" i="142"/>
  <c r="D122" i="142"/>
  <c r="E104" i="140"/>
  <c r="G109" i="142"/>
  <c r="E109" i="142"/>
  <c r="F109" i="142"/>
  <c r="D109" i="142"/>
  <c r="F29" i="146"/>
  <c r="C33" i="146"/>
  <c r="F33" i="146" s="1"/>
  <c r="M33" i="146" s="1"/>
  <c r="U15" i="92"/>
  <c r="Z15" i="92" s="1"/>
  <c r="F71" i="142"/>
  <c r="D74" i="142"/>
  <c r="U18" i="92"/>
  <c r="Z18" i="92" s="1"/>
  <c r="F74" i="142"/>
  <c r="V15" i="92"/>
  <c r="AA15" i="92" s="1"/>
  <c r="G71" i="142"/>
  <c r="V18" i="92"/>
  <c r="G74" i="142"/>
  <c r="Y15" i="92"/>
  <c r="E71" i="142"/>
  <c r="Y18" i="92"/>
  <c r="E74" i="142"/>
  <c r="U21" i="92"/>
  <c r="Z21" i="92" s="1"/>
  <c r="F77" i="142"/>
  <c r="V21" i="92"/>
  <c r="AA21" i="92" s="1"/>
  <c r="G77" i="142"/>
  <c r="Y21" i="92"/>
  <c r="E77" i="142"/>
  <c r="F71" i="140"/>
  <c r="G71" i="140"/>
  <c r="E71" i="140"/>
  <c r="D71" i="140"/>
  <c r="H23" i="98"/>
  <c r="H26" i="98" s="1"/>
  <c r="C20" i="20"/>
  <c r="C151" i="20" s="1"/>
  <c r="C29" i="20"/>
  <c r="C161" i="20" s="1"/>
  <c r="C84" i="145"/>
  <c r="C81" i="145"/>
  <c r="C78" i="145"/>
  <c r="C18" i="20"/>
  <c r="C149" i="20" s="1"/>
  <c r="C30" i="20"/>
  <c r="C50" i="20" s="1"/>
  <c r="C112" i="20"/>
  <c r="G23" i="98"/>
  <c r="C111" i="20"/>
  <c r="C143" i="20"/>
  <c r="C144" i="20"/>
  <c r="C31" i="20"/>
  <c r="C145" i="20"/>
  <c r="I23" i="98"/>
  <c r="I26" i="98" s="1"/>
  <c r="C113" i="20"/>
  <c r="G219" i="54"/>
  <c r="F219" i="54"/>
  <c r="E219" i="54"/>
  <c r="D109" i="20"/>
  <c r="N109" i="20"/>
  <c r="W21" i="114"/>
  <c r="W28" i="114" s="1"/>
  <c r="Y21" i="114"/>
  <c r="Y28" i="114" s="1"/>
  <c r="V28" i="114"/>
  <c r="U22" i="114"/>
  <c r="V29" i="114"/>
  <c r="U29" i="114" s="1"/>
  <c r="X21" i="114"/>
  <c r="X28" i="114" s="1"/>
  <c r="X15" i="92"/>
  <c r="D28" i="20"/>
  <c r="D12" i="20"/>
  <c r="D18" i="20" s="1"/>
  <c r="G64" i="21"/>
  <c r="G210" i="21" s="1"/>
  <c r="G208" i="21" s="1"/>
  <c r="L62" i="21"/>
  <c r="L45" i="21"/>
  <c r="O98" i="54"/>
  <c r="N97" i="54"/>
  <c r="N96" i="54" s="1"/>
  <c r="N95" i="54" s="1"/>
  <c r="I69" i="20" l="1"/>
  <c r="I110" i="20" s="1"/>
  <c r="I71" i="20"/>
  <c r="I112" i="20" s="1"/>
  <c r="I72" i="20"/>
  <c r="I113" i="20" s="1"/>
  <c r="O113" i="20" s="1"/>
  <c r="P64" i="21"/>
  <c r="P210" i="21" s="1"/>
  <c r="P208" i="21" s="1"/>
  <c r="G26" i="98"/>
  <c r="E41" i="132"/>
  <c r="L195" i="21"/>
  <c r="L193" i="21" s="1"/>
  <c r="L41" i="21"/>
  <c r="L37" i="21"/>
  <c r="M66" i="21"/>
  <c r="M212" i="21" s="1"/>
  <c r="D56" i="21"/>
  <c r="D60" i="21" s="1"/>
  <c r="G41" i="132"/>
  <c r="H21" i="98"/>
  <c r="F41" i="132"/>
  <c r="D34" i="21"/>
  <c r="D55" i="21" s="1"/>
  <c r="D59" i="21" s="1"/>
  <c r="M48" i="21"/>
  <c r="M52" i="21" s="1"/>
  <c r="M38" i="21"/>
  <c r="L54" i="21"/>
  <c r="L58" i="21" s="1"/>
  <c r="L47" i="21"/>
  <c r="L51" i="21" s="1"/>
  <c r="I21" i="98"/>
  <c r="D39" i="21"/>
  <c r="S35" i="21"/>
  <c r="L63" i="21"/>
  <c r="M42" i="21"/>
  <c r="D197" i="21"/>
  <c r="R197" i="21" s="1"/>
  <c r="M55" i="21"/>
  <c r="M59" i="21" s="1"/>
  <c r="D49" i="21"/>
  <c r="D53" i="21" s="1"/>
  <c r="D43" i="21"/>
  <c r="M33" i="21"/>
  <c r="M30" i="21" s="1"/>
  <c r="M196" i="21"/>
  <c r="Q196" i="21" s="1"/>
  <c r="L46" i="21"/>
  <c r="G121" i="140"/>
  <c r="G76" i="140"/>
  <c r="G104" i="140"/>
  <c r="H52" i="109"/>
  <c r="T5" i="145"/>
  <c r="J52" i="109"/>
  <c r="R5" i="145"/>
  <c r="G120" i="140"/>
  <c r="D123" i="140"/>
  <c r="Q52" i="145"/>
  <c r="G119" i="140"/>
  <c r="E105" i="140"/>
  <c r="H15" i="135"/>
  <c r="E122" i="140"/>
  <c r="E125" i="140"/>
  <c r="S5" i="145"/>
  <c r="E76" i="140"/>
  <c r="F108" i="140"/>
  <c r="D121" i="140"/>
  <c r="G125" i="140"/>
  <c r="D108" i="140"/>
  <c r="F122" i="140"/>
  <c r="F109" i="140"/>
  <c r="G108" i="140"/>
  <c r="G105" i="140"/>
  <c r="E119" i="140"/>
  <c r="D107" i="140"/>
  <c r="G106" i="140"/>
  <c r="D122" i="140"/>
  <c r="Q50" i="145"/>
  <c r="F118" i="140"/>
  <c r="E106" i="140"/>
  <c r="E121" i="140"/>
  <c r="G109" i="140"/>
  <c r="Q51" i="145"/>
  <c r="N50" i="145"/>
  <c r="X18" i="92"/>
  <c r="X21" i="92"/>
  <c r="E125" i="142"/>
  <c r="E76" i="142"/>
  <c r="F129" i="142"/>
  <c r="D130" i="142"/>
  <c r="D125" i="142"/>
  <c r="G125" i="142"/>
  <c r="D76" i="142"/>
  <c r="E119" i="142"/>
  <c r="F130" i="142"/>
  <c r="G130" i="142"/>
  <c r="F119" i="142"/>
  <c r="G129" i="142"/>
  <c r="G76" i="142"/>
  <c r="D118" i="142"/>
  <c r="D129" i="142"/>
  <c r="F125" i="142"/>
  <c r="E129" i="142"/>
  <c r="F76" i="142"/>
  <c r="G119" i="142"/>
  <c r="E130" i="142"/>
  <c r="D106" i="142"/>
  <c r="M29" i="146"/>
  <c r="G107" i="142"/>
  <c r="E107" i="142"/>
  <c r="F107" i="142"/>
  <c r="N51" i="145"/>
  <c r="F107" i="140"/>
  <c r="C49" i="20"/>
  <c r="C83" i="145"/>
  <c r="C162" i="20"/>
  <c r="C51" i="20"/>
  <c r="C163" i="20"/>
  <c r="H11" i="135"/>
  <c r="B44" i="115"/>
  <c r="O111" i="20"/>
  <c r="O110" i="20"/>
  <c r="F99" i="20" s="1"/>
  <c r="O112" i="20"/>
  <c r="D113" i="20"/>
  <c r="D112" i="20"/>
  <c r="D111" i="20"/>
  <c r="G21" i="98"/>
  <c r="H57" i="112"/>
  <c r="F23" i="84"/>
  <c r="U21" i="114"/>
  <c r="U28" i="114"/>
  <c r="Y20" i="92"/>
  <c r="X20" i="92"/>
  <c r="V20" i="92"/>
  <c r="U20" i="92"/>
  <c r="Z20" i="92" s="1"/>
  <c r="T37" i="55"/>
  <c r="G36" i="112" s="1"/>
  <c r="D29" i="20"/>
  <c r="E18" i="20"/>
  <c r="L65" i="21"/>
  <c r="L211" i="21" s="1"/>
  <c r="O97" i="54"/>
  <c r="O96" i="54" s="1"/>
  <c r="O95" i="54" s="1"/>
  <c r="P98" i="54"/>
  <c r="S34" i="21" l="1"/>
  <c r="D196" i="21"/>
  <c r="R196" i="21" s="1"/>
  <c r="D31" i="21"/>
  <c r="D38" i="21"/>
  <c r="D42" i="21"/>
  <c r="D48" i="21"/>
  <c r="D52" i="21" s="1"/>
  <c r="D62" i="21" s="1"/>
  <c r="D33" i="21"/>
  <c r="D47" i="21" s="1"/>
  <c r="D223" i="21" s="1"/>
  <c r="L44" i="21"/>
  <c r="M45" i="21"/>
  <c r="L61" i="21"/>
  <c r="D63" i="21"/>
  <c r="Q53" i="145"/>
  <c r="Q54" i="145"/>
  <c r="G118" i="140"/>
  <c r="M21" i="112"/>
  <c r="M62" i="21"/>
  <c r="D46" i="21"/>
  <c r="M195" i="21"/>
  <c r="M193" i="21" s="1"/>
  <c r="Q193" i="21" s="1"/>
  <c r="T193" i="21" s="1"/>
  <c r="L66" i="21"/>
  <c r="L212" i="21" s="1"/>
  <c r="J141" i="84"/>
  <c r="H141" i="84"/>
  <c r="I141" i="84"/>
  <c r="G141" i="84"/>
  <c r="M47" i="21"/>
  <c r="M51" i="21" s="1"/>
  <c r="M54" i="21"/>
  <c r="M58" i="21" s="1"/>
  <c r="M41" i="21"/>
  <c r="M37" i="21"/>
  <c r="L37" i="112"/>
  <c r="Q37" i="112" s="1"/>
  <c r="E118" i="140"/>
  <c r="K37" i="112"/>
  <c r="L23" i="112"/>
  <c r="N37" i="145"/>
  <c r="K52" i="145"/>
  <c r="D118" i="140"/>
  <c r="K41" i="112"/>
  <c r="D106" i="140"/>
  <c r="H51" i="145"/>
  <c r="L36" i="112"/>
  <c r="Q36" i="112" s="1"/>
  <c r="F38" i="140"/>
  <c r="M36" i="112"/>
  <c r="R36" i="112" s="1"/>
  <c r="M37" i="112"/>
  <c r="R37" i="112" s="1"/>
  <c r="E16" i="140"/>
  <c r="F36" i="140"/>
  <c r="G118" i="142"/>
  <c r="G36" i="140"/>
  <c r="F40" i="140"/>
  <c r="F118" i="142"/>
  <c r="F51" i="140"/>
  <c r="E118" i="142"/>
  <c r="F16" i="140"/>
  <c r="G51" i="142"/>
  <c r="E106" i="142"/>
  <c r="F106" i="140"/>
  <c r="F106" i="142"/>
  <c r="G106" i="142"/>
  <c r="M40" i="112"/>
  <c r="R40" i="112" s="1"/>
  <c r="F38" i="142"/>
  <c r="N35" i="145"/>
  <c r="M18" i="145"/>
  <c r="M30" i="145" s="1"/>
  <c r="Q55" i="145"/>
  <c r="L38" i="112"/>
  <c r="Q38" i="112" s="1"/>
  <c r="N52" i="145"/>
  <c r="N39" i="145"/>
  <c r="J18" i="145"/>
  <c r="J30" i="145" s="1"/>
  <c r="N55" i="145"/>
  <c r="N54" i="145"/>
  <c r="N53" i="145"/>
  <c r="M38" i="112"/>
  <c r="R38" i="112" s="1"/>
  <c r="L40" i="112"/>
  <c r="H53" i="145"/>
  <c r="L25" i="112"/>
  <c r="B45" i="115"/>
  <c r="B43" i="115"/>
  <c r="AF38" i="55"/>
  <c r="L41" i="112"/>
  <c r="I109" i="20"/>
  <c r="O109" i="20" s="1"/>
  <c r="E57" i="112"/>
  <c r="AF39" i="55"/>
  <c r="F57" i="112"/>
  <c r="AF20" i="55"/>
  <c r="AF21" i="55"/>
  <c r="AF37" i="55"/>
  <c r="G57" i="112"/>
  <c r="AE58" i="55"/>
  <c r="AF19" i="55"/>
  <c r="AF40" i="55"/>
  <c r="AF41" i="55"/>
  <c r="AF58" i="55"/>
  <c r="E29" i="20"/>
  <c r="E49" i="20" s="1"/>
  <c r="Q98" i="54"/>
  <c r="P97" i="54"/>
  <c r="P96" i="54" s="1"/>
  <c r="P95" i="54" s="1"/>
  <c r="S33" i="21" l="1"/>
  <c r="D54" i="21"/>
  <c r="D58" i="21" s="1"/>
  <c r="D45" i="21"/>
  <c r="D37" i="21"/>
  <c r="D195" i="21"/>
  <c r="L64" i="21"/>
  <c r="L210" i="21" s="1"/>
  <c r="L208" i="21" s="1"/>
  <c r="D41" i="21"/>
  <c r="D30" i="21"/>
  <c r="E35" i="98"/>
  <c r="E36" i="98" s="1"/>
  <c r="M65" i="21"/>
  <c r="M211" i="21" s="1"/>
  <c r="D66" i="21"/>
  <c r="S66" i="21" s="1"/>
  <c r="M44" i="21"/>
  <c r="Q39" i="145"/>
  <c r="Q35" i="145"/>
  <c r="G40" i="140"/>
  <c r="G51" i="140"/>
  <c r="Q195" i="21"/>
  <c r="R195" i="21" s="1"/>
  <c r="M61" i="21"/>
  <c r="D65" i="21"/>
  <c r="F48" i="127"/>
  <c r="G48" i="127"/>
  <c r="K55" i="145"/>
  <c r="E51" i="140"/>
  <c r="E36" i="140"/>
  <c r="E40" i="140"/>
  <c r="K51" i="145"/>
  <c r="K39" i="145"/>
  <c r="K53" i="145"/>
  <c r="K25" i="112"/>
  <c r="K35" i="145"/>
  <c r="K40" i="112"/>
  <c r="E41" i="140"/>
  <c r="G36" i="142"/>
  <c r="K54" i="145"/>
  <c r="O50" i="145"/>
  <c r="K36" i="112"/>
  <c r="K50" i="145"/>
  <c r="L50" i="145"/>
  <c r="L21" i="112"/>
  <c r="F40" i="142"/>
  <c r="L37" i="145"/>
  <c r="G56" i="58"/>
  <c r="F56" i="58"/>
  <c r="G40" i="142"/>
  <c r="M41" i="112"/>
  <c r="G38" i="140"/>
  <c r="F36" i="142"/>
  <c r="G16" i="140"/>
  <c r="F41" i="140"/>
  <c r="D36" i="140"/>
  <c r="D38" i="140"/>
  <c r="E38" i="140"/>
  <c r="D40" i="140"/>
  <c r="E40" i="142"/>
  <c r="G41" i="140"/>
  <c r="F51" i="142"/>
  <c r="F16" i="142"/>
  <c r="E16" i="142"/>
  <c r="K37" i="145"/>
  <c r="N40" i="145"/>
  <c r="H50" i="145"/>
  <c r="H35" i="145"/>
  <c r="H37" i="145"/>
  <c r="F82" i="150"/>
  <c r="L18" i="145"/>
  <c r="D6" i="111"/>
  <c r="I18" i="145"/>
  <c r="P18" i="145"/>
  <c r="P30" i="145" s="1"/>
  <c r="H39" i="145"/>
  <c r="Q40" i="145"/>
  <c r="Q37" i="145"/>
  <c r="H54" i="145"/>
  <c r="H52" i="145"/>
  <c r="L52" i="145"/>
  <c r="O52" i="145"/>
  <c r="E6" i="111"/>
  <c r="G28" i="98"/>
  <c r="D143" i="20"/>
  <c r="F143" i="20" s="1"/>
  <c r="D51" i="21"/>
  <c r="D10" i="84"/>
  <c r="G17" i="120"/>
  <c r="G16" i="120"/>
  <c r="G18" i="20"/>
  <c r="Q97" i="54"/>
  <c r="Q96" i="54" s="1"/>
  <c r="Q95" i="54" s="1"/>
  <c r="R98" i="54"/>
  <c r="D193" i="21" l="1"/>
  <c r="R193" i="21" s="1"/>
  <c r="D61" i="21"/>
  <c r="D44" i="21"/>
  <c r="D212" i="21"/>
  <c r="L102" i="84"/>
  <c r="D9" i="127" s="1"/>
  <c r="R66" i="21"/>
  <c r="M64" i="21"/>
  <c r="M210" i="21" s="1"/>
  <c r="M208" i="21" s="1"/>
  <c r="M25" i="112"/>
  <c r="D44" i="115"/>
  <c r="E82" i="150"/>
  <c r="D45" i="115"/>
  <c r="E51" i="142"/>
  <c r="K38" i="112"/>
  <c r="K21" i="112"/>
  <c r="E36" i="142"/>
  <c r="J25" i="112"/>
  <c r="J37" i="112"/>
  <c r="O37" i="112" s="1"/>
  <c r="L51" i="145"/>
  <c r="M39" i="112"/>
  <c r="R39" i="112" s="1"/>
  <c r="O51" i="145"/>
  <c r="L39" i="112"/>
  <c r="Q39" i="112" s="1"/>
  <c r="L35" i="145"/>
  <c r="K26" i="112"/>
  <c r="K40" i="145"/>
  <c r="I50" i="145"/>
  <c r="O35" i="145"/>
  <c r="I39" i="145"/>
  <c r="L39" i="145"/>
  <c r="J38" i="112"/>
  <c r="O38" i="112" s="1"/>
  <c r="O39" i="145"/>
  <c r="D40" i="142"/>
  <c r="O18" i="145"/>
  <c r="H56" i="58"/>
  <c r="G37" i="140"/>
  <c r="E38" i="142"/>
  <c r="G41" i="142"/>
  <c r="F37" i="140"/>
  <c r="G38" i="142"/>
  <c r="D37" i="140"/>
  <c r="E37" i="140"/>
  <c r="G16" i="142"/>
  <c r="F41" i="142"/>
  <c r="D41" i="140"/>
  <c r="D36" i="142"/>
  <c r="D38" i="142"/>
  <c r="E36" i="145"/>
  <c r="B30" i="146"/>
  <c r="G9" i="127"/>
  <c r="N36" i="145"/>
  <c r="M26" i="112"/>
  <c r="K36" i="145"/>
  <c r="H36" i="145"/>
  <c r="Q36" i="145"/>
  <c r="H40" i="145"/>
  <c r="J40" i="112"/>
  <c r="J21" i="112"/>
  <c r="J36" i="112"/>
  <c r="J23" i="112"/>
  <c r="M23" i="112"/>
  <c r="L26" i="112"/>
  <c r="K23" i="112"/>
  <c r="I18" i="20"/>
  <c r="D149" i="20"/>
  <c r="G82" i="150"/>
  <c r="F6" i="111"/>
  <c r="R65" i="21"/>
  <c r="S65" i="21"/>
  <c r="D211" i="21"/>
  <c r="F23" i="55"/>
  <c r="D9" i="84"/>
  <c r="K102" i="84"/>
  <c r="H12" i="84"/>
  <c r="P15" i="55" s="1"/>
  <c r="S98" i="54"/>
  <c r="S97" i="54" s="1"/>
  <c r="S96" i="54" s="1"/>
  <c r="S95" i="54" s="1"/>
  <c r="R97" i="54"/>
  <c r="R96" i="54" s="1"/>
  <c r="R95" i="54" s="1"/>
  <c r="G16" i="54"/>
  <c r="S24" i="54"/>
  <c r="S16" i="54" s="1"/>
  <c r="K24" i="54"/>
  <c r="N24" i="54"/>
  <c r="M24" i="54"/>
  <c r="L24" i="54"/>
  <c r="I24" i="54"/>
  <c r="J24" i="54"/>
  <c r="Q24" i="54"/>
  <c r="R24" i="54"/>
  <c r="R16" i="54" s="1"/>
  <c r="P24" i="54"/>
  <c r="O24" i="54"/>
  <c r="D64" i="21" l="1"/>
  <c r="E63" i="98"/>
  <c r="S44" i="21"/>
  <c r="G13" i="92"/>
  <c r="L13" i="92" s="1"/>
  <c r="F13" i="55"/>
  <c r="F12" i="55" s="1"/>
  <c r="F43" i="55" s="1"/>
  <c r="F54" i="55" s="1"/>
  <c r="R23" i="55"/>
  <c r="R13" i="55" s="1"/>
  <c r="R12" i="55" s="1"/>
  <c r="R43" i="55" s="1"/>
  <c r="V23" i="55"/>
  <c r="V13" i="55" s="1"/>
  <c r="V12" i="55" s="1"/>
  <c r="V43" i="55" s="1"/>
  <c r="V54" i="55" s="1"/>
  <c r="C24" i="110"/>
  <c r="M204" i="54"/>
  <c r="M205" i="54"/>
  <c r="M208" i="54"/>
  <c r="M207" i="54"/>
  <c r="O16" i="54"/>
  <c r="O14" i="54" s="1"/>
  <c r="O165" i="54" s="1"/>
  <c r="O172" i="54"/>
  <c r="L204" i="54"/>
  <c r="L205" i="54"/>
  <c r="L208" i="54"/>
  <c r="L207" i="54"/>
  <c r="N205" i="54"/>
  <c r="N204" i="54"/>
  <c r="N208" i="54"/>
  <c r="N207" i="54"/>
  <c r="Q16" i="54"/>
  <c r="Q21" i="54" s="1"/>
  <c r="Q19" i="54" s="1"/>
  <c r="Q168" i="54" s="1"/>
  <c r="Q172" i="54"/>
  <c r="Q185" i="54" s="1"/>
  <c r="K208" i="54"/>
  <c r="K207" i="54"/>
  <c r="K205" i="54"/>
  <c r="K204" i="54"/>
  <c r="P16" i="54"/>
  <c r="P172" i="54"/>
  <c r="J208" i="54"/>
  <c r="J207" i="54"/>
  <c r="J205" i="54"/>
  <c r="J204" i="54"/>
  <c r="I208" i="54"/>
  <c r="I207" i="54"/>
  <c r="I205" i="54"/>
  <c r="I204" i="54"/>
  <c r="J16" i="54"/>
  <c r="J21" i="54" s="1"/>
  <c r="J19" i="54" s="1"/>
  <c r="J168" i="54" s="1"/>
  <c r="J172" i="54"/>
  <c r="J185" i="54" s="1"/>
  <c r="J184" i="54" s="1"/>
  <c r="I16" i="54"/>
  <c r="I172" i="54"/>
  <c r="I191" i="54" s="1"/>
  <c r="L16" i="54"/>
  <c r="L14" i="54" s="1"/>
  <c r="L165" i="54" s="1"/>
  <c r="L172" i="54"/>
  <c r="L191" i="54" s="1"/>
  <c r="M16" i="54"/>
  <c r="M14" i="54" s="1"/>
  <c r="M165" i="54" s="1"/>
  <c r="M172" i="54"/>
  <c r="M191" i="54" s="1"/>
  <c r="N16" i="54"/>
  <c r="N21" i="54" s="1"/>
  <c r="N19" i="54" s="1"/>
  <c r="N168" i="54" s="1"/>
  <c r="N172" i="54"/>
  <c r="N191" i="54" s="1"/>
  <c r="K16" i="54"/>
  <c r="K14" i="54" s="1"/>
  <c r="K165" i="54" s="1"/>
  <c r="K172" i="54"/>
  <c r="K191" i="54" s="1"/>
  <c r="I35" i="145"/>
  <c r="J39" i="112"/>
  <c r="O39" i="112" s="1"/>
  <c r="K39" i="112"/>
  <c r="I52" i="145"/>
  <c r="I51" i="145"/>
  <c r="E41" i="142"/>
  <c r="D210" i="21"/>
  <c r="D208" i="21" s="1"/>
  <c r="C122" i="20" s="1"/>
  <c r="E28" i="140"/>
  <c r="I9" i="127"/>
  <c r="C36" i="145"/>
  <c r="E27" i="140"/>
  <c r="D41" i="142"/>
  <c r="J26" i="112"/>
  <c r="H13" i="84"/>
  <c r="P16" i="55" s="1"/>
  <c r="F9" i="127"/>
  <c r="E27" i="142"/>
  <c r="J28" i="145"/>
  <c r="O40" i="145"/>
  <c r="O37" i="145"/>
  <c r="I37" i="145"/>
  <c r="L40" i="145"/>
  <c r="D46" i="115"/>
  <c r="F149" i="20"/>
  <c r="C9" i="127"/>
  <c r="C12" i="134"/>
  <c r="G12" i="134" s="1"/>
  <c r="U13" i="92"/>
  <c r="J201" i="54"/>
  <c r="J202" i="54"/>
  <c r="N201" i="54"/>
  <c r="N202" i="54"/>
  <c r="H185" i="54"/>
  <c r="H184" i="54" s="1"/>
  <c r="H201" i="54"/>
  <c r="H202" i="54"/>
  <c r="M202" i="54"/>
  <c r="M201" i="54"/>
  <c r="G172" i="54"/>
  <c r="D211" i="54" s="1"/>
  <c r="G204" i="54"/>
  <c r="G205" i="54"/>
  <c r="G207" i="54"/>
  <c r="G208" i="54"/>
  <c r="G201" i="54"/>
  <c r="G202" i="54"/>
  <c r="L201" i="54"/>
  <c r="L202" i="54"/>
  <c r="I201" i="54"/>
  <c r="I202" i="54"/>
  <c r="K202" i="54"/>
  <c r="K201" i="54"/>
  <c r="F14" i="112"/>
  <c r="R21" i="54"/>
  <c r="R19" i="54" s="1"/>
  <c r="R168" i="54" s="1"/>
  <c r="R172" i="54"/>
  <c r="R185" i="54" s="1"/>
  <c r="R184" i="54" s="1"/>
  <c r="P14" i="54"/>
  <c r="P165" i="54" s="1"/>
  <c r="S14" i="54"/>
  <c r="S165" i="54" s="1"/>
  <c r="S172" i="54"/>
  <c r="I22" i="112"/>
  <c r="N23" i="55"/>
  <c r="N13" i="55" s="1"/>
  <c r="N12" i="55" s="1"/>
  <c r="N43" i="55" s="1"/>
  <c r="J23" i="55"/>
  <c r="J13" i="55" s="1"/>
  <c r="J12" i="55" s="1"/>
  <c r="J43" i="55" s="1"/>
  <c r="D4" i="115"/>
  <c r="D9" i="115" s="1"/>
  <c r="G13" i="61"/>
  <c r="J23" i="98"/>
  <c r="K23" i="98" s="1"/>
  <c r="G18" i="120"/>
  <c r="G15" i="120" s="1"/>
  <c r="G8" i="120" s="1"/>
  <c r="G25" i="120" s="1"/>
  <c r="G30" i="120" s="1"/>
  <c r="G28" i="120" s="1"/>
  <c r="G27" i="120" s="1"/>
  <c r="G26" i="120" s="1"/>
  <c r="G32" i="120" s="1"/>
  <c r="G34" i="120" s="1"/>
  <c r="G35" i="120" s="1"/>
  <c r="H14" i="54"/>
  <c r="H165" i="54" s="1"/>
  <c r="G33" i="22"/>
  <c r="G37" i="22" s="1"/>
  <c r="O21" i="54"/>
  <c r="O19" i="54" s="1"/>
  <c r="O168" i="54" s="1"/>
  <c r="L10" i="21"/>
  <c r="L11" i="21" s="1"/>
  <c r="P10" i="21"/>
  <c r="P11" i="21" s="1"/>
  <c r="O10" i="21"/>
  <c r="O11" i="21" s="1"/>
  <c r="N10" i="21"/>
  <c r="N11" i="21" s="1"/>
  <c r="M10" i="21"/>
  <c r="M11" i="21" s="1"/>
  <c r="G10" i="21"/>
  <c r="E10" i="21"/>
  <c r="E11" i="21" s="1"/>
  <c r="H10" i="21"/>
  <c r="J10" i="21"/>
  <c r="F10" i="21"/>
  <c r="I10" i="21"/>
  <c r="K10" i="21"/>
  <c r="D10" i="21"/>
  <c r="R64" i="21" l="1"/>
  <c r="F102" i="84"/>
  <c r="J102" i="84" s="1"/>
  <c r="S64" i="21"/>
  <c r="K13" i="92"/>
  <c r="Q13" i="92" s="1"/>
  <c r="C12" i="133"/>
  <c r="H13" i="92"/>
  <c r="I13" i="92"/>
  <c r="J13" i="92"/>
  <c r="C86" i="150"/>
  <c r="R59" i="55"/>
  <c r="R54" i="55"/>
  <c r="V59" i="55"/>
  <c r="V51" i="55"/>
  <c r="V52" i="55" s="1"/>
  <c r="O36" i="145"/>
  <c r="I14" i="54"/>
  <c r="I165" i="54" s="1"/>
  <c r="M185" i="54"/>
  <c r="M184" i="54" s="1"/>
  <c r="I40" i="145"/>
  <c r="N185" i="54"/>
  <c r="N184" i="54" s="1"/>
  <c r="H9" i="127"/>
  <c r="I185" i="54"/>
  <c r="I184" i="54" s="1"/>
  <c r="J29" i="145"/>
  <c r="J191" i="54"/>
  <c r="Q14" i="54"/>
  <c r="Q165" i="54" s="1"/>
  <c r="Q171" i="54" s="1"/>
  <c r="G185" i="54"/>
  <c r="G184" i="54" s="1"/>
  <c r="Z13" i="92"/>
  <c r="H13" i="61"/>
  <c r="J13" i="61"/>
  <c r="K13" i="61"/>
  <c r="R13" i="61" s="1"/>
  <c r="I13" i="61"/>
  <c r="M13" i="92"/>
  <c r="K185" i="54"/>
  <c r="K184" i="54" s="1"/>
  <c r="F37" i="142"/>
  <c r="E37" i="142"/>
  <c r="G37" i="142"/>
  <c r="E28" i="142"/>
  <c r="E26" i="142"/>
  <c r="D37" i="142"/>
  <c r="D64" i="142"/>
  <c r="F64" i="142"/>
  <c r="E64" i="142"/>
  <c r="P21" i="54"/>
  <c r="P19" i="54" s="1"/>
  <c r="P168" i="54" s="1"/>
  <c r="P171" i="54" s="1"/>
  <c r="F15" i="112"/>
  <c r="S21" i="54"/>
  <c r="S19" i="54" s="1"/>
  <c r="S168" i="54" s="1"/>
  <c r="S171" i="54" s="1"/>
  <c r="C25" i="146"/>
  <c r="F25" i="146" s="1"/>
  <c r="M25" i="146" s="1"/>
  <c r="K14" i="112"/>
  <c r="P14" i="112" s="1"/>
  <c r="I28" i="145"/>
  <c r="M22" i="112"/>
  <c r="C11" i="110"/>
  <c r="C15" i="110"/>
  <c r="L185" i="54"/>
  <c r="L184" i="54" s="1"/>
  <c r="G191" i="54"/>
  <c r="R14" i="54"/>
  <c r="R165" i="54" s="1"/>
  <c r="R171" i="54" s="1"/>
  <c r="X13" i="92"/>
  <c r="H191" i="54"/>
  <c r="Y13" i="92"/>
  <c r="B42" i="115"/>
  <c r="K46" i="115" s="1"/>
  <c r="AB58" i="55"/>
  <c r="AG58" i="55" s="1"/>
  <c r="G211" i="54"/>
  <c r="G213" i="54" s="1"/>
  <c r="F211" i="54"/>
  <c r="F213" i="54" s="1"/>
  <c r="E211" i="54"/>
  <c r="E213" i="54" s="1"/>
  <c r="H211" i="54"/>
  <c r="H213" i="54" s="1"/>
  <c r="AB19" i="55"/>
  <c r="AB39" i="55"/>
  <c r="AB20" i="55"/>
  <c r="AB44" i="55"/>
  <c r="AB38" i="55"/>
  <c r="AB42" i="55"/>
  <c r="AB21" i="55"/>
  <c r="AB37" i="55"/>
  <c r="AB41" i="55"/>
  <c r="AB40" i="55"/>
  <c r="D57" i="112"/>
  <c r="J90" i="85"/>
  <c r="S185" i="54"/>
  <c r="S184" i="54" s="1"/>
  <c r="S191" i="54"/>
  <c r="O171" i="54"/>
  <c r="O185" i="54"/>
  <c r="O184" i="54" s="1"/>
  <c r="O191" i="54"/>
  <c r="Q184" i="54"/>
  <c r="Q191" i="54"/>
  <c r="P185" i="54"/>
  <c r="P184" i="54" s="1"/>
  <c r="P191" i="54"/>
  <c r="R191" i="54"/>
  <c r="J51" i="55"/>
  <c r="R51" i="55"/>
  <c r="R52" i="55" s="1"/>
  <c r="N51" i="55"/>
  <c r="F59" i="55"/>
  <c r="F51" i="55"/>
  <c r="F52" i="55" s="1"/>
  <c r="X42" i="55"/>
  <c r="D14" i="93"/>
  <c r="D26" i="93" s="1"/>
  <c r="D11" i="58"/>
  <c r="T42" i="55"/>
  <c r="L41" i="55"/>
  <c r="T41" i="55"/>
  <c r="G41" i="22"/>
  <c r="G40" i="22" s="1"/>
  <c r="G35" i="22"/>
  <c r="L21" i="54"/>
  <c r="L19" i="54" s="1"/>
  <c r="L168" i="54" s="1"/>
  <c r="L171" i="54" s="1"/>
  <c r="G38" i="22"/>
  <c r="I21" i="54"/>
  <c r="I19" i="54" s="1"/>
  <c r="I168" i="54" s="1"/>
  <c r="H21" i="54"/>
  <c r="H19" i="54" s="1"/>
  <c r="H168" i="54" s="1"/>
  <c r="H171" i="54" s="1"/>
  <c r="K21" i="54"/>
  <c r="K19" i="54" s="1"/>
  <c r="K168" i="54" s="1"/>
  <c r="K171" i="54" s="1"/>
  <c r="M21" i="54"/>
  <c r="M19" i="54" s="1"/>
  <c r="M168" i="54" s="1"/>
  <c r="M171" i="54" s="1"/>
  <c r="J14" i="54"/>
  <c r="J165" i="54" s="1"/>
  <c r="J171" i="54" s="1"/>
  <c r="N14" i="54"/>
  <c r="N165" i="54" s="1"/>
  <c r="N171" i="54" s="1"/>
  <c r="I11" i="21"/>
  <c r="I69" i="21"/>
  <c r="K11" i="21"/>
  <c r="K69" i="21"/>
  <c r="E69" i="21"/>
  <c r="H11" i="21"/>
  <c r="H69" i="21"/>
  <c r="D11" i="21"/>
  <c r="D69" i="21"/>
  <c r="J11" i="21"/>
  <c r="J69" i="21"/>
  <c r="F11" i="21"/>
  <c r="F69" i="21"/>
  <c r="G11" i="21"/>
  <c r="G69" i="21"/>
  <c r="G21" i="54"/>
  <c r="G19" i="54" s="1"/>
  <c r="G14" i="54"/>
  <c r="G165" i="54" s="1"/>
  <c r="G102" i="84" l="1"/>
  <c r="I102" i="84"/>
  <c r="E31" i="110"/>
  <c r="F31" i="110" s="1"/>
  <c r="H102" i="84"/>
  <c r="D199" i="84"/>
  <c r="C42" i="108" s="1"/>
  <c r="H7" i="108" s="1"/>
  <c r="R102" i="84"/>
  <c r="Q102" i="84"/>
  <c r="G12" i="133"/>
  <c r="R13" i="92"/>
  <c r="H199" i="84"/>
  <c r="G42" i="108" s="1"/>
  <c r="K45" i="115"/>
  <c r="H12" i="109"/>
  <c r="H37" i="109" s="1"/>
  <c r="H47" i="109" s="1"/>
  <c r="E26" i="140"/>
  <c r="K15" i="112"/>
  <c r="P15" i="112" s="1"/>
  <c r="I171" i="54"/>
  <c r="J27" i="145"/>
  <c r="G64" i="142"/>
  <c r="V13" i="92"/>
  <c r="AA13" i="92" s="1"/>
  <c r="F86" i="150"/>
  <c r="Q13" i="61"/>
  <c r="G86" i="150"/>
  <c r="D86" i="150"/>
  <c r="G54" i="140"/>
  <c r="E54" i="140"/>
  <c r="F54" i="140"/>
  <c r="D54" i="140"/>
  <c r="D64" i="140"/>
  <c r="E64" i="140"/>
  <c r="F64" i="140"/>
  <c r="D8" i="146"/>
  <c r="F63" i="142"/>
  <c r="D63" i="142"/>
  <c r="E63" i="142"/>
  <c r="Q57" i="145"/>
  <c r="C76" i="145"/>
  <c r="I29" i="145"/>
  <c r="L22" i="112"/>
  <c r="L36" i="145"/>
  <c r="K22" i="112"/>
  <c r="I36" i="145"/>
  <c r="D23" i="58"/>
  <c r="B12" i="128"/>
  <c r="G12" i="128" s="1"/>
  <c r="F43" i="112"/>
  <c r="B47" i="115"/>
  <c r="G43" i="112"/>
  <c r="G27" i="58"/>
  <c r="H43" i="112"/>
  <c r="H14" i="93"/>
  <c r="AF44" i="55"/>
  <c r="H11" i="58"/>
  <c r="H27" i="58" s="1"/>
  <c r="Y44" i="55"/>
  <c r="E43" i="112"/>
  <c r="G40" i="112"/>
  <c r="Q40" i="112" s="1"/>
  <c r="G41" i="112"/>
  <c r="Q41" i="112" s="1"/>
  <c r="E40" i="112"/>
  <c r="O40" i="112" s="1"/>
  <c r="H41" i="112"/>
  <c r="R41" i="112" s="1"/>
  <c r="AF42" i="55"/>
  <c r="K90" i="85"/>
  <c r="J89" i="85"/>
  <c r="G20" i="22"/>
  <c r="G168" i="54"/>
  <c r="G171" i="54" s="1"/>
  <c r="F52" i="112"/>
  <c r="J22" i="112"/>
  <c r="G19" i="22"/>
  <c r="J26" i="98"/>
  <c r="K26" i="98" s="1"/>
  <c r="D12" i="109" l="1"/>
  <c r="D69" i="109" s="1"/>
  <c r="H69" i="109" s="1"/>
  <c r="I12" i="109"/>
  <c r="G63" i="142"/>
  <c r="D63" i="140"/>
  <c r="G64" i="140"/>
  <c r="E63" i="140"/>
  <c r="F63" i="140"/>
  <c r="F62" i="142"/>
  <c r="E62" i="142"/>
  <c r="D62" i="142"/>
  <c r="K12" i="128"/>
  <c r="F12" i="128"/>
  <c r="J12" i="128"/>
  <c r="E26" i="93"/>
  <c r="E30" i="93"/>
  <c r="H23" i="58"/>
  <c r="H31" i="58"/>
  <c r="H26" i="93"/>
  <c r="H30" i="93"/>
  <c r="H34" i="93" s="1"/>
  <c r="F30" i="93"/>
  <c r="F34" i="93" s="1"/>
  <c r="F26" i="93"/>
  <c r="F31" i="58"/>
  <c r="F23" i="58"/>
  <c r="E23" i="58"/>
  <c r="E27" i="58"/>
  <c r="G26" i="93"/>
  <c r="G30" i="93"/>
  <c r="G31" i="58"/>
  <c r="G23" i="58"/>
  <c r="G21" i="22"/>
  <c r="M90" i="85"/>
  <c r="K89" i="85"/>
  <c r="I37" i="109"/>
  <c r="H50" i="109"/>
  <c r="E74" i="54"/>
  <c r="E69" i="54" s="1"/>
  <c r="D63" i="22"/>
  <c r="D62" i="22" s="1"/>
  <c r="J64" i="22" s="1"/>
  <c r="G34" i="93" l="1"/>
  <c r="G62" i="142"/>
  <c r="G63" i="140"/>
  <c r="E31" i="58"/>
  <c r="D27" i="58"/>
  <c r="D31" i="58" s="1"/>
  <c r="E34" i="93"/>
  <c r="D30" i="93"/>
  <c r="D34" i="93" s="1"/>
  <c r="E47" i="54"/>
  <c r="E181" i="54"/>
  <c r="N90" i="85"/>
  <c r="M89" i="85"/>
  <c r="H56" i="109"/>
  <c r="I50" i="109"/>
  <c r="E76" i="54"/>
  <c r="E84" i="54"/>
  <c r="E88" i="54"/>
  <c r="E92" i="54"/>
  <c r="E26" i="54" l="1"/>
  <c r="D48" i="92" s="1"/>
  <c r="D47" i="92" s="1"/>
  <c r="E49" i="54"/>
  <c r="C59" i="107"/>
  <c r="C87" i="107"/>
  <c r="C116" i="107" s="1"/>
  <c r="O90" i="85"/>
  <c r="N89" i="85"/>
  <c r="D48" i="61" l="1"/>
  <c r="D47" i="61" s="1"/>
  <c r="E33" i="139"/>
  <c r="E15" i="139"/>
  <c r="E42" i="139"/>
  <c r="E24" i="139"/>
  <c r="J8" i="108"/>
  <c r="I8" i="108"/>
  <c r="P90" i="85"/>
  <c r="O89" i="85"/>
  <c r="U58" i="55"/>
  <c r="U52" i="55" s="1"/>
  <c r="M58" i="55"/>
  <c r="Q58" i="55"/>
  <c r="Q52" i="55" s="1"/>
  <c r="E24" i="54"/>
  <c r="E16" i="54" s="1"/>
  <c r="Q53" i="55" l="1"/>
  <c r="Q54" i="55"/>
  <c r="U53" i="55"/>
  <c r="U54" i="55"/>
  <c r="E21" i="54"/>
  <c r="E14" i="54"/>
  <c r="F24" i="139"/>
  <c r="H24" i="139" s="1"/>
  <c r="H14" i="154"/>
  <c r="F15" i="139"/>
  <c r="H15" i="139" s="1"/>
  <c r="H9" i="154"/>
  <c r="F33" i="139"/>
  <c r="H33" i="139" s="1"/>
  <c r="F42" i="139"/>
  <c r="H42" i="139" s="1"/>
  <c r="G87" i="107"/>
  <c r="G116" i="107" s="1"/>
  <c r="G59" i="107"/>
  <c r="C153" i="107"/>
  <c r="D87" i="107"/>
  <c r="D116" i="107" s="1"/>
  <c r="D59" i="107"/>
  <c r="F87" i="107"/>
  <c r="F116" i="107" s="1"/>
  <c r="F59" i="107"/>
  <c r="C212" i="107"/>
  <c r="E59" i="107"/>
  <c r="E87" i="107"/>
  <c r="E116" i="107" s="1"/>
  <c r="J7" i="108"/>
  <c r="I7" i="108"/>
  <c r="Q90" i="85"/>
  <c r="P89" i="85"/>
  <c r="D33" i="22"/>
  <c r="D38" i="22" s="1"/>
  <c r="E172" i="54"/>
  <c r="E185" i="54" s="1"/>
  <c r="E184" i="54" s="1"/>
  <c r="E58" i="55"/>
  <c r="E52" i="55" s="1"/>
  <c r="D35" i="22" l="1"/>
  <c r="D37" i="22"/>
  <c r="D41" i="22"/>
  <c r="D40" i="22" s="1"/>
  <c r="R90" i="85"/>
  <c r="Q89" i="85"/>
  <c r="E191" i="54"/>
  <c r="E19" i="54"/>
  <c r="S90" i="85" l="1"/>
  <c r="R89" i="85"/>
  <c r="D19" i="22"/>
  <c r="E165" i="54"/>
  <c r="D20" i="22"/>
  <c r="E168" i="54"/>
  <c r="D21" i="22" l="1"/>
  <c r="E171" i="54"/>
  <c r="T90" i="85"/>
  <c r="S89" i="85"/>
  <c r="L37" i="55"/>
  <c r="E36" i="112" l="1"/>
  <c r="O36" i="112" s="1"/>
  <c r="U90" i="85"/>
  <c r="T89" i="85"/>
  <c r="C94" i="145"/>
  <c r="D87" i="140" l="1"/>
  <c r="E87" i="140"/>
  <c r="G87" i="140"/>
  <c r="F87" i="140"/>
  <c r="V90" i="85"/>
  <c r="U89" i="85"/>
  <c r="G62" i="140" l="1"/>
  <c r="E62" i="140"/>
  <c r="D62" i="140"/>
  <c r="F62" i="140"/>
  <c r="W90" i="85"/>
  <c r="V89" i="85"/>
  <c r="H89" i="85" s="1"/>
  <c r="C8" i="146"/>
  <c r="B8" i="146" s="1"/>
  <c r="C23" i="146" s="1"/>
  <c r="C50" i="146"/>
  <c r="K8" i="146" l="1"/>
  <c r="W89" i="85"/>
  <c r="I89" i="85" s="1"/>
  <c r="X90" i="85"/>
  <c r="F99" i="140" l="1"/>
  <c r="G99" i="140"/>
  <c r="G98" i="140"/>
  <c r="D99" i="140"/>
  <c r="D98" i="140"/>
  <c r="F98" i="140"/>
  <c r="M14" i="114"/>
  <c r="E98" i="140"/>
  <c r="M15" i="114"/>
  <c r="E99" i="140"/>
  <c r="D15" i="138"/>
  <c r="Y90" i="85"/>
  <c r="Y89" i="85" s="1"/>
  <c r="X89" i="85"/>
  <c r="H10" i="153"/>
  <c r="N14" i="114"/>
  <c r="L14" i="114"/>
  <c r="L15" i="114"/>
  <c r="D33" i="138" l="1"/>
  <c r="F55" i="107"/>
  <c r="D24" i="138"/>
  <c r="C83" i="107"/>
  <c r="C112" i="107" s="1"/>
  <c r="C112" i="145"/>
  <c r="D83" i="107"/>
  <c r="D112" i="107" s="1"/>
  <c r="E15" i="138"/>
  <c r="G15" i="138" s="1"/>
  <c r="O15" i="114"/>
  <c r="N15" i="114"/>
  <c r="O14" i="114"/>
  <c r="K14" i="114" s="1"/>
  <c r="C115" i="145"/>
  <c r="D55" i="107"/>
  <c r="G55" i="107" l="1"/>
  <c r="G83" i="107"/>
  <c r="G112" i="107" s="1"/>
  <c r="E33" i="138"/>
  <c r="G33" i="138" s="1"/>
  <c r="E24" i="138"/>
  <c r="G24" i="138" s="1"/>
  <c r="C55" i="107"/>
  <c r="F83" i="107"/>
  <c r="F112" i="107" s="1"/>
  <c r="K15" i="114"/>
  <c r="K29" i="114" s="1"/>
  <c r="J14" i="114"/>
  <c r="K28" i="114"/>
  <c r="J15" i="114" l="1"/>
  <c r="J29" i="114" s="1"/>
  <c r="J28" i="114"/>
  <c r="H13" i="69" l="1"/>
  <c r="G60" i="63" l="1"/>
  <c r="F60" i="63" l="1"/>
  <c r="I22" i="29" l="1"/>
  <c r="I21" i="29"/>
  <c r="I20" i="29"/>
  <c r="C22" i="29" l="1"/>
  <c r="C21" i="29" l="1"/>
  <c r="C20" i="29" l="1"/>
  <c r="D19" i="29"/>
  <c r="C19" i="29" l="1"/>
  <c r="C28" i="29" s="1"/>
  <c r="C5" i="113" l="1"/>
  <c r="G45" i="55"/>
  <c r="G51" i="55" s="1"/>
  <c r="D44" i="109" l="1"/>
  <c r="G121" i="84"/>
  <c r="I121" i="84"/>
  <c r="J121" i="84"/>
  <c r="C34" i="146" l="1"/>
  <c r="F34" i="146" l="1"/>
  <c r="M34" i="146" s="1"/>
  <c r="F24" i="127"/>
  <c r="G24" i="127"/>
  <c r="H20" i="109"/>
  <c r="C36" i="146" l="1"/>
  <c r="I20" i="109"/>
  <c r="H17" i="109"/>
  <c r="G78" i="140" l="1"/>
  <c r="F78" i="142"/>
  <c r="G78" i="142"/>
  <c r="E78" i="140"/>
  <c r="D78" i="140"/>
  <c r="E78" i="142"/>
  <c r="F78" i="140"/>
  <c r="D78" i="142"/>
  <c r="C85" i="145"/>
  <c r="X22" i="92"/>
  <c r="U22" i="92"/>
  <c r="V22" i="92"/>
  <c r="I17" i="109"/>
  <c r="Y22" i="92"/>
  <c r="D75" i="142" l="1"/>
  <c r="E75" i="142"/>
  <c r="F75" i="142"/>
  <c r="G75" i="142"/>
  <c r="F75" i="140"/>
  <c r="G75" i="140"/>
  <c r="E75" i="140"/>
  <c r="D75" i="140"/>
  <c r="C82" i="145"/>
  <c r="X19" i="92"/>
  <c r="Y19" i="92" l="1"/>
  <c r="U19" i="92"/>
  <c r="V19" i="92"/>
  <c r="F204" i="84" l="1"/>
  <c r="E204" i="84" s="1"/>
  <c r="E206" i="84" s="1"/>
  <c r="D49" i="108" s="1"/>
  <c r="E49" i="108"/>
  <c r="D48" i="108"/>
  <c r="E41" i="108"/>
  <c r="D41" i="108"/>
  <c r="E47" i="108" l="1"/>
  <c r="D47" i="108"/>
  <c r="F17" i="58" l="1"/>
  <c r="F9" i="58" l="1"/>
  <c r="F22" i="58" l="1"/>
  <c r="F30" i="58" l="1"/>
  <c r="F24" i="58" l="1"/>
  <c r="F28" i="58"/>
  <c r="F13" i="58"/>
  <c r="E15" i="153" s="1"/>
  <c r="F15" i="153" l="1"/>
  <c r="F13" i="153" s="1"/>
  <c r="E13" i="153"/>
  <c r="F21" i="58"/>
  <c r="F51" i="58" s="1"/>
  <c r="F32" i="58"/>
  <c r="F29" i="58" s="1"/>
  <c r="F25" i="58"/>
  <c r="F24" i="98"/>
  <c r="C11" i="20"/>
  <c r="H15" i="153" l="1"/>
  <c r="F23" i="98"/>
  <c r="E17" i="20"/>
  <c r="C140" i="20"/>
  <c r="C110" i="20"/>
  <c r="D110" i="20" s="1"/>
  <c r="C28" i="20"/>
  <c r="C17" i="20"/>
  <c r="C148" i="20" s="1"/>
  <c r="F21" i="98" l="1"/>
  <c r="J21" i="98" s="1"/>
  <c r="D41" i="132"/>
  <c r="C41" i="132" s="1"/>
  <c r="F26" i="98"/>
  <c r="E28" i="20"/>
  <c r="E48" i="20" s="1"/>
  <c r="D140" i="20"/>
  <c r="C160" i="20"/>
  <c r="C48" i="20"/>
  <c r="D16" i="140" l="1"/>
  <c r="F28" i="98"/>
  <c r="D18" i="145"/>
  <c r="D31" i="145" s="1"/>
  <c r="G18" i="145"/>
  <c r="G30" i="145" s="1"/>
  <c r="G17" i="20"/>
  <c r="D148" i="20" s="1"/>
  <c r="F18" i="145" l="1"/>
  <c r="E56" i="58"/>
  <c r="D16" i="142"/>
  <c r="D30" i="145"/>
  <c r="D142" i="20"/>
  <c r="F142" i="20" s="1"/>
  <c r="I17" i="20"/>
  <c r="C6" i="111"/>
  <c r="B6" i="111" l="1"/>
  <c r="D82" i="150"/>
  <c r="D43" i="115"/>
  <c r="R18" i="145"/>
  <c r="D53" i="109"/>
  <c r="H53" i="109" s="1"/>
  <c r="D56" i="58"/>
  <c r="S18" i="145"/>
  <c r="I16" i="140"/>
  <c r="C18" i="145"/>
  <c r="D29" i="142"/>
  <c r="F148" i="20"/>
  <c r="U18" i="145"/>
  <c r="T18" i="145"/>
  <c r="G13" i="84"/>
  <c r="C82" i="150" l="1"/>
  <c r="D32" i="132"/>
  <c r="D36" i="150" s="1"/>
  <c r="I16" i="142"/>
  <c r="G32" i="132"/>
  <c r="J53" i="109"/>
  <c r="G29" i="145"/>
  <c r="F53" i="109"/>
  <c r="G16" i="109" s="1"/>
  <c r="E16" i="109" s="1"/>
  <c r="L16" i="55"/>
  <c r="E32" i="132"/>
  <c r="E36" i="151" s="1"/>
  <c r="C47" i="115"/>
  <c r="D33" i="132"/>
  <c r="O33" i="132" s="1"/>
  <c r="Q33" i="132"/>
  <c r="D42" i="115"/>
  <c r="D47" i="115" s="1"/>
  <c r="E33" i="132"/>
  <c r="P33" i="132" s="1"/>
  <c r="F36" i="150"/>
  <c r="G33" i="132"/>
  <c r="F29" i="142"/>
  <c r="E29" i="142"/>
  <c r="G29" i="142"/>
  <c r="D28" i="142"/>
  <c r="D28" i="140"/>
  <c r="I6" i="84"/>
  <c r="G37" i="131" l="1"/>
  <c r="I15" i="84"/>
  <c r="I45" i="84"/>
  <c r="I26" i="84"/>
  <c r="I17" i="84"/>
  <c r="I55" i="84"/>
  <c r="J6" i="84"/>
  <c r="J57" i="84" s="1"/>
  <c r="G36" i="150"/>
  <c r="G19" i="109"/>
  <c r="E19" i="109" s="1"/>
  <c r="H6" i="84"/>
  <c r="P38" i="55" s="1"/>
  <c r="G37" i="130"/>
  <c r="L32" i="132"/>
  <c r="G36" i="151"/>
  <c r="F36" i="151"/>
  <c r="G12" i="109"/>
  <c r="E12" i="109" s="1"/>
  <c r="G18" i="109"/>
  <c r="E18" i="109" s="1"/>
  <c r="G29" i="109"/>
  <c r="E29" i="109" s="1"/>
  <c r="G30" i="109"/>
  <c r="E30" i="109" s="1"/>
  <c r="G13" i="109"/>
  <c r="E13" i="109" s="1"/>
  <c r="G32" i="109"/>
  <c r="E32" i="109" s="1"/>
  <c r="G34" i="109"/>
  <c r="E34" i="109" s="1"/>
  <c r="G43" i="109"/>
  <c r="E43" i="109" s="1"/>
  <c r="G33" i="109"/>
  <c r="E33" i="109" s="1"/>
  <c r="F37" i="131"/>
  <c r="Q32" i="132"/>
  <c r="G15" i="109"/>
  <c r="G44" i="109"/>
  <c r="E44" i="109" s="1"/>
  <c r="G31" i="109"/>
  <c r="E31" i="109" s="1"/>
  <c r="E15" i="112"/>
  <c r="J33" i="132"/>
  <c r="F37" i="130"/>
  <c r="K33" i="132"/>
  <c r="G6" i="84"/>
  <c r="L33" i="132"/>
  <c r="O32" i="132"/>
  <c r="K32" i="132"/>
  <c r="E37" i="131"/>
  <c r="P32" i="132"/>
  <c r="J32" i="132"/>
  <c r="D37" i="131"/>
  <c r="D36" i="151"/>
  <c r="D37" i="130"/>
  <c r="E24" i="142"/>
  <c r="E25" i="142"/>
  <c r="J15" i="112"/>
  <c r="I74" i="84"/>
  <c r="I43" i="84"/>
  <c r="I44" i="84"/>
  <c r="I73" i="84"/>
  <c r="I38" i="84"/>
  <c r="I77" i="84"/>
  <c r="I57" i="84"/>
  <c r="I36" i="84"/>
  <c r="I33" i="84"/>
  <c r="I54" i="84"/>
  <c r="I80" i="84"/>
  <c r="I63" i="84"/>
  <c r="I71" i="84"/>
  <c r="I65" i="84"/>
  <c r="I78" i="84"/>
  <c r="I51" i="84"/>
  <c r="I34" i="84"/>
  <c r="I50" i="84"/>
  <c r="I79" i="84"/>
  <c r="I60" i="84"/>
  <c r="I59" i="84"/>
  <c r="I58" i="84"/>
  <c r="I20" i="84"/>
  <c r="I53" i="84"/>
  <c r="I21" i="84"/>
  <c r="I70" i="84"/>
  <c r="I29" i="84"/>
  <c r="I61" i="84"/>
  <c r="I47" i="84"/>
  <c r="I35" i="84"/>
  <c r="I62" i="84"/>
  <c r="I72" i="84"/>
  <c r="I68" i="84"/>
  <c r="I52" i="84"/>
  <c r="I67" i="84"/>
  <c r="I56" i="84"/>
  <c r="I22" i="84"/>
  <c r="I76" i="84"/>
  <c r="I69" i="84"/>
  <c r="I64" i="84"/>
  <c r="I32" i="84"/>
  <c r="I16" i="84"/>
  <c r="T22" i="55" s="1"/>
  <c r="I23" i="84"/>
  <c r="I42" i="84"/>
  <c r="I46" i="84"/>
  <c r="I75" i="84"/>
  <c r="I24" i="84"/>
  <c r="I25" i="84"/>
  <c r="I27" i="84"/>
  <c r="I39" i="84"/>
  <c r="I19" i="84"/>
  <c r="I18" i="84"/>
  <c r="N33" i="132"/>
  <c r="H63" i="84" l="1"/>
  <c r="H61" i="84"/>
  <c r="H75" i="84"/>
  <c r="H18" i="84"/>
  <c r="H45" i="84"/>
  <c r="H46" i="84"/>
  <c r="P42" i="55"/>
  <c r="F41" i="112" s="1"/>
  <c r="P41" i="112" s="1"/>
  <c r="H60" i="84"/>
  <c r="H25" i="84"/>
  <c r="H26" i="84"/>
  <c r="P39" i="55"/>
  <c r="F38" i="112" s="1"/>
  <c r="P38" i="112" s="1"/>
  <c r="H43" i="84"/>
  <c r="H71" i="84"/>
  <c r="P41" i="55"/>
  <c r="F40" i="112" s="1"/>
  <c r="P40" i="112" s="1"/>
  <c r="H29" i="84"/>
  <c r="H39" i="84"/>
  <c r="H77" i="84"/>
  <c r="H20" i="84"/>
  <c r="H79" i="84"/>
  <c r="H73" i="84"/>
  <c r="H59" i="84"/>
  <c r="H64" i="84"/>
  <c r="H54" i="84"/>
  <c r="H58" i="84"/>
  <c r="H17" i="84"/>
  <c r="H76" i="84"/>
  <c r="H51" i="84"/>
  <c r="H52" i="84"/>
  <c r="H22" i="84"/>
  <c r="H62" i="84"/>
  <c r="H65" i="84"/>
  <c r="J74" i="84"/>
  <c r="J27" i="84"/>
  <c r="J64" i="84"/>
  <c r="J45" i="84"/>
  <c r="J51" i="84"/>
  <c r="J16" i="84"/>
  <c r="X22" i="55" s="1"/>
  <c r="G14" i="132" s="1"/>
  <c r="J60" i="84"/>
  <c r="J52" i="84"/>
  <c r="J53" i="84"/>
  <c r="J71" i="84"/>
  <c r="J35" i="84"/>
  <c r="J26" i="84"/>
  <c r="J50" i="84"/>
  <c r="J77" i="84"/>
  <c r="J17" i="84"/>
  <c r="J68" i="84"/>
  <c r="J46" i="84"/>
  <c r="J78" i="84"/>
  <c r="J36" i="84"/>
  <c r="J70" i="84"/>
  <c r="J75" i="84"/>
  <c r="J56" i="84"/>
  <c r="J72" i="84"/>
  <c r="J25" i="84"/>
  <c r="J47" i="84"/>
  <c r="J18" i="84"/>
  <c r="J58" i="84"/>
  <c r="J32" i="84"/>
  <c r="J38" i="84"/>
  <c r="J19" i="84"/>
  <c r="J20" i="84"/>
  <c r="J63" i="84"/>
  <c r="J24" i="84"/>
  <c r="J54" i="84"/>
  <c r="J23" i="84"/>
  <c r="J61" i="84"/>
  <c r="J65" i="84"/>
  <c r="J79" i="84"/>
  <c r="J34" i="84"/>
  <c r="J22" i="84"/>
  <c r="J62" i="84"/>
  <c r="J59" i="84"/>
  <c r="J73" i="84"/>
  <c r="J29" i="84"/>
  <c r="J67" i="84"/>
  <c r="J43" i="84"/>
  <c r="J15" i="84"/>
  <c r="X18" i="55" s="1"/>
  <c r="J33" i="84"/>
  <c r="J44" i="84"/>
  <c r="J76" i="84"/>
  <c r="J69" i="84"/>
  <c r="J80" i="84"/>
  <c r="J21" i="84"/>
  <c r="J39" i="84"/>
  <c r="J42" i="84"/>
  <c r="J55" i="84"/>
  <c r="G57" i="84"/>
  <c r="G58" i="84"/>
  <c r="G59" i="84"/>
  <c r="G60" i="84"/>
  <c r="H56" i="84"/>
  <c r="H15" i="84"/>
  <c r="P18" i="55" s="1"/>
  <c r="P37" i="55"/>
  <c r="F36" i="112" s="1"/>
  <c r="P36" i="112" s="1"/>
  <c r="H24" i="84"/>
  <c r="H74" i="84"/>
  <c r="H68" i="84"/>
  <c r="H44" i="84"/>
  <c r="H78" i="84"/>
  <c r="H23" i="84"/>
  <c r="H34" i="84"/>
  <c r="H21" i="84"/>
  <c r="H53" i="84"/>
  <c r="H80" i="84"/>
  <c r="H19" i="84"/>
  <c r="H33" i="84"/>
  <c r="H55" i="84"/>
  <c r="H47" i="84"/>
  <c r="H57" i="84"/>
  <c r="H16" i="84"/>
  <c r="P22" i="55" s="1"/>
  <c r="F21" i="112" s="1"/>
  <c r="P21" i="112" s="1"/>
  <c r="H70" i="84"/>
  <c r="H72" i="84"/>
  <c r="H69" i="84"/>
  <c r="H27" i="84"/>
  <c r="H38" i="84"/>
  <c r="H32" i="84"/>
  <c r="H50" i="84"/>
  <c r="H36" i="84"/>
  <c r="H42" i="84"/>
  <c r="P40" i="55"/>
  <c r="F39" i="112" s="1"/>
  <c r="P39" i="112" s="1"/>
  <c r="H35" i="84"/>
  <c r="H67" i="84"/>
  <c r="O15" i="112"/>
  <c r="G25" i="84"/>
  <c r="I32" i="132"/>
  <c r="I33" i="132"/>
  <c r="H33" i="132" s="1"/>
  <c r="G32" i="84"/>
  <c r="G51" i="84"/>
  <c r="G68" i="84"/>
  <c r="G52" i="84"/>
  <c r="G16" i="84"/>
  <c r="L22" i="55" s="1"/>
  <c r="G56" i="84"/>
  <c r="G18" i="84"/>
  <c r="G27" i="84"/>
  <c r="G22" i="84"/>
  <c r="L42" i="55"/>
  <c r="D51" i="140" s="1"/>
  <c r="G65" i="84"/>
  <c r="G72" i="84"/>
  <c r="G39" i="84"/>
  <c r="G26" i="84"/>
  <c r="G80" i="84"/>
  <c r="G24" i="84"/>
  <c r="G50" i="84"/>
  <c r="G64" i="84"/>
  <c r="G42" i="84"/>
  <c r="G76" i="84"/>
  <c r="G15" i="84"/>
  <c r="L18" i="55" s="1"/>
  <c r="G35" i="84"/>
  <c r="F6" i="84"/>
  <c r="G79" i="84"/>
  <c r="G54" i="84"/>
  <c r="G43" i="84"/>
  <c r="G29" i="84"/>
  <c r="G55" i="84"/>
  <c r="G19" i="84"/>
  <c r="G20" i="84"/>
  <c r="G38" i="84"/>
  <c r="G62" i="84"/>
  <c r="G61" i="84"/>
  <c r="G21" i="84"/>
  <c r="G34" i="84"/>
  <c r="G45" i="84"/>
  <c r="G75" i="84"/>
  <c r="G47" i="84"/>
  <c r="G36" i="84"/>
  <c r="G69" i="84"/>
  <c r="G53" i="84"/>
  <c r="G17" i="84"/>
  <c r="G44" i="84"/>
  <c r="G78" i="84"/>
  <c r="G67" i="84"/>
  <c r="G71" i="84"/>
  <c r="G23" i="84"/>
  <c r="G74" i="84"/>
  <c r="G63" i="84"/>
  <c r="G77" i="84"/>
  <c r="G33" i="84"/>
  <c r="G46" i="84"/>
  <c r="G70" i="84"/>
  <c r="G73" i="84"/>
  <c r="N32" i="132"/>
  <c r="F37" i="112"/>
  <c r="P37" i="112" s="1"/>
  <c r="T27" i="55"/>
  <c r="G21" i="112"/>
  <c r="Q21" i="112" s="1"/>
  <c r="T18" i="55"/>
  <c r="AF22" i="55" l="1"/>
  <c r="H21" i="112"/>
  <c r="R21" i="112" s="1"/>
  <c r="C37" i="131"/>
  <c r="X27" i="55"/>
  <c r="H26" i="112" s="1"/>
  <c r="R26" i="112" s="1"/>
  <c r="P27" i="55"/>
  <c r="E21" i="151"/>
  <c r="L27" i="55"/>
  <c r="E26" i="112" s="1"/>
  <c r="O26" i="112" s="1"/>
  <c r="D21" i="151"/>
  <c r="E41" i="112"/>
  <c r="E17" i="112"/>
  <c r="H55" i="145"/>
  <c r="E21" i="112"/>
  <c r="O21" i="112" s="1"/>
  <c r="H22" i="55"/>
  <c r="D21" i="112" s="1"/>
  <c r="N21" i="112" s="1"/>
  <c r="H32" i="132"/>
  <c r="C36" i="151"/>
  <c r="D55" i="150"/>
  <c r="D17" i="150"/>
  <c r="D17" i="151"/>
  <c r="G17" i="151"/>
  <c r="G55" i="150"/>
  <c r="G17" i="150"/>
  <c r="E17" i="151"/>
  <c r="E55" i="150"/>
  <c r="F17" i="151"/>
  <c r="F55" i="150"/>
  <c r="F17" i="150"/>
  <c r="D16" i="150"/>
  <c r="D54" i="150"/>
  <c r="D16" i="151"/>
  <c r="G17" i="112"/>
  <c r="D17" i="131"/>
  <c r="D17" i="130"/>
  <c r="J13" i="132"/>
  <c r="O13" i="132"/>
  <c r="D18" i="131"/>
  <c r="D18" i="130"/>
  <c r="O14" i="132"/>
  <c r="J14" i="132"/>
  <c r="G18" i="130"/>
  <c r="G18" i="131"/>
  <c r="E18" i="131"/>
  <c r="P14" i="132"/>
  <c r="F17" i="112"/>
  <c r="Q14" i="132"/>
  <c r="F18" i="130"/>
  <c r="F18" i="131"/>
  <c r="H18" i="55"/>
  <c r="G26" i="112"/>
  <c r="Q26" i="112" s="1"/>
  <c r="AF18" i="55"/>
  <c r="H17" i="112"/>
  <c r="G13" i="132"/>
  <c r="G19" i="132" l="1"/>
  <c r="G60" i="150" s="1"/>
  <c r="AF27" i="55"/>
  <c r="G31" i="145"/>
  <c r="E22" i="131"/>
  <c r="E59" i="150"/>
  <c r="P18" i="132"/>
  <c r="E23" i="131"/>
  <c r="K18" i="132"/>
  <c r="D29" i="140"/>
  <c r="F26" i="112"/>
  <c r="P26" i="112" s="1"/>
  <c r="H27" i="55"/>
  <c r="AB27" i="55" s="1"/>
  <c r="D22" i="150"/>
  <c r="O18" i="132"/>
  <c r="D59" i="150"/>
  <c r="D22" i="131"/>
  <c r="D21" i="150"/>
  <c r="D22" i="130"/>
  <c r="J18" i="132"/>
  <c r="D19" i="151"/>
  <c r="D88" i="109"/>
  <c r="H88" i="109" s="1"/>
  <c r="AB22" i="55"/>
  <c r="E13" i="142"/>
  <c r="F22" i="139"/>
  <c r="F20" i="139" s="1"/>
  <c r="E22" i="139"/>
  <c r="E20" i="139" s="1"/>
  <c r="F22" i="151"/>
  <c r="F60" i="150"/>
  <c r="F22" i="150"/>
  <c r="E19" i="151"/>
  <c r="E57" i="150"/>
  <c r="D51" i="142"/>
  <c r="P19" i="132"/>
  <c r="E60" i="150"/>
  <c r="E22" i="151"/>
  <c r="G29" i="140"/>
  <c r="E29" i="140"/>
  <c r="F29" i="140"/>
  <c r="F54" i="150"/>
  <c r="F16" i="151"/>
  <c r="F16" i="150"/>
  <c r="E16" i="151"/>
  <c r="E54" i="150"/>
  <c r="G54" i="150"/>
  <c r="G16" i="151"/>
  <c r="G16" i="150"/>
  <c r="M31" i="145"/>
  <c r="P31" i="145"/>
  <c r="J31" i="145"/>
  <c r="K19" i="132"/>
  <c r="F23" i="130"/>
  <c r="Q19" i="132"/>
  <c r="F23" i="131"/>
  <c r="L19" i="132"/>
  <c r="J17" i="112"/>
  <c r="O17" i="112" s="1"/>
  <c r="G17" i="130"/>
  <c r="G17" i="131"/>
  <c r="K13" i="132"/>
  <c r="P13" i="132"/>
  <c r="E17" i="131"/>
  <c r="I14" i="132"/>
  <c r="C17" i="150" s="1"/>
  <c r="AB18" i="55"/>
  <c r="D17" i="112"/>
  <c r="N17" i="112" s="1"/>
  <c r="D87" i="109"/>
  <c r="J41" i="112"/>
  <c r="O41" i="112" s="1"/>
  <c r="E79" i="107"/>
  <c r="E51" i="107"/>
  <c r="E71" i="107" s="1"/>
  <c r="C211" i="107"/>
  <c r="E42" i="107"/>
  <c r="K16" i="132"/>
  <c r="E20" i="131"/>
  <c r="P16" i="132"/>
  <c r="Q13" i="132"/>
  <c r="F17" i="130"/>
  <c r="F17" i="131"/>
  <c r="N14" i="132"/>
  <c r="G22" i="150" l="1"/>
  <c r="G23" i="130"/>
  <c r="G23" i="131"/>
  <c r="G22" i="151"/>
  <c r="D60" i="150"/>
  <c r="D23" i="131"/>
  <c r="D26" i="112"/>
  <c r="N26" i="112" s="1"/>
  <c r="D23" i="130"/>
  <c r="D22" i="151"/>
  <c r="O19" i="132"/>
  <c r="N19" i="132" s="1"/>
  <c r="C22" i="151" s="1"/>
  <c r="J19" i="132"/>
  <c r="I19" i="132" s="1"/>
  <c r="C23" i="130" s="1"/>
  <c r="D20" i="130"/>
  <c r="J16" i="132"/>
  <c r="D20" i="131"/>
  <c r="O16" i="132"/>
  <c r="D19" i="150"/>
  <c r="D57" i="150"/>
  <c r="C18" i="131"/>
  <c r="C17" i="151"/>
  <c r="H22" i="139"/>
  <c r="H20" i="139"/>
  <c r="I13" i="132"/>
  <c r="C16" i="150" s="1"/>
  <c r="E25" i="140"/>
  <c r="J26" i="145"/>
  <c r="E99" i="107"/>
  <c r="E108" i="107"/>
  <c r="E128" i="107" s="1"/>
  <c r="L17" i="112"/>
  <c r="Q17" i="112" s="1"/>
  <c r="L31" i="145"/>
  <c r="C214" i="107"/>
  <c r="C215" i="107" s="1"/>
  <c r="C30" i="147" s="1"/>
  <c r="H87" i="109"/>
  <c r="O31" i="145"/>
  <c r="M17" i="112"/>
  <c r="R17" i="112" s="1"/>
  <c r="N13" i="132"/>
  <c r="C17" i="131" s="1"/>
  <c r="H14" i="132"/>
  <c r="C18" i="130"/>
  <c r="K17" i="112"/>
  <c r="P17" i="112" s="1"/>
  <c r="I31" i="145"/>
  <c r="H13" i="154" l="1"/>
  <c r="C17" i="130"/>
  <c r="C23" i="131"/>
  <c r="H19" i="132"/>
  <c r="C22" i="150"/>
  <c r="E24" i="140"/>
  <c r="C16" i="151"/>
  <c r="J25" i="145"/>
  <c r="H13" i="132"/>
  <c r="J68" i="145"/>
  <c r="K57" i="145" l="1"/>
  <c r="N57" i="145"/>
  <c r="H57" i="145"/>
  <c r="J43" i="112"/>
  <c r="O43" i="112" s="1"/>
  <c r="L43" i="112"/>
  <c r="Q43" i="112" s="1"/>
  <c r="M43" i="112"/>
  <c r="R43" i="112" s="1"/>
  <c r="K43" i="112"/>
  <c r="P43" i="112" s="1"/>
  <c r="B46" i="146"/>
  <c r="F54" i="142" l="1"/>
  <c r="G54" i="142"/>
  <c r="D54" i="142"/>
  <c r="F46" i="146"/>
  <c r="M46" i="146" s="1"/>
  <c r="E54" i="142"/>
  <c r="E57" i="145"/>
  <c r="C57" i="145" l="1"/>
  <c r="I43" i="112"/>
  <c r="N43" i="112" s="1"/>
  <c r="C75" i="150" l="1"/>
  <c r="M34" i="132"/>
  <c r="R34" i="132"/>
  <c r="H16" i="108"/>
  <c r="E34" i="132"/>
  <c r="E38" i="151" s="1"/>
  <c r="G34" i="132"/>
  <c r="D34" i="132"/>
  <c r="D38" i="151" l="1"/>
  <c r="D38" i="150"/>
  <c r="G38" i="151"/>
  <c r="G38" i="150"/>
  <c r="F38" i="151"/>
  <c r="F38" i="150"/>
  <c r="D39" i="131"/>
  <c r="J34" i="132"/>
  <c r="D39" i="130"/>
  <c r="O34" i="132"/>
  <c r="F39" i="130"/>
  <c r="L34" i="132"/>
  <c r="F39" i="131"/>
  <c r="Q34" i="132"/>
  <c r="P34" i="132"/>
  <c r="E39" i="131"/>
  <c r="K34" i="132"/>
  <c r="G39" i="130"/>
  <c r="G39" i="131"/>
  <c r="I16" i="108"/>
  <c r="N34" i="132" l="1"/>
  <c r="I34" i="132"/>
  <c r="C38" i="150" s="1"/>
  <c r="C39" i="131" l="1"/>
  <c r="C38" i="151"/>
  <c r="C39" i="130"/>
  <c r="H34" i="132"/>
  <c r="I11" i="20" l="1"/>
  <c r="P13" i="20" l="1"/>
  <c r="F140" i="20"/>
  <c r="E141" i="20" s="1"/>
  <c r="F141" i="20" s="1"/>
  <c r="G12" i="84"/>
  <c r="D27" i="142" l="1"/>
  <c r="D27" i="140"/>
  <c r="G28" i="145"/>
  <c r="L15" i="55"/>
  <c r="J14" i="112" l="1"/>
  <c r="D26" i="142"/>
  <c r="E14" i="112"/>
  <c r="D26" i="140"/>
  <c r="G27" i="145"/>
  <c r="O14" i="112" l="1"/>
  <c r="D25" i="140"/>
  <c r="G26" i="145"/>
  <c r="D25" i="142"/>
  <c r="D24" i="140" l="1"/>
  <c r="G25" i="145"/>
  <c r="D24" i="142"/>
  <c r="E52" i="112"/>
  <c r="G68" i="145" l="1"/>
  <c r="D13" i="142" l="1"/>
  <c r="D13" i="138"/>
  <c r="E13" i="139"/>
  <c r="D13" i="140"/>
  <c r="E13" i="138" l="1"/>
  <c r="E11" i="138" s="1"/>
  <c r="F13" i="139"/>
  <c r="F11" i="139" s="1"/>
  <c r="D42" i="107"/>
  <c r="C135" i="107"/>
  <c r="C172" i="107" s="1"/>
  <c r="C175" i="107" s="1"/>
  <c r="D38" i="107"/>
  <c r="D51" i="107"/>
  <c r="D79" i="107"/>
  <c r="E11" i="139"/>
  <c r="D11" i="138"/>
  <c r="H11" i="139" l="1"/>
  <c r="H13" i="139"/>
  <c r="G11" i="138"/>
  <c r="G13" i="138"/>
  <c r="H9" i="153"/>
  <c r="D99" i="107"/>
  <c r="D108" i="107"/>
  <c r="D95" i="107"/>
  <c r="C178" i="107"/>
  <c r="C181" i="107" s="1"/>
  <c r="D67" i="107"/>
  <c r="D71" i="107"/>
  <c r="D124" i="107" l="1"/>
  <c r="D128" i="107"/>
  <c r="Y25" i="92" l="1"/>
  <c r="Y29" i="92"/>
  <c r="E58" i="112" l="1"/>
  <c r="F13" i="93"/>
  <c r="E53" i="112"/>
  <c r="E13" i="93"/>
  <c r="E10" i="58"/>
  <c r="F53" i="112" l="1"/>
  <c r="Y30" i="92"/>
  <c r="Y26" i="92"/>
  <c r="X23" i="92" l="1"/>
  <c r="X27" i="92"/>
  <c r="E51" i="112" l="1"/>
  <c r="B26" i="115"/>
  <c r="F51" i="112"/>
  <c r="E9" i="129"/>
  <c r="B25" i="115" l="1"/>
  <c r="D9" i="129"/>
  <c r="E13" i="129"/>
  <c r="E12" i="129"/>
  <c r="E11" i="129"/>
  <c r="F12" i="93"/>
  <c r="D13" i="129" l="1"/>
  <c r="H17" i="92" s="1"/>
  <c r="D11" i="129"/>
  <c r="D12" i="129"/>
  <c r="E12" i="93"/>
  <c r="E8" i="154" s="1"/>
  <c r="I17" i="92"/>
  <c r="I17" i="61"/>
  <c r="D21" i="107"/>
  <c r="D78" i="107" s="1"/>
  <c r="E21" i="107"/>
  <c r="B136" i="107" s="1"/>
  <c r="J11" i="129"/>
  <c r="E7" i="154" l="1"/>
  <c r="F8" i="154"/>
  <c r="F7" i="154" s="1"/>
  <c r="H17" i="61"/>
  <c r="B135" i="107"/>
  <c r="B172" i="107" s="1"/>
  <c r="E78" i="107"/>
  <c r="E107" i="107" s="1"/>
  <c r="E50" i="107"/>
  <c r="D50" i="107"/>
  <c r="E73" i="140"/>
  <c r="E73" i="142"/>
  <c r="D73" i="140"/>
  <c r="I11" i="129"/>
  <c r="D107" i="107"/>
  <c r="B211" i="107"/>
  <c r="H8" i="154" l="1"/>
  <c r="H7" i="154"/>
  <c r="D73" i="142"/>
  <c r="Y17" i="92"/>
  <c r="X17" i="92"/>
  <c r="B178" i="107"/>
  <c r="D36" i="130" l="1"/>
  <c r="D35" i="150"/>
  <c r="D106" i="150"/>
  <c r="Y16" i="92" l="1"/>
  <c r="X16" i="92"/>
  <c r="E36" i="131"/>
  <c r="E35" i="151"/>
  <c r="D36" i="131"/>
  <c r="D35" i="151"/>
  <c r="X12" i="92" l="1"/>
  <c r="Y12" i="92" l="1"/>
  <c r="Y11" i="92" l="1"/>
  <c r="X44" i="92" l="1"/>
  <c r="X41" i="92" l="1"/>
  <c r="G26" i="115" l="1"/>
  <c r="E25" i="115"/>
  <c r="E27" i="115" l="1"/>
  <c r="E26" i="115"/>
  <c r="G25" i="115"/>
  <c r="Y45" i="92" l="1"/>
  <c r="X45" i="92" l="1"/>
  <c r="Y39" i="92"/>
  <c r="X39" i="92"/>
  <c r="X40" i="92"/>
  <c r="Y40" i="92"/>
  <c r="Y41" i="92"/>
  <c r="Y44" i="92"/>
  <c r="Y27" i="92"/>
  <c r="F30" i="146"/>
  <c r="M30" i="146" s="1"/>
  <c r="Y23" i="92"/>
  <c r="Y24" i="92"/>
  <c r="X26" i="92"/>
  <c r="Y28" i="92"/>
  <c r="X30" i="92"/>
  <c r="F58" i="112"/>
  <c r="X28" i="92"/>
  <c r="X24" i="92"/>
  <c r="X29" i="92"/>
  <c r="X25" i="92"/>
  <c r="J41" i="84" l="1"/>
  <c r="I41" i="84"/>
  <c r="H41" i="84"/>
  <c r="G41" i="84"/>
  <c r="H40" i="84" l="1"/>
  <c r="I40" i="84"/>
  <c r="J40" i="84"/>
  <c r="G40" i="84"/>
  <c r="F20" i="109" l="1"/>
  <c r="E41" i="145" l="1"/>
  <c r="B36" i="146"/>
  <c r="F17" i="109"/>
  <c r="D20" i="109"/>
  <c r="G20" i="109"/>
  <c r="E20" i="109" s="1"/>
  <c r="O20" i="132" l="1"/>
  <c r="J20" i="132"/>
  <c r="D61" i="150"/>
  <c r="F36" i="146"/>
  <c r="M36" i="146" s="1"/>
  <c r="D17" i="109"/>
  <c r="G17" i="109"/>
  <c r="E17" i="109" s="1"/>
  <c r="C41" i="145"/>
  <c r="I27" i="112"/>
  <c r="E61" i="150"/>
  <c r="K20" i="132"/>
  <c r="P20" i="132"/>
  <c r="E38" i="145"/>
  <c r="F42" i="140" l="1"/>
  <c r="N41" i="145"/>
  <c r="K41" i="145"/>
  <c r="E42" i="140"/>
  <c r="E58" i="150"/>
  <c r="K17" i="132"/>
  <c r="P17" i="132"/>
  <c r="D58" i="150"/>
  <c r="J17" i="132"/>
  <c r="O17" i="132"/>
  <c r="Q41" i="145"/>
  <c r="G42" i="140"/>
  <c r="D42" i="140"/>
  <c r="H41" i="145"/>
  <c r="C38" i="145"/>
  <c r="I24" i="112"/>
  <c r="Q38" i="145" l="1"/>
  <c r="G39" i="140"/>
  <c r="L27" i="112"/>
  <c r="H38" i="145"/>
  <c r="D39" i="140"/>
  <c r="M27" i="112"/>
  <c r="E42" i="142"/>
  <c r="I41" i="145"/>
  <c r="F39" i="140"/>
  <c r="N38" i="145"/>
  <c r="D42" i="142"/>
  <c r="G42" i="142"/>
  <c r="F42" i="142"/>
  <c r="J27" i="112"/>
  <c r="K38" i="145"/>
  <c r="E39" i="140"/>
  <c r="K27" i="112"/>
  <c r="L41" i="145" l="1"/>
  <c r="E39" i="142"/>
  <c r="F39" i="142"/>
  <c r="J24" i="112"/>
  <c r="O41" i="145"/>
  <c r="D39" i="142"/>
  <c r="L24" i="112"/>
  <c r="L38" i="145"/>
  <c r="M24" i="112"/>
  <c r="K24" i="112"/>
  <c r="G39" i="142"/>
  <c r="O38" i="145" l="1"/>
  <c r="I38" i="145"/>
  <c r="E29" i="107" l="1"/>
  <c r="D29" i="107"/>
  <c r="F25" i="107"/>
  <c r="F82" i="107" l="1"/>
  <c r="B146" i="107"/>
  <c r="F54" i="107"/>
  <c r="D58" i="107"/>
  <c r="D86" i="107"/>
  <c r="B153" i="107"/>
  <c r="D25" i="107"/>
  <c r="E58" i="107"/>
  <c r="B154" i="107"/>
  <c r="E86" i="107"/>
  <c r="E115" i="107" l="1"/>
  <c r="B179" i="107"/>
  <c r="B186" i="107"/>
  <c r="D115" i="107"/>
  <c r="F111" i="107"/>
  <c r="D82" i="107"/>
  <c r="D54" i="107"/>
  <c r="B144" i="107"/>
  <c r="B212" i="107"/>
  <c r="B173" i="107" l="1"/>
  <c r="D111" i="107"/>
  <c r="F24" i="78" l="1"/>
  <c r="F29" i="93" l="1"/>
  <c r="F25" i="93"/>
  <c r="E15" i="154" s="1"/>
  <c r="E29" i="93"/>
  <c r="E25" i="93"/>
  <c r="E26" i="58"/>
  <c r="E22" i="58"/>
  <c r="F15" i="154" l="1"/>
  <c r="F12" i="154" s="1"/>
  <c r="E12" i="154"/>
  <c r="E30" i="58"/>
  <c r="E33" i="93"/>
  <c r="F33" i="93"/>
  <c r="H15" i="154" l="1"/>
  <c r="H12" i="154"/>
  <c r="G22" i="58"/>
  <c r="G26" i="58"/>
  <c r="G30" i="58" l="1"/>
  <c r="G28" i="58" l="1"/>
  <c r="G24" i="58"/>
  <c r="G9" i="58"/>
  <c r="G21" i="58" l="1"/>
  <c r="G51" i="58" s="1"/>
  <c r="G32" i="58"/>
  <c r="G29" i="58" s="1"/>
  <c r="G25" i="58"/>
  <c r="F88" i="150" l="1"/>
  <c r="F85" i="150" s="1"/>
  <c r="E11" i="133" l="1"/>
  <c r="D11" i="133"/>
  <c r="D88" i="150"/>
  <c r="D85" i="150" s="1"/>
  <c r="E16" i="20" l="1"/>
  <c r="E27" i="20"/>
  <c r="E47" i="20" s="1"/>
  <c r="D47" i="20" s="1"/>
  <c r="E33" i="98"/>
  <c r="I33" i="98" s="1"/>
  <c r="D139" i="20" l="1"/>
  <c r="D27" i="20"/>
  <c r="G22" i="20"/>
  <c r="G25" i="20" s="1"/>
  <c r="G32" i="98"/>
  <c r="H32" i="98"/>
  <c r="E32" i="98"/>
  <c r="F32" i="98"/>
  <c r="G15" i="22"/>
  <c r="G17" i="22"/>
  <c r="G18" i="22" s="1"/>
  <c r="D16" i="20"/>
  <c r="G16" i="20"/>
  <c r="I16" i="20" s="1"/>
  <c r="J16" i="20" l="1"/>
  <c r="N16" i="20"/>
  <c r="G26" i="20"/>
  <c r="D157" i="20" s="1"/>
  <c r="I22" i="20"/>
  <c r="F153" i="20" s="1"/>
  <c r="G24" i="20"/>
  <c r="D155" i="20" s="1"/>
  <c r="D153" i="20"/>
  <c r="G23" i="20"/>
  <c r="D30" i="20"/>
  <c r="D19" i="20"/>
  <c r="D156" i="20"/>
  <c r="I25" i="20"/>
  <c r="D147" i="20"/>
  <c r="I32" i="98"/>
  <c r="I13" i="20" l="1"/>
  <c r="E19" i="20"/>
  <c r="E30" i="20"/>
  <c r="E50" i="20" s="1"/>
  <c r="C121" i="20"/>
  <c r="I26" i="20"/>
  <c r="E30" i="145"/>
  <c r="I24" i="20"/>
  <c r="I29" i="20" s="1"/>
  <c r="D154" i="20"/>
  <c r="I23" i="20"/>
  <c r="F156" i="20"/>
  <c r="I14" i="84"/>
  <c r="T17" i="55" s="1"/>
  <c r="F147" i="20"/>
  <c r="C120" i="20"/>
  <c r="D31" i="20"/>
  <c r="D20" i="20"/>
  <c r="D144" i="20" l="1"/>
  <c r="F144" i="20" s="1"/>
  <c r="H28" i="98"/>
  <c r="I12" i="84"/>
  <c r="G19" i="20"/>
  <c r="I19" i="20" s="1"/>
  <c r="N19" i="20" s="1"/>
  <c r="E31" i="20"/>
  <c r="E51" i="20" s="1"/>
  <c r="D51" i="20" s="1"/>
  <c r="E20" i="20"/>
  <c r="N14" i="20"/>
  <c r="G20" i="20"/>
  <c r="I20" i="20" s="1"/>
  <c r="N20" i="20" s="1"/>
  <c r="H14" i="84"/>
  <c r="P17" i="55" s="1"/>
  <c r="B28" i="146"/>
  <c r="F28" i="146" s="1"/>
  <c r="F155" i="20"/>
  <c r="J14" i="84"/>
  <c r="X17" i="55" s="1"/>
  <c r="H16" i="112" s="1"/>
  <c r="F157" i="20"/>
  <c r="D145" i="20"/>
  <c r="F145" i="20" s="1"/>
  <c r="I28" i="98"/>
  <c r="D150" i="20"/>
  <c r="I28" i="20"/>
  <c r="G14" i="84"/>
  <c r="L17" i="55" s="1"/>
  <c r="F154" i="20"/>
  <c r="C30" i="145"/>
  <c r="I16" i="112"/>
  <c r="G16" i="112"/>
  <c r="I49" i="20"/>
  <c r="F161" i="20"/>
  <c r="E27" i="145"/>
  <c r="E28" i="98" l="1"/>
  <c r="I30" i="20"/>
  <c r="J20" i="20"/>
  <c r="J13" i="84"/>
  <c r="I31" i="20"/>
  <c r="G35" i="140"/>
  <c r="AF17" i="55"/>
  <c r="J12" i="84"/>
  <c r="X15" i="55" s="1"/>
  <c r="I13" i="84"/>
  <c r="F14" i="84"/>
  <c r="T15" i="55"/>
  <c r="M28" i="145"/>
  <c r="F27" i="140"/>
  <c r="D151" i="20"/>
  <c r="F150" i="20"/>
  <c r="F27" i="142"/>
  <c r="I10" i="20"/>
  <c r="E16" i="112"/>
  <c r="L14" i="55"/>
  <c r="I48" i="20"/>
  <c r="G11" i="84" s="1"/>
  <c r="F160" i="20"/>
  <c r="F16" i="112"/>
  <c r="P14" i="55"/>
  <c r="H17" i="55"/>
  <c r="M28" i="146"/>
  <c r="E26" i="145"/>
  <c r="H11" i="84"/>
  <c r="F35" i="140"/>
  <c r="N30" i="145"/>
  <c r="I50" i="20" l="1"/>
  <c r="J11" i="84"/>
  <c r="J31" i="20"/>
  <c r="N10" i="20"/>
  <c r="J10" i="20"/>
  <c r="Q30" i="145"/>
  <c r="I11" i="84"/>
  <c r="I10" i="84" s="1"/>
  <c r="F162" i="20"/>
  <c r="F26" i="142"/>
  <c r="F28" i="142"/>
  <c r="F163" i="20"/>
  <c r="I51" i="20"/>
  <c r="AF15" i="55"/>
  <c r="H14" i="112"/>
  <c r="F139" i="20"/>
  <c r="C119" i="20"/>
  <c r="I27" i="20"/>
  <c r="P28" i="145"/>
  <c r="G27" i="140"/>
  <c r="F151" i="20"/>
  <c r="X16" i="55"/>
  <c r="X14" i="55" s="1"/>
  <c r="X53" i="55" s="1"/>
  <c r="L28" i="145"/>
  <c r="L14" i="112"/>
  <c r="T16" i="55"/>
  <c r="T14" i="55" s="1"/>
  <c r="G27" i="142"/>
  <c r="F28" i="140"/>
  <c r="M29" i="145"/>
  <c r="F12" i="84"/>
  <c r="H15" i="55"/>
  <c r="G14" i="112"/>
  <c r="E13" i="112"/>
  <c r="D35" i="140"/>
  <c r="H30" i="145"/>
  <c r="Q27" i="145"/>
  <c r="G34" i="140"/>
  <c r="F35" i="142"/>
  <c r="L30" i="145"/>
  <c r="L16" i="112"/>
  <c r="Q16" i="112" s="1"/>
  <c r="F34" i="140"/>
  <c r="N27" i="145"/>
  <c r="H6" i="108"/>
  <c r="AB17" i="55"/>
  <c r="D16" i="112"/>
  <c r="N16" i="112" s="1"/>
  <c r="K30" i="145"/>
  <c r="E35" i="140"/>
  <c r="F11" i="109"/>
  <c r="F13" i="112"/>
  <c r="H10" i="84"/>
  <c r="G35" i="142"/>
  <c r="G52" i="112" l="1"/>
  <c r="M16" i="112"/>
  <c r="R16" i="112" s="1"/>
  <c r="T23" i="55"/>
  <c r="H14" i="55"/>
  <c r="AB14" i="55" s="1"/>
  <c r="F13" i="84"/>
  <c r="Q14" i="112"/>
  <c r="G13" i="112"/>
  <c r="G28" i="142"/>
  <c r="C118" i="20"/>
  <c r="D119" i="20" s="1"/>
  <c r="F26" i="140"/>
  <c r="M27" i="145"/>
  <c r="D29" i="145"/>
  <c r="D28" i="145"/>
  <c r="J51" i="20"/>
  <c r="AB15" i="55"/>
  <c r="D14" i="112"/>
  <c r="H4" i="108"/>
  <c r="G26" i="142"/>
  <c r="G15" i="112"/>
  <c r="H16" i="55"/>
  <c r="G28" i="140"/>
  <c r="P29" i="145"/>
  <c r="O28" i="145"/>
  <c r="M14" i="112"/>
  <c r="R14" i="112" s="1"/>
  <c r="AF14" i="55"/>
  <c r="H13" i="112"/>
  <c r="H52" i="112"/>
  <c r="G12" i="132"/>
  <c r="J27" i="20"/>
  <c r="F159" i="20"/>
  <c r="I47" i="20"/>
  <c r="J47" i="20" s="1"/>
  <c r="L15" i="112"/>
  <c r="L29" i="145"/>
  <c r="H15" i="112"/>
  <c r="AF16" i="55"/>
  <c r="F25" i="142"/>
  <c r="D35" i="142"/>
  <c r="J16" i="112"/>
  <c r="O16" i="112" s="1"/>
  <c r="D34" i="140"/>
  <c r="H27" i="145"/>
  <c r="D15" i="150"/>
  <c r="D16" i="131"/>
  <c r="D16" i="130"/>
  <c r="D11" i="132"/>
  <c r="J12" i="132"/>
  <c r="D15" i="151"/>
  <c r="O12" i="132"/>
  <c r="D53" i="150"/>
  <c r="P23" i="55"/>
  <c r="E15" i="151"/>
  <c r="E16" i="131"/>
  <c r="P12" i="132"/>
  <c r="E53" i="150"/>
  <c r="F33" i="140"/>
  <c r="N26" i="145"/>
  <c r="G11" i="109"/>
  <c r="E11" i="109" s="1"/>
  <c r="D11" i="109"/>
  <c r="G33" i="140"/>
  <c r="Q26" i="145"/>
  <c r="K16" i="112"/>
  <c r="P16" i="112" s="1"/>
  <c r="F34" i="142"/>
  <c r="O30" i="145"/>
  <c r="E35" i="142"/>
  <c r="G34" i="142"/>
  <c r="K27" i="145"/>
  <c r="E34" i="140"/>
  <c r="I6" i="108"/>
  <c r="J6" i="108"/>
  <c r="L13" i="112"/>
  <c r="G22" i="112" l="1"/>
  <c r="Q22" i="112" s="1"/>
  <c r="F11" i="132"/>
  <c r="T13" i="55"/>
  <c r="G12" i="112" s="1"/>
  <c r="D86" i="109"/>
  <c r="H86" i="109" s="1"/>
  <c r="H53" i="55"/>
  <c r="D52" i="112" s="1"/>
  <c r="D13" i="112"/>
  <c r="Q13" i="112"/>
  <c r="L27" i="145"/>
  <c r="O29" i="145"/>
  <c r="M15" i="112"/>
  <c r="R15" i="112" s="1"/>
  <c r="O27" i="145"/>
  <c r="F24" i="142"/>
  <c r="D15" i="112"/>
  <c r="H5" i="108"/>
  <c r="AB16" i="55"/>
  <c r="G25" i="142"/>
  <c r="I14" i="112"/>
  <c r="N14" i="112" s="1"/>
  <c r="C28" i="145"/>
  <c r="J10" i="84"/>
  <c r="F53" i="150"/>
  <c r="Q12" i="132"/>
  <c r="L12" i="132"/>
  <c r="F16" i="130"/>
  <c r="F15" i="151"/>
  <c r="F16" i="131"/>
  <c r="F15" i="150"/>
  <c r="G26" i="140"/>
  <c r="P27" i="145"/>
  <c r="J4" i="108"/>
  <c r="I4" i="108"/>
  <c r="B24" i="146"/>
  <c r="F24" i="146" s="1"/>
  <c r="M24" i="146" s="1"/>
  <c r="D27" i="145"/>
  <c r="C29" i="145"/>
  <c r="I15" i="112"/>
  <c r="G53" i="150"/>
  <c r="G16" i="131"/>
  <c r="G15" i="150"/>
  <c r="G15" i="151"/>
  <c r="G16" i="130"/>
  <c r="Q15" i="112"/>
  <c r="M26" i="145"/>
  <c r="F25" i="140"/>
  <c r="D120" i="20"/>
  <c r="D122" i="20"/>
  <c r="D121" i="20"/>
  <c r="F10" i="109"/>
  <c r="F9" i="109"/>
  <c r="J13" i="112"/>
  <c r="O13" i="112" s="1"/>
  <c r="D33" i="140"/>
  <c r="H26" i="145"/>
  <c r="D34" i="142"/>
  <c r="E33" i="140"/>
  <c r="K26" i="145"/>
  <c r="L12" i="112"/>
  <c r="L26" i="145"/>
  <c r="G33" i="142"/>
  <c r="E34" i="142"/>
  <c r="K13" i="112"/>
  <c r="P13" i="112" s="1"/>
  <c r="F22" i="112"/>
  <c r="P22" i="112" s="1"/>
  <c r="P13" i="55"/>
  <c r="F33" i="142"/>
  <c r="I30" i="145"/>
  <c r="F56" i="150" l="1"/>
  <c r="F52" i="150" s="1"/>
  <c r="F18" i="150"/>
  <c r="F14" i="150" s="1"/>
  <c r="F19" i="130"/>
  <c r="F15" i="130" s="1"/>
  <c r="Q15" i="132"/>
  <c r="Q11" i="132" s="1"/>
  <c r="L15" i="132"/>
  <c r="L11" i="132" s="1"/>
  <c r="D118" i="20"/>
  <c r="G10" i="109"/>
  <c r="E10" i="109" s="1"/>
  <c r="D10" i="109"/>
  <c r="X23" i="55"/>
  <c r="I5" i="108"/>
  <c r="J5" i="108"/>
  <c r="G24" i="142"/>
  <c r="N15" i="112"/>
  <c r="M13" i="112"/>
  <c r="R13" i="112" s="1"/>
  <c r="Q12" i="112"/>
  <c r="F37" i="109"/>
  <c r="G9" i="109"/>
  <c r="E9" i="109" s="1"/>
  <c r="D9" i="109"/>
  <c r="D68" i="109" s="1"/>
  <c r="H68" i="109" s="1"/>
  <c r="P26" i="145"/>
  <c r="G25" i="140"/>
  <c r="C27" i="145"/>
  <c r="I13" i="112"/>
  <c r="N13" i="112" s="1"/>
  <c r="M25" i="145"/>
  <c r="F24" i="140"/>
  <c r="D26" i="145"/>
  <c r="D33" i="142"/>
  <c r="J12" i="112"/>
  <c r="I26" i="145"/>
  <c r="K12" i="112"/>
  <c r="P15" i="132"/>
  <c r="P11" i="132" s="1"/>
  <c r="E18" i="151"/>
  <c r="E14" i="151" s="1"/>
  <c r="K15" i="132"/>
  <c r="K11" i="132" s="1"/>
  <c r="E19" i="131"/>
  <c r="E15" i="131" s="1"/>
  <c r="E56" i="150"/>
  <c r="E52" i="150" s="1"/>
  <c r="F12" i="112"/>
  <c r="I27" i="145"/>
  <c r="E33" i="142"/>
  <c r="D25" i="145" l="1"/>
  <c r="AF23" i="55"/>
  <c r="G15" i="132"/>
  <c r="G11" i="132" s="1"/>
  <c r="H22" i="112"/>
  <c r="R22" i="112" s="1"/>
  <c r="X13" i="55"/>
  <c r="F14" i="109"/>
  <c r="I12" i="112"/>
  <c r="C26" i="145"/>
  <c r="G24" i="140"/>
  <c r="P25" i="145"/>
  <c r="D37" i="109"/>
  <c r="F47" i="109"/>
  <c r="G37" i="109"/>
  <c r="E37" i="109" s="1"/>
  <c r="O26" i="145"/>
  <c r="M12" i="112"/>
  <c r="P12" i="112"/>
  <c r="D47" i="109" l="1"/>
  <c r="F50" i="109"/>
  <c r="F13" i="142"/>
  <c r="D56" i="145"/>
  <c r="E31" i="139"/>
  <c r="AF13" i="55"/>
  <c r="H12" i="112"/>
  <c r="R12" i="112" s="1"/>
  <c r="G14" i="109"/>
  <c r="F8" i="109"/>
  <c r="G8" i="109" s="1"/>
  <c r="M68" i="145"/>
  <c r="G56" i="150"/>
  <c r="G52" i="150" s="1"/>
  <c r="D22" i="138" l="1"/>
  <c r="E40" i="139"/>
  <c r="F13" i="140"/>
  <c r="G13" i="142"/>
  <c r="E29" i="139"/>
  <c r="B5" i="146"/>
  <c r="F31" i="139"/>
  <c r="F29" i="139" s="1"/>
  <c r="D64" i="145"/>
  <c r="F79" i="107"/>
  <c r="F38" i="107"/>
  <c r="F51" i="107"/>
  <c r="F42" i="107"/>
  <c r="D50" i="109"/>
  <c r="F56" i="109"/>
  <c r="D56" i="109" s="1"/>
  <c r="G50" i="109"/>
  <c r="E50" i="109" s="1"/>
  <c r="P68" i="145"/>
  <c r="D31" i="138" l="1"/>
  <c r="F71" i="107"/>
  <c r="F67" i="107"/>
  <c r="H31" i="139"/>
  <c r="H29" i="139"/>
  <c r="F40" i="139"/>
  <c r="F38" i="139" s="1"/>
  <c r="F108" i="107"/>
  <c r="F95" i="107"/>
  <c r="F99" i="107"/>
  <c r="E22" i="138"/>
  <c r="E20" i="138" s="1"/>
  <c r="C185" i="107"/>
  <c r="C188" i="107" s="1"/>
  <c r="C189" i="107" s="1"/>
  <c r="C191" i="107"/>
  <c r="C194" i="107" s="1"/>
  <c r="C195" i="107" s="1"/>
  <c r="G51" i="107"/>
  <c r="G42" i="107"/>
  <c r="G79" i="107"/>
  <c r="G38" i="107"/>
  <c r="G13" i="140"/>
  <c r="B14" i="146"/>
  <c r="K14" i="146" s="1"/>
  <c r="B23" i="146"/>
  <c r="F23" i="146" s="1"/>
  <c r="M23" i="146" s="1"/>
  <c r="K5" i="146"/>
  <c r="E38" i="139"/>
  <c r="D20" i="138"/>
  <c r="H40" i="139" l="1"/>
  <c r="H38" i="139"/>
  <c r="C204" i="107"/>
  <c r="C198" i="107"/>
  <c r="C201" i="107" s="1"/>
  <c r="E31" i="138"/>
  <c r="E29" i="138" s="1"/>
  <c r="G71" i="107"/>
  <c r="G67" i="107"/>
  <c r="F124" i="107"/>
  <c r="F128" i="107"/>
  <c r="I29" i="138"/>
  <c r="J18" i="153"/>
  <c r="G22" i="138"/>
  <c r="G99" i="107"/>
  <c r="G108" i="107"/>
  <c r="G95" i="107"/>
  <c r="H14" i="153"/>
  <c r="D29" i="138"/>
  <c r="G20" i="138"/>
  <c r="H13" i="153"/>
  <c r="C68" i="145"/>
  <c r="C71" i="145" l="1"/>
  <c r="G31" i="138"/>
  <c r="G29" i="138"/>
  <c r="C79" i="107"/>
  <c r="C42" i="107"/>
  <c r="C38" i="107"/>
  <c r="C51" i="107"/>
  <c r="K18" i="153"/>
  <c r="J29" i="138"/>
  <c r="G128" i="107"/>
  <c r="G124" i="107"/>
  <c r="C67" i="107" l="1"/>
  <c r="C71" i="107"/>
  <c r="C108" i="107"/>
  <c r="C95" i="107"/>
  <c r="C99" i="107"/>
  <c r="C128" i="107" l="1"/>
  <c r="C124" i="107"/>
  <c r="D48" i="127" l="1"/>
  <c r="I48" i="127" s="1"/>
  <c r="C48" i="127"/>
  <c r="H48" i="127" s="1"/>
  <c r="F93" i="150" l="1"/>
  <c r="D23" i="150"/>
  <c r="D20" i="150" s="1"/>
  <c r="D24" i="130"/>
  <c r="D21" i="130" s="1"/>
  <c r="D93" i="150"/>
  <c r="F90" i="150" l="1"/>
  <c r="D23" i="151" l="1"/>
  <c r="D20" i="151" s="1"/>
  <c r="D24" i="131"/>
  <c r="D21" i="131" s="1"/>
  <c r="E23" i="151"/>
  <c r="E20" i="151" s="1"/>
  <c r="E24" i="131"/>
  <c r="E21" i="131" s="1"/>
  <c r="D90" i="150"/>
  <c r="Z19" i="92"/>
  <c r="G10" i="84" l="1"/>
  <c r="F11" i="84"/>
  <c r="F10" i="84" l="1"/>
  <c r="E18" i="110"/>
  <c r="L23" i="55"/>
  <c r="M11" i="84"/>
  <c r="C12" i="132"/>
  <c r="D182" i="84"/>
  <c r="M12" i="132" l="1"/>
  <c r="R12" i="132"/>
  <c r="C15" i="132"/>
  <c r="E5" i="110"/>
  <c r="F5" i="110" s="1"/>
  <c r="F18" i="110"/>
  <c r="C53" i="150"/>
  <c r="E22" i="112"/>
  <c r="O22" i="112" s="1"/>
  <c r="L13" i="55"/>
  <c r="H23" i="55"/>
  <c r="H182" i="84"/>
  <c r="G25" i="108" s="1"/>
  <c r="C25" i="108"/>
  <c r="H3" i="108" s="1"/>
  <c r="C11" i="132" l="1"/>
  <c r="C56" i="150"/>
  <c r="C52" i="150" s="1"/>
  <c r="M15" i="132"/>
  <c r="M11" i="132" s="1"/>
  <c r="R15" i="132"/>
  <c r="R11" i="132" s="1"/>
  <c r="N12" i="132"/>
  <c r="I12" i="132"/>
  <c r="AB23" i="55"/>
  <c r="H13" i="55"/>
  <c r="D22" i="112"/>
  <c r="N22" i="112" s="1"/>
  <c r="E12" i="112"/>
  <c r="O12" i="112" s="1"/>
  <c r="O15" i="132"/>
  <c r="D18" i="151"/>
  <c r="D14" i="151" s="1"/>
  <c r="D56" i="150"/>
  <c r="D52" i="150" s="1"/>
  <c r="J15" i="132"/>
  <c r="D19" i="131"/>
  <c r="D15" i="131" s="1"/>
  <c r="D19" i="130"/>
  <c r="D15" i="130" s="1"/>
  <c r="D18" i="150"/>
  <c r="D14" i="150" s="1"/>
  <c r="J3" i="108"/>
  <c r="I3" i="108"/>
  <c r="C15" i="151" l="1"/>
  <c r="C16" i="131"/>
  <c r="C16" i="130"/>
  <c r="C15" i="150"/>
  <c r="H12" i="132"/>
  <c r="N15" i="132"/>
  <c r="O11" i="132"/>
  <c r="I15" i="132"/>
  <c r="J11" i="132"/>
  <c r="AB13" i="55"/>
  <c r="D12" i="112"/>
  <c r="N12" i="112" s="1"/>
  <c r="H15" i="132" l="1"/>
  <c r="I11" i="132"/>
  <c r="N11" i="132"/>
  <c r="H11" i="132" l="1"/>
  <c r="H27" i="109" l="1"/>
  <c r="I27" i="109" s="1"/>
  <c r="H23" i="109"/>
  <c r="I23" i="109" s="1"/>
  <c r="H22" i="109"/>
  <c r="H26" i="109"/>
  <c r="F102" i="150" l="1"/>
  <c r="J20" i="135"/>
  <c r="D102" i="150"/>
  <c r="K25" i="135"/>
  <c r="J23" i="109"/>
  <c r="K23" i="109" s="1"/>
  <c r="F97" i="150"/>
  <c r="D97" i="150"/>
  <c r="F96" i="150"/>
  <c r="D96" i="150"/>
  <c r="J27" i="109"/>
  <c r="K27" i="109" s="1"/>
  <c r="I26" i="109"/>
  <c r="F22" i="109"/>
  <c r="F98" i="150"/>
  <c r="D98" i="150"/>
  <c r="E127" i="150"/>
  <c r="P20" i="135"/>
  <c r="K20" i="135"/>
  <c r="J26" i="109"/>
  <c r="J22" i="109"/>
  <c r="F27" i="109"/>
  <c r="G27" i="109" s="1"/>
  <c r="F26" i="109"/>
  <c r="I22" i="109"/>
  <c r="D101" i="150"/>
  <c r="F101" i="150"/>
  <c r="F23" i="109"/>
  <c r="I27" i="22"/>
  <c r="O25" i="135" l="1"/>
  <c r="O20" i="135"/>
  <c r="P25" i="135"/>
  <c r="E27" i="109"/>
  <c r="E132" i="150"/>
  <c r="D127" i="150"/>
  <c r="J24" i="109"/>
  <c r="K24" i="109" s="1"/>
  <c r="E8" i="110"/>
  <c r="J24" i="135"/>
  <c r="O24" i="135"/>
  <c r="D131" i="150"/>
  <c r="D23" i="109"/>
  <c r="D67" i="109" s="1"/>
  <c r="G23" i="109"/>
  <c r="E23" i="109" s="1"/>
  <c r="F100" i="150"/>
  <c r="K22" i="109"/>
  <c r="J28" i="109"/>
  <c r="K28" i="109" s="1"/>
  <c r="H28" i="109"/>
  <c r="E9" i="110"/>
  <c r="D130" i="150"/>
  <c r="J23" i="135"/>
  <c r="O23" i="135"/>
  <c r="B42" i="146"/>
  <c r="E47" i="145"/>
  <c r="E48" i="145"/>
  <c r="B43" i="146"/>
  <c r="G22" i="109"/>
  <c r="D22" i="109"/>
  <c r="D66" i="109" s="1"/>
  <c r="E126" i="150"/>
  <c r="P19" i="135"/>
  <c r="K19" i="135"/>
  <c r="D39" i="146"/>
  <c r="C127" i="145"/>
  <c r="H24" i="109"/>
  <c r="P24" i="135"/>
  <c r="K24" i="135"/>
  <c r="E131" i="150"/>
  <c r="F20" i="134"/>
  <c r="F10" i="134" s="1"/>
  <c r="F95" i="150"/>
  <c r="F94" i="150" s="1"/>
  <c r="F84" i="150" s="1"/>
  <c r="E6" i="110"/>
  <c r="E125" i="150"/>
  <c r="P18" i="135"/>
  <c r="K18" i="135"/>
  <c r="D20" i="134"/>
  <c r="D10" i="134" s="1"/>
  <c r="D95" i="150"/>
  <c r="D94" i="150" s="1"/>
  <c r="D84" i="150" s="1"/>
  <c r="D100" i="150"/>
  <c r="D43" i="146"/>
  <c r="G26" i="109"/>
  <c r="K26" i="109"/>
  <c r="D103" i="150"/>
  <c r="F103" i="150"/>
  <c r="E7" i="110"/>
  <c r="B38" i="146"/>
  <c r="E43" i="145"/>
  <c r="O19" i="135"/>
  <c r="J19" i="135"/>
  <c r="D126" i="150"/>
  <c r="C126" i="145"/>
  <c r="K23" i="135"/>
  <c r="P23" i="135"/>
  <c r="E130" i="150"/>
  <c r="J18" i="135"/>
  <c r="D125" i="150"/>
  <c r="O18" i="135"/>
  <c r="B39" i="146"/>
  <c r="E44" i="145"/>
  <c r="P26" i="135" l="1"/>
  <c r="J26" i="135"/>
  <c r="J25" i="135"/>
  <c r="D132" i="150"/>
  <c r="J25" i="109"/>
  <c r="K25" i="109" s="1"/>
  <c r="E26" i="109"/>
  <c r="E22" i="109"/>
  <c r="F25" i="134"/>
  <c r="F31" i="134" s="1"/>
  <c r="F7" i="110"/>
  <c r="F112" i="140"/>
  <c r="F9" i="110"/>
  <c r="F24" i="109"/>
  <c r="P21" i="135"/>
  <c r="K21" i="135"/>
  <c r="E128" i="150"/>
  <c r="E124" i="150" s="1"/>
  <c r="E117" i="150" s="1"/>
  <c r="D99" i="150"/>
  <c r="D105" i="150" s="1"/>
  <c r="E17" i="135"/>
  <c r="E112" i="142"/>
  <c r="F6" i="110"/>
  <c r="E116" i="142"/>
  <c r="G112" i="140"/>
  <c r="D116" i="140"/>
  <c r="F8" i="110"/>
  <c r="E32" i="151"/>
  <c r="E70" i="150"/>
  <c r="P29" i="132"/>
  <c r="E33" i="131"/>
  <c r="K29" i="132"/>
  <c r="J21" i="135"/>
  <c r="O21" i="135"/>
  <c r="D128" i="150"/>
  <c r="D124" i="150" s="1"/>
  <c r="D117" i="150" s="1"/>
  <c r="D25" i="134"/>
  <c r="D31" i="134" s="1"/>
  <c r="G116" i="142"/>
  <c r="I24" i="109"/>
  <c r="H21" i="109"/>
  <c r="I21" i="109" s="1"/>
  <c r="D112" i="140"/>
  <c r="I34" i="112"/>
  <c r="C48" i="145"/>
  <c r="I28" i="109"/>
  <c r="H25" i="109"/>
  <c r="I25" i="109" s="1"/>
  <c r="J24" i="132"/>
  <c r="D27" i="150"/>
  <c r="D65" i="150"/>
  <c r="D28" i="130"/>
  <c r="D27" i="151"/>
  <c r="O24" i="132"/>
  <c r="D28" i="131"/>
  <c r="G116" i="140"/>
  <c r="F28" i="109"/>
  <c r="G112" i="142"/>
  <c r="D116" i="142"/>
  <c r="H66" i="109"/>
  <c r="J21" i="109"/>
  <c r="H67" i="109"/>
  <c r="J29" i="132"/>
  <c r="D70" i="150"/>
  <c r="D32" i="150"/>
  <c r="D33" i="130"/>
  <c r="D32" i="151"/>
  <c r="O29" i="132"/>
  <c r="D33" i="131"/>
  <c r="I30" i="112"/>
  <c r="C44" i="145"/>
  <c r="E116" i="140"/>
  <c r="F116" i="142"/>
  <c r="I33" i="112"/>
  <c r="C47" i="145"/>
  <c r="E10" i="110"/>
  <c r="D38" i="146"/>
  <c r="F112" i="142"/>
  <c r="C43" i="145"/>
  <c r="I29" i="112"/>
  <c r="D17" i="135"/>
  <c r="F116" i="140"/>
  <c r="D42" i="146"/>
  <c r="D112" i="142"/>
  <c r="E112" i="140"/>
  <c r="F99" i="150"/>
  <c r="F105" i="150" s="1"/>
  <c r="P24" i="132"/>
  <c r="E28" i="131"/>
  <c r="E27" i="151"/>
  <c r="E65" i="150"/>
  <c r="K24" i="132"/>
  <c r="E133" i="150" l="1"/>
  <c r="E129" i="150" s="1"/>
  <c r="K26" i="135"/>
  <c r="E22" i="135"/>
  <c r="K22" i="135" s="1"/>
  <c r="D133" i="150"/>
  <c r="D129" i="150" s="1"/>
  <c r="O26" i="135"/>
  <c r="D22" i="135"/>
  <c r="J22" i="135" s="1"/>
  <c r="D44" i="146"/>
  <c r="H47" i="145"/>
  <c r="D48" i="140"/>
  <c r="E111" i="142"/>
  <c r="P25" i="132"/>
  <c r="K25" i="132"/>
  <c r="E66" i="150"/>
  <c r="N47" i="145"/>
  <c r="F48" i="140"/>
  <c r="G45" i="140"/>
  <c r="Q44" i="145"/>
  <c r="O23" i="132"/>
  <c r="D27" i="130"/>
  <c r="D64" i="150"/>
  <c r="D27" i="131"/>
  <c r="D26" i="150"/>
  <c r="D26" i="151"/>
  <c r="J23" i="132"/>
  <c r="O30" i="132"/>
  <c r="D34" i="130"/>
  <c r="D71" i="150"/>
  <c r="D33" i="150"/>
  <c r="J30" i="132"/>
  <c r="P17" i="135"/>
  <c r="P10" i="135" s="1"/>
  <c r="E10" i="135"/>
  <c r="K17" i="135"/>
  <c r="K10" i="135" s="1"/>
  <c r="E111" i="140"/>
  <c r="G24" i="109"/>
  <c r="E24" i="109" s="1"/>
  <c r="D24" i="109"/>
  <c r="F21" i="109"/>
  <c r="N44" i="145"/>
  <c r="F45" i="140"/>
  <c r="D111" i="140"/>
  <c r="G49" i="140"/>
  <c r="Q48" i="145"/>
  <c r="D115" i="142"/>
  <c r="K23" i="132"/>
  <c r="E26" i="151"/>
  <c r="P23" i="132"/>
  <c r="E27" i="131"/>
  <c r="E64" i="150"/>
  <c r="D30" i="151"/>
  <c r="D30" i="150"/>
  <c r="D26" i="132"/>
  <c r="D68" i="150"/>
  <c r="J27" i="132"/>
  <c r="D31" i="130"/>
  <c r="D31" i="131"/>
  <c r="O27" i="132"/>
  <c r="O17" i="135"/>
  <c r="J17" i="135"/>
  <c r="D10" i="135"/>
  <c r="G44" i="140"/>
  <c r="Q43" i="145"/>
  <c r="F115" i="142"/>
  <c r="Q47" i="145"/>
  <c r="G48" i="140"/>
  <c r="K21" i="109"/>
  <c r="J7" i="109"/>
  <c r="G115" i="140"/>
  <c r="F111" i="142"/>
  <c r="O28" i="132"/>
  <c r="D32" i="130"/>
  <c r="D69" i="150"/>
  <c r="D31" i="150"/>
  <c r="D31" i="151"/>
  <c r="D32" i="131"/>
  <c r="J28" i="132"/>
  <c r="K47" i="145"/>
  <c r="E48" i="140"/>
  <c r="E26" i="132"/>
  <c r="E30" i="151"/>
  <c r="E68" i="150"/>
  <c r="K27" i="132"/>
  <c r="P27" i="132"/>
  <c r="E31" i="131"/>
  <c r="D26" i="131"/>
  <c r="D25" i="151"/>
  <c r="D25" i="150"/>
  <c r="O22" i="132"/>
  <c r="D63" i="150"/>
  <c r="D26" i="130"/>
  <c r="J22" i="132"/>
  <c r="D21" i="132"/>
  <c r="D10" i="132" s="1"/>
  <c r="D111" i="142"/>
  <c r="F49" i="140"/>
  <c r="N48" i="145"/>
  <c r="F44" i="140"/>
  <c r="N43" i="145"/>
  <c r="E26" i="131"/>
  <c r="E25" i="151"/>
  <c r="K22" i="132"/>
  <c r="E63" i="150"/>
  <c r="P22" i="132"/>
  <c r="E21" i="132"/>
  <c r="E32" i="131"/>
  <c r="P28" i="132"/>
  <c r="E31" i="151"/>
  <c r="E69" i="150"/>
  <c r="K28" i="132"/>
  <c r="H43" i="145"/>
  <c r="D44" i="140"/>
  <c r="F10" i="110"/>
  <c r="K44" i="145"/>
  <c r="E45" i="140"/>
  <c r="B41" i="146"/>
  <c r="E46" i="145"/>
  <c r="H48" i="145"/>
  <c r="D49" i="140"/>
  <c r="K30" i="132"/>
  <c r="P30" i="132"/>
  <c r="E71" i="150"/>
  <c r="E115" i="140"/>
  <c r="F111" i="140"/>
  <c r="F115" i="140"/>
  <c r="G115" i="142"/>
  <c r="E115" i="142"/>
  <c r="E44" i="140"/>
  <c r="K43" i="145"/>
  <c r="G111" i="140"/>
  <c r="O25" i="132"/>
  <c r="D28" i="150"/>
  <c r="D29" i="130"/>
  <c r="D66" i="150"/>
  <c r="J25" i="132"/>
  <c r="D115" i="140"/>
  <c r="D45" i="140"/>
  <c r="H44" i="145"/>
  <c r="D28" i="109"/>
  <c r="G28" i="109"/>
  <c r="E28" i="109" s="1"/>
  <c r="F25" i="109"/>
  <c r="E49" i="140"/>
  <c r="K48" i="145"/>
  <c r="G111" i="142"/>
  <c r="E42" i="145"/>
  <c r="B37" i="146"/>
  <c r="P22" i="135" l="1"/>
  <c r="C129" i="145"/>
  <c r="O22" i="135"/>
  <c r="D41" i="146"/>
  <c r="C128" i="145"/>
  <c r="F117" i="140"/>
  <c r="D117" i="140"/>
  <c r="G114" i="140"/>
  <c r="G117" i="140"/>
  <c r="E117" i="140"/>
  <c r="D40" i="132"/>
  <c r="D30" i="130"/>
  <c r="I48" i="145"/>
  <c r="E49" i="142"/>
  <c r="M29" i="112"/>
  <c r="L47" i="145"/>
  <c r="F48" i="142"/>
  <c r="L33" i="112"/>
  <c r="K34" i="112"/>
  <c r="D44" i="142"/>
  <c r="D62" i="150"/>
  <c r="D51" i="150" s="1"/>
  <c r="E25" i="145"/>
  <c r="I32" i="112"/>
  <c r="C46" i="145"/>
  <c r="P21" i="132"/>
  <c r="P10" i="132" s="1"/>
  <c r="K21" i="132"/>
  <c r="K10" i="132" s="1"/>
  <c r="E10" i="132"/>
  <c r="D114" i="150"/>
  <c r="G44" i="142"/>
  <c r="O43" i="145"/>
  <c r="L30" i="112"/>
  <c r="D48" i="142"/>
  <c r="J30" i="112"/>
  <c r="I43" i="145"/>
  <c r="E44" i="142"/>
  <c r="B40" i="146"/>
  <c r="E45" i="145"/>
  <c r="M33" i="112"/>
  <c r="M34" i="112"/>
  <c r="F45" i="142"/>
  <c r="D21" i="109"/>
  <c r="G21" i="109"/>
  <c r="E21" i="109" s="1"/>
  <c r="F7" i="109"/>
  <c r="M30" i="112"/>
  <c r="J33" i="112"/>
  <c r="J34" i="112"/>
  <c r="D45" i="142"/>
  <c r="K29" i="112"/>
  <c r="J29" i="112"/>
  <c r="D114" i="140"/>
  <c r="E114" i="140"/>
  <c r="K30" i="112"/>
  <c r="E62" i="150"/>
  <c r="E51" i="150" s="1"/>
  <c r="L43" i="145"/>
  <c r="F44" i="142"/>
  <c r="F49" i="142"/>
  <c r="L48" i="145"/>
  <c r="O21" i="132"/>
  <c r="J21" i="132"/>
  <c r="E67" i="150"/>
  <c r="E48" i="142"/>
  <c r="I47" i="145"/>
  <c r="K7" i="109"/>
  <c r="J35" i="109"/>
  <c r="G48" i="142"/>
  <c r="J10" i="135"/>
  <c r="D67" i="150"/>
  <c r="O48" i="145"/>
  <c r="G49" i="142"/>
  <c r="D40" i="146"/>
  <c r="G45" i="142"/>
  <c r="G25" i="109"/>
  <c r="E25" i="109" s="1"/>
  <c r="D25" i="109"/>
  <c r="D49" i="142"/>
  <c r="B54" i="146"/>
  <c r="L34" i="112"/>
  <c r="D24" i="150"/>
  <c r="D13" i="150" s="1"/>
  <c r="C42" i="145"/>
  <c r="I28" i="112"/>
  <c r="B44" i="146"/>
  <c r="E49" i="145"/>
  <c r="I44" i="145"/>
  <c r="E45" i="142"/>
  <c r="L29" i="112"/>
  <c r="K33" i="112"/>
  <c r="O10" i="135"/>
  <c r="J26" i="132"/>
  <c r="O26" i="132"/>
  <c r="D25" i="130"/>
  <c r="D14" i="130" s="1"/>
  <c r="P26" i="132"/>
  <c r="K26" i="132"/>
  <c r="D29" i="150"/>
  <c r="F114" i="140" l="1"/>
  <c r="C125" i="145"/>
  <c r="J38" i="115"/>
  <c r="X23" i="114"/>
  <c r="V23" i="114"/>
  <c r="D25" i="133"/>
  <c r="D34" i="131"/>
  <c r="D30" i="131" s="1"/>
  <c r="D33" i="151"/>
  <c r="D29" i="151" s="1"/>
  <c r="E25" i="133"/>
  <c r="E33" i="151"/>
  <c r="E29" i="151" s="1"/>
  <c r="E34" i="131"/>
  <c r="E30" i="131" s="1"/>
  <c r="D113" i="142"/>
  <c r="C43" i="146"/>
  <c r="F43" i="146" s="1"/>
  <c r="M43" i="146" s="1"/>
  <c r="J39" i="109"/>
  <c r="K35" i="109"/>
  <c r="J36" i="109"/>
  <c r="J45" i="109"/>
  <c r="D113" i="140"/>
  <c r="E56" i="145"/>
  <c r="J10" i="132"/>
  <c r="O47" i="145"/>
  <c r="L44" i="145"/>
  <c r="D20" i="133"/>
  <c r="D10" i="133" s="1"/>
  <c r="D28" i="151"/>
  <c r="D24" i="151" s="1"/>
  <c r="D13" i="151" s="1"/>
  <c r="D29" i="131"/>
  <c r="D25" i="131" s="1"/>
  <c r="D14" i="131" s="1"/>
  <c r="O10" i="132"/>
  <c r="E113" i="140"/>
  <c r="E20" i="133"/>
  <c r="E10" i="133" s="1"/>
  <c r="E28" i="151"/>
  <c r="E24" i="151" s="1"/>
  <c r="E13" i="151" s="1"/>
  <c r="E29" i="131"/>
  <c r="E25" i="131" s="1"/>
  <c r="E14" i="131" s="1"/>
  <c r="C49" i="145"/>
  <c r="I35" i="112"/>
  <c r="F113" i="140"/>
  <c r="D37" i="146"/>
  <c r="O44" i="145"/>
  <c r="B15" i="111"/>
  <c r="B16" i="111" s="1"/>
  <c r="B24" i="111"/>
  <c r="B25" i="111" s="1"/>
  <c r="I42" i="112"/>
  <c r="C56" i="145"/>
  <c r="C45" i="145"/>
  <c r="I31" i="112"/>
  <c r="C42" i="146"/>
  <c r="F42" i="146" s="1"/>
  <c r="M42" i="146" s="1"/>
  <c r="G7" i="109"/>
  <c r="F35" i="109"/>
  <c r="D112" i="150"/>
  <c r="F113" i="142"/>
  <c r="C25" i="145"/>
  <c r="I11" i="112"/>
  <c r="E113" i="142"/>
  <c r="G113" i="140"/>
  <c r="C118" i="145"/>
  <c r="G113" i="142"/>
  <c r="C38" i="146"/>
  <c r="F38" i="146" s="1"/>
  <c r="M38" i="146" s="1"/>
  <c r="C39" i="146"/>
  <c r="F39" i="146" s="1"/>
  <c r="M39" i="146" s="1"/>
  <c r="G117" i="142" l="1"/>
  <c r="E117" i="142"/>
  <c r="F117" i="142"/>
  <c r="D117" i="142"/>
  <c r="E28" i="111"/>
  <c r="E29" i="111" s="1"/>
  <c r="W23" i="114"/>
  <c r="Y23" i="114"/>
  <c r="Y20" i="114"/>
  <c r="V20" i="114"/>
  <c r="F131" i="142"/>
  <c r="W20" i="114"/>
  <c r="D31" i="133"/>
  <c r="D8" i="133" s="1"/>
  <c r="E31" i="133"/>
  <c r="E8" i="133" s="1"/>
  <c r="B28" i="111"/>
  <c r="B29" i="111" s="1"/>
  <c r="B19" i="111"/>
  <c r="B20" i="111" s="1"/>
  <c r="E85" i="142"/>
  <c r="F84" i="140"/>
  <c r="D54" i="146"/>
  <c r="D84" i="142"/>
  <c r="G81" i="142"/>
  <c r="D85" i="140"/>
  <c r="D110" i="142"/>
  <c r="E131" i="142"/>
  <c r="F45" i="109"/>
  <c r="F36" i="109"/>
  <c r="F39" i="109"/>
  <c r="G35" i="109"/>
  <c r="C91" i="145"/>
  <c r="N45" i="145"/>
  <c r="F46" i="140"/>
  <c r="G84" i="142"/>
  <c r="E80" i="142"/>
  <c r="E81" i="142"/>
  <c r="E85" i="140"/>
  <c r="G84" i="140"/>
  <c r="D46" i="140"/>
  <c r="H45" i="145"/>
  <c r="E84" i="142"/>
  <c r="D80" i="142"/>
  <c r="H49" i="145"/>
  <c r="D50" i="140"/>
  <c r="J42" i="109"/>
  <c r="K45" i="109"/>
  <c r="C92" i="145"/>
  <c r="E80" i="140"/>
  <c r="G80" i="140"/>
  <c r="E81" i="140"/>
  <c r="D80" i="140"/>
  <c r="G110" i="142"/>
  <c r="E124" i="142"/>
  <c r="E46" i="140"/>
  <c r="K45" i="145"/>
  <c r="F110" i="140"/>
  <c r="Q49" i="145"/>
  <c r="G50" i="140"/>
  <c r="D124" i="142"/>
  <c r="D81" i="142"/>
  <c r="F85" i="140"/>
  <c r="G81" i="140"/>
  <c r="F81" i="140"/>
  <c r="F124" i="142"/>
  <c r="C88" i="145"/>
  <c r="G85" i="142"/>
  <c r="D81" i="140"/>
  <c r="C87" i="145"/>
  <c r="D85" i="142"/>
  <c r="G110" i="140"/>
  <c r="X20" i="114"/>
  <c r="E84" i="140"/>
  <c r="G46" i="140"/>
  <c r="Q45" i="145"/>
  <c r="F84" i="142"/>
  <c r="G80" i="142"/>
  <c r="N49" i="145"/>
  <c r="F50" i="140"/>
  <c r="E110" i="140"/>
  <c r="D110" i="140"/>
  <c r="F81" i="142"/>
  <c r="J38" i="109"/>
  <c r="K36" i="109"/>
  <c r="G85" i="140"/>
  <c r="G131" i="142"/>
  <c r="F80" i="140"/>
  <c r="F85" i="142"/>
  <c r="E110" i="142"/>
  <c r="D84" i="140"/>
  <c r="F80" i="142"/>
  <c r="K49" i="145"/>
  <c r="E50" i="140"/>
  <c r="E114" i="142" l="1"/>
  <c r="G114" i="142"/>
  <c r="D114" i="142"/>
  <c r="F114" i="142"/>
  <c r="F110" i="142"/>
  <c r="G124" i="142"/>
  <c r="U23" i="114"/>
  <c r="D131" i="142"/>
  <c r="E128" i="142"/>
  <c r="U20" i="114"/>
  <c r="R26" i="115"/>
  <c r="R16" i="115" s="1"/>
  <c r="E10" i="151"/>
  <c r="E11" i="131"/>
  <c r="D10" i="151"/>
  <c r="D11" i="131"/>
  <c r="R25" i="115"/>
  <c r="R15" i="115" s="1"/>
  <c r="K46" i="145"/>
  <c r="E47" i="140"/>
  <c r="D86" i="142"/>
  <c r="U25" i="92"/>
  <c r="Z25" i="92" s="1"/>
  <c r="Q46" i="145"/>
  <c r="G47" i="140"/>
  <c r="F103" i="140"/>
  <c r="E46" i="142"/>
  <c r="D47" i="140"/>
  <c r="H46" i="145"/>
  <c r="F43" i="140"/>
  <c r="N42" i="145"/>
  <c r="V30" i="92"/>
  <c r="G86" i="142"/>
  <c r="E103" i="140"/>
  <c r="K42" i="145"/>
  <c r="E43" i="140"/>
  <c r="H42" i="145"/>
  <c r="D43" i="140"/>
  <c r="D46" i="142"/>
  <c r="C37" i="146"/>
  <c r="F37" i="146" s="1"/>
  <c r="M37" i="146" s="1"/>
  <c r="D103" i="142"/>
  <c r="V24" i="92"/>
  <c r="F83" i="142"/>
  <c r="G46" i="142"/>
  <c r="C41" i="146"/>
  <c r="F41" i="146" s="1"/>
  <c r="M41" i="146" s="1"/>
  <c r="V28" i="92"/>
  <c r="V25" i="92"/>
  <c r="C28" i="111"/>
  <c r="C29" i="111" s="1"/>
  <c r="C19" i="111"/>
  <c r="C20" i="111" s="1"/>
  <c r="D28" i="111"/>
  <c r="D29" i="111" s="1"/>
  <c r="U24" i="92"/>
  <c r="Z24" i="92" s="1"/>
  <c r="U30" i="92"/>
  <c r="Z30" i="92" s="1"/>
  <c r="F86" i="142"/>
  <c r="D103" i="140"/>
  <c r="F50" i="142"/>
  <c r="U28" i="92"/>
  <c r="Z28" i="92" s="1"/>
  <c r="J41" i="109"/>
  <c r="K42" i="109"/>
  <c r="G36" i="109"/>
  <c r="F38" i="109"/>
  <c r="D111" i="150"/>
  <c r="D110" i="150" s="1"/>
  <c r="D36" i="134"/>
  <c r="D8" i="134" s="1"/>
  <c r="W19" i="114"/>
  <c r="Q42" i="145"/>
  <c r="G43" i="140"/>
  <c r="F128" i="142"/>
  <c r="F42" i="109"/>
  <c r="G45" i="109"/>
  <c r="E19" i="111"/>
  <c r="E20" i="111" s="1"/>
  <c r="U29" i="92"/>
  <c r="Z29" i="92" s="1"/>
  <c r="E50" i="142"/>
  <c r="E103" i="142"/>
  <c r="E86" i="142"/>
  <c r="F47" i="140"/>
  <c r="N46" i="145"/>
  <c r="F103" i="142"/>
  <c r="G103" i="140"/>
  <c r="V29" i="92"/>
  <c r="G50" i="142"/>
  <c r="G103" i="142"/>
  <c r="D50" i="142"/>
  <c r="F46" i="142"/>
  <c r="F19" i="111"/>
  <c r="F20" i="111" s="1"/>
  <c r="F28" i="111"/>
  <c r="F29" i="111" s="1"/>
  <c r="D128" i="142" l="1"/>
  <c r="X19" i="114"/>
  <c r="G128" i="142"/>
  <c r="Y19" i="114"/>
  <c r="V19" i="114"/>
  <c r="V27" i="92"/>
  <c r="K56" i="145"/>
  <c r="E52" i="140"/>
  <c r="D52" i="140"/>
  <c r="H56" i="145"/>
  <c r="E17" i="58"/>
  <c r="E11" i="153" s="1"/>
  <c r="E24" i="58"/>
  <c r="E21" i="58" s="1"/>
  <c r="E51" i="58" s="1"/>
  <c r="E28" i="58"/>
  <c r="E124" i="140"/>
  <c r="D124" i="140"/>
  <c r="C44" i="146"/>
  <c r="F44" i="146" s="1"/>
  <c r="M44" i="146" s="1"/>
  <c r="C40" i="146"/>
  <c r="F40" i="146" s="1"/>
  <c r="M40" i="146" s="1"/>
  <c r="K28" i="112"/>
  <c r="N25" i="145"/>
  <c r="F32" i="140"/>
  <c r="F31" i="93"/>
  <c r="E33" i="107"/>
  <c r="F27" i="93"/>
  <c r="F24" i="93" s="1"/>
  <c r="F62" i="93" s="1"/>
  <c r="K32" i="112"/>
  <c r="G124" i="140"/>
  <c r="L32" i="112"/>
  <c r="Y18" i="114"/>
  <c r="G32" i="140"/>
  <c r="Q25" i="145"/>
  <c r="E127" i="142"/>
  <c r="E27" i="93"/>
  <c r="E24" i="93" s="1"/>
  <c r="E62" i="93" s="1"/>
  <c r="D33" i="107"/>
  <c r="C205" i="107" s="1"/>
  <c r="E31" i="93"/>
  <c r="D47" i="142"/>
  <c r="O42" i="145"/>
  <c r="G43" i="142"/>
  <c r="D51" i="146"/>
  <c r="G83" i="142"/>
  <c r="F52" i="140"/>
  <c r="N56" i="145"/>
  <c r="X16" i="114"/>
  <c r="X30" i="114" s="1"/>
  <c r="G42" i="109"/>
  <c r="M28" i="112"/>
  <c r="D83" i="142"/>
  <c r="K41" i="109"/>
  <c r="J40" i="109"/>
  <c r="W16" i="114"/>
  <c r="W30" i="114" s="1"/>
  <c r="D43" i="142"/>
  <c r="V18" i="114"/>
  <c r="J32" i="112"/>
  <c r="J28" i="112"/>
  <c r="Y16" i="114"/>
  <c r="Y30" i="114" s="1"/>
  <c r="F41" i="109"/>
  <c r="D11" i="130"/>
  <c r="Q25" i="115"/>
  <c r="Q15" i="115" s="1"/>
  <c r="D10" i="150"/>
  <c r="V16" i="114"/>
  <c r="H25" i="145"/>
  <c r="D32" i="140"/>
  <c r="F43" i="142"/>
  <c r="M32" i="112"/>
  <c r="W18" i="114"/>
  <c r="X18" i="114"/>
  <c r="E83" i="142"/>
  <c r="F47" i="142"/>
  <c r="F124" i="140"/>
  <c r="E32" i="140"/>
  <c r="K25" i="145"/>
  <c r="E43" i="142"/>
  <c r="L28" i="112"/>
  <c r="G47" i="142"/>
  <c r="E47" i="142"/>
  <c r="F11" i="153" l="1"/>
  <c r="F8" i="153" s="1"/>
  <c r="E8" i="153"/>
  <c r="G127" i="142"/>
  <c r="D127" i="142"/>
  <c r="U19" i="114"/>
  <c r="F127" i="142"/>
  <c r="K42" i="112"/>
  <c r="D24" i="111"/>
  <c r="D25" i="111" s="1"/>
  <c r="C24" i="111"/>
  <c r="C25" i="111" s="1"/>
  <c r="C15" i="111"/>
  <c r="C16" i="111" s="1"/>
  <c r="J42" i="112"/>
  <c r="F82" i="142"/>
  <c r="L45" i="145"/>
  <c r="F32" i="142"/>
  <c r="V30" i="114"/>
  <c r="U30" i="114" s="1"/>
  <c r="U16" i="114"/>
  <c r="X13" i="114"/>
  <c r="X27" i="114" s="1"/>
  <c r="K35" i="135"/>
  <c r="E142" i="150"/>
  <c r="P35" i="135"/>
  <c r="G86" i="140"/>
  <c r="E82" i="142"/>
  <c r="D49" i="146"/>
  <c r="J11" i="112"/>
  <c r="F131" i="140"/>
  <c r="O45" i="145"/>
  <c r="O25" i="145"/>
  <c r="M11" i="112"/>
  <c r="L35" i="112"/>
  <c r="K31" i="112"/>
  <c r="C89" i="145"/>
  <c r="D131" i="140"/>
  <c r="Y13" i="114"/>
  <c r="Y27" i="114" s="1"/>
  <c r="U18" i="114"/>
  <c r="D32" i="142"/>
  <c r="L42" i="112"/>
  <c r="E15" i="111"/>
  <c r="E16" i="111" s="1"/>
  <c r="G82" i="140"/>
  <c r="C93" i="145"/>
  <c r="E52" i="142"/>
  <c r="E32" i="142"/>
  <c r="L31" i="112"/>
  <c r="G52" i="140"/>
  <c r="Q56" i="145"/>
  <c r="U27" i="92"/>
  <c r="Z27" i="92" s="1"/>
  <c r="G131" i="140"/>
  <c r="J31" i="112"/>
  <c r="E35" i="93"/>
  <c r="E32" i="93" s="1"/>
  <c r="E28" i="93"/>
  <c r="L46" i="145"/>
  <c r="K35" i="112"/>
  <c r="L25" i="145"/>
  <c r="L11" i="112"/>
  <c r="I42" i="145"/>
  <c r="F82" i="140"/>
  <c r="F86" i="140"/>
  <c r="E32" i="58"/>
  <c r="E29" i="58" s="1"/>
  <c r="E25" i="58"/>
  <c r="G52" i="142"/>
  <c r="F24" i="111"/>
  <c r="F25" i="111" s="1"/>
  <c r="M42" i="112"/>
  <c r="F15" i="111"/>
  <c r="F16" i="111" s="1"/>
  <c r="G82" i="142"/>
  <c r="K11" i="112"/>
  <c r="I25" i="145"/>
  <c r="O46" i="145"/>
  <c r="W13" i="114"/>
  <c r="W27" i="114" s="1"/>
  <c r="D62" i="107"/>
  <c r="B162" i="107"/>
  <c r="D37" i="107"/>
  <c r="D90" i="107"/>
  <c r="D41" i="107"/>
  <c r="J35" i="135"/>
  <c r="O35" i="135"/>
  <c r="D142" i="150"/>
  <c r="B163" i="107"/>
  <c r="E90" i="107"/>
  <c r="E41" i="107"/>
  <c r="E62" i="107"/>
  <c r="E70" i="107" s="1"/>
  <c r="D82" i="140"/>
  <c r="D86" i="140"/>
  <c r="D82" i="142"/>
  <c r="L42" i="145"/>
  <c r="M35" i="112"/>
  <c r="V13" i="114"/>
  <c r="G41" i="109"/>
  <c r="J35" i="112"/>
  <c r="E131" i="140"/>
  <c r="J46" i="109"/>
  <c r="K40" i="109"/>
  <c r="J48" i="109"/>
  <c r="M31" i="112"/>
  <c r="G32" i="142"/>
  <c r="E126" i="142"/>
  <c r="I46" i="145"/>
  <c r="F28" i="93"/>
  <c r="F35" i="93"/>
  <c r="F32" i="93" s="1"/>
  <c r="E82" i="140"/>
  <c r="E86" i="140"/>
  <c r="C206" i="107" l="1"/>
  <c r="C207" i="107" s="1"/>
  <c r="C208" i="107" s="1"/>
  <c r="E26" i="147" s="1"/>
  <c r="C202" i="107"/>
  <c r="E24" i="147" s="1"/>
  <c r="H11" i="153"/>
  <c r="H8" i="153"/>
  <c r="D126" i="142"/>
  <c r="G126" i="142"/>
  <c r="F102" i="142"/>
  <c r="F126" i="142"/>
  <c r="O49" i="145"/>
  <c r="I49" i="145"/>
  <c r="V12" i="114"/>
  <c r="D79" i="142"/>
  <c r="D83" i="140"/>
  <c r="E119" i="107"/>
  <c r="E127" i="107" s="1"/>
  <c r="E98" i="107"/>
  <c r="D66" i="107"/>
  <c r="D70" i="107"/>
  <c r="G79" i="142"/>
  <c r="D52" i="142"/>
  <c r="G16" i="114"/>
  <c r="C86" i="145"/>
  <c r="E24" i="111"/>
  <c r="E25" i="111" s="1"/>
  <c r="E79" i="142"/>
  <c r="U26" i="92"/>
  <c r="Z26" i="92" s="1"/>
  <c r="B213" i="107"/>
  <c r="W12" i="114"/>
  <c r="W26" i="114" s="1"/>
  <c r="D102" i="142"/>
  <c r="V26" i="92"/>
  <c r="G23" i="114"/>
  <c r="K49" i="112"/>
  <c r="M49" i="112"/>
  <c r="E45" i="139"/>
  <c r="E36" i="139"/>
  <c r="D48" i="146"/>
  <c r="F79" i="140"/>
  <c r="E44" i="131"/>
  <c r="E43" i="151"/>
  <c r="P39" i="132"/>
  <c r="E80" i="150"/>
  <c r="K39" i="132"/>
  <c r="G79" i="140"/>
  <c r="Y12" i="114"/>
  <c r="Y26" i="114" s="1"/>
  <c r="G83" i="140"/>
  <c r="E102" i="142"/>
  <c r="E83" i="140"/>
  <c r="E140" i="150"/>
  <c r="P33" i="135"/>
  <c r="K33" i="135"/>
  <c r="D119" i="107"/>
  <c r="D94" i="107"/>
  <c r="D98" i="107"/>
  <c r="E128" i="140"/>
  <c r="F83" i="140"/>
  <c r="C90" i="145"/>
  <c r="G102" i="142"/>
  <c r="J49" i="112"/>
  <c r="X12" i="114"/>
  <c r="X26" i="114" s="1"/>
  <c r="F79" i="142"/>
  <c r="E79" i="140"/>
  <c r="K46" i="109"/>
  <c r="J49" i="109"/>
  <c r="C64" i="107"/>
  <c r="C92" i="107"/>
  <c r="C121" i="107" s="1"/>
  <c r="E27" i="139"/>
  <c r="I45" i="145"/>
  <c r="J39" i="132"/>
  <c r="O39" i="132"/>
  <c r="D80" i="150"/>
  <c r="D44" i="131"/>
  <c r="D43" i="151"/>
  <c r="D44" i="130"/>
  <c r="D43" i="150"/>
  <c r="L49" i="145"/>
  <c r="F52" i="142"/>
  <c r="L49" i="112"/>
  <c r="D128" i="140"/>
  <c r="J54" i="109"/>
  <c r="K48" i="109"/>
  <c r="V27" i="114"/>
  <c r="U27" i="114" s="1"/>
  <c r="U13" i="114"/>
  <c r="O33" i="135"/>
  <c r="D140" i="150"/>
  <c r="J33" i="135"/>
  <c r="D79" i="140"/>
  <c r="B174" i="107"/>
  <c r="G128" i="140"/>
  <c r="E18" i="139"/>
  <c r="F128" i="140"/>
  <c r="H23" i="114" l="1"/>
  <c r="F60" i="140"/>
  <c r="N63" i="145"/>
  <c r="J55" i="109"/>
  <c r="K49" i="109"/>
  <c r="G127" i="140"/>
  <c r="F36" i="139"/>
  <c r="H36" i="139" s="1"/>
  <c r="I23" i="114"/>
  <c r="G60" i="140"/>
  <c r="Q63" i="145"/>
  <c r="D127" i="140"/>
  <c r="E92" i="107"/>
  <c r="E121" i="107" s="1"/>
  <c r="E64" i="107"/>
  <c r="X11" i="114"/>
  <c r="X25" i="114" s="1"/>
  <c r="Y11" i="114"/>
  <c r="Y25" i="114" s="1"/>
  <c r="G60" i="142"/>
  <c r="I16" i="114"/>
  <c r="D47" i="146"/>
  <c r="D52" i="146" s="1"/>
  <c r="F92" i="107"/>
  <c r="F121" i="107" s="1"/>
  <c r="F64" i="107"/>
  <c r="G92" i="107"/>
  <c r="G121" i="107" s="1"/>
  <c r="G64" i="107"/>
  <c r="B214" i="107"/>
  <c r="B215" i="107" s="1"/>
  <c r="F27" i="139"/>
  <c r="H27" i="139" s="1"/>
  <c r="F127" i="140"/>
  <c r="I49" i="112"/>
  <c r="C63" i="145"/>
  <c r="F45" i="139"/>
  <c r="H45" i="139" s="1"/>
  <c r="E60" i="140"/>
  <c r="K63" i="145"/>
  <c r="E127" i="140"/>
  <c r="E60" i="142"/>
  <c r="F16" i="114"/>
  <c r="D60" i="142"/>
  <c r="F60" i="142"/>
  <c r="H16" i="114"/>
  <c r="B188" i="107"/>
  <c r="B189" i="107" s="1"/>
  <c r="B175" i="107"/>
  <c r="B176" i="107" s="1"/>
  <c r="B180" i="107"/>
  <c r="D139" i="150"/>
  <c r="D138" i="150" s="1"/>
  <c r="O32" i="135"/>
  <c r="D31" i="135"/>
  <c r="J32" i="135"/>
  <c r="V23" i="92"/>
  <c r="V11" i="114"/>
  <c r="C39" i="135"/>
  <c r="D92" i="107"/>
  <c r="D121" i="107" s="1"/>
  <c r="D64" i="107"/>
  <c r="E31" i="135"/>
  <c r="E139" i="150"/>
  <c r="E138" i="150" s="1"/>
  <c r="P32" i="135"/>
  <c r="K32" i="135"/>
  <c r="D127" i="107"/>
  <c r="D123" i="107"/>
  <c r="U12" i="114"/>
  <c r="V26" i="114"/>
  <c r="U26" i="114" s="1"/>
  <c r="F18" i="139"/>
  <c r="H18" i="139" s="1"/>
  <c r="H63" i="145"/>
  <c r="D60" i="140"/>
  <c r="F23" i="114"/>
  <c r="W11" i="114"/>
  <c r="W25" i="114" s="1"/>
  <c r="U23" i="92"/>
  <c r="Z23" i="92" s="1"/>
  <c r="E23" i="114" l="1"/>
  <c r="B30" i="147"/>
  <c r="B11" i="147"/>
  <c r="H11" i="147"/>
  <c r="B18" i="147"/>
  <c r="F126" i="140"/>
  <c r="B10" i="146"/>
  <c r="J31" i="135"/>
  <c r="O31" i="135"/>
  <c r="D8" i="135"/>
  <c r="E126" i="140"/>
  <c r="E16" i="114"/>
  <c r="K31" i="135"/>
  <c r="P31" i="135"/>
  <c r="E8" i="135"/>
  <c r="B181" i="107"/>
  <c r="B182" i="107" s="1"/>
  <c r="D126" i="140"/>
  <c r="V25" i="114"/>
  <c r="U25" i="114" s="1"/>
  <c r="U11" i="114"/>
  <c r="E63" i="145"/>
  <c r="B51" i="146"/>
  <c r="G126" i="140"/>
  <c r="B13" i="147" l="1"/>
  <c r="H13" i="147"/>
  <c r="D12" i="130"/>
  <c r="D12" i="131"/>
  <c r="D11" i="151"/>
  <c r="S25" i="115"/>
  <c r="S15" i="115" s="1"/>
  <c r="D11" i="150"/>
  <c r="F102" i="140"/>
  <c r="D102" i="140"/>
  <c r="S26" i="115"/>
  <c r="S16" i="115" s="1"/>
  <c r="E11" i="151"/>
  <c r="E12" i="131"/>
  <c r="E102" i="140"/>
  <c r="D36" i="138"/>
  <c r="D27" i="146"/>
  <c r="D53" i="146" s="1"/>
  <c r="K10" i="146"/>
  <c r="B9" i="146"/>
  <c r="D27" i="138"/>
  <c r="G102" i="140"/>
  <c r="D18" i="138"/>
  <c r="K9" i="146" l="1"/>
  <c r="E36" i="138"/>
  <c r="G36" i="138" s="1"/>
  <c r="E18" i="138"/>
  <c r="G18" i="138" s="1"/>
  <c r="E27" i="138"/>
  <c r="G27" i="138" s="1"/>
  <c r="B4" i="146" l="1"/>
  <c r="D25" i="115" l="1"/>
  <c r="B3" i="146"/>
  <c r="K4" i="146"/>
  <c r="B27" i="146"/>
  <c r="D26" i="115"/>
  <c r="K3" i="146" l="1"/>
  <c r="C80" i="107" l="1"/>
  <c r="C52" i="107"/>
  <c r="D52" i="107"/>
  <c r="D80" i="107"/>
  <c r="G80" i="107"/>
  <c r="G52" i="107"/>
  <c r="F80" i="107"/>
  <c r="F52" i="107"/>
  <c r="E80" i="107"/>
  <c r="E52" i="107"/>
  <c r="E109" i="107" l="1"/>
  <c r="G109" i="107"/>
  <c r="C109" i="107"/>
  <c r="D109" i="107"/>
  <c r="F109" i="107"/>
  <c r="C88" i="107" l="1"/>
  <c r="C60" i="107"/>
  <c r="C43" i="107"/>
  <c r="C72" i="107" l="1"/>
  <c r="C117" i="107"/>
  <c r="C129" i="107" s="1"/>
  <c r="C100" i="107"/>
  <c r="C84" i="107"/>
  <c r="C56" i="107"/>
  <c r="C39" i="107"/>
  <c r="C113" i="107" l="1"/>
  <c r="C125" i="107" s="1"/>
  <c r="C96" i="107"/>
  <c r="C68" i="107"/>
  <c r="G88" i="107" l="1"/>
  <c r="G60" i="107"/>
  <c r="G72" i="107" s="1"/>
  <c r="G43" i="107"/>
  <c r="F88" i="107"/>
  <c r="F60" i="107"/>
  <c r="F72" i="107" s="1"/>
  <c r="F43" i="107"/>
  <c r="E60" i="107"/>
  <c r="E72" i="107" s="1"/>
  <c r="E88" i="107"/>
  <c r="E43" i="107"/>
  <c r="D88" i="107"/>
  <c r="D60" i="107"/>
  <c r="D72" i="107" s="1"/>
  <c r="D43" i="107"/>
  <c r="D30" i="147" l="1"/>
  <c r="G84" i="107"/>
  <c r="G56" i="107"/>
  <c r="G68" i="107" s="1"/>
  <c r="G39" i="107"/>
  <c r="E117" i="107"/>
  <c r="E129" i="107" s="1"/>
  <c r="E100" i="107"/>
  <c r="G117" i="107"/>
  <c r="G129" i="107" s="1"/>
  <c r="G100" i="107"/>
  <c r="F56" i="107"/>
  <c r="F68" i="107" s="1"/>
  <c r="F84" i="107"/>
  <c r="F39" i="107"/>
  <c r="F117" i="107"/>
  <c r="F129" i="107" s="1"/>
  <c r="F100" i="107"/>
  <c r="D84" i="107"/>
  <c r="D56" i="107"/>
  <c r="D68" i="107" s="1"/>
  <c r="D39" i="107"/>
  <c r="D117" i="107"/>
  <c r="D129" i="107" s="1"/>
  <c r="D100" i="107"/>
  <c r="J30" i="138" l="1"/>
  <c r="G113" i="107"/>
  <c r="G125" i="107" s="1"/>
  <c r="G96" i="107"/>
  <c r="F113" i="107"/>
  <c r="F125" i="107" s="1"/>
  <c r="F96" i="107"/>
  <c r="I30" i="138"/>
  <c r="D113" i="107"/>
  <c r="D125" i="107" s="1"/>
  <c r="D96" i="107"/>
  <c r="AB48" i="55" l="1"/>
  <c r="D47" i="112"/>
  <c r="X48" i="55"/>
  <c r="T48" i="55"/>
  <c r="L48" i="55"/>
  <c r="P48" i="55"/>
  <c r="L47" i="112" l="1"/>
  <c r="E43" i="131"/>
  <c r="E79" i="150"/>
  <c r="K38" i="132"/>
  <c r="E42" i="151"/>
  <c r="P38" i="132"/>
  <c r="M47" i="112"/>
  <c r="B50" i="146"/>
  <c r="F50" i="146" s="1"/>
  <c r="M50" i="146" s="1"/>
  <c r="E61" i="145"/>
  <c r="H47" i="112"/>
  <c r="G47" i="112"/>
  <c r="H7" i="114"/>
  <c r="G7" i="114"/>
  <c r="F47" i="112"/>
  <c r="E47" i="112"/>
  <c r="F7" i="114"/>
  <c r="I47" i="112"/>
  <c r="N47" i="112" s="1"/>
  <c r="I7" i="114"/>
  <c r="AF48" i="55"/>
  <c r="J47" i="112"/>
  <c r="C61" i="145"/>
  <c r="G38" i="132"/>
  <c r="G21" i="114"/>
  <c r="Q47" i="112" l="1"/>
  <c r="K47" i="112"/>
  <c r="P47" i="112" s="1"/>
  <c r="R47" i="112"/>
  <c r="K61" i="145"/>
  <c r="F21" i="114"/>
  <c r="H61" i="145"/>
  <c r="D58" i="140"/>
  <c r="D58" i="142"/>
  <c r="F14" i="114"/>
  <c r="F28" i="114" s="1"/>
  <c r="F58" i="140"/>
  <c r="H21" i="114"/>
  <c r="N61" i="145"/>
  <c r="G14" i="114"/>
  <c r="G28" i="114" s="1"/>
  <c r="E7" i="114"/>
  <c r="D7" i="114" s="1"/>
  <c r="D42" i="151"/>
  <c r="D43" i="131"/>
  <c r="O38" i="132"/>
  <c r="D43" i="130"/>
  <c r="D42" i="150"/>
  <c r="J38" i="132"/>
  <c r="D79" i="150"/>
  <c r="F43" i="131"/>
  <c r="F42" i="151"/>
  <c r="Q38" i="132"/>
  <c r="F42" i="150"/>
  <c r="L38" i="132"/>
  <c r="F79" i="150"/>
  <c r="G43" i="130"/>
  <c r="G42" i="151"/>
  <c r="G43" i="131"/>
  <c r="G79" i="150"/>
  <c r="G42" i="150"/>
  <c r="O47" i="112"/>
  <c r="Q61" i="145"/>
  <c r="G58" i="140"/>
  <c r="I21" i="114"/>
  <c r="E58" i="140" l="1"/>
  <c r="E21" i="114"/>
  <c r="D21" i="114" s="1"/>
  <c r="I14" i="114"/>
  <c r="I28" i="114" s="1"/>
  <c r="G58" i="142"/>
  <c r="E58" i="142"/>
  <c r="H14" i="114"/>
  <c r="H28" i="114" s="1"/>
  <c r="F58" i="142"/>
  <c r="D48" i="112"/>
  <c r="AB49" i="55"/>
  <c r="C62" i="145"/>
  <c r="X49" i="55"/>
  <c r="P49" i="55"/>
  <c r="L49" i="55"/>
  <c r="T49" i="55"/>
  <c r="E28" i="114" l="1"/>
  <c r="D28" i="114" s="1"/>
  <c r="E14" i="114"/>
  <c r="D14" i="114" s="1"/>
  <c r="F48" i="112"/>
  <c r="G8" i="114"/>
  <c r="G48" i="112"/>
  <c r="H8" i="114"/>
  <c r="E48" i="112"/>
  <c r="F8" i="114"/>
  <c r="I8" i="114"/>
  <c r="H48" i="112"/>
  <c r="AF49" i="55"/>
  <c r="B9" i="111"/>
  <c r="B10" i="111" s="1"/>
  <c r="I48" i="112"/>
  <c r="N48" i="112" s="1"/>
  <c r="R38" i="132" l="1"/>
  <c r="N38" i="132" s="1"/>
  <c r="M38" i="132"/>
  <c r="I38" i="132" s="1"/>
  <c r="E62" i="145"/>
  <c r="D9" i="111"/>
  <c r="D10" i="111" s="1"/>
  <c r="G22" i="114"/>
  <c r="K48" i="112"/>
  <c r="P48" i="112" s="1"/>
  <c r="C60" i="145"/>
  <c r="I46" i="112"/>
  <c r="C79" i="150"/>
  <c r="E9" i="111"/>
  <c r="E10" i="111" s="1"/>
  <c r="L48" i="112"/>
  <c r="Q48" i="112" s="1"/>
  <c r="L46" i="112"/>
  <c r="G15" i="114"/>
  <c r="G29" i="114" s="1"/>
  <c r="K46" i="112"/>
  <c r="G20" i="114"/>
  <c r="M46" i="112"/>
  <c r="J37" i="132"/>
  <c r="O37" i="132"/>
  <c r="D42" i="131"/>
  <c r="D41" i="150"/>
  <c r="D42" i="130"/>
  <c r="D41" i="151"/>
  <c r="D78" i="150"/>
  <c r="C9" i="111"/>
  <c r="C10" i="111" s="1"/>
  <c r="J48" i="112"/>
  <c r="O48" i="112" s="1"/>
  <c r="J46" i="112"/>
  <c r="K37" i="132"/>
  <c r="P37" i="132"/>
  <c r="E42" i="131"/>
  <c r="E41" i="151"/>
  <c r="E78" i="150"/>
  <c r="M48" i="112"/>
  <c r="R48" i="112" s="1"/>
  <c r="F9" i="111"/>
  <c r="F10" i="111" s="1"/>
  <c r="E8" i="114"/>
  <c r="D8" i="114" s="1"/>
  <c r="M45" i="112"/>
  <c r="G13" i="114"/>
  <c r="H38" i="132" l="1"/>
  <c r="C43" i="131"/>
  <c r="C42" i="151"/>
  <c r="G56" i="140"/>
  <c r="I19" i="114"/>
  <c r="Q59" i="145"/>
  <c r="D59" i="140"/>
  <c r="H62" i="145"/>
  <c r="F22" i="114"/>
  <c r="I20" i="114"/>
  <c r="G57" i="140"/>
  <c r="Q60" i="145"/>
  <c r="E57" i="140"/>
  <c r="K60" i="145"/>
  <c r="E59" i="142"/>
  <c r="M44" i="112"/>
  <c r="H13" i="114"/>
  <c r="F57" i="142"/>
  <c r="E59" i="140"/>
  <c r="K62" i="145"/>
  <c r="E40" i="151"/>
  <c r="E39" i="151" s="1"/>
  <c r="E44" i="151" s="1"/>
  <c r="E41" i="131"/>
  <c r="E40" i="131" s="1"/>
  <c r="E45" i="131" s="1"/>
  <c r="E77" i="150"/>
  <c r="E76" i="150" s="1"/>
  <c r="P36" i="132"/>
  <c r="K36" i="132"/>
  <c r="N60" i="145"/>
  <c r="H20" i="114"/>
  <c r="F57" i="140"/>
  <c r="J45" i="112"/>
  <c r="I15" i="114"/>
  <c r="I29" i="114" s="1"/>
  <c r="G59" i="142"/>
  <c r="D40" i="150"/>
  <c r="D39" i="150" s="1"/>
  <c r="D44" i="150" s="1"/>
  <c r="D41" i="130"/>
  <c r="D40" i="130" s="1"/>
  <c r="D45" i="130" s="1"/>
  <c r="D77" i="150"/>
  <c r="D76" i="150" s="1"/>
  <c r="D40" i="151"/>
  <c r="D39" i="151" s="1"/>
  <c r="D44" i="151" s="1"/>
  <c r="D41" i="131"/>
  <c r="D40" i="131" s="1"/>
  <c r="D45" i="131" s="1"/>
  <c r="J36" i="132"/>
  <c r="O36" i="132"/>
  <c r="G59" i="140"/>
  <c r="Q62" i="145"/>
  <c r="I22" i="114"/>
  <c r="H15" i="114"/>
  <c r="H29" i="114" s="1"/>
  <c r="F59" i="142"/>
  <c r="L45" i="112"/>
  <c r="H22" i="114"/>
  <c r="F59" i="140"/>
  <c r="N62" i="145"/>
  <c r="B49" i="146"/>
  <c r="E60" i="145"/>
  <c r="G57" i="142"/>
  <c r="I13" i="114"/>
  <c r="G19" i="114"/>
  <c r="K45" i="112"/>
  <c r="E57" i="142"/>
  <c r="G12" i="114"/>
  <c r="I12" i="114"/>
  <c r="G56" i="142"/>
  <c r="H60" i="145"/>
  <c r="D57" i="140"/>
  <c r="F20" i="114"/>
  <c r="F15" i="114"/>
  <c r="D59" i="142"/>
  <c r="F13" i="114"/>
  <c r="D57" i="142"/>
  <c r="E20" i="114" l="1"/>
  <c r="K35" i="132"/>
  <c r="P35" i="132"/>
  <c r="E40" i="132"/>
  <c r="F12" i="114"/>
  <c r="D56" i="142"/>
  <c r="G11" i="114"/>
  <c r="N59" i="145"/>
  <c r="H19" i="114"/>
  <c r="F56" i="140"/>
  <c r="I45" i="112"/>
  <c r="C59" i="145"/>
  <c r="J44" i="112"/>
  <c r="L44" i="112"/>
  <c r="E22" i="114"/>
  <c r="D22" i="114" s="1"/>
  <c r="G55" i="140"/>
  <c r="Q58" i="145"/>
  <c r="I18" i="114"/>
  <c r="J35" i="132"/>
  <c r="O35" i="132"/>
  <c r="G18" i="114"/>
  <c r="K44" i="112"/>
  <c r="M50" i="112"/>
  <c r="E56" i="142"/>
  <c r="K59" i="145"/>
  <c r="E56" i="140"/>
  <c r="F19" i="114"/>
  <c r="D56" i="140"/>
  <c r="H59" i="145"/>
  <c r="E13" i="114"/>
  <c r="E15" i="114"/>
  <c r="D15" i="114" s="1"/>
  <c r="F29" i="114"/>
  <c r="E29" i="114" s="1"/>
  <c r="D29" i="114" s="1"/>
  <c r="G55" i="142"/>
  <c r="I11" i="114"/>
  <c r="F56" i="142"/>
  <c r="H12" i="114"/>
  <c r="E19" i="114" l="1"/>
  <c r="M51" i="112"/>
  <c r="K50" i="112"/>
  <c r="C58" i="145"/>
  <c r="I44" i="112"/>
  <c r="F40" i="109"/>
  <c r="H11" i="114"/>
  <c r="F55" i="142"/>
  <c r="E55" i="140"/>
  <c r="K58" i="145"/>
  <c r="O40" i="132"/>
  <c r="D8" i="132"/>
  <c r="J40" i="132"/>
  <c r="D81" i="150"/>
  <c r="J50" i="112"/>
  <c r="E58" i="145"/>
  <c r="B47" i="146"/>
  <c r="E12" i="114"/>
  <c r="E81" i="150"/>
  <c r="K40" i="132"/>
  <c r="P40" i="132"/>
  <c r="E8" i="132"/>
  <c r="E55" i="142"/>
  <c r="F18" i="114"/>
  <c r="H58" i="145"/>
  <c r="D55" i="140"/>
  <c r="G31" i="142"/>
  <c r="Q64" i="145"/>
  <c r="G31" i="140"/>
  <c r="B48" i="146"/>
  <c r="E59" i="145"/>
  <c r="F11" i="114"/>
  <c r="D55" i="142"/>
  <c r="L50" i="112"/>
  <c r="H18" i="114"/>
  <c r="N58" i="145"/>
  <c r="F55" i="140"/>
  <c r="L51" i="112" l="1"/>
  <c r="K64" i="145"/>
  <c r="E31" i="140"/>
  <c r="C64" i="145"/>
  <c r="I50" i="112"/>
  <c r="Q69" i="145"/>
  <c r="E31" i="142"/>
  <c r="K51" i="112"/>
  <c r="P51" i="112" s="1"/>
  <c r="E11" i="114"/>
  <c r="E18" i="114"/>
  <c r="P26" i="115"/>
  <c r="P16" i="115" s="1"/>
  <c r="E9" i="151"/>
  <c r="E8" i="151" s="1"/>
  <c r="E10" i="131"/>
  <c r="E9" i="131" s="1"/>
  <c r="O26" i="115" s="1"/>
  <c r="O16" i="115" s="1"/>
  <c r="J51" i="112"/>
  <c r="O51" i="112" s="1"/>
  <c r="F31" i="140"/>
  <c r="N64" i="145"/>
  <c r="H64" i="145"/>
  <c r="D31" i="140"/>
  <c r="E64" i="145"/>
  <c r="D31" i="142"/>
  <c r="B52" i="146"/>
  <c r="B53" i="146" s="1"/>
  <c r="D10" i="130"/>
  <c r="D9" i="130" s="1"/>
  <c r="N25" i="115" s="1"/>
  <c r="N15" i="115" s="1"/>
  <c r="D10" i="131"/>
  <c r="D9" i="131" s="1"/>
  <c r="O25" i="115" s="1"/>
  <c r="O15" i="115" s="1"/>
  <c r="D9" i="151"/>
  <c r="D8" i="151" s="1"/>
  <c r="D9" i="150"/>
  <c r="D8" i="150" s="1"/>
  <c r="P25" i="115"/>
  <c r="P15" i="115" s="1"/>
  <c r="F31" i="142"/>
  <c r="G40" i="109"/>
  <c r="F48" i="109"/>
  <c r="F46" i="109"/>
  <c r="H69" i="145" l="1"/>
  <c r="K69" i="145"/>
  <c r="F54" i="109"/>
  <c r="G48" i="109"/>
  <c r="N69" i="145"/>
  <c r="C65" i="145"/>
  <c r="C66" i="145"/>
  <c r="I51" i="112"/>
  <c r="E41" i="139"/>
  <c r="D32" i="138"/>
  <c r="G73" i="140"/>
  <c r="G46" i="109"/>
  <c r="F49" i="109"/>
  <c r="G73" i="142"/>
  <c r="F55" i="109" l="1"/>
  <c r="G49" i="109"/>
  <c r="E32" i="138"/>
  <c r="G32" i="138" s="1"/>
  <c r="F73" i="142"/>
  <c r="D23" i="138"/>
  <c r="D14" i="138"/>
  <c r="V17" i="92"/>
  <c r="E23" i="139"/>
  <c r="E14" i="139"/>
  <c r="E32" i="139"/>
  <c r="F73" i="140"/>
  <c r="C69" i="145"/>
  <c r="E69" i="145"/>
  <c r="F41" i="139"/>
  <c r="H41" i="139" s="1"/>
  <c r="F23" i="139" l="1"/>
  <c r="H23" i="139" s="1"/>
  <c r="U17" i="92"/>
  <c r="Z17" i="92" s="1"/>
  <c r="E72" i="145"/>
  <c r="C72" i="145"/>
  <c r="E23" i="138"/>
  <c r="G23" i="138" s="1"/>
  <c r="C35" i="146"/>
  <c r="F35" i="146" s="1"/>
  <c r="H15" i="109"/>
  <c r="F14" i="139"/>
  <c r="G21" i="127"/>
  <c r="F21" i="127"/>
  <c r="F32" i="139"/>
  <c r="H32" i="139" s="1"/>
  <c r="E14" i="138"/>
  <c r="G14" i="138" s="1"/>
  <c r="F35" i="150" l="1"/>
  <c r="F36" i="130"/>
  <c r="F106" i="150"/>
  <c r="F114" i="150"/>
  <c r="F8" i="127"/>
  <c r="G8" i="127"/>
  <c r="M35" i="146"/>
  <c r="F54" i="146"/>
  <c r="H14" i="139"/>
  <c r="D15" i="109"/>
  <c r="I15" i="109"/>
  <c r="E15" i="109" s="1"/>
  <c r="H14" i="109"/>
  <c r="E72" i="142" l="1"/>
  <c r="C30" i="146"/>
  <c r="F72" i="142"/>
  <c r="F7" i="127"/>
  <c r="C80" i="145"/>
  <c r="D14" i="109"/>
  <c r="D8" i="109" s="1"/>
  <c r="D7" i="109" s="1"/>
  <c r="I14" i="109"/>
  <c r="E14" i="109" s="1"/>
  <c r="H8" i="109"/>
  <c r="D72" i="142"/>
  <c r="G7" i="127"/>
  <c r="F112" i="150"/>
  <c r="G72" i="142"/>
  <c r="F72" i="140" l="1"/>
  <c r="I8" i="109"/>
  <c r="E8" i="109" s="1"/>
  <c r="H7" i="109"/>
  <c r="J7" i="127"/>
  <c r="G72" i="140"/>
  <c r="K7" i="127"/>
  <c r="C79" i="145"/>
  <c r="D68" i="142"/>
  <c r="F111" i="150"/>
  <c r="F110" i="150" s="1"/>
  <c r="F36" i="134"/>
  <c r="F8" i="134" s="1"/>
  <c r="U16" i="92"/>
  <c r="Z16" i="92" s="1"/>
  <c r="C54" i="146"/>
  <c r="V16" i="92"/>
  <c r="V12" i="92"/>
  <c r="F68" i="142"/>
  <c r="D72" i="140"/>
  <c r="G68" i="142"/>
  <c r="E72" i="140"/>
  <c r="E68" i="142"/>
  <c r="D100" i="140" l="1"/>
  <c r="E100" i="142"/>
  <c r="F100" i="140"/>
  <c r="E100" i="140"/>
  <c r="D100" i="142"/>
  <c r="N37" i="92"/>
  <c r="X37" i="92" s="1"/>
  <c r="F67" i="142"/>
  <c r="C75" i="145"/>
  <c r="F10" i="150"/>
  <c r="Q27" i="115"/>
  <c r="Q17" i="115" s="1"/>
  <c r="F11" i="130"/>
  <c r="D26" i="111"/>
  <c r="D27" i="111" s="1"/>
  <c r="D30" i="111" s="1"/>
  <c r="G67" i="142"/>
  <c r="D68" i="140"/>
  <c r="U12" i="92"/>
  <c r="Z12" i="92" s="1"/>
  <c r="D67" i="142"/>
  <c r="E68" i="140"/>
  <c r="E67" i="142"/>
  <c r="G68" i="140"/>
  <c r="I7" i="109"/>
  <c r="E7" i="109" s="1"/>
  <c r="H35" i="109"/>
  <c r="F68" i="140"/>
  <c r="Q23" i="114" l="1"/>
  <c r="D97" i="140"/>
  <c r="R23" i="114"/>
  <c r="E97" i="142"/>
  <c r="E97" i="140"/>
  <c r="M16" i="114"/>
  <c r="F97" i="140"/>
  <c r="N16" i="114"/>
  <c r="D97" i="142"/>
  <c r="L16" i="114"/>
  <c r="E17" i="111"/>
  <c r="E18" i="111" s="1"/>
  <c r="E21" i="111" s="1"/>
  <c r="C74" i="145"/>
  <c r="D67" i="140"/>
  <c r="I35" i="109"/>
  <c r="E35" i="109" s="1"/>
  <c r="H39" i="109"/>
  <c r="H45" i="109"/>
  <c r="D35" i="109"/>
  <c r="D39" i="109" s="1"/>
  <c r="H36" i="109"/>
  <c r="E93" i="142"/>
  <c r="V11" i="92"/>
  <c r="E67" i="140"/>
  <c r="B26" i="111"/>
  <c r="B27" i="111" s="1"/>
  <c r="B30" i="111" s="1"/>
  <c r="G67" i="140"/>
  <c r="D93" i="142"/>
  <c r="G93" i="142"/>
  <c r="F93" i="142"/>
  <c r="F67" i="140"/>
  <c r="U11" i="92"/>
  <c r="Z11" i="92" s="1"/>
  <c r="F17" i="111"/>
  <c r="F18" i="111" s="1"/>
  <c r="F21" i="111" s="1"/>
  <c r="N13" i="114" l="1"/>
  <c r="D96" i="140"/>
  <c r="R20" i="114"/>
  <c r="C107" i="145"/>
  <c r="L13" i="114"/>
  <c r="F96" i="140"/>
  <c r="Q20" i="114"/>
  <c r="M13" i="114"/>
  <c r="E96" i="140"/>
  <c r="D96" i="142"/>
  <c r="E96" i="142"/>
  <c r="C26" i="111"/>
  <c r="C27" i="111" s="1"/>
  <c r="C30" i="111" s="1"/>
  <c r="E93" i="140"/>
  <c r="I45" i="109"/>
  <c r="E45" i="109" s="1"/>
  <c r="D45" i="109"/>
  <c r="H42" i="109"/>
  <c r="B17" i="111"/>
  <c r="B18" i="111" s="1"/>
  <c r="B21" i="111" s="1"/>
  <c r="C100" i="145"/>
  <c r="G93" i="140"/>
  <c r="U37" i="92"/>
  <c r="Z37" i="92" s="1"/>
  <c r="E26" i="111"/>
  <c r="E27" i="111" s="1"/>
  <c r="E30" i="111" s="1"/>
  <c r="F93" i="140"/>
  <c r="F26" i="111"/>
  <c r="F27" i="111" s="1"/>
  <c r="F30" i="111" s="1"/>
  <c r="V37" i="92"/>
  <c r="D36" i="109"/>
  <c r="D38" i="109" s="1"/>
  <c r="H38" i="109"/>
  <c r="I36" i="109"/>
  <c r="E36" i="109" s="1"/>
  <c r="D93" i="140"/>
  <c r="E95" i="142" l="1"/>
  <c r="E95" i="140"/>
  <c r="F95" i="140"/>
  <c r="L12" i="114"/>
  <c r="R19" i="114"/>
  <c r="C104" i="145"/>
  <c r="C51" i="146"/>
  <c r="F51" i="146" s="1"/>
  <c r="M51" i="146" s="1"/>
  <c r="F100" i="142"/>
  <c r="N12" i="114"/>
  <c r="G100" i="140"/>
  <c r="M12" i="114"/>
  <c r="D95" i="142"/>
  <c r="Q19" i="114"/>
  <c r="G100" i="142"/>
  <c r="D95" i="140"/>
  <c r="D42" i="109"/>
  <c r="I42" i="109"/>
  <c r="E42" i="109" s="1"/>
  <c r="C17" i="111"/>
  <c r="C18" i="111" s="1"/>
  <c r="C21" i="111" s="1"/>
  <c r="H41" i="109"/>
  <c r="F66" i="140"/>
  <c r="D66" i="140"/>
  <c r="E66" i="140"/>
  <c r="D66" i="142" l="1"/>
  <c r="R18" i="114"/>
  <c r="G97" i="140"/>
  <c r="F97" i="142"/>
  <c r="E66" i="142"/>
  <c r="T23" i="114"/>
  <c r="V44" i="92"/>
  <c r="O16" i="114"/>
  <c r="K16" i="114" s="1"/>
  <c r="L11" i="114"/>
  <c r="C103" i="145"/>
  <c r="G97" i="142"/>
  <c r="C49" i="146"/>
  <c r="F49" i="146" s="1"/>
  <c r="M49" i="146" s="1"/>
  <c r="Q18" i="114"/>
  <c r="M11" i="114"/>
  <c r="U44" i="92"/>
  <c r="Z44" i="92" s="1"/>
  <c r="S23" i="114"/>
  <c r="N11" i="114"/>
  <c r="I41" i="109"/>
  <c r="E41" i="109" s="1"/>
  <c r="D41" i="109"/>
  <c r="H40" i="109"/>
  <c r="P23" i="114" l="1"/>
  <c r="J23" i="114" s="1"/>
  <c r="D23" i="114" s="1"/>
  <c r="G96" i="142"/>
  <c r="C48" i="146"/>
  <c r="F48" i="146" s="1"/>
  <c r="M48" i="146" s="1"/>
  <c r="T20" i="114"/>
  <c r="V41" i="92"/>
  <c r="G96" i="140"/>
  <c r="O13" i="114"/>
  <c r="K13" i="114" s="1"/>
  <c r="J16" i="114"/>
  <c r="F96" i="142"/>
  <c r="S20" i="114"/>
  <c r="U41" i="92"/>
  <c r="Z41" i="92" s="1"/>
  <c r="C102" i="145"/>
  <c r="D25" i="138"/>
  <c r="D16" i="138"/>
  <c r="I40" i="109"/>
  <c r="E40" i="109" s="1"/>
  <c r="D75" i="109"/>
  <c r="H46" i="109"/>
  <c r="D40" i="109"/>
  <c r="H48" i="109"/>
  <c r="P20" i="114" l="1"/>
  <c r="J20" i="114" s="1"/>
  <c r="D20" i="114" s="1"/>
  <c r="C108" i="145"/>
  <c r="S19" i="114"/>
  <c r="U40" i="92"/>
  <c r="Z40" i="92" s="1"/>
  <c r="V40" i="92"/>
  <c r="T19" i="114"/>
  <c r="J13" i="114"/>
  <c r="G95" i="142"/>
  <c r="D16" i="114"/>
  <c r="C47" i="146"/>
  <c r="G95" i="140"/>
  <c r="O12" i="114"/>
  <c r="K12" i="114" s="1"/>
  <c r="E25" i="139"/>
  <c r="E21" i="139" s="1"/>
  <c r="F95" i="142"/>
  <c r="E16" i="139"/>
  <c r="E12" i="139" s="1"/>
  <c r="I46" i="109"/>
  <c r="E46" i="109" s="1"/>
  <c r="D46" i="109"/>
  <c r="H49" i="109"/>
  <c r="E16" i="138"/>
  <c r="E12" i="138" s="1"/>
  <c r="E25" i="138"/>
  <c r="E21" i="138" s="1"/>
  <c r="H75" i="109"/>
  <c r="D12" i="138"/>
  <c r="D21" i="138"/>
  <c r="H54" i="109"/>
  <c r="D54" i="109" s="1"/>
  <c r="I48" i="109"/>
  <c r="E48" i="109" s="1"/>
  <c r="D48" i="109"/>
  <c r="F14" i="140"/>
  <c r="D14" i="140"/>
  <c r="P19" i="114" l="1"/>
  <c r="F66" i="142"/>
  <c r="F16" i="139"/>
  <c r="O11" i="114"/>
  <c r="K11" i="114" s="1"/>
  <c r="E14" i="142"/>
  <c r="F47" i="146"/>
  <c r="C52" i="146"/>
  <c r="J12" i="114"/>
  <c r="C110" i="145"/>
  <c r="C109" i="145"/>
  <c r="D14" i="142"/>
  <c r="F25" i="139"/>
  <c r="J19" i="114"/>
  <c r="D19" i="114" s="1"/>
  <c r="D7" i="146"/>
  <c r="D6" i="146" s="1"/>
  <c r="G66" i="140"/>
  <c r="G66" i="142"/>
  <c r="U39" i="92"/>
  <c r="Z39" i="92" s="1"/>
  <c r="S18" i="114"/>
  <c r="C7" i="146"/>
  <c r="D13" i="114"/>
  <c r="V39" i="92"/>
  <c r="T18" i="114"/>
  <c r="G25" i="138"/>
  <c r="I49" i="109"/>
  <c r="E49" i="109" s="1"/>
  <c r="H55" i="109"/>
  <c r="D55" i="109" s="1"/>
  <c r="D49" i="109"/>
  <c r="G21" i="138"/>
  <c r="G12" i="138"/>
  <c r="G16" i="138"/>
  <c r="P18" i="114" l="1"/>
  <c r="J18" i="114" s="1"/>
  <c r="D18" i="114" s="1"/>
  <c r="C6" i="146"/>
  <c r="B7" i="146"/>
  <c r="F12" i="139"/>
  <c r="H12" i="139" s="1"/>
  <c r="H16" i="139"/>
  <c r="M47" i="146"/>
  <c r="F52" i="146"/>
  <c r="F21" i="139"/>
  <c r="H21" i="139" s="1"/>
  <c r="H25" i="139"/>
  <c r="D12" i="114"/>
  <c r="J11" i="114"/>
  <c r="V45" i="92"/>
  <c r="U45" i="92"/>
  <c r="Z45" i="92" s="1"/>
  <c r="D11" i="114" l="1"/>
  <c r="E34" i="139"/>
  <c r="C116" i="145"/>
  <c r="C113" i="145"/>
  <c r="D34" i="138"/>
  <c r="E43" i="139"/>
  <c r="B13" i="146"/>
  <c r="B6" i="146"/>
  <c r="K6" i="146" s="1"/>
  <c r="K7" i="146"/>
  <c r="C27" i="146"/>
  <c r="C53" i="146" s="1"/>
  <c r="E34" i="138" l="1"/>
  <c r="E30" i="138" s="1"/>
  <c r="E30" i="139"/>
  <c r="F14" i="142"/>
  <c r="K13" i="146"/>
  <c r="B12" i="146"/>
  <c r="F27" i="146"/>
  <c r="G14" i="140"/>
  <c r="E39" i="139"/>
  <c r="F43" i="139"/>
  <c r="F39" i="139" s="1"/>
  <c r="G14" i="142"/>
  <c r="D30" i="138"/>
  <c r="F34" i="139"/>
  <c r="F30" i="139" s="1"/>
  <c r="G34" i="138" l="1"/>
  <c r="G30" i="138"/>
  <c r="H34" i="139"/>
  <c r="M27" i="146"/>
  <c r="F53" i="146"/>
  <c r="H30" i="139"/>
  <c r="H43" i="139"/>
  <c r="M13" i="146"/>
  <c r="M14" i="146"/>
  <c r="K12" i="146"/>
  <c r="K15" i="146" s="1"/>
  <c r="H39" i="139"/>
  <c r="I28" i="135" l="1"/>
  <c r="H28" i="135" s="1"/>
  <c r="I34" i="135"/>
  <c r="H34" i="135" s="1"/>
  <c r="C37" i="130" l="1"/>
  <c r="C36" i="150"/>
  <c r="C43" i="130"/>
  <c r="C42" i="150"/>
  <c r="T50" i="66" l="1"/>
  <c r="S50" i="66"/>
  <c r="G13" i="107" l="1"/>
  <c r="J5" i="107" s="1"/>
  <c r="E195" i="107" l="1"/>
  <c r="E20" i="147" s="1"/>
  <c r="D19" i="69" l="1"/>
  <c r="F19" i="69" l="1"/>
  <c r="F22" i="69" s="1"/>
  <c r="F21" i="69" s="1"/>
  <c r="D22" i="69"/>
  <c r="H19" i="69" l="1"/>
  <c r="H22" i="69"/>
  <c r="H21" i="69" s="1"/>
  <c r="D21" i="69"/>
  <c r="F14" i="69"/>
  <c r="F17" i="69" s="1"/>
  <c r="F16" i="69" s="1"/>
  <c r="D24" i="69"/>
  <c r="N18" i="69" l="1"/>
  <c r="J21" i="69"/>
  <c r="D27" i="69"/>
  <c r="D9" i="69"/>
  <c r="F9" i="69"/>
  <c r="F24" i="69"/>
  <c r="F27" i="69" s="1"/>
  <c r="F26" i="69" s="1"/>
  <c r="D14" i="69"/>
  <c r="H24" i="69" l="1"/>
  <c r="D26" i="69"/>
  <c r="H27" i="69"/>
  <c r="H26" i="69" s="1"/>
  <c r="D17" i="69"/>
  <c r="H14" i="69"/>
  <c r="F12" i="69"/>
  <c r="F11" i="69" s="1"/>
  <c r="D12" i="69"/>
  <c r="H9" i="69"/>
  <c r="F115" i="84" l="1"/>
  <c r="L115" i="84"/>
  <c r="L118" i="84" s="1"/>
  <c r="K115" i="84"/>
  <c r="K118" i="84" s="1"/>
  <c r="J26" i="69"/>
  <c r="F21" i="83"/>
  <c r="F40" i="83" s="1"/>
  <c r="J8" i="90"/>
  <c r="N20" i="69"/>
  <c r="N19" i="69"/>
  <c r="J16" i="69"/>
  <c r="J14" i="69"/>
  <c r="D16" i="69"/>
  <c r="H17" i="69"/>
  <c r="H16" i="69" s="1"/>
  <c r="J11" i="69"/>
  <c r="N17" i="69"/>
  <c r="F28" i="84"/>
  <c r="F49" i="84" s="1"/>
  <c r="F8" i="90"/>
  <c r="N21" i="69"/>
  <c r="O21" i="69" s="1"/>
  <c r="Q62" i="69"/>
  <c r="D11" i="69"/>
  <c r="H12" i="69"/>
  <c r="H11" i="69" s="1"/>
  <c r="R115" i="84" l="1"/>
  <c r="Q115" i="84"/>
  <c r="F38" i="83"/>
  <c r="J21" i="83"/>
  <c r="D74" i="83"/>
  <c r="E40" i="110"/>
  <c r="G21" i="83"/>
  <c r="G18" i="57"/>
  <c r="AF18" i="57" s="1"/>
  <c r="I21" i="83"/>
  <c r="F24" i="83"/>
  <c r="C12" i="135"/>
  <c r="H21" i="83"/>
  <c r="L137" i="84"/>
  <c r="D44" i="127" s="1"/>
  <c r="I44" i="127" s="1"/>
  <c r="G18" i="92"/>
  <c r="V116" i="84"/>
  <c r="I8" i="90"/>
  <c r="D45" i="127"/>
  <c r="I45" i="127" s="1"/>
  <c r="D22" i="127"/>
  <c r="I22" i="127" s="1"/>
  <c r="C45" i="127"/>
  <c r="H45" i="127" s="1"/>
  <c r="C15" i="134"/>
  <c r="G18" i="61"/>
  <c r="H8" i="90"/>
  <c r="U116" i="84"/>
  <c r="C22" i="127"/>
  <c r="H22" i="127" s="1"/>
  <c r="K137" i="84"/>
  <c r="E28" i="110"/>
  <c r="F28" i="110" s="1"/>
  <c r="F118" i="84"/>
  <c r="I115" i="84"/>
  <c r="G115" i="84"/>
  <c r="F137" i="84"/>
  <c r="D196" i="84"/>
  <c r="J115" i="84"/>
  <c r="H115" i="84"/>
  <c r="D180" i="84"/>
  <c r="H28" i="84"/>
  <c r="C16" i="132"/>
  <c r="E16" i="110"/>
  <c r="I28" i="84"/>
  <c r="F31" i="84"/>
  <c r="F48" i="84"/>
  <c r="G28" i="84"/>
  <c r="J28" i="84"/>
  <c r="D49" i="69"/>
  <c r="C44" i="127" l="1"/>
  <c r="H44" i="127" s="1"/>
  <c r="K117" i="84"/>
  <c r="R137" i="84"/>
  <c r="Q137" i="84"/>
  <c r="R118" i="84"/>
  <c r="Q118" i="84"/>
  <c r="I118" i="84"/>
  <c r="O21" i="83"/>
  <c r="C54" i="108"/>
  <c r="H74" i="83"/>
  <c r="G54" i="108" s="1"/>
  <c r="G12" i="135"/>
  <c r="G119" i="150" s="1"/>
  <c r="M12" i="135"/>
  <c r="R12" i="135"/>
  <c r="C119" i="150"/>
  <c r="H40" i="83"/>
  <c r="J40" i="83"/>
  <c r="I40" i="83"/>
  <c r="G40" i="83"/>
  <c r="C14" i="135"/>
  <c r="F23" i="83"/>
  <c r="I24" i="83"/>
  <c r="E41" i="110"/>
  <c r="F41" i="110" s="1"/>
  <c r="G24" i="83"/>
  <c r="D75" i="83"/>
  <c r="H24" i="83"/>
  <c r="G20" i="57"/>
  <c r="AF20" i="57" s="1"/>
  <c r="J24" i="83"/>
  <c r="F40" i="110"/>
  <c r="I38" i="83"/>
  <c r="G38" i="83"/>
  <c r="H38" i="83"/>
  <c r="J38" i="83"/>
  <c r="G8" i="90"/>
  <c r="E8" i="90" s="1"/>
  <c r="C39" i="108"/>
  <c r="H196" i="84"/>
  <c r="G39" i="108" s="1"/>
  <c r="J18" i="61"/>
  <c r="H18" i="61"/>
  <c r="I18" i="61"/>
  <c r="K18" i="61"/>
  <c r="C15" i="133"/>
  <c r="K18" i="92"/>
  <c r="H18" i="92"/>
  <c r="J18" i="92"/>
  <c r="I18" i="92"/>
  <c r="D44" i="69"/>
  <c r="H138" i="84"/>
  <c r="G138" i="84"/>
  <c r="H137" i="84"/>
  <c r="G137" i="84"/>
  <c r="I137" i="84"/>
  <c r="J137" i="84"/>
  <c r="L117" i="84"/>
  <c r="H118" i="84"/>
  <c r="E29" i="110"/>
  <c r="F29" i="110" s="1"/>
  <c r="F117" i="84"/>
  <c r="G118" i="84"/>
  <c r="J118" i="84"/>
  <c r="D197" i="84"/>
  <c r="C89" i="150"/>
  <c r="G15" i="134"/>
  <c r="G89" i="150" s="1"/>
  <c r="G48" i="84"/>
  <c r="H48" i="84"/>
  <c r="I48" i="84"/>
  <c r="J48" i="84"/>
  <c r="J49" i="84"/>
  <c r="I49" i="84"/>
  <c r="G49" i="84"/>
  <c r="H49" i="84"/>
  <c r="C18" i="132"/>
  <c r="J31" i="84"/>
  <c r="X26" i="55" s="1"/>
  <c r="D181" i="84"/>
  <c r="G31" i="84"/>
  <c r="L26" i="55" s="1"/>
  <c r="E17" i="110"/>
  <c r="F17" i="110" s="1"/>
  <c r="H31" i="84"/>
  <c r="P26" i="55" s="1"/>
  <c r="I31" i="84"/>
  <c r="T26" i="55" s="1"/>
  <c r="F30" i="84"/>
  <c r="C57" i="150"/>
  <c r="M16" i="132"/>
  <c r="R16" i="132"/>
  <c r="D52" i="69"/>
  <c r="F49" i="69"/>
  <c r="F52" i="69" s="1"/>
  <c r="F51" i="69" s="1"/>
  <c r="X24" i="55"/>
  <c r="T24" i="55"/>
  <c r="P24" i="55"/>
  <c r="L24" i="55"/>
  <c r="F16" i="110"/>
  <c r="C23" i="108"/>
  <c r="H180" i="84"/>
  <c r="G23" i="108" s="1"/>
  <c r="I117" i="84" l="1"/>
  <c r="J117" i="84"/>
  <c r="R117" i="84"/>
  <c r="Q117" i="84"/>
  <c r="O24" i="83"/>
  <c r="O40" i="83"/>
  <c r="O38" i="83"/>
  <c r="J23" i="83"/>
  <c r="J9" i="83" s="1"/>
  <c r="I23" i="83"/>
  <c r="I9" i="83" s="1"/>
  <c r="Q12" i="135"/>
  <c r="N12" i="135" s="1"/>
  <c r="F119" i="150"/>
  <c r="L12" i="135"/>
  <c r="I12" i="135" s="1"/>
  <c r="H75" i="83"/>
  <c r="G55" i="108" s="1"/>
  <c r="C55" i="108"/>
  <c r="G19" i="57"/>
  <c r="C16" i="135"/>
  <c r="F9" i="83"/>
  <c r="H23" i="83"/>
  <c r="H9" i="83" s="1"/>
  <c r="G23" i="83"/>
  <c r="G9" i="83" s="1"/>
  <c r="R14" i="135"/>
  <c r="C121" i="150"/>
  <c r="M14" i="135"/>
  <c r="G14" i="135"/>
  <c r="G121" i="150" s="1"/>
  <c r="G117" i="84"/>
  <c r="H117" i="84"/>
  <c r="F44" i="69"/>
  <c r="H44" i="69" s="1"/>
  <c r="Q63" i="69" s="1"/>
  <c r="D54" i="69"/>
  <c r="D47" i="69"/>
  <c r="D46" i="69" s="1"/>
  <c r="G15" i="133"/>
  <c r="C40" i="108"/>
  <c r="H197" i="84"/>
  <c r="G40" i="108" s="1"/>
  <c r="G20" i="92"/>
  <c r="D25" i="127"/>
  <c r="I25" i="127" s="1"/>
  <c r="R18" i="61"/>
  <c r="Q18" i="61"/>
  <c r="C17" i="134"/>
  <c r="C25" i="127"/>
  <c r="H25" i="127" s="1"/>
  <c r="G20" i="61"/>
  <c r="R18" i="92"/>
  <c r="Q18" i="92"/>
  <c r="AA18" i="92" s="1"/>
  <c r="D8" i="90"/>
  <c r="C20" i="132"/>
  <c r="H30" i="84"/>
  <c r="I30" i="84"/>
  <c r="J30" i="84"/>
  <c r="G30" i="84"/>
  <c r="F9" i="84"/>
  <c r="H26" i="55"/>
  <c r="E25" i="112"/>
  <c r="O25" i="112" s="1"/>
  <c r="F23" i="112"/>
  <c r="P23" i="112" s="1"/>
  <c r="G16" i="132"/>
  <c r="H23" i="112"/>
  <c r="R23" i="112" s="1"/>
  <c r="AF24" i="55"/>
  <c r="G25" i="112"/>
  <c r="Q25" i="112" s="1"/>
  <c r="C24" i="108"/>
  <c r="H181" i="84"/>
  <c r="G24" i="108" s="1"/>
  <c r="D51" i="69"/>
  <c r="H52" i="69"/>
  <c r="H51" i="69" s="1"/>
  <c r="S23" i="78" s="1"/>
  <c r="H49" i="69"/>
  <c r="F25" i="112"/>
  <c r="P25" i="112" s="1"/>
  <c r="H25" i="112"/>
  <c r="R25" i="112" s="1"/>
  <c r="G18" i="132"/>
  <c r="AF26" i="55"/>
  <c r="H24" i="55"/>
  <c r="E23" i="112"/>
  <c r="O23" i="112" s="1"/>
  <c r="G23" i="112"/>
  <c r="Q23" i="112" s="1"/>
  <c r="C59" i="150"/>
  <c r="R18" i="132"/>
  <c r="M18" i="132"/>
  <c r="H12" i="135" l="1"/>
  <c r="M16" i="135"/>
  <c r="C123" i="150"/>
  <c r="R16" i="135"/>
  <c r="G16" i="135"/>
  <c r="G123" i="150" s="1"/>
  <c r="G22" i="57"/>
  <c r="AF22" i="57" s="1"/>
  <c r="AF19" i="57"/>
  <c r="C13" i="135"/>
  <c r="F5" i="107"/>
  <c r="G39" i="110" s="1"/>
  <c r="D84" i="83"/>
  <c r="O9" i="83"/>
  <c r="E48" i="110"/>
  <c r="H6" i="115"/>
  <c r="J6" i="115" s="1"/>
  <c r="J10" i="90"/>
  <c r="L14" i="135"/>
  <c r="I14" i="135" s="1"/>
  <c r="Q14" i="135"/>
  <c r="N14" i="135" s="1"/>
  <c r="F121" i="150"/>
  <c r="O23" i="83"/>
  <c r="F21" i="78"/>
  <c r="F47" i="69"/>
  <c r="F46" i="69" s="1"/>
  <c r="F56" i="69" s="1"/>
  <c r="D56" i="69"/>
  <c r="F54" i="69"/>
  <c r="J46" i="69"/>
  <c r="K9" i="90"/>
  <c r="D9" i="90"/>
  <c r="L9" i="90"/>
  <c r="M9" i="90"/>
  <c r="K20" i="61"/>
  <c r="J20" i="61"/>
  <c r="I20" i="61"/>
  <c r="H20" i="61"/>
  <c r="H20" i="92"/>
  <c r="J20" i="92"/>
  <c r="C17" i="133"/>
  <c r="K20" i="92"/>
  <c r="I20" i="92"/>
  <c r="G17" i="134"/>
  <c r="G91" i="150" s="1"/>
  <c r="C91" i="150"/>
  <c r="E9" i="90"/>
  <c r="C19" i="134"/>
  <c r="G22" i="61"/>
  <c r="C24" i="127"/>
  <c r="H24" i="127" s="1"/>
  <c r="G22" i="92"/>
  <c r="D24" i="127"/>
  <c r="I24" i="127" s="1"/>
  <c r="N118" i="84"/>
  <c r="I10" i="90"/>
  <c r="Q16" i="132"/>
  <c r="F19" i="150"/>
  <c r="F57" i="150"/>
  <c r="F20" i="130"/>
  <c r="L16" i="132"/>
  <c r="F19" i="151"/>
  <c r="F20" i="131"/>
  <c r="AB26" i="55"/>
  <c r="D25" i="112"/>
  <c r="N25" i="112" s="1"/>
  <c r="T28" i="55"/>
  <c r="I9" i="84"/>
  <c r="AB24" i="55"/>
  <c r="D23" i="112"/>
  <c r="N23" i="112" s="1"/>
  <c r="G59" i="150"/>
  <c r="J51" i="69"/>
  <c r="F21" i="66"/>
  <c r="Q64" i="69"/>
  <c r="H54" i="69"/>
  <c r="C5" i="107"/>
  <c r="F10" i="90"/>
  <c r="E24" i="110"/>
  <c r="H4" i="115"/>
  <c r="I5" i="107"/>
  <c r="D190" i="84"/>
  <c r="P28" i="55"/>
  <c r="H9" i="84"/>
  <c r="L28" i="55"/>
  <c r="G9" i="84"/>
  <c r="C17" i="132"/>
  <c r="C61" i="150"/>
  <c r="R20" i="132"/>
  <c r="M20" i="132"/>
  <c r="F59" i="150"/>
  <c r="F21" i="150"/>
  <c r="F22" i="130"/>
  <c r="L18" i="132"/>
  <c r="I18" i="132" s="1"/>
  <c r="Q18" i="132"/>
  <c r="N18" i="132" s="1"/>
  <c r="G57" i="150"/>
  <c r="G20" i="131"/>
  <c r="G19" i="151"/>
  <c r="G19" i="150"/>
  <c r="G20" i="130"/>
  <c r="X28" i="55"/>
  <c r="J9" i="84"/>
  <c r="F23" i="78" l="1"/>
  <c r="F20" i="78" s="1"/>
  <c r="F54" i="78"/>
  <c r="H47" i="69"/>
  <c r="H46" i="69" s="1"/>
  <c r="H56" i="69" s="1"/>
  <c r="H14" i="135"/>
  <c r="F55" i="78"/>
  <c r="E52" i="110"/>
  <c r="C64" i="108"/>
  <c r="D82" i="83"/>
  <c r="C81" i="83"/>
  <c r="H84" i="83"/>
  <c r="G64" i="108" s="1"/>
  <c r="C83" i="83"/>
  <c r="C76" i="83"/>
  <c r="C80" i="83"/>
  <c r="C79" i="83"/>
  <c r="C77" i="83"/>
  <c r="C78" i="83"/>
  <c r="C74" i="83"/>
  <c r="C75" i="83"/>
  <c r="F48" i="110"/>
  <c r="E39" i="110"/>
  <c r="M13" i="135"/>
  <c r="R13" i="135"/>
  <c r="G13" i="135"/>
  <c r="G120" i="150" s="1"/>
  <c r="C120" i="150"/>
  <c r="L16" i="135"/>
  <c r="I16" i="135" s="1"/>
  <c r="F123" i="150"/>
  <c r="Q16" i="135"/>
  <c r="N16" i="135" s="1"/>
  <c r="G22" i="130"/>
  <c r="G17" i="133"/>
  <c r="G19" i="61"/>
  <c r="K22" i="61"/>
  <c r="I22" i="61"/>
  <c r="H22" i="61"/>
  <c r="J22" i="61"/>
  <c r="G19" i="92"/>
  <c r="K22" i="92"/>
  <c r="J22" i="92"/>
  <c r="Z22" i="92" s="1"/>
  <c r="H22" i="92"/>
  <c r="C19" i="133"/>
  <c r="I22" i="92"/>
  <c r="C16" i="134"/>
  <c r="G19" i="134"/>
  <c r="G93" i="150" s="1"/>
  <c r="C93" i="150"/>
  <c r="R20" i="61"/>
  <c r="Q20" i="61"/>
  <c r="G21" i="150"/>
  <c r="R20" i="92"/>
  <c r="Q20" i="92"/>
  <c r="AA20" i="92" s="1"/>
  <c r="H18" i="132"/>
  <c r="C21" i="150"/>
  <c r="C22" i="130"/>
  <c r="C21" i="151"/>
  <c r="C22" i="131"/>
  <c r="G20" i="132"/>
  <c r="H27" i="112"/>
  <c r="R27" i="112" s="1"/>
  <c r="AF28" i="55"/>
  <c r="X25" i="55"/>
  <c r="C182" i="84"/>
  <c r="C183" i="84"/>
  <c r="C33" i="108"/>
  <c r="C189" i="84"/>
  <c r="D188" i="84"/>
  <c r="C186" i="84"/>
  <c r="H190" i="84"/>
  <c r="G33" i="108" s="1"/>
  <c r="C185" i="84"/>
  <c r="C184" i="84"/>
  <c r="C187" i="84"/>
  <c r="C180" i="84"/>
  <c r="C181" i="84"/>
  <c r="N21" i="66"/>
  <c r="F39" i="66"/>
  <c r="E64" i="110"/>
  <c r="F23" i="66"/>
  <c r="F20" i="66" s="1"/>
  <c r="F58" i="66" s="1"/>
  <c r="G27" i="112"/>
  <c r="Q27" i="112" s="1"/>
  <c r="T25" i="55"/>
  <c r="E27" i="112"/>
  <c r="O27" i="112" s="1"/>
  <c r="H28" i="55"/>
  <c r="L25" i="55"/>
  <c r="F27" i="112"/>
  <c r="P27" i="112" s="1"/>
  <c r="P25" i="55"/>
  <c r="I16" i="132"/>
  <c r="N16" i="132"/>
  <c r="J4" i="115"/>
  <c r="N8" i="90"/>
  <c r="O8" i="90" s="1"/>
  <c r="J56" i="69"/>
  <c r="J35" i="69"/>
  <c r="J36" i="69" s="1"/>
  <c r="M17" i="132"/>
  <c r="R17" i="132"/>
  <c r="C58" i="150"/>
  <c r="F24" i="110"/>
  <c r="E15" i="110"/>
  <c r="F15" i="110" s="1"/>
  <c r="E53" i="110" l="1"/>
  <c r="F39" i="78"/>
  <c r="F8" i="78" s="1"/>
  <c r="E3" i="110"/>
  <c r="F3" i="110" s="1"/>
  <c r="G74" i="83"/>
  <c r="F54" i="108" s="1"/>
  <c r="B54" i="108"/>
  <c r="G80" i="83"/>
  <c r="F60" i="108" s="1"/>
  <c r="B60" i="108"/>
  <c r="G81" i="83"/>
  <c r="F61" i="108" s="1"/>
  <c r="B61" i="108"/>
  <c r="F120" i="150"/>
  <c r="L13" i="135"/>
  <c r="I13" i="135" s="1"/>
  <c r="Q13" i="135"/>
  <c r="N13" i="135" s="1"/>
  <c r="F39" i="110"/>
  <c r="H39" i="110"/>
  <c r="B58" i="108"/>
  <c r="G78" i="83"/>
  <c r="F58" i="108" s="1"/>
  <c r="G76" i="83"/>
  <c r="F56" i="108" s="1"/>
  <c r="B56" i="108"/>
  <c r="H82" i="83"/>
  <c r="G62" i="108" s="1"/>
  <c r="C82" i="83"/>
  <c r="C84" i="83" s="1"/>
  <c r="C62" i="108"/>
  <c r="B57" i="108"/>
  <c r="G77" i="83"/>
  <c r="F57" i="108" s="1"/>
  <c r="B63" i="108"/>
  <c r="G83" i="83"/>
  <c r="F63" i="108" s="1"/>
  <c r="H16" i="135"/>
  <c r="G75" i="83"/>
  <c r="F55" i="108" s="1"/>
  <c r="B55" i="108"/>
  <c r="B59" i="108"/>
  <c r="G79" i="83"/>
  <c r="F59" i="108" s="1"/>
  <c r="K19" i="61"/>
  <c r="I19" i="61"/>
  <c r="J19" i="61"/>
  <c r="H19" i="61"/>
  <c r="G16" i="134"/>
  <c r="G90" i="150" s="1"/>
  <c r="C90" i="150"/>
  <c r="F21" i="151"/>
  <c r="F22" i="131"/>
  <c r="Q22" i="92"/>
  <c r="AA22" i="92" s="1"/>
  <c r="R22" i="92"/>
  <c r="G22" i="131"/>
  <c r="G21" i="151"/>
  <c r="F23" i="151"/>
  <c r="G19" i="133"/>
  <c r="G16" i="133" s="1"/>
  <c r="H19" i="92"/>
  <c r="J19" i="92"/>
  <c r="I19" i="92"/>
  <c r="K19" i="92"/>
  <c r="C16" i="133"/>
  <c r="R22" i="61"/>
  <c r="Q22" i="61"/>
  <c r="C20" i="131"/>
  <c r="C19" i="151"/>
  <c r="F24" i="112"/>
  <c r="P24" i="112" s="1"/>
  <c r="N39" i="66"/>
  <c r="B30" i="108"/>
  <c r="G187" i="84"/>
  <c r="F30" i="108" s="1"/>
  <c r="G186" i="84"/>
  <c r="F29" i="108" s="1"/>
  <c r="B29" i="108"/>
  <c r="B26" i="108"/>
  <c r="G183" i="84"/>
  <c r="F26" i="108" s="1"/>
  <c r="G24" i="112"/>
  <c r="Q24" i="112" s="1"/>
  <c r="G184" i="84"/>
  <c r="F27" i="108" s="1"/>
  <c r="B27" i="108"/>
  <c r="C188" i="84"/>
  <c r="C190" i="84" s="1"/>
  <c r="H188" i="84"/>
  <c r="G31" i="108" s="1"/>
  <c r="C31" i="108"/>
  <c r="G182" i="84"/>
  <c r="F25" i="108" s="1"/>
  <c r="B25" i="108"/>
  <c r="H16" i="132"/>
  <c r="C20" i="130"/>
  <c r="C19" i="150"/>
  <c r="E24" i="112"/>
  <c r="O24" i="112" s="1"/>
  <c r="N23" i="66"/>
  <c r="N20" i="66" s="1"/>
  <c r="E65" i="110"/>
  <c r="E4" i="110" s="1"/>
  <c r="G181" i="84"/>
  <c r="F24" i="108" s="1"/>
  <c r="B24" i="108"/>
  <c r="G185" i="84"/>
  <c r="F28" i="108" s="1"/>
  <c r="B28" i="108"/>
  <c r="B32" i="108"/>
  <c r="G189" i="84"/>
  <c r="F32" i="108" s="1"/>
  <c r="G23" i="150"/>
  <c r="G20" i="150" s="1"/>
  <c r="G61" i="150"/>
  <c r="G24" i="130"/>
  <c r="G21" i="130" s="1"/>
  <c r="D27" i="112"/>
  <c r="N27" i="112" s="1"/>
  <c r="AB28" i="55"/>
  <c r="H25" i="55"/>
  <c r="Q20" i="132"/>
  <c r="N20" i="132" s="1"/>
  <c r="F61" i="150"/>
  <c r="F23" i="150"/>
  <c r="F20" i="150" s="1"/>
  <c r="L20" i="132"/>
  <c r="I20" i="132" s="1"/>
  <c r="F24" i="130"/>
  <c r="F21" i="130" s="1"/>
  <c r="B23" i="108"/>
  <c r="G180" i="84"/>
  <c r="F23" i="108" s="1"/>
  <c r="G17" i="132"/>
  <c r="AF25" i="55"/>
  <c r="H24" i="112"/>
  <c r="R24" i="112" s="1"/>
  <c r="G84" i="83" l="1"/>
  <c r="F64" i="108" s="1"/>
  <c r="B64" i="108"/>
  <c r="G82" i="83"/>
  <c r="F62" i="108" s="1"/>
  <c r="B62" i="108"/>
  <c r="H13" i="135"/>
  <c r="F20" i="151"/>
  <c r="R19" i="92"/>
  <c r="Q19" i="92"/>
  <c r="AA19" i="92" s="1"/>
  <c r="G24" i="131"/>
  <c r="G21" i="131" s="1"/>
  <c r="Q19" i="61"/>
  <c r="R19" i="61"/>
  <c r="F24" i="131"/>
  <c r="F21" i="131" s="1"/>
  <c r="G23" i="151"/>
  <c r="G20" i="151" s="1"/>
  <c r="G58" i="150"/>
  <c r="F58" i="150"/>
  <c r="Q17" i="132"/>
  <c r="L17" i="132"/>
  <c r="C23" i="151"/>
  <c r="C20" i="151" s="1"/>
  <c r="C24" i="131"/>
  <c r="C21" i="131" s="1"/>
  <c r="F4" i="110"/>
  <c r="B31" i="108"/>
  <c r="G188" i="84"/>
  <c r="F31" i="108" s="1"/>
  <c r="N58" i="66"/>
  <c r="C24" i="130"/>
  <c r="C21" i="130" s="1"/>
  <c r="C23" i="150"/>
  <c r="C20" i="150" s="1"/>
  <c r="H20" i="132"/>
  <c r="D24" i="112"/>
  <c r="N24" i="112" s="1"/>
  <c r="AB25" i="55"/>
  <c r="F38" i="66"/>
  <c r="G190" i="84"/>
  <c r="F33" i="108" s="1"/>
  <c r="B33" i="108"/>
  <c r="R2" i="78"/>
  <c r="H7" i="115"/>
  <c r="J7" i="115" s="1"/>
  <c r="D12" i="90"/>
  <c r="E60" i="110"/>
  <c r="E51" i="110" s="1"/>
  <c r="N17" i="132" l="1"/>
  <c r="D14" i="90"/>
  <c r="D15" i="90" s="1"/>
  <c r="M12" i="90"/>
  <c r="M14" i="90" s="1"/>
  <c r="L12" i="90"/>
  <c r="L14" i="90" s="1"/>
  <c r="K12" i="90"/>
  <c r="K14" i="90" s="1"/>
  <c r="E12" i="90"/>
  <c r="N38" i="66"/>
  <c r="N8" i="66" s="1"/>
  <c r="F8" i="66"/>
  <c r="I17" i="132"/>
  <c r="L15" i="90" l="1"/>
  <c r="M5" i="78" s="1"/>
  <c r="M15" i="90"/>
  <c r="N5" i="78" s="1"/>
  <c r="N37" i="78" s="1"/>
  <c r="K15" i="90"/>
  <c r="L5" i="78" s="1"/>
  <c r="D19" i="90"/>
  <c r="E72" i="110"/>
  <c r="E63" i="110" s="1"/>
  <c r="P7" i="66"/>
  <c r="H8" i="115"/>
  <c r="J8" i="115" s="1"/>
  <c r="E14" i="90"/>
  <c r="E15" i="90" s="1"/>
  <c r="E13" i="90"/>
  <c r="H17" i="132"/>
  <c r="M5" i="66" l="1"/>
  <c r="M48" i="66" s="1"/>
  <c r="N16" i="78"/>
  <c r="N34" i="78"/>
  <c r="L5" i="66"/>
  <c r="L43" i="66" s="1"/>
  <c r="N19" i="78"/>
  <c r="N40" i="78"/>
  <c r="N23" i="78"/>
  <c r="N48" i="78"/>
  <c r="N11" i="78"/>
  <c r="N13" i="78"/>
  <c r="N41" i="78"/>
  <c r="N47" i="78"/>
  <c r="N29" i="78"/>
  <c r="N17" i="78"/>
  <c r="N27" i="78"/>
  <c r="N35" i="78"/>
  <c r="N64" i="78"/>
  <c r="N33" i="78"/>
  <c r="N60" i="78"/>
  <c r="N32" i="78"/>
  <c r="N55" i="78"/>
  <c r="N68" i="78"/>
  <c r="N44" i="78"/>
  <c r="N38" i="78"/>
  <c r="N52" i="78"/>
  <c r="N31" i="78"/>
  <c r="N21" i="78"/>
  <c r="N22" i="78"/>
  <c r="N63" i="78"/>
  <c r="N30" i="78"/>
  <c r="N67" i="78"/>
  <c r="N12" i="78"/>
  <c r="N56" i="78"/>
  <c r="N59" i="78"/>
  <c r="N26" i="78"/>
  <c r="N50" i="78"/>
  <c r="N65" i="78"/>
  <c r="N46" i="78"/>
  <c r="N62" i="78"/>
  <c r="N54" i="78"/>
  <c r="N25" i="78"/>
  <c r="N15" i="78"/>
  <c r="N28" i="78"/>
  <c r="N66" i="78"/>
  <c r="N36" i="78"/>
  <c r="N45" i="78"/>
  <c r="N43" i="78"/>
  <c r="N61" i="78"/>
  <c r="N53" i="78"/>
  <c r="N14" i="78"/>
  <c r="N57" i="78"/>
  <c r="N49" i="78"/>
  <c r="N18" i="78"/>
  <c r="N42" i="78"/>
  <c r="N10" i="78"/>
  <c r="N58" i="78"/>
  <c r="N51" i="78"/>
  <c r="M18" i="78"/>
  <c r="M16" i="78"/>
  <c r="M63" i="78"/>
  <c r="M10" i="78"/>
  <c r="M36" i="78"/>
  <c r="M48" i="78"/>
  <c r="M42" i="78"/>
  <c r="M29" i="78"/>
  <c r="M34" i="78"/>
  <c r="M40" i="78"/>
  <c r="M33" i="78"/>
  <c r="M30" i="78"/>
  <c r="M60" i="78"/>
  <c r="M56" i="78"/>
  <c r="M43" i="78"/>
  <c r="M25" i="78"/>
  <c r="M41" i="78"/>
  <c r="M58" i="78"/>
  <c r="M27" i="78"/>
  <c r="M49" i="78"/>
  <c r="M47" i="78"/>
  <c r="M38" i="78"/>
  <c r="M64" i="78"/>
  <c r="M66" i="78"/>
  <c r="M11" i="78"/>
  <c r="M31" i="78"/>
  <c r="M15" i="78"/>
  <c r="M35" i="78"/>
  <c r="M61" i="78"/>
  <c r="M52" i="78"/>
  <c r="M44" i="78"/>
  <c r="M17" i="78"/>
  <c r="M14" i="78"/>
  <c r="M51" i="78"/>
  <c r="M59" i="78"/>
  <c r="M57" i="78"/>
  <c r="M26" i="78"/>
  <c r="M45" i="78"/>
  <c r="M22" i="78"/>
  <c r="M37" i="78"/>
  <c r="M53" i="78"/>
  <c r="M65" i="78"/>
  <c r="M13" i="78"/>
  <c r="M67" i="78"/>
  <c r="M46" i="78"/>
  <c r="M12" i="78"/>
  <c r="M50" i="78"/>
  <c r="M28" i="78"/>
  <c r="M19" i="78"/>
  <c r="M68" i="78"/>
  <c r="M32" i="78"/>
  <c r="M62" i="78"/>
  <c r="M21" i="78"/>
  <c r="M54" i="78"/>
  <c r="M55" i="78"/>
  <c r="M23" i="78"/>
  <c r="L51" i="78"/>
  <c r="L64" i="78"/>
  <c r="L36" i="78"/>
  <c r="L17" i="78"/>
  <c r="L14" i="78"/>
  <c r="L56" i="78"/>
  <c r="L38" i="78"/>
  <c r="L57" i="78"/>
  <c r="L45" i="78"/>
  <c r="L46" i="78"/>
  <c r="L34" i="78"/>
  <c r="L35" i="78"/>
  <c r="L29" i="78"/>
  <c r="L53" i="78"/>
  <c r="L49" i="78"/>
  <c r="L47" i="78"/>
  <c r="L13" i="78"/>
  <c r="L41" i="78"/>
  <c r="L48" i="78"/>
  <c r="L52" i="78"/>
  <c r="L12" i="78"/>
  <c r="L50" i="78"/>
  <c r="L63" i="78"/>
  <c r="L32" i="78"/>
  <c r="L10" i="78"/>
  <c r="L40" i="78"/>
  <c r="L42" i="78"/>
  <c r="L31" i="78"/>
  <c r="L27" i="78"/>
  <c r="L61" i="78"/>
  <c r="L19" i="78"/>
  <c r="L68" i="78"/>
  <c r="L66" i="78"/>
  <c r="L58" i="78"/>
  <c r="L62" i="78"/>
  <c r="L28" i="78"/>
  <c r="L65" i="78"/>
  <c r="L30" i="78"/>
  <c r="L67" i="78"/>
  <c r="L16" i="78"/>
  <c r="L25" i="78"/>
  <c r="L18" i="78"/>
  <c r="L15" i="78"/>
  <c r="L59" i="78"/>
  <c r="L60" i="78"/>
  <c r="L33" i="78"/>
  <c r="L44" i="78"/>
  <c r="L37" i="78"/>
  <c r="L11" i="78"/>
  <c r="L26" i="78"/>
  <c r="L22" i="78"/>
  <c r="L43" i="78"/>
  <c r="L21" i="78"/>
  <c r="L23" i="78"/>
  <c r="D81" i="78" s="1"/>
  <c r="L54" i="78"/>
  <c r="L55" i="78"/>
  <c r="M19" i="90"/>
  <c r="M21" i="90" s="1"/>
  <c r="L19" i="90"/>
  <c r="L21" i="90" s="1"/>
  <c r="D21" i="90"/>
  <c r="D22" i="90" s="1"/>
  <c r="E19" i="90"/>
  <c r="K19" i="90"/>
  <c r="K21" i="90" s="1"/>
  <c r="M63" i="66" l="1"/>
  <c r="M34" i="66"/>
  <c r="M17" i="66"/>
  <c r="M65" i="66"/>
  <c r="M35" i="66"/>
  <c r="M62" i="66"/>
  <c r="M39" i="66"/>
  <c r="M29" i="66"/>
  <c r="M41" i="66"/>
  <c r="M47" i="66"/>
  <c r="M37" i="66"/>
  <c r="M52" i="66"/>
  <c r="M38" i="66"/>
  <c r="M13" i="66"/>
  <c r="M11" i="66"/>
  <c r="M25" i="66"/>
  <c r="M57" i="66"/>
  <c r="M16" i="66"/>
  <c r="M51" i="66"/>
  <c r="M59" i="66"/>
  <c r="M21" i="66"/>
  <c r="M31" i="66"/>
  <c r="M64" i="66"/>
  <c r="M22" i="66"/>
  <c r="M18" i="66"/>
  <c r="M12" i="66"/>
  <c r="M55" i="66"/>
  <c r="L31" i="66"/>
  <c r="L33" i="66"/>
  <c r="L58" i="66"/>
  <c r="L25" i="66"/>
  <c r="L16" i="66"/>
  <c r="L49" i="66"/>
  <c r="L57" i="66"/>
  <c r="L65" i="66"/>
  <c r="L47" i="66"/>
  <c r="L27" i="66"/>
  <c r="L23" i="66"/>
  <c r="D107" i="66" s="1"/>
  <c r="C85" i="108" s="1"/>
  <c r="L14" i="66"/>
  <c r="L13" i="66"/>
  <c r="L64" i="66"/>
  <c r="L30" i="66"/>
  <c r="L28" i="66"/>
  <c r="L18" i="66"/>
  <c r="L63" i="66"/>
  <c r="L15" i="66"/>
  <c r="L17" i="66"/>
  <c r="L21" i="66"/>
  <c r="D106" i="66" s="1"/>
  <c r="L53" i="66"/>
  <c r="L55" i="66"/>
  <c r="L35" i="66"/>
  <c r="L41" i="66"/>
  <c r="L42" i="66"/>
  <c r="L34" i="66"/>
  <c r="L52" i="66"/>
  <c r="L62" i="66"/>
  <c r="L61" i="66"/>
  <c r="L38" i="66"/>
  <c r="L11" i="66"/>
  <c r="L48" i="66"/>
  <c r="L60" i="66"/>
  <c r="L10" i="66"/>
  <c r="L37" i="66"/>
  <c r="L45" i="66"/>
  <c r="L12" i="66"/>
  <c r="L54" i="66"/>
  <c r="L44" i="66"/>
  <c r="N39" i="78"/>
  <c r="N24" i="78"/>
  <c r="M58" i="66"/>
  <c r="M15" i="66"/>
  <c r="M26" i="66"/>
  <c r="M30" i="66"/>
  <c r="M14" i="66"/>
  <c r="M54" i="66"/>
  <c r="M56" i="66"/>
  <c r="M36" i="66"/>
  <c r="M43" i="66"/>
  <c r="M32" i="66"/>
  <c r="M40" i="66"/>
  <c r="M46" i="66"/>
  <c r="M60" i="66"/>
  <c r="M23" i="66"/>
  <c r="M33" i="66"/>
  <c r="M49" i="66"/>
  <c r="M61" i="66"/>
  <c r="M28" i="66"/>
  <c r="M53" i="66"/>
  <c r="M27" i="66"/>
  <c r="M19" i="66"/>
  <c r="M42" i="66"/>
  <c r="M44" i="66"/>
  <c r="M10" i="66"/>
  <c r="M45" i="66"/>
  <c r="L39" i="66"/>
  <c r="L56" i="66"/>
  <c r="L51" i="66"/>
  <c r="L36" i="66"/>
  <c r="L29" i="66"/>
  <c r="L26" i="66"/>
  <c r="L22" i="66"/>
  <c r="L59" i="66"/>
  <c r="L19" i="66"/>
  <c r="L32" i="66"/>
  <c r="L46" i="66"/>
  <c r="L40" i="66"/>
  <c r="N9" i="78"/>
  <c r="N20" i="78"/>
  <c r="K22" i="90"/>
  <c r="M22" i="90"/>
  <c r="L22" i="90"/>
  <c r="C70" i="108"/>
  <c r="H81" i="78"/>
  <c r="G70" i="108" s="1"/>
  <c r="L39" i="78"/>
  <c r="J17" i="124"/>
  <c r="K17" i="124" s="1"/>
  <c r="M24" i="78"/>
  <c r="M9" i="78"/>
  <c r="D80" i="78"/>
  <c r="J16" i="124"/>
  <c r="L20" i="78"/>
  <c r="L24" i="78"/>
  <c r="D87" i="78"/>
  <c r="L9" i="78"/>
  <c r="E20" i="90"/>
  <c r="E21" i="90"/>
  <c r="E22" i="90" s="1"/>
  <c r="D85" i="78"/>
  <c r="M39" i="78"/>
  <c r="M20" i="78"/>
  <c r="H107" i="66" l="1"/>
  <c r="G85" i="108" s="1"/>
  <c r="J20" i="124"/>
  <c r="K20" i="124" s="1"/>
  <c r="J21" i="124"/>
  <c r="K21" i="124" s="1"/>
  <c r="L20" i="66"/>
  <c r="D113" i="66"/>
  <c r="H113" i="66" s="1"/>
  <c r="G91" i="108" s="1"/>
  <c r="D111" i="66"/>
  <c r="H111" i="66" s="1"/>
  <c r="G89" i="108" s="1"/>
  <c r="N8" i="78"/>
  <c r="L9" i="66"/>
  <c r="L24" i="66"/>
  <c r="M24" i="66"/>
  <c r="M9" i="66"/>
  <c r="M20" i="66"/>
  <c r="D71" i="109"/>
  <c r="H71" i="109" s="1"/>
  <c r="C84" i="108"/>
  <c r="H106" i="66"/>
  <c r="G84" i="108" s="1"/>
  <c r="M8" i="78"/>
  <c r="H85" i="78"/>
  <c r="G74" i="108" s="1"/>
  <c r="C74" i="108"/>
  <c r="L8" i="78"/>
  <c r="K16" i="124"/>
  <c r="H87" i="78"/>
  <c r="G76" i="108" s="1"/>
  <c r="C76" i="108"/>
  <c r="H80" i="78"/>
  <c r="G69" i="108" s="1"/>
  <c r="C69" i="108"/>
  <c r="H12" i="108"/>
  <c r="C89" i="108" l="1"/>
  <c r="H13" i="108" s="1"/>
  <c r="C91" i="108"/>
  <c r="L8" i="66"/>
  <c r="D116" i="66" s="1"/>
  <c r="C106" i="66" s="1"/>
  <c r="B84" i="108" s="1"/>
  <c r="M8" i="66"/>
  <c r="H11" i="108"/>
  <c r="J11" i="108" s="1"/>
  <c r="D90" i="78"/>
  <c r="J18" i="124"/>
  <c r="J12" i="108"/>
  <c r="I12" i="108"/>
  <c r="H10" i="108"/>
  <c r="C94" i="108" l="1"/>
  <c r="C107" i="66"/>
  <c r="C112" i="66"/>
  <c r="G112" i="66" s="1"/>
  <c r="F90" i="108" s="1"/>
  <c r="G106" i="66"/>
  <c r="F84" i="108" s="1"/>
  <c r="D114" i="66"/>
  <c r="C114" i="66" s="1"/>
  <c r="C113" i="66"/>
  <c r="G113" i="66" s="1"/>
  <c r="F91" i="108" s="1"/>
  <c r="C110" i="66"/>
  <c r="G110" i="66" s="1"/>
  <c r="F88" i="108" s="1"/>
  <c r="J13" i="108"/>
  <c r="I13" i="108"/>
  <c r="C109" i="66"/>
  <c r="B87" i="108" s="1"/>
  <c r="H116" i="66"/>
  <c r="G94" i="108" s="1"/>
  <c r="C111" i="66"/>
  <c r="B89" i="108" s="1"/>
  <c r="C115" i="66"/>
  <c r="B93" i="108" s="1"/>
  <c r="C108" i="66"/>
  <c r="B86" i="108" s="1"/>
  <c r="J22" i="124"/>
  <c r="K22" i="124" s="1"/>
  <c r="K19" i="124" s="1"/>
  <c r="I11" i="108"/>
  <c r="B85" i="108"/>
  <c r="G107" i="66"/>
  <c r="F85" i="108" s="1"/>
  <c r="C80" i="78"/>
  <c r="C83" i="78"/>
  <c r="C89" i="78"/>
  <c r="H90" i="78"/>
  <c r="G79" i="108" s="1"/>
  <c r="D88" i="78"/>
  <c r="C86" i="78"/>
  <c r="C79" i="108"/>
  <c r="C84" i="78"/>
  <c r="C82" i="78"/>
  <c r="C81" i="78"/>
  <c r="C85" i="78"/>
  <c r="C87" i="78"/>
  <c r="H114" i="66"/>
  <c r="G92" i="108" s="1"/>
  <c r="I10" i="108"/>
  <c r="J10" i="108"/>
  <c r="G108" i="66"/>
  <c r="F86" i="108" s="1"/>
  <c r="K18" i="124"/>
  <c r="K15" i="124" s="1"/>
  <c r="K8" i="124" s="1"/>
  <c r="J15" i="124"/>
  <c r="J8" i="124" s="1"/>
  <c r="G109" i="66" l="1"/>
  <c r="F87" i="108" s="1"/>
  <c r="B91" i="108"/>
  <c r="B88" i="108"/>
  <c r="G111" i="66"/>
  <c r="F89" i="108" s="1"/>
  <c r="B90" i="108"/>
  <c r="C92" i="108"/>
  <c r="G115" i="66"/>
  <c r="F93" i="108" s="1"/>
  <c r="K25" i="124"/>
  <c r="K32" i="124" s="1"/>
  <c r="J19" i="124"/>
  <c r="J25" i="124" s="1"/>
  <c r="J32" i="124" s="1"/>
  <c r="J34" i="124" s="1"/>
  <c r="J35" i="124" s="1"/>
  <c r="C116" i="66"/>
  <c r="B94" i="108" s="1"/>
  <c r="L19" i="124"/>
  <c r="B71" i="108"/>
  <c r="G82" i="78"/>
  <c r="C77" i="108"/>
  <c r="C88" i="78"/>
  <c r="C90" i="78" s="1"/>
  <c r="H88" i="78"/>
  <c r="G77" i="108" s="1"/>
  <c r="B69" i="108"/>
  <c r="G80" i="78"/>
  <c r="F69" i="108" s="1"/>
  <c r="G81" i="78"/>
  <c r="F70" i="108" s="1"/>
  <c r="B70" i="108"/>
  <c r="B75" i="108"/>
  <c r="G86" i="78"/>
  <c r="F75" i="108" s="1"/>
  <c r="B72" i="108"/>
  <c r="G83" i="78"/>
  <c r="F72" i="108" s="1"/>
  <c r="B76" i="108"/>
  <c r="G87" i="78"/>
  <c r="F76" i="108" s="1"/>
  <c r="G84" i="78"/>
  <c r="F73" i="108" s="1"/>
  <c r="B73" i="108"/>
  <c r="B92" i="108"/>
  <c r="G114" i="66"/>
  <c r="F92" i="108" s="1"/>
  <c r="B74" i="108"/>
  <c r="G85" i="78"/>
  <c r="F74" i="108" s="1"/>
  <c r="G89" i="78"/>
  <c r="F78" i="108" s="1"/>
  <c r="B78" i="108"/>
  <c r="M37" i="124" l="1"/>
  <c r="N23" i="124" s="1"/>
  <c r="O23" i="124" s="1"/>
  <c r="N37" i="124"/>
  <c r="G116" i="66"/>
  <c r="F94" i="108" s="1"/>
  <c r="F71" i="108"/>
  <c r="C54" i="110"/>
  <c r="B79" i="108"/>
  <c r="G90" i="78"/>
  <c r="F79" i="108" s="1"/>
  <c r="G88" i="78"/>
  <c r="F77" i="108" s="1"/>
  <c r="B77" i="108"/>
  <c r="C51" i="110" l="1"/>
  <c r="C5" i="110"/>
  <c r="C2" i="110" l="1"/>
  <c r="J5" i="110" s="1"/>
  <c r="J8" i="110" l="1"/>
  <c r="J6" i="110"/>
  <c r="J7" i="110"/>
  <c r="J4" i="110"/>
  <c r="J9" i="110"/>
  <c r="J10" i="110"/>
  <c r="J3" i="110"/>
  <c r="J11" i="110"/>
  <c r="C13" i="127" l="1"/>
  <c r="H13" i="127" s="1"/>
  <c r="H10" i="90"/>
  <c r="G10" i="90" l="1"/>
  <c r="H106" i="84"/>
  <c r="H101" i="84" s="1"/>
  <c r="H100" i="84" s="1"/>
  <c r="Q106" i="84"/>
  <c r="G106" i="84"/>
  <c r="G101" i="84" s="1"/>
  <c r="G100" i="84" s="1"/>
  <c r="J106" i="84"/>
  <c r="I106" i="84"/>
  <c r="N10" i="90" l="1"/>
  <c r="E10" i="90"/>
  <c r="G11" i="90" s="1"/>
  <c r="G13" i="90" s="1"/>
  <c r="G14" i="90" s="1"/>
  <c r="G15" i="90" s="1"/>
  <c r="G17" i="90" l="1"/>
  <c r="E17" i="90"/>
  <c r="E18" i="90" s="1"/>
  <c r="E11" i="90"/>
  <c r="I11" i="90"/>
  <c r="I13" i="90" s="1"/>
  <c r="F11" i="90"/>
  <c r="F13" i="90" s="1"/>
  <c r="J11" i="90"/>
  <c r="J13" i="90" s="1"/>
  <c r="H11" i="90"/>
  <c r="H13" i="90" s="1"/>
  <c r="H5" i="78"/>
  <c r="H5" i="66"/>
  <c r="I17" i="90" l="1"/>
  <c r="I18" i="90" s="1"/>
  <c r="I20" i="90" s="1"/>
  <c r="E6" i="107"/>
  <c r="I14" i="90"/>
  <c r="I15" i="90" s="1"/>
  <c r="D6" i="107"/>
  <c r="H14" i="90"/>
  <c r="H15" i="90" s="1"/>
  <c r="H17" i="90"/>
  <c r="H18" i="90" s="1"/>
  <c r="H20" i="90" s="1"/>
  <c r="H31" i="66"/>
  <c r="H61" i="66"/>
  <c r="H49" i="66"/>
  <c r="H64" i="66"/>
  <c r="H47" i="66"/>
  <c r="H57" i="66"/>
  <c r="H35" i="66"/>
  <c r="H30" i="66"/>
  <c r="H55" i="66"/>
  <c r="H23" i="66"/>
  <c r="H53" i="66"/>
  <c r="H60" i="66"/>
  <c r="H42" i="66"/>
  <c r="H27" i="66"/>
  <c r="H37" i="66"/>
  <c r="H41" i="66"/>
  <c r="H15" i="66"/>
  <c r="H17" i="66"/>
  <c r="H54" i="66"/>
  <c r="H62" i="66"/>
  <c r="H51" i="66"/>
  <c r="H52" i="66"/>
  <c r="H46" i="66"/>
  <c r="H14" i="66"/>
  <c r="H43" i="66"/>
  <c r="H19" i="66"/>
  <c r="H28" i="66"/>
  <c r="H13" i="66"/>
  <c r="H45" i="66"/>
  <c r="H22" i="66"/>
  <c r="H36" i="66"/>
  <c r="H40" i="66"/>
  <c r="H12" i="66"/>
  <c r="H26" i="66"/>
  <c r="H44" i="66"/>
  <c r="H11" i="66"/>
  <c r="H59" i="66"/>
  <c r="H16" i="66"/>
  <c r="H63" i="66"/>
  <c r="H48" i="66"/>
  <c r="H34" i="66"/>
  <c r="H18" i="66"/>
  <c r="H33" i="66"/>
  <c r="H58" i="66"/>
  <c r="H32" i="66"/>
  <c r="H56" i="66"/>
  <c r="H21" i="66"/>
  <c r="H29" i="66"/>
  <c r="H10" i="66"/>
  <c r="H65" i="66"/>
  <c r="H39" i="66"/>
  <c r="H25" i="66"/>
  <c r="J17" i="90"/>
  <c r="J18" i="90" s="1"/>
  <c r="J20" i="90" s="1"/>
  <c r="F6" i="107"/>
  <c r="J14" i="90"/>
  <c r="J15" i="90" s="1"/>
  <c r="H37" i="78"/>
  <c r="H38" i="78"/>
  <c r="H22" i="78"/>
  <c r="H68" i="78"/>
  <c r="H57" i="78"/>
  <c r="H11" i="78"/>
  <c r="H58" i="78"/>
  <c r="H49" i="78"/>
  <c r="H54" i="78"/>
  <c r="H14" i="78"/>
  <c r="H18" i="78"/>
  <c r="H42" i="78"/>
  <c r="H31" i="78"/>
  <c r="H32" i="78"/>
  <c r="H29" i="78"/>
  <c r="H61" i="78"/>
  <c r="H44" i="78"/>
  <c r="H64" i="78"/>
  <c r="H67" i="78"/>
  <c r="H65" i="78"/>
  <c r="H23" i="78"/>
  <c r="H35" i="78"/>
  <c r="H28" i="78"/>
  <c r="H27" i="78"/>
  <c r="H50" i="78"/>
  <c r="H53" i="78"/>
  <c r="H56" i="78"/>
  <c r="H34" i="78"/>
  <c r="H47" i="78"/>
  <c r="H66" i="78"/>
  <c r="H48" i="78"/>
  <c r="H46" i="78"/>
  <c r="H16" i="78"/>
  <c r="H33" i="78"/>
  <c r="H63" i="78"/>
  <c r="H36" i="78"/>
  <c r="H45" i="78"/>
  <c r="H55" i="78"/>
  <c r="H17" i="78"/>
  <c r="H60" i="78"/>
  <c r="H51" i="78"/>
  <c r="H30" i="78"/>
  <c r="H52" i="78"/>
  <c r="H15" i="78"/>
  <c r="H62" i="78"/>
  <c r="H26" i="78"/>
  <c r="H59" i="78"/>
  <c r="H12" i="78"/>
  <c r="H21" i="78"/>
  <c r="H25" i="78"/>
  <c r="H43" i="78"/>
  <c r="H10" i="78"/>
  <c r="H13" i="78"/>
  <c r="H41" i="78"/>
  <c r="H19" i="78"/>
  <c r="H40" i="78"/>
  <c r="C6" i="107"/>
  <c r="F17" i="90"/>
  <c r="F18" i="90" s="1"/>
  <c r="F20" i="90" s="1"/>
  <c r="F14" i="90"/>
  <c r="G18" i="90"/>
  <c r="G20" i="90" s="1"/>
  <c r="G21" i="90" s="1"/>
  <c r="G22" i="90" s="1"/>
  <c r="G6" i="107" l="1"/>
  <c r="L51" i="110" s="1"/>
  <c r="M51" i="110" s="1"/>
  <c r="I6" i="107"/>
  <c r="F15" i="90"/>
  <c r="G55" i="110"/>
  <c r="G68" i="110"/>
  <c r="G65" i="110"/>
  <c r="G70" i="110"/>
  <c r="F21" i="90"/>
  <c r="C7" i="107"/>
  <c r="G59" i="110"/>
  <c r="H24" i="78"/>
  <c r="J21" i="90"/>
  <c r="J22" i="90" s="1"/>
  <c r="G79" i="22" s="1"/>
  <c r="F7" i="107"/>
  <c r="F8" i="107" s="1"/>
  <c r="H9" i="66"/>
  <c r="J5" i="78"/>
  <c r="J5" i="66"/>
  <c r="H20" i="78"/>
  <c r="G52" i="110"/>
  <c r="G53" i="110"/>
  <c r="G57" i="110"/>
  <c r="G71" i="110"/>
  <c r="H24" i="66"/>
  <c r="D7" i="107"/>
  <c r="H21" i="90"/>
  <c r="H22" i="90" s="1"/>
  <c r="G47" i="22"/>
  <c r="G44" i="22"/>
  <c r="G45" i="22" s="1"/>
  <c r="G31" i="22"/>
  <c r="G46" i="22"/>
  <c r="G43" i="22"/>
  <c r="H39" i="78"/>
  <c r="H9" i="78"/>
  <c r="G56" i="110"/>
  <c r="G58" i="110"/>
  <c r="K5" i="78"/>
  <c r="K5" i="66"/>
  <c r="H38" i="66"/>
  <c r="H20" i="66"/>
  <c r="G64" i="110"/>
  <c r="G69" i="110"/>
  <c r="G67" i="110"/>
  <c r="I5" i="78"/>
  <c r="I5" i="66"/>
  <c r="I21" i="90"/>
  <c r="I22" i="90" s="1"/>
  <c r="E7" i="107"/>
  <c r="G32" i="22" l="1"/>
  <c r="G76" i="22"/>
  <c r="G77" i="22" s="1"/>
  <c r="G78" i="22"/>
  <c r="G75" i="22"/>
  <c r="G60" i="22"/>
  <c r="H8" i="66"/>
  <c r="F22" i="90"/>
  <c r="G27" i="22" s="1"/>
  <c r="I7" i="107"/>
  <c r="K15" i="66"/>
  <c r="K35" i="66"/>
  <c r="K53" i="66"/>
  <c r="K56" i="66"/>
  <c r="K13" i="66"/>
  <c r="K47" i="66"/>
  <c r="K29" i="66"/>
  <c r="K41" i="66"/>
  <c r="K11" i="66"/>
  <c r="K62" i="66"/>
  <c r="K45" i="66"/>
  <c r="K31" i="66"/>
  <c r="K34" i="66"/>
  <c r="K65" i="66"/>
  <c r="K17" i="66"/>
  <c r="K16" i="66"/>
  <c r="K32" i="66"/>
  <c r="K60" i="66"/>
  <c r="K61" i="66"/>
  <c r="K54" i="66"/>
  <c r="K22" i="66"/>
  <c r="K52" i="66"/>
  <c r="K28" i="66"/>
  <c r="J67" i="110" s="1"/>
  <c r="K48" i="66"/>
  <c r="K44" i="66"/>
  <c r="K49" i="66"/>
  <c r="K58" i="66"/>
  <c r="K18" i="66"/>
  <c r="K63" i="66"/>
  <c r="K64" i="66"/>
  <c r="K14" i="66"/>
  <c r="K51" i="66"/>
  <c r="K12" i="66"/>
  <c r="K37" i="66"/>
  <c r="K46" i="66"/>
  <c r="K59" i="66"/>
  <c r="K43" i="66"/>
  <c r="K42" i="66"/>
  <c r="K33" i="66"/>
  <c r="K26" i="66"/>
  <c r="K55" i="66"/>
  <c r="K30" i="66"/>
  <c r="K40" i="66"/>
  <c r="K19" i="66"/>
  <c r="K25" i="66"/>
  <c r="K57" i="66"/>
  <c r="J70" i="110" s="1"/>
  <c r="K27" i="66"/>
  <c r="J68" i="110" s="1"/>
  <c r="K39" i="66"/>
  <c r="K36" i="66"/>
  <c r="K21" i="66"/>
  <c r="K23" i="66"/>
  <c r="K10" i="66"/>
  <c r="G5" i="78"/>
  <c r="G5" i="66"/>
  <c r="I65" i="66"/>
  <c r="I19" i="66"/>
  <c r="I16" i="66"/>
  <c r="I59" i="66"/>
  <c r="I56" i="66"/>
  <c r="I47" i="66"/>
  <c r="I18" i="66"/>
  <c r="I51" i="66"/>
  <c r="I45" i="66"/>
  <c r="I42" i="66"/>
  <c r="I46" i="66"/>
  <c r="I61" i="66"/>
  <c r="I30" i="66"/>
  <c r="I58" i="66"/>
  <c r="I22" i="66"/>
  <c r="I13" i="66"/>
  <c r="I48" i="66"/>
  <c r="I64" i="66"/>
  <c r="I35" i="66"/>
  <c r="I62" i="66"/>
  <c r="I15" i="66"/>
  <c r="I27" i="66"/>
  <c r="I28" i="66"/>
  <c r="I43" i="66"/>
  <c r="I26" i="66"/>
  <c r="I31" i="66"/>
  <c r="I14" i="66"/>
  <c r="I60" i="66"/>
  <c r="I32" i="66"/>
  <c r="I63" i="66"/>
  <c r="I44" i="66"/>
  <c r="I53" i="66"/>
  <c r="I29" i="66"/>
  <c r="I17" i="66"/>
  <c r="I52" i="66"/>
  <c r="I40" i="66"/>
  <c r="I34" i="66"/>
  <c r="I11" i="66"/>
  <c r="I12" i="66"/>
  <c r="I37" i="66"/>
  <c r="I55" i="66"/>
  <c r="I54" i="66"/>
  <c r="I41" i="66"/>
  <c r="I49" i="66"/>
  <c r="I33" i="66"/>
  <c r="I57" i="66"/>
  <c r="I39" i="66"/>
  <c r="I25" i="66"/>
  <c r="I36" i="66"/>
  <c r="I23" i="66"/>
  <c r="I21" i="66"/>
  <c r="I10" i="66"/>
  <c r="I35" i="78"/>
  <c r="I62" i="78"/>
  <c r="I42" i="78"/>
  <c r="I47" i="78"/>
  <c r="I13" i="78"/>
  <c r="I48" i="78"/>
  <c r="I45" i="78"/>
  <c r="I67" i="78"/>
  <c r="I41" i="78"/>
  <c r="I50" i="78"/>
  <c r="I12" i="78"/>
  <c r="I27" i="78"/>
  <c r="I46" i="78"/>
  <c r="I61" i="78"/>
  <c r="I53" i="78"/>
  <c r="I29" i="78"/>
  <c r="I32" i="78"/>
  <c r="I55" i="78"/>
  <c r="I64" i="78"/>
  <c r="I56" i="78"/>
  <c r="I43" i="78"/>
  <c r="I17" i="78"/>
  <c r="I66" i="78"/>
  <c r="I54" i="78"/>
  <c r="I57" i="78"/>
  <c r="I60" i="78"/>
  <c r="I49" i="78"/>
  <c r="I36" i="78"/>
  <c r="I14" i="78"/>
  <c r="I19" i="78"/>
  <c r="I44" i="78"/>
  <c r="I16" i="78"/>
  <c r="I31" i="78"/>
  <c r="I51" i="78"/>
  <c r="I26" i="78"/>
  <c r="I38" i="78"/>
  <c r="I11" i="78"/>
  <c r="I15" i="78"/>
  <c r="I33" i="78"/>
  <c r="I52" i="78"/>
  <c r="I68" i="78"/>
  <c r="I59" i="78"/>
  <c r="I18" i="78"/>
  <c r="I22" i="78"/>
  <c r="I63" i="78"/>
  <c r="I30" i="78"/>
  <c r="I58" i="78"/>
  <c r="I34" i="78"/>
  <c r="I65" i="78"/>
  <c r="I28" i="78"/>
  <c r="I37" i="78"/>
  <c r="I40" i="78"/>
  <c r="I23" i="78"/>
  <c r="I10" i="78"/>
  <c r="I21" i="78"/>
  <c r="I25" i="78"/>
  <c r="K11" i="78"/>
  <c r="K44" i="78"/>
  <c r="K13" i="78"/>
  <c r="K53" i="78"/>
  <c r="K12" i="78"/>
  <c r="K46" i="78"/>
  <c r="K59" i="78"/>
  <c r="K58" i="78"/>
  <c r="K56" i="78"/>
  <c r="K14" i="78"/>
  <c r="K15" i="78"/>
  <c r="K45" i="78"/>
  <c r="K19" i="78"/>
  <c r="K32" i="78"/>
  <c r="K22" i="78"/>
  <c r="K61" i="78"/>
  <c r="K52" i="78"/>
  <c r="K47" i="78"/>
  <c r="K54" i="78"/>
  <c r="K51" i="78"/>
  <c r="K30" i="78"/>
  <c r="K48" i="78"/>
  <c r="K38" i="78"/>
  <c r="K60" i="78"/>
  <c r="K31" i="78"/>
  <c r="K17" i="78"/>
  <c r="K67" i="78"/>
  <c r="K41" i="78"/>
  <c r="K36" i="78"/>
  <c r="K49" i="78"/>
  <c r="K68" i="78"/>
  <c r="K66" i="78"/>
  <c r="K42" i="78"/>
  <c r="K35" i="78"/>
  <c r="K29" i="78"/>
  <c r="K28" i="78"/>
  <c r="J55" i="110" s="1"/>
  <c r="K16" i="78"/>
  <c r="K55" i="78"/>
  <c r="K57" i="78"/>
  <c r="K34" i="78"/>
  <c r="K33" i="78"/>
  <c r="K63" i="78"/>
  <c r="K50" i="78"/>
  <c r="K62" i="78"/>
  <c r="K43" i="78"/>
  <c r="K18" i="78"/>
  <c r="K26" i="78"/>
  <c r="K64" i="78"/>
  <c r="K65" i="78"/>
  <c r="J58" i="110" s="1"/>
  <c r="K27" i="78"/>
  <c r="J56" i="110" s="1"/>
  <c r="K40" i="78"/>
  <c r="K37" i="78"/>
  <c r="K23" i="78"/>
  <c r="K10" i="78"/>
  <c r="K25" i="78"/>
  <c r="K21" i="78"/>
  <c r="H8" i="78"/>
  <c r="J49" i="66"/>
  <c r="J45" i="66"/>
  <c r="J40" i="66"/>
  <c r="J54" i="66"/>
  <c r="J41" i="66"/>
  <c r="J29" i="66"/>
  <c r="J12" i="66"/>
  <c r="J32" i="66"/>
  <c r="J52" i="66"/>
  <c r="J51" i="66"/>
  <c r="J16" i="66"/>
  <c r="J19" i="66"/>
  <c r="J37" i="66"/>
  <c r="J47" i="66"/>
  <c r="J31" i="66"/>
  <c r="J22" i="66"/>
  <c r="J64" i="66"/>
  <c r="J60" i="66"/>
  <c r="J63" i="66"/>
  <c r="J55" i="66"/>
  <c r="J61" i="66"/>
  <c r="J48" i="66"/>
  <c r="J46" i="66"/>
  <c r="J65" i="66"/>
  <c r="J35" i="66"/>
  <c r="J53" i="66"/>
  <c r="J14" i="66"/>
  <c r="J13" i="66"/>
  <c r="J15" i="66"/>
  <c r="J34" i="66"/>
  <c r="J30" i="66"/>
  <c r="J56" i="66"/>
  <c r="J18" i="66"/>
  <c r="J33" i="66"/>
  <c r="J26" i="66"/>
  <c r="J43" i="66"/>
  <c r="J17" i="66"/>
  <c r="J62" i="66"/>
  <c r="J58" i="66"/>
  <c r="J42" i="66"/>
  <c r="J59" i="66"/>
  <c r="J44" i="66"/>
  <c r="J11" i="66"/>
  <c r="J27" i="66"/>
  <c r="I68" i="110" s="1"/>
  <c r="J25" i="66"/>
  <c r="J28" i="66"/>
  <c r="I67" i="110" s="1"/>
  <c r="J39" i="66"/>
  <c r="J57" i="66"/>
  <c r="I70" i="110" s="1"/>
  <c r="J23" i="66"/>
  <c r="J36" i="66"/>
  <c r="J21" i="66"/>
  <c r="J10" i="66"/>
  <c r="J38" i="78"/>
  <c r="J57" i="78"/>
  <c r="J63" i="78"/>
  <c r="J12" i="78"/>
  <c r="J60" i="78"/>
  <c r="J64" i="78"/>
  <c r="J16" i="78"/>
  <c r="J53" i="78"/>
  <c r="J46" i="78"/>
  <c r="J35" i="78"/>
  <c r="J22" i="78"/>
  <c r="J17" i="78"/>
  <c r="J45" i="78"/>
  <c r="J47" i="78"/>
  <c r="J48" i="78"/>
  <c r="J31" i="78"/>
  <c r="J51" i="78"/>
  <c r="J62" i="78"/>
  <c r="J44" i="78"/>
  <c r="J66" i="78"/>
  <c r="J11" i="78"/>
  <c r="J18" i="78"/>
  <c r="J50" i="78"/>
  <c r="J28" i="78"/>
  <c r="I55" i="110" s="1"/>
  <c r="J27" i="78"/>
  <c r="I56" i="110" s="1"/>
  <c r="J15" i="78"/>
  <c r="J29" i="78"/>
  <c r="J14" i="78"/>
  <c r="J34" i="78"/>
  <c r="J55" i="78"/>
  <c r="J61" i="78"/>
  <c r="J67" i="78"/>
  <c r="J43" i="78"/>
  <c r="J54" i="78"/>
  <c r="J13" i="78"/>
  <c r="J58" i="78"/>
  <c r="J33" i="78"/>
  <c r="J19" i="78"/>
  <c r="J41" i="78"/>
  <c r="J59" i="78"/>
  <c r="J36" i="78"/>
  <c r="J42" i="78"/>
  <c r="J49" i="78"/>
  <c r="J52" i="78"/>
  <c r="J32" i="78"/>
  <c r="J30" i="78"/>
  <c r="J56" i="78"/>
  <c r="J26" i="78"/>
  <c r="J68" i="78"/>
  <c r="J65" i="78"/>
  <c r="I58" i="110" s="1"/>
  <c r="J25" i="78"/>
  <c r="J23" i="78"/>
  <c r="J40" i="78"/>
  <c r="J37" i="78"/>
  <c r="J10" i="78"/>
  <c r="J21" i="78"/>
  <c r="G7" i="107"/>
  <c r="L63" i="110" s="1"/>
  <c r="M63" i="110" s="1"/>
  <c r="G61" i="22" l="1"/>
  <c r="G25" i="22"/>
  <c r="G26" i="22" s="1"/>
  <c r="G22" i="22"/>
  <c r="J9" i="66"/>
  <c r="K9" i="78"/>
  <c r="V34" i="78"/>
  <c r="V22" i="78"/>
  <c r="V38" i="78"/>
  <c r="I57" i="110"/>
  <c r="C23" i="133"/>
  <c r="K20" i="78"/>
  <c r="G24" i="57"/>
  <c r="AF24" i="57" s="1"/>
  <c r="J52" i="110"/>
  <c r="C18" i="135"/>
  <c r="J39" i="78"/>
  <c r="J20" i="66"/>
  <c r="G28" i="92"/>
  <c r="I64" i="110"/>
  <c r="J38" i="66"/>
  <c r="J59" i="110"/>
  <c r="K24" i="78"/>
  <c r="K39" i="78"/>
  <c r="I20" i="78"/>
  <c r="C21" i="134"/>
  <c r="H52" i="110"/>
  <c r="G24" i="61"/>
  <c r="V21" i="78"/>
  <c r="H57" i="110"/>
  <c r="C23" i="134"/>
  <c r="V37" i="78"/>
  <c r="V58" i="78"/>
  <c r="V18" i="78"/>
  <c r="V33" i="78"/>
  <c r="V26" i="78"/>
  <c r="V44" i="78"/>
  <c r="V49" i="78"/>
  <c r="V66" i="78"/>
  <c r="V64" i="78"/>
  <c r="V53" i="78"/>
  <c r="V12" i="78"/>
  <c r="V45" i="78"/>
  <c r="V42" i="78"/>
  <c r="I9" i="66"/>
  <c r="T10" i="66"/>
  <c r="H71" i="110"/>
  <c r="I24" i="66"/>
  <c r="T25" i="66"/>
  <c r="T49" i="66"/>
  <c r="T37" i="66"/>
  <c r="T40" i="66"/>
  <c r="T53" i="66"/>
  <c r="T60" i="66"/>
  <c r="T43" i="66"/>
  <c r="T62" i="66"/>
  <c r="T13" i="66"/>
  <c r="T61" i="66"/>
  <c r="T51" i="66"/>
  <c r="T59" i="66"/>
  <c r="G55" i="66"/>
  <c r="S55" i="66" s="1"/>
  <c r="G19" i="66"/>
  <c r="S19" i="66" s="1"/>
  <c r="G13" i="66"/>
  <c r="S13" i="66" s="1"/>
  <c r="G64" i="66"/>
  <c r="S64" i="66" s="1"/>
  <c r="G60" i="66"/>
  <c r="S60" i="66" s="1"/>
  <c r="G59" i="66"/>
  <c r="S59" i="66" s="1"/>
  <c r="G32" i="66"/>
  <c r="S32" i="66" s="1"/>
  <c r="G45" i="66"/>
  <c r="S45" i="66" s="1"/>
  <c r="G34" i="66"/>
  <c r="S34" i="66" s="1"/>
  <c r="G43" i="66"/>
  <c r="S43" i="66" s="1"/>
  <c r="G51" i="66"/>
  <c r="S51" i="66" s="1"/>
  <c r="G31" i="66"/>
  <c r="S31" i="66" s="1"/>
  <c r="G62" i="66"/>
  <c r="S62" i="66" s="1"/>
  <c r="G15" i="66"/>
  <c r="S15" i="66" s="1"/>
  <c r="F5" i="66"/>
  <c r="G54" i="66"/>
  <c r="S54" i="66" s="1"/>
  <c r="G16" i="66"/>
  <c r="S16" i="66" s="1"/>
  <c r="G61" i="66"/>
  <c r="S61" i="66" s="1"/>
  <c r="G56" i="66"/>
  <c r="S56" i="66" s="1"/>
  <c r="G65" i="66"/>
  <c r="S65" i="66" s="1"/>
  <c r="G18" i="66"/>
  <c r="S18" i="66" s="1"/>
  <c r="G63" i="66"/>
  <c r="S63" i="66" s="1"/>
  <c r="G30" i="66"/>
  <c r="S30" i="66" s="1"/>
  <c r="G26" i="66"/>
  <c r="S26" i="66" s="1"/>
  <c r="G12" i="66"/>
  <c r="S12" i="66" s="1"/>
  <c r="G29" i="66"/>
  <c r="S29" i="66" s="1"/>
  <c r="G53" i="66"/>
  <c r="S53" i="66" s="1"/>
  <c r="G14" i="66"/>
  <c r="S14" i="66" s="1"/>
  <c r="G33" i="66"/>
  <c r="S33" i="66" s="1"/>
  <c r="G47" i="66"/>
  <c r="S47" i="66" s="1"/>
  <c r="G46" i="66"/>
  <c r="S46" i="66" s="1"/>
  <c r="G58" i="66"/>
  <c r="S58" i="66" s="1"/>
  <c r="G40" i="66"/>
  <c r="S40" i="66" s="1"/>
  <c r="G22" i="66"/>
  <c r="S22" i="66" s="1"/>
  <c r="G35" i="66"/>
  <c r="S35" i="66" s="1"/>
  <c r="G41" i="66"/>
  <c r="S41" i="66" s="1"/>
  <c r="G17" i="66"/>
  <c r="S17" i="66" s="1"/>
  <c r="G49" i="66"/>
  <c r="S49" i="66" s="1"/>
  <c r="G48" i="66"/>
  <c r="S48" i="66" s="1"/>
  <c r="G42" i="66"/>
  <c r="S42" i="66" s="1"/>
  <c r="G37" i="66"/>
  <c r="S37" i="66" s="1"/>
  <c r="G11" i="66"/>
  <c r="S11" i="66" s="1"/>
  <c r="G27" i="66"/>
  <c r="G39" i="66"/>
  <c r="G25" i="66"/>
  <c r="G28" i="66"/>
  <c r="G57" i="66"/>
  <c r="G44" i="66"/>
  <c r="S44" i="66" s="1"/>
  <c r="G52" i="66"/>
  <c r="S52" i="66" s="1"/>
  <c r="G36" i="66"/>
  <c r="G23" i="66"/>
  <c r="G21" i="66"/>
  <c r="G10" i="66"/>
  <c r="G28" i="22"/>
  <c r="K9" i="66"/>
  <c r="K38" i="66"/>
  <c r="G72" i="110"/>
  <c r="G63" i="110" s="1"/>
  <c r="I53" i="110"/>
  <c r="G25" i="92"/>
  <c r="I69" i="110"/>
  <c r="C28" i="133"/>
  <c r="G60" i="110"/>
  <c r="G51" i="110" s="1"/>
  <c r="I9" i="78"/>
  <c r="V10" i="78"/>
  <c r="H55" i="110"/>
  <c r="V28" i="78"/>
  <c r="V30" i="78"/>
  <c r="V59" i="78"/>
  <c r="V15" i="78"/>
  <c r="V51" i="78"/>
  <c r="V19" i="78"/>
  <c r="V60" i="78"/>
  <c r="V17" i="78"/>
  <c r="V55" i="78"/>
  <c r="V61" i="78"/>
  <c r="V50" i="78"/>
  <c r="V48" i="78"/>
  <c r="V62" i="78"/>
  <c r="I20" i="66"/>
  <c r="G28" i="61"/>
  <c r="H64" i="110"/>
  <c r="C26" i="134"/>
  <c r="T21" i="66"/>
  <c r="I38" i="66"/>
  <c r="T39" i="66"/>
  <c r="T41" i="66"/>
  <c r="T12" i="66"/>
  <c r="T52" i="66"/>
  <c r="T44" i="66"/>
  <c r="T14" i="66"/>
  <c r="H67" i="110"/>
  <c r="T28" i="66"/>
  <c r="T35" i="66"/>
  <c r="T22" i="66"/>
  <c r="T46" i="66"/>
  <c r="T18" i="66"/>
  <c r="T16" i="66"/>
  <c r="G12" i="78"/>
  <c r="U12" i="78" s="1"/>
  <c r="G38" i="78"/>
  <c r="U38" i="78" s="1"/>
  <c r="G16" i="78"/>
  <c r="U16" i="78" s="1"/>
  <c r="G52" i="78"/>
  <c r="U52" i="78" s="1"/>
  <c r="G57" i="78"/>
  <c r="U57" i="78" s="1"/>
  <c r="G60" i="78"/>
  <c r="U60" i="78" s="1"/>
  <c r="G33" i="78"/>
  <c r="U33" i="78" s="1"/>
  <c r="G55" i="78"/>
  <c r="U55" i="78" s="1"/>
  <c r="G56" i="78"/>
  <c r="U56" i="78" s="1"/>
  <c r="G26" i="78"/>
  <c r="U26" i="78" s="1"/>
  <c r="G61" i="78"/>
  <c r="U61" i="78" s="1"/>
  <c r="G63" i="78"/>
  <c r="U63" i="78" s="1"/>
  <c r="G22" i="78"/>
  <c r="U22" i="78" s="1"/>
  <c r="G68" i="78"/>
  <c r="U68" i="78" s="1"/>
  <c r="G32" i="78"/>
  <c r="U32" i="78" s="1"/>
  <c r="G15" i="78"/>
  <c r="U15" i="78" s="1"/>
  <c r="G54" i="78"/>
  <c r="U54" i="78" s="1"/>
  <c r="G17" i="78"/>
  <c r="U17" i="78" s="1"/>
  <c r="G45" i="78"/>
  <c r="U45" i="78" s="1"/>
  <c r="G66" i="78"/>
  <c r="U66" i="78" s="1"/>
  <c r="G53" i="78"/>
  <c r="U53" i="78" s="1"/>
  <c r="G46" i="78"/>
  <c r="U46" i="78" s="1"/>
  <c r="G51" i="78"/>
  <c r="U51" i="78" s="1"/>
  <c r="G47" i="78"/>
  <c r="U47" i="78" s="1"/>
  <c r="G30" i="78"/>
  <c r="U30" i="78" s="1"/>
  <c r="G35" i="78"/>
  <c r="U35" i="78" s="1"/>
  <c r="G34" i="78"/>
  <c r="U34" i="78" s="1"/>
  <c r="G19" i="78"/>
  <c r="U19" i="78" s="1"/>
  <c r="F5" i="78"/>
  <c r="G42" i="78"/>
  <c r="U42" i="78" s="1"/>
  <c r="G48" i="78"/>
  <c r="U48" i="78" s="1"/>
  <c r="G64" i="78"/>
  <c r="U64" i="78" s="1"/>
  <c r="G11" i="78"/>
  <c r="U11" i="78" s="1"/>
  <c r="G44" i="78"/>
  <c r="U44" i="78" s="1"/>
  <c r="G18" i="78"/>
  <c r="U18" i="78" s="1"/>
  <c r="G62" i="78"/>
  <c r="U62" i="78" s="1"/>
  <c r="G36" i="78"/>
  <c r="U36" i="78" s="1"/>
  <c r="G41" i="78"/>
  <c r="U41" i="78" s="1"/>
  <c r="G67" i="78"/>
  <c r="U67" i="78" s="1"/>
  <c r="G28" i="78"/>
  <c r="G58" i="78"/>
  <c r="U58" i="78" s="1"/>
  <c r="G31" i="78"/>
  <c r="U31" i="78" s="1"/>
  <c r="G59" i="78"/>
  <c r="U59" i="78" s="1"/>
  <c r="G40" i="78"/>
  <c r="G50" i="78"/>
  <c r="U50" i="78" s="1"/>
  <c r="G27" i="78"/>
  <c r="G29" i="78"/>
  <c r="U29" i="78" s="1"/>
  <c r="G43" i="78"/>
  <c r="G14" i="78"/>
  <c r="U14" i="78" s="1"/>
  <c r="G65" i="78"/>
  <c r="G13" i="78"/>
  <c r="U13" i="78" s="1"/>
  <c r="G49" i="78"/>
  <c r="U49" i="78" s="1"/>
  <c r="G37" i="78"/>
  <c r="G25" i="78"/>
  <c r="G10" i="78"/>
  <c r="G21" i="78"/>
  <c r="G23" i="78"/>
  <c r="J65" i="110"/>
  <c r="G29" i="57"/>
  <c r="AF29" i="57" s="1"/>
  <c r="C24" i="135"/>
  <c r="J20" i="78"/>
  <c r="G24" i="92"/>
  <c r="I52" i="110"/>
  <c r="J9" i="78"/>
  <c r="I59" i="110"/>
  <c r="J24" i="78"/>
  <c r="I65" i="110"/>
  <c r="G29" i="92"/>
  <c r="I71" i="110"/>
  <c r="J24" i="66"/>
  <c r="J53" i="110"/>
  <c r="G25" i="57"/>
  <c r="AF25" i="57" s="1"/>
  <c r="C19" i="135"/>
  <c r="H53" i="110"/>
  <c r="C22" i="134"/>
  <c r="G25" i="61"/>
  <c r="V23" i="78"/>
  <c r="H58" i="110"/>
  <c r="V65" i="78"/>
  <c r="V63" i="78"/>
  <c r="V68" i="78"/>
  <c r="V11" i="78"/>
  <c r="V31" i="78"/>
  <c r="V14" i="78"/>
  <c r="V57" i="78"/>
  <c r="V43" i="78"/>
  <c r="V32" i="78"/>
  <c r="V46" i="78"/>
  <c r="V41" i="78"/>
  <c r="V13" i="78"/>
  <c r="V35" i="78"/>
  <c r="G29" i="61"/>
  <c r="H65" i="110"/>
  <c r="C27" i="134"/>
  <c r="T23" i="66"/>
  <c r="H70" i="110"/>
  <c r="T57" i="66"/>
  <c r="T54" i="66"/>
  <c r="T11" i="66"/>
  <c r="T17" i="66"/>
  <c r="T63" i="66"/>
  <c r="T31" i="66"/>
  <c r="H68" i="110"/>
  <c r="T27" i="66"/>
  <c r="T64" i="66"/>
  <c r="T58" i="66"/>
  <c r="T42" i="66"/>
  <c r="T47" i="66"/>
  <c r="T19" i="66"/>
  <c r="G24" i="22"/>
  <c r="G28" i="57"/>
  <c r="AF28" i="57" s="1"/>
  <c r="K20" i="66"/>
  <c r="J64" i="110"/>
  <c r="C23" i="135"/>
  <c r="J57" i="110"/>
  <c r="C20" i="135"/>
  <c r="H59" i="110"/>
  <c r="I24" i="78"/>
  <c r="V25" i="78"/>
  <c r="I39" i="78"/>
  <c r="V40" i="78"/>
  <c r="V52" i="78"/>
  <c r="V16" i="78"/>
  <c r="V36" i="78"/>
  <c r="V54" i="78"/>
  <c r="V56" i="78"/>
  <c r="V29" i="78"/>
  <c r="H56" i="110"/>
  <c r="V27" i="78"/>
  <c r="V67" i="78"/>
  <c r="V47" i="78"/>
  <c r="H69" i="110"/>
  <c r="C28" i="134"/>
  <c r="T36" i="66"/>
  <c r="T33" i="66"/>
  <c r="T55" i="66"/>
  <c r="T34" i="66"/>
  <c r="T29" i="66"/>
  <c r="T32" i="66"/>
  <c r="T26" i="66"/>
  <c r="T15" i="66"/>
  <c r="T48" i="66"/>
  <c r="T30" i="66"/>
  <c r="T45" i="66"/>
  <c r="T56" i="66"/>
  <c r="T65" i="66"/>
  <c r="J69" i="110"/>
  <c r="C25" i="135"/>
  <c r="J71" i="110"/>
  <c r="K24" i="66"/>
  <c r="V39" i="78" l="1"/>
  <c r="G23" i="22"/>
  <c r="T38" i="66"/>
  <c r="J8" i="66"/>
  <c r="G27" i="92" s="1"/>
  <c r="T20" i="66"/>
  <c r="K8" i="78"/>
  <c r="G23" i="57" s="1"/>
  <c r="C21" i="135"/>
  <c r="M21" i="135" s="1"/>
  <c r="C24" i="134"/>
  <c r="C20" i="134" s="1"/>
  <c r="G20" i="134" s="1"/>
  <c r="V24" i="78"/>
  <c r="C96" i="150"/>
  <c r="G22" i="134"/>
  <c r="G96" i="150" s="1"/>
  <c r="C102" i="150"/>
  <c r="G28" i="134"/>
  <c r="G102" i="150" s="1"/>
  <c r="R23" i="135"/>
  <c r="C130" i="150"/>
  <c r="M23" i="135"/>
  <c r="G23" i="135"/>
  <c r="G130" i="150" s="1"/>
  <c r="C101" i="150"/>
  <c r="G27" i="134"/>
  <c r="G101" i="150" s="1"/>
  <c r="U10" i="78"/>
  <c r="G9" i="78"/>
  <c r="H28" i="61"/>
  <c r="J28" i="61"/>
  <c r="I28" i="61"/>
  <c r="K28" i="61"/>
  <c r="G28" i="133"/>
  <c r="S36" i="66"/>
  <c r="F69" i="110"/>
  <c r="B7" i="111"/>
  <c r="C29" i="132"/>
  <c r="S28" i="66"/>
  <c r="F67" i="110"/>
  <c r="C95" i="150"/>
  <c r="G21" i="134"/>
  <c r="G95" i="150" s="1"/>
  <c r="M25" i="135"/>
  <c r="R25" i="135"/>
  <c r="C132" i="150"/>
  <c r="G25" i="135"/>
  <c r="G132" i="150" s="1"/>
  <c r="M20" i="135"/>
  <c r="C127" i="150"/>
  <c r="R20" i="135"/>
  <c r="G20" i="135"/>
  <c r="G127" i="150" s="1"/>
  <c r="H24" i="92"/>
  <c r="I24" i="92"/>
  <c r="J24" i="92"/>
  <c r="K24" i="92"/>
  <c r="C21" i="133"/>
  <c r="F58" i="110"/>
  <c r="U65" i="78"/>
  <c r="U27" i="78"/>
  <c r="F56" i="110"/>
  <c r="I8" i="78"/>
  <c r="V9" i="78"/>
  <c r="S10" i="66"/>
  <c r="G9" i="66"/>
  <c r="F71" i="110"/>
  <c r="G24" i="66"/>
  <c r="S24" i="66" s="1"/>
  <c r="S25" i="66"/>
  <c r="C29" i="134"/>
  <c r="C25" i="134" s="1"/>
  <c r="G25" i="134" s="1"/>
  <c r="I8" i="66"/>
  <c r="T9" i="66"/>
  <c r="V20" i="78"/>
  <c r="C126" i="150"/>
  <c r="M19" i="135"/>
  <c r="R19" i="135"/>
  <c r="G19" i="135"/>
  <c r="G126" i="150" s="1"/>
  <c r="U25" i="78"/>
  <c r="F59" i="110"/>
  <c r="D73" i="109"/>
  <c r="G24" i="78"/>
  <c r="U24" i="78" s="1"/>
  <c r="J29" i="61"/>
  <c r="H29" i="61"/>
  <c r="K29" i="61"/>
  <c r="I29" i="61"/>
  <c r="I25" i="61"/>
  <c r="J25" i="61"/>
  <c r="H25" i="61"/>
  <c r="K25" i="61"/>
  <c r="J29" i="92"/>
  <c r="K29" i="92"/>
  <c r="I29" i="92"/>
  <c r="H29" i="92"/>
  <c r="C27" i="133"/>
  <c r="J8" i="78"/>
  <c r="F53" i="110"/>
  <c r="U23" i="78"/>
  <c r="C23" i="132"/>
  <c r="H31" i="55"/>
  <c r="U37" i="78"/>
  <c r="F57" i="110"/>
  <c r="C24" i="132"/>
  <c r="D89" i="109"/>
  <c r="C100" i="150"/>
  <c r="G26" i="134"/>
  <c r="G100" i="150" s="1"/>
  <c r="H25" i="92"/>
  <c r="J25" i="92"/>
  <c r="I25" i="92"/>
  <c r="K25" i="92"/>
  <c r="C22" i="133"/>
  <c r="S21" i="66"/>
  <c r="F64" i="110"/>
  <c r="C27" i="132"/>
  <c r="G20" i="66"/>
  <c r="S20" i="66" s="1"/>
  <c r="H34" i="55"/>
  <c r="S39" i="66"/>
  <c r="G38" i="66"/>
  <c r="S38" i="66" s="1"/>
  <c r="T24" i="66"/>
  <c r="J24" i="61"/>
  <c r="H24" i="61"/>
  <c r="I24" i="61"/>
  <c r="K24" i="61"/>
  <c r="M18" i="135"/>
  <c r="R18" i="135"/>
  <c r="C125" i="150"/>
  <c r="G18" i="135"/>
  <c r="G23" i="133"/>
  <c r="J60" i="110"/>
  <c r="J51" i="110" s="1"/>
  <c r="R24" i="135"/>
  <c r="M24" i="135"/>
  <c r="C131" i="150"/>
  <c r="G24" i="135"/>
  <c r="G131" i="150" s="1"/>
  <c r="U21" i="78"/>
  <c r="F52" i="110"/>
  <c r="G20" i="78"/>
  <c r="U20" i="78" s="1"/>
  <c r="H30" i="55"/>
  <c r="C22" i="132"/>
  <c r="U43" i="78"/>
  <c r="D91" i="109"/>
  <c r="U40" i="78"/>
  <c r="G39" i="78"/>
  <c r="U39" i="78" s="1"/>
  <c r="U28" i="78"/>
  <c r="F55" i="110"/>
  <c r="C26" i="135"/>
  <c r="C22" i="135" s="1"/>
  <c r="K8" i="66"/>
  <c r="F65" i="110"/>
  <c r="S23" i="66"/>
  <c r="C28" i="132"/>
  <c r="H35" i="55"/>
  <c r="S57" i="66"/>
  <c r="F70" i="110"/>
  <c r="S27" i="66"/>
  <c r="F68" i="110"/>
  <c r="C97" i="150"/>
  <c r="G23" i="134"/>
  <c r="G97" i="150" s="1"/>
  <c r="J28" i="92"/>
  <c r="I28" i="92"/>
  <c r="H28" i="92"/>
  <c r="C26" i="133"/>
  <c r="K28" i="92"/>
  <c r="I72" i="110" l="1"/>
  <c r="I63" i="110" s="1"/>
  <c r="Q21" i="135"/>
  <c r="C128" i="150"/>
  <c r="C124" i="150" s="1"/>
  <c r="C117" i="150" s="1"/>
  <c r="R21" i="135"/>
  <c r="G21" i="135"/>
  <c r="G128" i="150" s="1"/>
  <c r="C17" i="135"/>
  <c r="R17" i="135" s="1"/>
  <c r="R10" i="135" s="1"/>
  <c r="M22" i="135"/>
  <c r="G22" i="135"/>
  <c r="R22" i="135"/>
  <c r="H91" i="109"/>
  <c r="F131" i="150"/>
  <c r="L24" i="135"/>
  <c r="I24" i="135" s="1"/>
  <c r="Q24" i="135"/>
  <c r="N24" i="135" s="1"/>
  <c r="G26" i="57"/>
  <c r="AF26" i="57" s="1"/>
  <c r="AF23" i="57"/>
  <c r="G16" i="57"/>
  <c r="AF16" i="57" s="1"/>
  <c r="G125" i="150"/>
  <c r="G124" i="150" s="1"/>
  <c r="G117" i="150" s="1"/>
  <c r="R25" i="61"/>
  <c r="Q25" i="61"/>
  <c r="F126" i="150"/>
  <c r="Q19" i="135"/>
  <c r="N19" i="135" s="1"/>
  <c r="L19" i="135"/>
  <c r="I19" i="135" s="1"/>
  <c r="H72" i="110"/>
  <c r="H63" i="110" s="1"/>
  <c r="G27" i="61"/>
  <c r="T8" i="66"/>
  <c r="H60" i="110"/>
  <c r="H51" i="110" s="1"/>
  <c r="G23" i="61"/>
  <c r="V8" i="78"/>
  <c r="G26" i="133"/>
  <c r="AB35" i="55"/>
  <c r="X35" i="55"/>
  <c r="D34" i="112"/>
  <c r="N34" i="112" s="1"/>
  <c r="T35" i="55"/>
  <c r="P35" i="55"/>
  <c r="F34" i="112" s="1"/>
  <c r="P34" i="112" s="1"/>
  <c r="L35" i="55"/>
  <c r="E34" i="112" s="1"/>
  <c r="O34" i="112" s="1"/>
  <c r="J72" i="110"/>
  <c r="J63" i="110" s="1"/>
  <c r="G27" i="57"/>
  <c r="X37" i="57"/>
  <c r="M17" i="135"/>
  <c r="M10" i="135" s="1"/>
  <c r="AB34" i="55"/>
  <c r="D33" i="112"/>
  <c r="N33" i="112" s="1"/>
  <c r="P34" i="55"/>
  <c r="T34" i="55"/>
  <c r="X34" i="55"/>
  <c r="L34" i="55"/>
  <c r="Q29" i="61"/>
  <c r="R29" i="61"/>
  <c r="H73" i="109"/>
  <c r="D74" i="109"/>
  <c r="D76" i="109" s="1"/>
  <c r="C103" i="150"/>
  <c r="C99" i="150" s="1"/>
  <c r="G29" i="134"/>
  <c r="G103" i="150" s="1"/>
  <c r="G99" i="150" s="1"/>
  <c r="S9" i="66"/>
  <c r="H36" i="55"/>
  <c r="C30" i="132"/>
  <c r="C26" i="132" s="1"/>
  <c r="G8" i="66"/>
  <c r="G21" i="133"/>
  <c r="R29" i="132"/>
  <c r="M29" i="132"/>
  <c r="G29" i="132"/>
  <c r="C70" i="150"/>
  <c r="Q23" i="135"/>
  <c r="N23" i="135" s="1"/>
  <c r="F130" i="150"/>
  <c r="L23" i="135"/>
  <c r="I23" i="135" s="1"/>
  <c r="C63" i="150"/>
  <c r="M22" i="132"/>
  <c r="R22" i="132"/>
  <c r="R24" i="61"/>
  <c r="Q24" i="61"/>
  <c r="G22" i="133"/>
  <c r="H89" i="109"/>
  <c r="D30" i="112"/>
  <c r="N30" i="112" s="1"/>
  <c r="AB31" i="55"/>
  <c r="X31" i="55"/>
  <c r="P31" i="55"/>
  <c r="F30" i="112" s="1"/>
  <c r="P30" i="112" s="1"/>
  <c r="D85" i="109"/>
  <c r="L31" i="55"/>
  <c r="E30" i="112" s="1"/>
  <c r="O30" i="112" s="1"/>
  <c r="T31" i="55"/>
  <c r="I60" i="110"/>
  <c r="I51" i="110" s="1"/>
  <c r="G23" i="92"/>
  <c r="Q29" i="92"/>
  <c r="AA29" i="92" s="1"/>
  <c r="R29" i="92"/>
  <c r="R24" i="92"/>
  <c r="Q24" i="92"/>
  <c r="AA24" i="92" s="1"/>
  <c r="C7" i="111"/>
  <c r="C8" i="111" s="1"/>
  <c r="B8" i="111"/>
  <c r="E7" i="111"/>
  <c r="E8" i="111" s="1"/>
  <c r="D7" i="111"/>
  <c r="D8" i="111" s="1"/>
  <c r="F7" i="111"/>
  <c r="F8" i="111" s="1"/>
  <c r="R28" i="92"/>
  <c r="Q28" i="92"/>
  <c r="AA28" i="92" s="1"/>
  <c r="R28" i="132"/>
  <c r="C69" i="150"/>
  <c r="M28" i="132"/>
  <c r="R26" i="135"/>
  <c r="M26" i="135"/>
  <c r="C133" i="150"/>
  <c r="C129" i="150" s="1"/>
  <c r="G26" i="135"/>
  <c r="G133" i="150" s="1"/>
  <c r="G129" i="150" s="1"/>
  <c r="AB30" i="55"/>
  <c r="D29" i="112"/>
  <c r="N29" i="112" s="1"/>
  <c r="L30" i="55"/>
  <c r="D84" i="109"/>
  <c r="P30" i="55"/>
  <c r="T30" i="55"/>
  <c r="X30" i="55"/>
  <c r="G30" i="92"/>
  <c r="I27" i="92"/>
  <c r="H27" i="92"/>
  <c r="K27" i="92"/>
  <c r="J27" i="92"/>
  <c r="Q18" i="135"/>
  <c r="N18" i="135" s="1"/>
  <c r="L18" i="135"/>
  <c r="I18" i="135" s="1"/>
  <c r="F125" i="150"/>
  <c r="M27" i="132"/>
  <c r="R27" i="132"/>
  <c r="C68" i="150"/>
  <c r="R25" i="92"/>
  <c r="Q25" i="92"/>
  <c r="AA25" i="92" s="1"/>
  <c r="R24" i="132"/>
  <c r="M24" i="132"/>
  <c r="C65" i="150"/>
  <c r="G24" i="132"/>
  <c r="C64" i="150"/>
  <c r="M23" i="132"/>
  <c r="R23" i="132"/>
  <c r="G27" i="133"/>
  <c r="Q20" i="135"/>
  <c r="N20" i="135" s="1"/>
  <c r="L20" i="135"/>
  <c r="I20" i="135" s="1"/>
  <c r="F127" i="150"/>
  <c r="F132" i="150"/>
  <c r="Q25" i="135"/>
  <c r="N25" i="135" s="1"/>
  <c r="L25" i="135"/>
  <c r="I25" i="135" s="1"/>
  <c r="Q28" i="61"/>
  <c r="R28" i="61"/>
  <c r="U9" i="78"/>
  <c r="C25" i="132"/>
  <c r="G8" i="78"/>
  <c r="C98" i="150"/>
  <c r="C94" i="150" s="1"/>
  <c r="G24" i="134"/>
  <c r="G98" i="150" s="1"/>
  <c r="G94" i="150" s="1"/>
  <c r="C10" i="135" l="1"/>
  <c r="L21" i="135"/>
  <c r="I21" i="135" s="1"/>
  <c r="F128" i="150"/>
  <c r="N21" i="135"/>
  <c r="G17" i="135"/>
  <c r="G10" i="135" s="1"/>
  <c r="H25" i="135"/>
  <c r="H20" i="135"/>
  <c r="H19" i="135"/>
  <c r="G29" i="112"/>
  <c r="Q29" i="112" s="1"/>
  <c r="G30" i="112"/>
  <c r="Q30" i="112" s="1"/>
  <c r="AF31" i="55"/>
  <c r="G23" i="132"/>
  <c r="H30" i="112"/>
  <c r="R30" i="112" s="1"/>
  <c r="G33" i="131"/>
  <c r="G33" i="130"/>
  <c r="G70" i="150"/>
  <c r="G32" i="150"/>
  <c r="G32" i="151"/>
  <c r="M30" i="132"/>
  <c r="R30" i="132"/>
  <c r="C71" i="150"/>
  <c r="C67" i="150" s="1"/>
  <c r="G30" i="132"/>
  <c r="E33" i="112"/>
  <c r="O33" i="112" s="1"/>
  <c r="M26" i="132"/>
  <c r="R26" i="132"/>
  <c r="F29" i="112"/>
  <c r="P29" i="112" s="1"/>
  <c r="AB36" i="55"/>
  <c r="D35" i="112"/>
  <c r="N35" i="112" s="1"/>
  <c r="P36" i="55"/>
  <c r="F35" i="112" s="1"/>
  <c r="P35" i="112" s="1"/>
  <c r="L36" i="55"/>
  <c r="E35" i="112" s="1"/>
  <c r="O35" i="112" s="1"/>
  <c r="T36" i="55"/>
  <c r="G35" i="112" s="1"/>
  <c r="Q35" i="112" s="1"/>
  <c r="X36" i="55"/>
  <c r="X33" i="55" s="1"/>
  <c r="C67" i="109"/>
  <c r="G67" i="109" s="1"/>
  <c r="H76" i="109"/>
  <c r="C75" i="109"/>
  <c r="G75" i="109" s="1"/>
  <c r="C71" i="109"/>
  <c r="G71" i="109" s="1"/>
  <c r="C70" i="109"/>
  <c r="G70" i="109" s="1"/>
  <c r="C69" i="109"/>
  <c r="G69" i="109" s="1"/>
  <c r="C72" i="109"/>
  <c r="G72" i="109" s="1"/>
  <c r="C68" i="109"/>
  <c r="G68" i="109" s="1"/>
  <c r="C66" i="109"/>
  <c r="AF34" i="55"/>
  <c r="H33" i="112"/>
  <c r="R33" i="112" s="1"/>
  <c r="G27" i="132"/>
  <c r="AF35" i="55"/>
  <c r="G28" i="132"/>
  <c r="H34" i="112"/>
  <c r="R34" i="112" s="1"/>
  <c r="H24" i="135"/>
  <c r="R25" i="132"/>
  <c r="R21" i="132" s="1"/>
  <c r="R10" i="132" s="1"/>
  <c r="G25" i="132"/>
  <c r="C66" i="150"/>
  <c r="C62" i="150" s="1"/>
  <c r="C51" i="150" s="1"/>
  <c r="M25" i="132"/>
  <c r="M21" i="132" s="1"/>
  <c r="M10" i="132" s="1"/>
  <c r="L17" i="135"/>
  <c r="Q17" i="135"/>
  <c r="U8" i="78"/>
  <c r="F60" i="110"/>
  <c r="F51" i="110" s="1"/>
  <c r="Y43" i="55"/>
  <c r="H29" i="55"/>
  <c r="F28" i="131"/>
  <c r="F27" i="151"/>
  <c r="F27" i="150"/>
  <c r="F65" i="150"/>
  <c r="F28" i="130"/>
  <c r="Q24" i="132"/>
  <c r="N24" i="132" s="1"/>
  <c r="L24" i="132"/>
  <c r="I24" i="132" s="1"/>
  <c r="F124" i="150"/>
  <c r="F117" i="150" s="1"/>
  <c r="I30" i="92"/>
  <c r="H30" i="92"/>
  <c r="J30" i="92"/>
  <c r="C29" i="133"/>
  <c r="K30" i="92"/>
  <c r="H84" i="109"/>
  <c r="F133" i="150"/>
  <c r="F129" i="150" s="1"/>
  <c r="Q26" i="135"/>
  <c r="N26" i="135" s="1"/>
  <c r="L26" i="135"/>
  <c r="I26" i="135" s="1"/>
  <c r="H23" i="92"/>
  <c r="J23" i="92"/>
  <c r="I23" i="92"/>
  <c r="G26" i="92"/>
  <c r="K23" i="92"/>
  <c r="H85" i="109"/>
  <c r="H23" i="135"/>
  <c r="F32" i="151"/>
  <c r="F32" i="150"/>
  <c r="F33" i="130"/>
  <c r="F33" i="131"/>
  <c r="F70" i="150"/>
  <c r="L29" i="132"/>
  <c r="I29" i="132" s="1"/>
  <c r="Q29" i="132"/>
  <c r="N29" i="132" s="1"/>
  <c r="C73" i="109"/>
  <c r="G73" i="109" s="1"/>
  <c r="G33" i="112"/>
  <c r="Q33" i="112" s="1"/>
  <c r="G30" i="61"/>
  <c r="H27" i="61"/>
  <c r="J27" i="61"/>
  <c r="I27" i="61"/>
  <c r="K27" i="61"/>
  <c r="G27" i="151"/>
  <c r="G65" i="150"/>
  <c r="G28" i="130"/>
  <c r="G27" i="150"/>
  <c r="G28" i="131"/>
  <c r="H18" i="135"/>
  <c r="Q27" i="92"/>
  <c r="AA27" i="92" s="1"/>
  <c r="R27" i="92"/>
  <c r="H29" i="112"/>
  <c r="R29" i="112" s="1"/>
  <c r="AF30" i="55"/>
  <c r="G22" i="132"/>
  <c r="E29" i="112"/>
  <c r="O29" i="112" s="1"/>
  <c r="C21" i="132"/>
  <c r="C10" i="132" s="1"/>
  <c r="F72" i="110"/>
  <c r="F63" i="110" s="1"/>
  <c r="S8" i="66"/>
  <c r="H33" i="55"/>
  <c r="H74" i="109"/>
  <c r="C74" i="109"/>
  <c r="G74" i="109" s="1"/>
  <c r="F33" i="112"/>
  <c r="P33" i="112" s="1"/>
  <c r="AF27" i="57"/>
  <c r="G30" i="57"/>
  <c r="AF30" i="57" s="1"/>
  <c r="G37" i="57"/>
  <c r="G34" i="112"/>
  <c r="Q34" i="112" s="1"/>
  <c r="I23" i="61"/>
  <c r="J23" i="61"/>
  <c r="H23" i="61"/>
  <c r="K23" i="61"/>
  <c r="G26" i="61"/>
  <c r="H21" i="135" l="1"/>
  <c r="T33" i="55"/>
  <c r="P33" i="55"/>
  <c r="F32" i="112" s="1"/>
  <c r="P32" i="112" s="1"/>
  <c r="H26" i="135"/>
  <c r="F31" i="131"/>
  <c r="F30" i="151"/>
  <c r="F30" i="150"/>
  <c r="F68" i="150"/>
  <c r="Q27" i="132"/>
  <c r="N27" i="132" s="1"/>
  <c r="F31" i="130"/>
  <c r="F26" i="132"/>
  <c r="L27" i="132"/>
  <c r="I27" i="132" s="1"/>
  <c r="H29" i="132"/>
  <c r="C32" i="150"/>
  <c r="C33" i="130"/>
  <c r="Q30" i="92"/>
  <c r="AA30" i="92" s="1"/>
  <c r="R30" i="92"/>
  <c r="C27" i="151"/>
  <c r="C28" i="131"/>
  <c r="L10" i="135"/>
  <c r="I17" i="135"/>
  <c r="G26" i="132"/>
  <c r="G30" i="151"/>
  <c r="G30" i="150"/>
  <c r="G31" i="131"/>
  <c r="G68" i="150"/>
  <c r="G31" i="130"/>
  <c r="H35" i="112"/>
  <c r="R35" i="112" s="1"/>
  <c r="AF36" i="55"/>
  <c r="L33" i="55"/>
  <c r="G26" i="151"/>
  <c r="G27" i="131"/>
  <c r="G26" i="150"/>
  <c r="G64" i="150"/>
  <c r="G27" i="130"/>
  <c r="F25" i="151"/>
  <c r="F63" i="150"/>
  <c r="F26" i="131"/>
  <c r="L22" i="132"/>
  <c r="I22" i="132" s="1"/>
  <c r="Q22" i="132"/>
  <c r="N22" i="132" s="1"/>
  <c r="F25" i="150"/>
  <c r="F26" i="130"/>
  <c r="F21" i="132"/>
  <c r="AF37" i="57"/>
  <c r="X36" i="57"/>
  <c r="D18" i="58"/>
  <c r="Y37" i="57"/>
  <c r="I33" i="115"/>
  <c r="I38" i="115" s="1"/>
  <c r="D21" i="93"/>
  <c r="G44" i="57"/>
  <c r="G26" i="130"/>
  <c r="G26" i="131"/>
  <c r="G25" i="150"/>
  <c r="G63" i="150"/>
  <c r="G25" i="151"/>
  <c r="G21" i="132"/>
  <c r="G10" i="132" s="1"/>
  <c r="G29" i="133"/>
  <c r="G25" i="133" s="1"/>
  <c r="C25" i="133"/>
  <c r="G29" i="130"/>
  <c r="G66" i="150"/>
  <c r="G28" i="150"/>
  <c r="G32" i="131"/>
  <c r="G32" i="130"/>
  <c r="G69" i="150"/>
  <c r="G31" i="150"/>
  <c r="G31" i="151"/>
  <c r="F31" i="151"/>
  <c r="F31" i="150"/>
  <c r="F32" i="130"/>
  <c r="F32" i="131"/>
  <c r="F69" i="150"/>
  <c r="L28" i="132"/>
  <c r="I28" i="132" s="1"/>
  <c r="Q28" i="132"/>
  <c r="N28" i="132" s="1"/>
  <c r="L22" i="135"/>
  <c r="I22" i="135" s="1"/>
  <c r="Q22" i="135"/>
  <c r="N22" i="135" s="1"/>
  <c r="I26" i="61"/>
  <c r="J26" i="61"/>
  <c r="H26" i="61"/>
  <c r="K26" i="61"/>
  <c r="D32" i="112"/>
  <c r="N32" i="112" s="1"/>
  <c r="AB33" i="55"/>
  <c r="Q27" i="61"/>
  <c r="R27" i="61"/>
  <c r="R23" i="92"/>
  <c r="Q23" i="92"/>
  <c r="AA23" i="92" s="1"/>
  <c r="AB29" i="55"/>
  <c r="D28" i="112"/>
  <c r="N28" i="112" s="1"/>
  <c r="H12" i="55"/>
  <c r="H43" i="55" s="1"/>
  <c r="H32" i="55"/>
  <c r="F29" i="130"/>
  <c r="F28" i="150"/>
  <c r="F66" i="150"/>
  <c r="L25" i="132"/>
  <c r="I25" i="132" s="1"/>
  <c r="Q25" i="132"/>
  <c r="N25" i="132" s="1"/>
  <c r="F71" i="150"/>
  <c r="F33" i="150"/>
  <c r="F34" i="130"/>
  <c r="Q30" i="132"/>
  <c r="N30" i="132" s="1"/>
  <c r="L30" i="132"/>
  <c r="I30" i="132" s="1"/>
  <c r="F27" i="131"/>
  <c r="F26" i="151"/>
  <c r="F27" i="130"/>
  <c r="F26" i="150"/>
  <c r="F64" i="150"/>
  <c r="Q23" i="132"/>
  <c r="N23" i="132" s="1"/>
  <c r="L23" i="132"/>
  <c r="I23" i="132" s="1"/>
  <c r="R23" i="61"/>
  <c r="Q23" i="61"/>
  <c r="I30" i="61"/>
  <c r="J30" i="61"/>
  <c r="H30" i="61"/>
  <c r="K30" i="61"/>
  <c r="G32" i="112"/>
  <c r="Q32" i="112" s="1"/>
  <c r="C33" i="131"/>
  <c r="C32" i="151"/>
  <c r="J26" i="92"/>
  <c r="H26" i="92"/>
  <c r="I26" i="92"/>
  <c r="K26" i="92"/>
  <c r="C24" i="133"/>
  <c r="H24" i="132"/>
  <c r="C28" i="130"/>
  <c r="C27" i="150"/>
  <c r="Q10" i="135"/>
  <c r="N17" i="135"/>
  <c r="N10" i="135" s="1"/>
  <c r="H32" i="112"/>
  <c r="R32" i="112" s="1"/>
  <c r="AF33" i="55"/>
  <c r="C76" i="109"/>
  <c r="G76" i="109" s="1"/>
  <c r="G66" i="109"/>
  <c r="G33" i="151"/>
  <c r="G71" i="150"/>
  <c r="G33" i="150"/>
  <c r="G34" i="130"/>
  <c r="G34" i="131"/>
  <c r="F34" i="131" l="1"/>
  <c r="F33" i="151"/>
  <c r="D42" i="112"/>
  <c r="N42" i="112" s="1"/>
  <c r="AB43" i="55"/>
  <c r="B33" i="115"/>
  <c r="H59" i="55"/>
  <c r="D58" i="112" s="1"/>
  <c r="H54" i="55"/>
  <c r="I8" i="107"/>
  <c r="C8" i="107" s="1"/>
  <c r="Z43" i="55"/>
  <c r="R26" i="92"/>
  <c r="Q26" i="92"/>
  <c r="AA26" i="92" s="1"/>
  <c r="C27" i="131"/>
  <c r="C26" i="151"/>
  <c r="D31" i="112"/>
  <c r="N31" i="112" s="1"/>
  <c r="X32" i="55"/>
  <c r="T32" i="55"/>
  <c r="L32" i="55"/>
  <c r="AB32" i="55"/>
  <c r="P32" i="55"/>
  <c r="C31" i="150"/>
  <c r="H28" i="132"/>
  <c r="C32" i="130"/>
  <c r="G24" i="150"/>
  <c r="E11" i="128"/>
  <c r="H21" i="93"/>
  <c r="H18" i="58"/>
  <c r="F25" i="130"/>
  <c r="F14" i="130" s="1"/>
  <c r="E32" i="112"/>
  <c r="O32" i="112" s="1"/>
  <c r="G67" i="150"/>
  <c r="F30" i="130"/>
  <c r="F29" i="151"/>
  <c r="R30" i="61"/>
  <c r="Q30" i="61"/>
  <c r="C28" i="151"/>
  <c r="C29" i="131"/>
  <c r="AB12" i="55"/>
  <c r="D11" i="112"/>
  <c r="N11" i="112" s="1"/>
  <c r="Q26" i="61"/>
  <c r="R26" i="61"/>
  <c r="F24" i="150"/>
  <c r="F13" i="150" s="1"/>
  <c r="F62" i="150"/>
  <c r="F51" i="150" s="1"/>
  <c r="G30" i="131"/>
  <c r="H17" i="135"/>
  <c r="I10" i="135"/>
  <c r="C30" i="151"/>
  <c r="C31" i="131"/>
  <c r="F30" i="131"/>
  <c r="C34" i="130"/>
  <c r="C33" i="150"/>
  <c r="H30" i="132"/>
  <c r="C28" i="150"/>
  <c r="C29" i="130"/>
  <c r="H25" i="132"/>
  <c r="H22" i="135"/>
  <c r="G25" i="130"/>
  <c r="C25" i="151"/>
  <c r="C26" i="131"/>
  <c r="G29" i="150"/>
  <c r="H27" i="132"/>
  <c r="C30" i="150"/>
  <c r="C31" i="130"/>
  <c r="F67" i="150"/>
  <c r="G24" i="133"/>
  <c r="C20" i="133"/>
  <c r="G20" i="133" s="1"/>
  <c r="C26" i="150"/>
  <c r="C27" i="130"/>
  <c r="H23" i="132"/>
  <c r="C34" i="131"/>
  <c r="C33" i="151"/>
  <c r="C31" i="151"/>
  <c r="C32" i="131"/>
  <c r="G62" i="150"/>
  <c r="G51" i="150" s="1"/>
  <c r="U9" i="114"/>
  <c r="C35" i="135"/>
  <c r="AF44" i="57"/>
  <c r="G40" i="57"/>
  <c r="F12" i="107"/>
  <c r="Q21" i="132"/>
  <c r="F10" i="132"/>
  <c r="L21" i="132"/>
  <c r="H22" i="132"/>
  <c r="C26" i="130"/>
  <c r="C25" i="150"/>
  <c r="G30" i="130"/>
  <c r="G29" i="151"/>
  <c r="Q26" i="132"/>
  <c r="N26" i="132" s="1"/>
  <c r="L26" i="132"/>
  <c r="I26" i="132" s="1"/>
  <c r="F29" i="150"/>
  <c r="C25" i="131" l="1"/>
  <c r="C24" i="151"/>
  <c r="H26" i="132"/>
  <c r="C24" i="150"/>
  <c r="C30" i="130"/>
  <c r="R35" i="135"/>
  <c r="G35" i="135"/>
  <c r="G142" i="150" s="1"/>
  <c r="M35" i="135"/>
  <c r="C142" i="150"/>
  <c r="L10" i="132"/>
  <c r="I21" i="132"/>
  <c r="H10" i="135"/>
  <c r="E31" i="112"/>
  <c r="O31" i="112" s="1"/>
  <c r="L29" i="55"/>
  <c r="U5" i="114"/>
  <c r="AF40" i="57"/>
  <c r="C32" i="135"/>
  <c r="F10" i="107"/>
  <c r="E22" i="128"/>
  <c r="G31" i="112"/>
  <c r="Q31" i="112" s="1"/>
  <c r="T29" i="55"/>
  <c r="J8" i="107"/>
  <c r="D33" i="115"/>
  <c r="C25" i="130"/>
  <c r="Q10" i="132"/>
  <c r="N21" i="132"/>
  <c r="N10" i="132" s="1"/>
  <c r="F29" i="131"/>
  <c r="F25" i="131" s="1"/>
  <c r="F28" i="151"/>
  <c r="F24" i="151" s="1"/>
  <c r="C29" i="150"/>
  <c r="C30" i="131"/>
  <c r="F31" i="112"/>
  <c r="P31" i="112" s="1"/>
  <c r="P29" i="55"/>
  <c r="AF32" i="55"/>
  <c r="H31" i="112"/>
  <c r="R31" i="112" s="1"/>
  <c r="X29" i="55"/>
  <c r="D53" i="112"/>
  <c r="D13" i="93"/>
  <c r="D10" i="58"/>
  <c r="G41" i="57"/>
  <c r="G28" i="151"/>
  <c r="G24" i="151" s="1"/>
  <c r="G29" i="131"/>
  <c r="G25" i="131" s="1"/>
  <c r="C29" i="151"/>
  <c r="B11" i="128" l="1"/>
  <c r="G28" i="112"/>
  <c r="Q28" i="112" s="1"/>
  <c r="T12" i="55"/>
  <c r="H21" i="132"/>
  <c r="I10" i="132"/>
  <c r="P12" i="55"/>
  <c r="F28" i="112"/>
  <c r="P28" i="112" s="1"/>
  <c r="M32" i="135"/>
  <c r="R32" i="135"/>
  <c r="C139" i="150"/>
  <c r="G32" i="135"/>
  <c r="G139" i="150" s="1"/>
  <c r="E28" i="112"/>
  <c r="O28" i="112" s="1"/>
  <c r="L12" i="55"/>
  <c r="U6" i="114"/>
  <c r="AF41" i="57"/>
  <c r="C33" i="135"/>
  <c r="C31" i="135" s="1"/>
  <c r="F11" i="107"/>
  <c r="AF29" i="55"/>
  <c r="H28" i="112"/>
  <c r="R28" i="112" s="1"/>
  <c r="X12" i="55"/>
  <c r="G39" i="57"/>
  <c r="L35" i="135"/>
  <c r="I35" i="135" s="1"/>
  <c r="F142" i="150"/>
  <c r="Q35" i="135"/>
  <c r="N35" i="135" s="1"/>
  <c r="G31" i="135" l="1"/>
  <c r="G8" i="135" s="1"/>
  <c r="M31" i="135"/>
  <c r="R31" i="135"/>
  <c r="C8" i="135"/>
  <c r="S31" i="115" s="1"/>
  <c r="H35" i="135"/>
  <c r="X39" i="57"/>
  <c r="AF39" i="57"/>
  <c r="D20" i="58"/>
  <c r="U4" i="114"/>
  <c r="D23" i="93"/>
  <c r="G45" i="57"/>
  <c r="H10" i="132"/>
  <c r="G11" i="112"/>
  <c r="Q11" i="112" s="1"/>
  <c r="T43" i="55"/>
  <c r="E11" i="112"/>
  <c r="O11" i="112" s="1"/>
  <c r="L43" i="55"/>
  <c r="B22" i="128"/>
  <c r="AF12" i="55"/>
  <c r="H11" i="112"/>
  <c r="R11" i="112" s="1"/>
  <c r="X43" i="55"/>
  <c r="X50" i="55" s="1"/>
  <c r="M33" i="135"/>
  <c r="R33" i="135"/>
  <c r="C140" i="150"/>
  <c r="C138" i="150" s="1"/>
  <c r="G33" i="135"/>
  <c r="G140" i="150" s="1"/>
  <c r="G138" i="150" s="1"/>
  <c r="F139" i="150"/>
  <c r="L32" i="135"/>
  <c r="I32" i="135" s="1"/>
  <c r="Q32" i="135"/>
  <c r="N32" i="135" s="1"/>
  <c r="F11" i="112"/>
  <c r="P11" i="112" s="1"/>
  <c r="P43" i="55"/>
  <c r="F9" i="107"/>
  <c r="F14" i="107" s="1"/>
  <c r="B21" i="146" s="1"/>
  <c r="C21" i="146" s="1"/>
  <c r="H32" i="135" l="1"/>
  <c r="B35" i="115"/>
  <c r="D35" i="115" s="1"/>
  <c r="F42" i="112"/>
  <c r="P42" i="112" s="1"/>
  <c r="P50" i="55"/>
  <c r="AF43" i="55"/>
  <c r="X59" i="55"/>
  <c r="H58" i="112" s="1"/>
  <c r="H42" i="112"/>
  <c r="R42" i="112" s="1"/>
  <c r="B37" i="115"/>
  <c r="D37" i="115" s="1"/>
  <c r="X54" i="55"/>
  <c r="G58" i="112"/>
  <c r="G42" i="112"/>
  <c r="Q42" i="112" s="1"/>
  <c r="T50" i="55"/>
  <c r="B36" i="115"/>
  <c r="D36" i="115" s="1"/>
  <c r="G46" i="57"/>
  <c r="AF45" i="57"/>
  <c r="Q33" i="135"/>
  <c r="N33" i="135" s="1"/>
  <c r="F140" i="150"/>
  <c r="F138" i="150" s="1"/>
  <c r="L33" i="135"/>
  <c r="I33" i="135" s="1"/>
  <c r="H23" i="93"/>
  <c r="D45" i="93"/>
  <c r="E13" i="128"/>
  <c r="D20" i="93"/>
  <c r="C33" i="107" s="1"/>
  <c r="Q31" i="135"/>
  <c r="N31" i="135" s="1"/>
  <c r="N38" i="135" s="1"/>
  <c r="L31" i="135"/>
  <c r="I31" i="135" s="1"/>
  <c r="F8" i="135"/>
  <c r="E42" i="112"/>
  <c r="O42" i="112" s="1"/>
  <c r="B34" i="115"/>
  <c r="L50" i="55"/>
  <c r="D42" i="58"/>
  <c r="H20" i="58"/>
  <c r="D17" i="58"/>
  <c r="G11" i="150"/>
  <c r="G12" i="130"/>
  <c r="G12" i="131"/>
  <c r="S28" i="115"/>
  <c r="S18" i="115" s="1"/>
  <c r="G11" i="151"/>
  <c r="D34" i="115" l="1"/>
  <c r="D38" i="115" s="1"/>
  <c r="B38" i="115"/>
  <c r="H31" i="135"/>
  <c r="I38" i="135"/>
  <c r="H38" i="135" s="1"/>
  <c r="X46" i="57"/>
  <c r="X40" i="57"/>
  <c r="AF46" i="57"/>
  <c r="G65" i="57"/>
  <c r="I24" i="115"/>
  <c r="H9" i="114"/>
  <c r="H30" i="114" s="1"/>
  <c r="G49" i="112"/>
  <c r="Q49" i="112" s="1"/>
  <c r="T46" i="55"/>
  <c r="H53" i="112"/>
  <c r="H13" i="93"/>
  <c r="H10" i="58"/>
  <c r="G9" i="114"/>
  <c r="G30" i="114" s="1"/>
  <c r="F49" i="112"/>
  <c r="P49" i="112" s="1"/>
  <c r="P47" i="55"/>
  <c r="G53" i="112"/>
  <c r="G13" i="93"/>
  <c r="C62" i="107"/>
  <c r="J62" i="107" s="1"/>
  <c r="K62" i="107" s="1"/>
  <c r="C90" i="107"/>
  <c r="C119" i="107" s="1"/>
  <c r="H45" i="93"/>
  <c r="H20" i="93"/>
  <c r="I9" i="114"/>
  <c r="I30" i="114" s="1"/>
  <c r="AF50" i="55"/>
  <c r="H49" i="112"/>
  <c r="R49" i="112" s="1"/>
  <c r="G39" i="132"/>
  <c r="X46" i="55"/>
  <c r="X47" i="55" s="1"/>
  <c r="H42" i="58"/>
  <c r="H17" i="58"/>
  <c r="E21" i="153" s="1"/>
  <c r="E49" i="112"/>
  <c r="O49" i="112" s="1"/>
  <c r="H50" i="55"/>
  <c r="F9" i="114"/>
  <c r="L47" i="55"/>
  <c r="S27" i="115"/>
  <c r="S17" i="115" s="1"/>
  <c r="F12" i="131"/>
  <c r="F12" i="130"/>
  <c r="F11" i="151"/>
  <c r="F11" i="150"/>
  <c r="E24" i="128"/>
  <c r="E25" i="128" s="1"/>
  <c r="E14" i="128"/>
  <c r="H33" i="135"/>
  <c r="E26" i="128" l="1"/>
  <c r="E27" i="128" s="1"/>
  <c r="E29" i="128" s="1"/>
  <c r="AB50" i="55"/>
  <c r="C12" i="107"/>
  <c r="C39" i="132"/>
  <c r="D49" i="112"/>
  <c r="N49" i="112" s="1"/>
  <c r="AF46" i="55"/>
  <c r="H45" i="112"/>
  <c r="R45" i="112" s="1"/>
  <c r="I5" i="114"/>
  <c r="I26" i="114" s="1"/>
  <c r="X45" i="55"/>
  <c r="G36" i="132"/>
  <c r="G6" i="114"/>
  <c r="G27" i="114" s="1"/>
  <c r="F46" i="112"/>
  <c r="P46" i="112" s="1"/>
  <c r="P46" i="55"/>
  <c r="F43" i="150"/>
  <c r="F80" i="150"/>
  <c r="L39" i="132"/>
  <c r="Q39" i="132"/>
  <c r="G37" i="132"/>
  <c r="AF47" i="55"/>
  <c r="I6" i="114"/>
  <c r="I27" i="114" s="1"/>
  <c r="H46" i="112"/>
  <c r="R46" i="112" s="1"/>
  <c r="F21" i="153"/>
  <c r="H21" i="153" s="1"/>
  <c r="E11" i="156"/>
  <c r="G80" i="150"/>
  <c r="E25" i="154"/>
  <c r="G33" i="107"/>
  <c r="E20" i="154"/>
  <c r="F33" i="107"/>
  <c r="G45" i="112"/>
  <c r="Q45" i="112" s="1"/>
  <c r="H5" i="114"/>
  <c r="H26" i="114" s="1"/>
  <c r="E46" i="112"/>
  <c r="O46" i="112" s="1"/>
  <c r="F6" i="114"/>
  <c r="L46" i="55"/>
  <c r="E15" i="128"/>
  <c r="E16" i="128" s="1"/>
  <c r="E18" i="128" s="1"/>
  <c r="F30" i="114"/>
  <c r="E30" i="114" s="1"/>
  <c r="E9" i="114"/>
  <c r="T47" i="55"/>
  <c r="T45" i="55" s="1"/>
  <c r="G44" i="112" l="1"/>
  <c r="Q44" i="112" s="1"/>
  <c r="H4" i="114"/>
  <c r="H25" i="114" s="1"/>
  <c r="T51" i="55"/>
  <c r="H47" i="55"/>
  <c r="F25" i="154"/>
  <c r="H25" i="154" s="1"/>
  <c r="E16" i="156"/>
  <c r="G78" i="150"/>
  <c r="E45" i="112"/>
  <c r="O45" i="112" s="1"/>
  <c r="F5" i="114"/>
  <c r="L45" i="55"/>
  <c r="H46" i="55"/>
  <c r="F40" i="150"/>
  <c r="F77" i="150"/>
  <c r="L36" i="132"/>
  <c r="Q36" i="132"/>
  <c r="B164" i="107"/>
  <c r="B193" i="107" s="1"/>
  <c r="F62" i="107"/>
  <c r="F90" i="107"/>
  <c r="F119" i="107" s="1"/>
  <c r="G77" i="150"/>
  <c r="F20" i="154"/>
  <c r="H20" i="154" s="1"/>
  <c r="F11" i="156"/>
  <c r="AF45" i="55"/>
  <c r="G35" i="132"/>
  <c r="I4" i="114"/>
  <c r="I25" i="114" s="1"/>
  <c r="H44" i="112"/>
  <c r="R44" i="112" s="1"/>
  <c r="X51" i="55"/>
  <c r="X52" i="55" s="1"/>
  <c r="H6" i="114"/>
  <c r="H27" i="114" s="1"/>
  <c r="G46" i="112"/>
  <c r="Q46" i="112" s="1"/>
  <c r="F27" i="114"/>
  <c r="E27" i="114" s="1"/>
  <c r="G62" i="107"/>
  <c r="G90" i="107"/>
  <c r="G119" i="107" s="1"/>
  <c r="B165" i="107"/>
  <c r="G5" i="114"/>
  <c r="G26" i="114" s="1"/>
  <c r="F45" i="112"/>
  <c r="P45" i="112" s="1"/>
  <c r="P45" i="55"/>
  <c r="C80" i="150"/>
  <c r="R39" i="132"/>
  <c r="N39" i="132" s="1"/>
  <c r="M39" i="132"/>
  <c r="I39" i="132" s="1"/>
  <c r="E6" i="114" l="1"/>
  <c r="H39" i="132"/>
  <c r="F4" i="114"/>
  <c r="E44" i="112"/>
  <c r="O44" i="112" s="1"/>
  <c r="L51" i="55"/>
  <c r="E50" i="112" s="1"/>
  <c r="O50" i="112" s="1"/>
  <c r="F16" i="156"/>
  <c r="G40" i="132"/>
  <c r="G76" i="150"/>
  <c r="F26" i="114"/>
  <c r="E26" i="114" s="1"/>
  <c r="E5" i="114"/>
  <c r="G50" i="112"/>
  <c r="Q50" i="112" s="1"/>
  <c r="G15" i="93"/>
  <c r="E165" i="107"/>
  <c r="H165" i="107" s="1"/>
  <c r="B200" i="107"/>
  <c r="B206" i="107"/>
  <c r="H50" i="112"/>
  <c r="R50" i="112" s="1"/>
  <c r="AF51" i="55"/>
  <c r="G9" i="129"/>
  <c r="G12" i="129" s="1"/>
  <c r="G4" i="114"/>
  <c r="G25" i="114" s="1"/>
  <c r="F44" i="112"/>
  <c r="P44" i="112" s="1"/>
  <c r="P51" i="55"/>
  <c r="F50" i="112" s="1"/>
  <c r="P50" i="112" s="1"/>
  <c r="F78" i="150"/>
  <c r="F76" i="150" s="1"/>
  <c r="F41" i="150"/>
  <c r="F39" i="150" s="1"/>
  <c r="F44" i="150" s="1"/>
  <c r="Q37" i="132"/>
  <c r="L37" i="132"/>
  <c r="F35" i="132"/>
  <c r="D45" i="112"/>
  <c r="N45" i="112" s="1"/>
  <c r="AB46" i="55"/>
  <c r="C36" i="132"/>
  <c r="H45" i="55"/>
  <c r="C10" i="107"/>
  <c r="AB47" i="55"/>
  <c r="C37" i="132"/>
  <c r="C11" i="107"/>
  <c r="D46" i="112"/>
  <c r="N46" i="112" s="1"/>
  <c r="C9" i="107" l="1"/>
  <c r="E4" i="114"/>
  <c r="F25" i="114"/>
  <c r="E25" i="114" s="1"/>
  <c r="I9" i="107"/>
  <c r="AB45" i="55"/>
  <c r="D93" i="109"/>
  <c r="D44" i="112"/>
  <c r="N44" i="112" s="1"/>
  <c r="H51" i="55"/>
  <c r="H52" i="55" s="1"/>
  <c r="G81" i="150"/>
  <c r="G8" i="132"/>
  <c r="C78" i="150"/>
  <c r="R37" i="132"/>
  <c r="N37" i="132" s="1"/>
  <c r="M37" i="132"/>
  <c r="I37" i="132" s="1"/>
  <c r="Q35" i="132"/>
  <c r="L35" i="132"/>
  <c r="C77" i="150"/>
  <c r="C35" i="132"/>
  <c r="R36" i="132"/>
  <c r="N36" i="132" s="1"/>
  <c r="M36" i="132"/>
  <c r="I36" i="132" s="1"/>
  <c r="H15" i="93"/>
  <c r="H51" i="112"/>
  <c r="R51" i="112" s="1"/>
  <c r="B28" i="115"/>
  <c r="D28" i="115" s="1"/>
  <c r="H12" i="58"/>
  <c r="G51" i="112"/>
  <c r="Q51" i="112" s="1"/>
  <c r="B27" i="115"/>
  <c r="D27" i="115" s="1"/>
  <c r="C76" i="150" l="1"/>
  <c r="F12" i="129"/>
  <c r="C12" i="129" s="1"/>
  <c r="K114" i="84" s="1"/>
  <c r="F11" i="129"/>
  <c r="F13" i="129"/>
  <c r="M35" i="132"/>
  <c r="M40" i="132" s="1"/>
  <c r="R35" i="132"/>
  <c r="R40" i="132" s="1"/>
  <c r="C40" i="132"/>
  <c r="H93" i="109"/>
  <c r="H37" i="132"/>
  <c r="H36" i="132"/>
  <c r="G11" i="129"/>
  <c r="G13" i="129"/>
  <c r="P28" i="115"/>
  <c r="P18" i="115" s="1"/>
  <c r="G9" i="151"/>
  <c r="G10" i="131"/>
  <c r="G10" i="130"/>
  <c r="G9" i="150"/>
  <c r="AB51" i="55"/>
  <c r="I14" i="107"/>
  <c r="D50" i="112"/>
  <c r="N50" i="112" s="1"/>
  <c r="D94" i="109"/>
  <c r="G12" i="93"/>
  <c r="H40" i="58"/>
  <c r="H9" i="58"/>
  <c r="J114" i="84" s="1"/>
  <c r="H43" i="93"/>
  <c r="H12" i="93"/>
  <c r="E23" i="154" s="1"/>
  <c r="L40" i="132"/>
  <c r="F81" i="150"/>
  <c r="Q40" i="132"/>
  <c r="F8" i="132"/>
  <c r="C16" i="107"/>
  <c r="J9" i="107"/>
  <c r="C14" i="107"/>
  <c r="I35" i="132" l="1"/>
  <c r="F114" i="84"/>
  <c r="R114" i="84" s="1"/>
  <c r="E14" i="156"/>
  <c r="F23" i="154"/>
  <c r="F21" i="107"/>
  <c r="E18" i="154"/>
  <c r="J14" i="107"/>
  <c r="C17" i="107"/>
  <c r="B18" i="146"/>
  <c r="C18" i="146" s="1"/>
  <c r="F10" i="130"/>
  <c r="F9" i="130" s="1"/>
  <c r="N27" i="115" s="1"/>
  <c r="N17" i="115" s="1"/>
  <c r="P27" i="115"/>
  <c r="P17" i="115" s="1"/>
  <c r="F9" i="151"/>
  <c r="F10" i="131"/>
  <c r="F9" i="150"/>
  <c r="F8" i="150" s="1"/>
  <c r="C90" i="109"/>
  <c r="G90" i="109" s="1"/>
  <c r="C87" i="109"/>
  <c r="G87" i="109" s="1"/>
  <c r="C88" i="109"/>
  <c r="G88" i="109" s="1"/>
  <c r="H94" i="109"/>
  <c r="C86" i="109"/>
  <c r="G86" i="109" s="1"/>
  <c r="D92" i="109"/>
  <c r="C91" i="109"/>
  <c r="G91" i="109" s="1"/>
  <c r="C89" i="109"/>
  <c r="G89" i="109" s="1"/>
  <c r="C84" i="109"/>
  <c r="C85" i="109"/>
  <c r="G85" i="109" s="1"/>
  <c r="G15" i="129"/>
  <c r="K17" i="61"/>
  <c r="C11" i="129"/>
  <c r="I40" i="132"/>
  <c r="J17" i="61"/>
  <c r="N35" i="132"/>
  <c r="N40" i="132" s="1"/>
  <c r="C93" i="109"/>
  <c r="G93" i="109" s="1"/>
  <c r="G21" i="107"/>
  <c r="E19" i="153"/>
  <c r="D51" i="112"/>
  <c r="N51" i="112" s="1"/>
  <c r="B24" i="115"/>
  <c r="D24" i="115" s="1"/>
  <c r="D15" i="93"/>
  <c r="D12" i="58"/>
  <c r="G16" i="129"/>
  <c r="K17" i="92"/>
  <c r="C81" i="150"/>
  <c r="P31" i="115"/>
  <c r="J17" i="92"/>
  <c r="C13" i="129"/>
  <c r="F35" i="151" l="1"/>
  <c r="F36" i="131"/>
  <c r="L11" i="129"/>
  <c r="J101" i="84"/>
  <c r="J100" i="84" s="1"/>
  <c r="C15" i="129"/>
  <c r="F18" i="154"/>
  <c r="C16" i="129"/>
  <c r="L114" i="84"/>
  <c r="D40" i="58"/>
  <c r="B13" i="128"/>
  <c r="D9" i="58"/>
  <c r="C21" i="107" s="1"/>
  <c r="F19" i="153"/>
  <c r="H19" i="153" s="1"/>
  <c r="E9" i="156"/>
  <c r="H40" i="132"/>
  <c r="T40" i="132"/>
  <c r="H92" i="109"/>
  <c r="C92" i="109"/>
  <c r="G92" i="109" s="1"/>
  <c r="K11" i="129"/>
  <c r="I101" i="84"/>
  <c r="I100" i="84" s="1"/>
  <c r="H23" i="154"/>
  <c r="G32" i="133"/>
  <c r="Q17" i="92"/>
  <c r="AA17" i="92" s="1"/>
  <c r="R17" i="92"/>
  <c r="D43" i="93"/>
  <c r="D12" i="93"/>
  <c r="G50" i="107"/>
  <c r="G78" i="107"/>
  <c r="B138" i="107"/>
  <c r="H35" i="132"/>
  <c r="R17" i="61"/>
  <c r="Q17" i="61"/>
  <c r="G84" i="109"/>
  <c r="C94" i="109"/>
  <c r="G94" i="109" s="1"/>
  <c r="F50" i="107"/>
  <c r="F78" i="107"/>
  <c r="B137" i="107"/>
  <c r="B191" i="107" s="1"/>
  <c r="F14" i="156"/>
  <c r="F107" i="107" l="1"/>
  <c r="E138" i="107"/>
  <c r="H138" i="107" s="1"/>
  <c r="B204" i="107"/>
  <c r="B198" i="107"/>
  <c r="B24" i="128"/>
  <c r="B14" i="128"/>
  <c r="G107" i="107"/>
  <c r="Q114" i="84"/>
  <c r="H11" i="129"/>
  <c r="D198" i="84"/>
  <c r="E37" i="110"/>
  <c r="F101" i="84"/>
  <c r="R101" i="84" s="1"/>
  <c r="G36" i="131"/>
  <c r="G35" i="151"/>
  <c r="F9" i="156"/>
  <c r="C78" i="107"/>
  <c r="C50" i="107"/>
  <c r="G17" i="92"/>
  <c r="D21" i="127"/>
  <c r="I21" i="127" s="1"/>
  <c r="L101" i="84"/>
  <c r="C32" i="134"/>
  <c r="C21" i="127"/>
  <c r="H21" i="127" s="1"/>
  <c r="G17" i="61"/>
  <c r="K101" i="84"/>
  <c r="H18" i="154"/>
  <c r="F37" i="110" l="1"/>
  <c r="E12" i="110"/>
  <c r="B15" i="128"/>
  <c r="L17" i="92"/>
  <c r="C32" i="133"/>
  <c r="H198" i="84"/>
  <c r="G41" i="108" s="1"/>
  <c r="C41" i="108"/>
  <c r="H9" i="108" s="1"/>
  <c r="B25" i="128"/>
  <c r="C106" i="150"/>
  <c r="G32" i="134"/>
  <c r="C35" i="150"/>
  <c r="C36" i="130"/>
  <c r="J50" i="107"/>
  <c r="K50" i="107" s="1"/>
  <c r="C8" i="127"/>
  <c r="H8" i="127" s="1"/>
  <c r="G16" i="61"/>
  <c r="K16" i="61" s="1"/>
  <c r="K100" i="84"/>
  <c r="C14" i="134"/>
  <c r="L100" i="84"/>
  <c r="G16" i="92"/>
  <c r="D8" i="127"/>
  <c r="I8" i="127" s="1"/>
  <c r="C107" i="107"/>
  <c r="Q101" i="84"/>
  <c r="F100" i="84"/>
  <c r="R100" i="84" s="1"/>
  <c r="K29" i="93" l="1"/>
  <c r="H5" i="115"/>
  <c r="Q100" i="84"/>
  <c r="E36" i="110"/>
  <c r="D206" i="84"/>
  <c r="C88" i="150"/>
  <c r="C85" i="150" s="1"/>
  <c r="C84" i="150" s="1"/>
  <c r="C105" i="150" s="1"/>
  <c r="C18" i="150"/>
  <c r="C14" i="150" s="1"/>
  <c r="C13" i="150" s="1"/>
  <c r="C11" i="134"/>
  <c r="C10" i="134" s="1"/>
  <c r="G14" i="134"/>
  <c r="C19" i="130"/>
  <c r="C15" i="130" s="1"/>
  <c r="C14" i="130" s="1"/>
  <c r="G36" i="130"/>
  <c r="I36" i="130" s="1"/>
  <c r="G106" i="150"/>
  <c r="G35" i="150"/>
  <c r="C7" i="127"/>
  <c r="H7" i="127" s="1"/>
  <c r="D5" i="107"/>
  <c r="H16" i="92"/>
  <c r="H12" i="92" s="1"/>
  <c r="H11" i="92" s="1"/>
  <c r="H37" i="92" s="1"/>
  <c r="J16" i="92"/>
  <c r="J12" i="92" s="1"/>
  <c r="J11" i="92" s="1"/>
  <c r="J37" i="92" s="1"/>
  <c r="I16" i="92"/>
  <c r="I12" i="92" s="1"/>
  <c r="I11" i="92" s="1"/>
  <c r="I37" i="92" s="1"/>
  <c r="C14" i="133"/>
  <c r="G12" i="92"/>
  <c r="G11" i="92" s="1"/>
  <c r="G37" i="92" s="1"/>
  <c r="K16" i="92"/>
  <c r="G12" i="61"/>
  <c r="G11" i="61" s="1"/>
  <c r="G37" i="61" s="1"/>
  <c r="H16" i="61"/>
  <c r="H12" i="61" s="1"/>
  <c r="H11" i="61" s="1"/>
  <c r="H37" i="61" s="1"/>
  <c r="I16" i="61"/>
  <c r="I12" i="61" s="1"/>
  <c r="I11" i="61" s="1"/>
  <c r="I37" i="61" s="1"/>
  <c r="J16" i="61"/>
  <c r="J12" i="61" s="1"/>
  <c r="J11" i="61" s="1"/>
  <c r="J37" i="61" s="1"/>
  <c r="B26" i="128"/>
  <c r="C36" i="131"/>
  <c r="C35" i="151"/>
  <c r="L37" i="92"/>
  <c r="D7" i="127"/>
  <c r="I7" i="127" s="1"/>
  <c r="E5" i="107"/>
  <c r="E8" i="107" s="1"/>
  <c r="I9" i="108"/>
  <c r="J9" i="108"/>
  <c r="B16" i="128"/>
  <c r="B18" i="128" s="1"/>
  <c r="E36" i="115" l="1"/>
  <c r="J44" i="61"/>
  <c r="J41" i="61" s="1"/>
  <c r="J40" i="61" s="1"/>
  <c r="J39" i="61" s="1"/>
  <c r="E33" i="115"/>
  <c r="G44" i="61"/>
  <c r="D14" i="58"/>
  <c r="G35" i="115"/>
  <c r="I44" i="92"/>
  <c r="I41" i="92" s="1"/>
  <c r="I40" i="92" s="1"/>
  <c r="I39" i="92" s="1"/>
  <c r="C31" i="134"/>
  <c r="F36" i="110"/>
  <c r="E27" i="110"/>
  <c r="E11" i="110"/>
  <c r="R16" i="61"/>
  <c r="Q16" i="61"/>
  <c r="K12" i="61"/>
  <c r="R16" i="92"/>
  <c r="K12" i="92"/>
  <c r="Q16" i="92"/>
  <c r="AA16" i="92" s="1"/>
  <c r="G36" i="115"/>
  <c r="G5" i="107"/>
  <c r="G27" i="110"/>
  <c r="D8" i="107"/>
  <c r="M37" i="92"/>
  <c r="L36" i="92"/>
  <c r="G33" i="115"/>
  <c r="D17" i="93"/>
  <c r="G44" i="92"/>
  <c r="G34" i="115"/>
  <c r="H44" i="92"/>
  <c r="H41" i="92" s="1"/>
  <c r="H40" i="92" s="1"/>
  <c r="H39" i="92" s="1"/>
  <c r="H9" i="115"/>
  <c r="J5" i="115"/>
  <c r="E35" i="115"/>
  <c r="I44" i="61"/>
  <c r="I41" i="61" s="1"/>
  <c r="I40" i="61" s="1"/>
  <c r="I39" i="61" s="1"/>
  <c r="B27" i="128"/>
  <c r="B29" i="128" s="1"/>
  <c r="E34" i="115"/>
  <c r="H44" i="61"/>
  <c r="H41" i="61" s="1"/>
  <c r="H40" i="61" s="1"/>
  <c r="H39" i="61" s="1"/>
  <c r="C11" i="133"/>
  <c r="C10" i="133" s="1"/>
  <c r="C19" i="131"/>
  <c r="G14" i="133"/>
  <c r="C18" i="151"/>
  <c r="C14" i="151" s="1"/>
  <c r="C13" i="151" s="1"/>
  <c r="G18" i="150"/>
  <c r="G14" i="150" s="1"/>
  <c r="G13" i="150" s="1"/>
  <c r="G19" i="130"/>
  <c r="G15" i="130" s="1"/>
  <c r="G14" i="130" s="1"/>
  <c r="G88" i="150"/>
  <c r="G85" i="150" s="1"/>
  <c r="G84" i="150" s="1"/>
  <c r="G105" i="150" s="1"/>
  <c r="G11" i="134"/>
  <c r="G10" i="134" s="1"/>
  <c r="G31" i="134" s="1"/>
  <c r="H206" i="84"/>
  <c r="G49" i="108" s="1"/>
  <c r="C201" i="84"/>
  <c r="C199" i="84"/>
  <c r="C200" i="84"/>
  <c r="D204" i="84"/>
  <c r="C196" i="84"/>
  <c r="C202" i="84"/>
  <c r="C197" i="84"/>
  <c r="C205" i="84"/>
  <c r="C203" i="84"/>
  <c r="C49" i="108"/>
  <c r="H17" i="108" s="1"/>
  <c r="C198" i="84"/>
  <c r="C15" i="131" l="1"/>
  <c r="C14" i="131" s="1"/>
  <c r="G198" i="84"/>
  <c r="F41" i="108" s="1"/>
  <c r="B41" i="108"/>
  <c r="I17" i="108"/>
  <c r="J17" i="108"/>
  <c r="C8" i="108"/>
  <c r="D8" i="108" s="1"/>
  <c r="C6" i="108"/>
  <c r="D6" i="108" s="1"/>
  <c r="C5" i="108"/>
  <c r="D5" i="108" s="1"/>
  <c r="C16" i="108"/>
  <c r="D16" i="108" s="1"/>
  <c r="C17" i="108"/>
  <c r="C10" i="108"/>
  <c r="D10" i="108" s="1"/>
  <c r="C11" i="108"/>
  <c r="D11" i="108" s="1"/>
  <c r="C4" i="108"/>
  <c r="D4" i="108" s="1"/>
  <c r="C13" i="108"/>
  <c r="D13" i="108" s="1"/>
  <c r="C14" i="108"/>
  <c r="D14" i="108" s="1"/>
  <c r="C7" i="108"/>
  <c r="D7" i="108" s="1"/>
  <c r="C3" i="108"/>
  <c r="D3" i="108" s="1"/>
  <c r="C12" i="108"/>
  <c r="D12" i="108" s="1"/>
  <c r="H15" i="108"/>
  <c r="C9" i="108"/>
  <c r="D9" i="108" s="1"/>
  <c r="B45" i="108"/>
  <c r="G202" i="84"/>
  <c r="F45" i="108" s="1"/>
  <c r="G199" i="84"/>
  <c r="F42" i="108" s="1"/>
  <c r="B42" i="108"/>
  <c r="H45" i="61"/>
  <c r="D11" i="128"/>
  <c r="D25" i="93"/>
  <c r="G8" i="107"/>
  <c r="K11" i="61"/>
  <c r="Q12" i="61"/>
  <c r="R12" i="61"/>
  <c r="E2" i="110"/>
  <c r="I11" i="110" s="1"/>
  <c r="F11" i="110"/>
  <c r="D12" i="107"/>
  <c r="K9" i="114"/>
  <c r="C40" i="134"/>
  <c r="G40" i="61"/>
  <c r="G41" i="61" s="1"/>
  <c r="G19" i="131"/>
  <c r="G15" i="131" s="1"/>
  <c r="G14" i="131" s="1"/>
  <c r="G18" i="151"/>
  <c r="G14" i="151" s="1"/>
  <c r="G13" i="151" s="1"/>
  <c r="G11" i="133"/>
  <c r="G10" i="133" s="1"/>
  <c r="G31" i="133" s="1"/>
  <c r="H45" i="92"/>
  <c r="F27" i="110"/>
  <c r="H27" i="110"/>
  <c r="I45" i="92"/>
  <c r="L33" i="115"/>
  <c r="B46" i="108"/>
  <c r="G203" i="84"/>
  <c r="F46" i="108" s="1"/>
  <c r="G196" i="84"/>
  <c r="F39" i="108" s="1"/>
  <c r="B39" i="108"/>
  <c r="B44" i="108"/>
  <c r="G201" i="84"/>
  <c r="F44" i="108" s="1"/>
  <c r="B48" i="108"/>
  <c r="G205" i="84"/>
  <c r="F48" i="108" s="1"/>
  <c r="C47" i="108"/>
  <c r="H204" i="84"/>
  <c r="G47" i="108" s="1"/>
  <c r="C204" i="84"/>
  <c r="H10" i="115"/>
  <c r="J9" i="115"/>
  <c r="R12" i="92"/>
  <c r="K11" i="92"/>
  <c r="Q12" i="92"/>
  <c r="AA12" i="92" s="1"/>
  <c r="J45" i="61"/>
  <c r="G197" i="84"/>
  <c r="F40" i="108" s="1"/>
  <c r="B40" i="108"/>
  <c r="G200" i="84"/>
  <c r="F43" i="108" s="1"/>
  <c r="B43" i="108"/>
  <c r="F18" i="151"/>
  <c r="F14" i="151" s="1"/>
  <c r="F13" i="151" s="1"/>
  <c r="F19" i="131"/>
  <c r="F15" i="131" s="1"/>
  <c r="F14" i="131" s="1"/>
  <c r="C31" i="133"/>
  <c r="I45" i="61"/>
  <c r="P9" i="114"/>
  <c r="P30" i="114" s="1"/>
  <c r="E12" i="107"/>
  <c r="J44" i="92"/>
  <c r="G40" i="92"/>
  <c r="C40" i="133"/>
  <c r="K44" i="92"/>
  <c r="G25" i="93"/>
  <c r="G29" i="93"/>
  <c r="C11" i="128"/>
  <c r="D22" i="58"/>
  <c r="D11" i="107" l="1"/>
  <c r="C38" i="134"/>
  <c r="K6" i="114"/>
  <c r="G40" i="133"/>
  <c r="C44" i="131"/>
  <c r="C43" i="151"/>
  <c r="R11" i="92"/>
  <c r="Q11" i="92"/>
  <c r="K37" i="92"/>
  <c r="C22" i="128"/>
  <c r="J11" i="128"/>
  <c r="F11" i="128"/>
  <c r="K40" i="92"/>
  <c r="J40" i="92"/>
  <c r="P5" i="114"/>
  <c r="P26" i="114" s="1"/>
  <c r="E10" i="107"/>
  <c r="C37" i="133"/>
  <c r="G11" i="110"/>
  <c r="H11" i="115"/>
  <c r="H12" i="115" s="1"/>
  <c r="J1" i="107"/>
  <c r="D22" i="128"/>
  <c r="G11" i="128"/>
  <c r="K11" i="128"/>
  <c r="G40" i="134"/>
  <c r="C114" i="150"/>
  <c r="C43" i="150"/>
  <c r="C44" i="130"/>
  <c r="Q52" i="92"/>
  <c r="R44" i="92"/>
  <c r="Q44" i="92"/>
  <c r="AA44" i="92" s="1"/>
  <c r="F43" i="151"/>
  <c r="F44" i="131"/>
  <c r="G33" i="93"/>
  <c r="G41" i="92"/>
  <c r="G12" i="107"/>
  <c r="J2" i="107" s="1"/>
  <c r="G204" i="84"/>
  <c r="F47" i="108" s="1"/>
  <c r="B47" i="108"/>
  <c r="C206" i="84"/>
  <c r="K30" i="114"/>
  <c r="J9" i="114"/>
  <c r="I15" i="108"/>
  <c r="J15" i="108"/>
  <c r="C15" i="108"/>
  <c r="D15" i="108" s="1"/>
  <c r="D10" i="107"/>
  <c r="D9" i="107" s="1"/>
  <c r="K5" i="114"/>
  <c r="G39" i="61"/>
  <c r="C37" i="134"/>
  <c r="C41" i="130" s="1"/>
  <c r="G4" i="110"/>
  <c r="G9" i="110"/>
  <c r="G3" i="110"/>
  <c r="G5" i="110"/>
  <c r="I4" i="110"/>
  <c r="I5" i="110"/>
  <c r="F2" i="110"/>
  <c r="I7" i="110"/>
  <c r="I9" i="110"/>
  <c r="G6" i="110"/>
  <c r="I10" i="110"/>
  <c r="I8" i="110"/>
  <c r="I3" i="110"/>
  <c r="G8" i="110"/>
  <c r="I6" i="110"/>
  <c r="G7" i="110"/>
  <c r="G10" i="110"/>
  <c r="G12" i="110"/>
  <c r="R11" i="61"/>
  <c r="Q11" i="61"/>
  <c r="K37" i="61"/>
  <c r="C111" i="150" l="1"/>
  <c r="G37" i="134"/>
  <c r="C36" i="134"/>
  <c r="C40" i="150"/>
  <c r="J30" i="114"/>
  <c r="D30" i="114" s="1"/>
  <c r="D9" i="114"/>
  <c r="G10" i="107"/>
  <c r="Q40" i="92"/>
  <c r="AA40" i="92" s="1"/>
  <c r="G37" i="133"/>
  <c r="R40" i="92"/>
  <c r="Q50" i="92"/>
  <c r="G45" i="61"/>
  <c r="G46" i="61" s="1"/>
  <c r="E24" i="115" s="1"/>
  <c r="K4" i="114"/>
  <c r="D16" i="58"/>
  <c r="P6" i="114"/>
  <c r="P27" i="114" s="1"/>
  <c r="E11" i="107"/>
  <c r="G11" i="107" s="1"/>
  <c r="C38" i="133"/>
  <c r="C36" i="133" s="1"/>
  <c r="K41" i="92"/>
  <c r="J41" i="92"/>
  <c r="K27" i="114"/>
  <c r="K26" i="114"/>
  <c r="J5" i="114"/>
  <c r="B49" i="108"/>
  <c r="G206" i="84"/>
  <c r="F49" i="108" s="1"/>
  <c r="G114" i="150"/>
  <c r="G43" i="150"/>
  <c r="G44" i="130"/>
  <c r="G39" i="92"/>
  <c r="K31" i="93" s="1"/>
  <c r="K28" i="93" s="1"/>
  <c r="Q37" i="92"/>
  <c r="AA37" i="92" s="1"/>
  <c r="G37" i="115"/>
  <c r="G38" i="115" s="1"/>
  <c r="R37" i="92"/>
  <c r="H17" i="93"/>
  <c r="C112" i="150"/>
  <c r="G38" i="134"/>
  <c r="C42" i="130"/>
  <c r="C41" i="150"/>
  <c r="E37" i="115"/>
  <c r="E38" i="115" s="1"/>
  <c r="R37" i="61"/>
  <c r="Q37" i="61"/>
  <c r="H14" i="58"/>
  <c r="K44" i="61"/>
  <c r="I2" i="110"/>
  <c r="D14" i="107"/>
  <c r="G22" i="128"/>
  <c r="K22" i="128"/>
  <c r="C40" i="151"/>
  <c r="C41" i="131"/>
  <c r="J22" i="128"/>
  <c r="F22" i="128"/>
  <c r="O37" i="92"/>
  <c r="Y37" i="92" s="1"/>
  <c r="AA11" i="92"/>
  <c r="G43" i="151"/>
  <c r="G44" i="131"/>
  <c r="J39" i="92" l="1"/>
  <c r="J6" i="114"/>
  <c r="J27" i="114" s="1"/>
  <c r="D27" i="114" s="1"/>
  <c r="G112" i="150"/>
  <c r="G41" i="150"/>
  <c r="G42" i="130"/>
  <c r="Q41" i="92"/>
  <c r="AA41" i="92" s="1"/>
  <c r="Q51" i="92"/>
  <c r="Q53" i="92" s="1"/>
  <c r="R41" i="92"/>
  <c r="G38" i="133"/>
  <c r="G40" i="151"/>
  <c r="G41" i="131"/>
  <c r="C40" i="130"/>
  <c r="F8" i="133"/>
  <c r="F41" i="131"/>
  <c r="F40" i="151"/>
  <c r="G36" i="133"/>
  <c r="G8" i="133" s="1"/>
  <c r="C8" i="133"/>
  <c r="R31" i="115" s="1"/>
  <c r="Q44" i="61"/>
  <c r="R44" i="61"/>
  <c r="K40" i="61"/>
  <c r="K41" i="61" s="1"/>
  <c r="J26" i="114"/>
  <c r="D26" i="114" s="1"/>
  <c r="D5" i="114"/>
  <c r="C42" i="131"/>
  <c r="C40" i="131" s="1"/>
  <c r="C41" i="151"/>
  <c r="C39" i="151" s="1"/>
  <c r="D41" i="58"/>
  <c r="C13" i="128"/>
  <c r="D24" i="58"/>
  <c r="D13" i="58"/>
  <c r="C25" i="107" s="1"/>
  <c r="G36" i="134"/>
  <c r="G8" i="134" s="1"/>
  <c r="C8" i="134"/>
  <c r="J45" i="92"/>
  <c r="G27" i="115" s="1"/>
  <c r="B19" i="146"/>
  <c r="C19" i="146" s="1"/>
  <c r="H22" i="58"/>
  <c r="H26" i="58"/>
  <c r="H25" i="93"/>
  <c r="H29" i="93"/>
  <c r="L39" i="92"/>
  <c r="L47" i="92"/>
  <c r="G45" i="92"/>
  <c r="D19" i="93"/>
  <c r="P4" i="114"/>
  <c r="P25" i="114" s="1"/>
  <c r="K39" i="92"/>
  <c r="J3" i="107"/>
  <c r="G111" i="150"/>
  <c r="G41" i="130"/>
  <c r="G40" i="150"/>
  <c r="F41" i="151"/>
  <c r="F42" i="131"/>
  <c r="K25" i="114"/>
  <c r="E9" i="107"/>
  <c r="F73" i="150"/>
  <c r="G74" i="150"/>
  <c r="E75" i="150"/>
  <c r="F74" i="150"/>
  <c r="D73" i="150"/>
  <c r="G75" i="150"/>
  <c r="G73" i="150"/>
  <c r="D75" i="150"/>
  <c r="C39" i="150"/>
  <c r="F75" i="150"/>
  <c r="D74" i="150"/>
  <c r="E73" i="150"/>
  <c r="E74" i="150"/>
  <c r="C110" i="150"/>
  <c r="C45" i="131" l="1"/>
  <c r="O31" i="115" s="1"/>
  <c r="D6" i="114"/>
  <c r="G110" i="150"/>
  <c r="G39" i="150"/>
  <c r="G44" i="150" s="1"/>
  <c r="J4" i="114"/>
  <c r="D4" i="114" s="1"/>
  <c r="G40" i="130"/>
  <c r="G45" i="130" s="1"/>
  <c r="R41" i="61"/>
  <c r="Q41" i="61"/>
  <c r="C48" i="151"/>
  <c r="C44" i="151"/>
  <c r="L45" i="92"/>
  <c r="G46" i="92"/>
  <c r="G31" i="93"/>
  <c r="G27" i="93"/>
  <c r="D43" i="58"/>
  <c r="D21" i="58"/>
  <c r="R27" i="115"/>
  <c r="R17" i="115" s="1"/>
  <c r="F11" i="131"/>
  <c r="F9" i="131" s="1"/>
  <c r="O27" i="115" s="1"/>
  <c r="O17" i="115" s="1"/>
  <c r="F10" i="151"/>
  <c r="F8" i="151" s="1"/>
  <c r="G42" i="131"/>
  <c r="G40" i="131" s="1"/>
  <c r="G45" i="131" s="1"/>
  <c r="G41" i="151"/>
  <c r="G39" i="151" s="1"/>
  <c r="G44" i="151" s="1"/>
  <c r="C44" i="150"/>
  <c r="C47" i="150"/>
  <c r="G10" i="150"/>
  <c r="G8" i="150" s="1"/>
  <c r="Q28" i="115"/>
  <c r="Q18" i="115" s="1"/>
  <c r="G11" i="130"/>
  <c r="G9" i="130" s="1"/>
  <c r="N28" i="115" s="1"/>
  <c r="N18" i="115" s="1"/>
  <c r="C24" i="128"/>
  <c r="F13" i="128"/>
  <c r="F14" i="128" s="1"/>
  <c r="J13" i="128"/>
  <c r="C14" i="128"/>
  <c r="G11" i="131"/>
  <c r="G9" i="131" s="1"/>
  <c r="O28" i="115" s="1"/>
  <c r="O18" i="115" s="1"/>
  <c r="G10" i="151"/>
  <c r="G8" i="151" s="1"/>
  <c r="R28" i="115"/>
  <c r="R18" i="115" s="1"/>
  <c r="C45" i="130"/>
  <c r="N31" i="115" s="1"/>
  <c r="E14" i="107"/>
  <c r="G9" i="107"/>
  <c r="D44" i="93"/>
  <c r="D13" i="128"/>
  <c r="D27" i="93"/>
  <c r="D16" i="93"/>
  <c r="C29" i="107" s="1"/>
  <c r="H30" i="58"/>
  <c r="D26" i="58"/>
  <c r="F39" i="151"/>
  <c r="F44" i="151" s="1"/>
  <c r="H19" i="93"/>
  <c r="Q39" i="92"/>
  <c r="AA39" i="92" s="1"/>
  <c r="R39" i="92"/>
  <c r="K45" i="92"/>
  <c r="H33" i="93"/>
  <c r="D29" i="93"/>
  <c r="Q31" i="115"/>
  <c r="P32" i="115" s="1"/>
  <c r="C82" i="107"/>
  <c r="C54" i="107"/>
  <c r="C37" i="107"/>
  <c r="R40" i="61"/>
  <c r="Q40" i="61"/>
  <c r="K39" i="61"/>
  <c r="F40" i="131"/>
  <c r="J25" i="114" l="1"/>
  <c r="D25" i="114" s="1"/>
  <c r="D33" i="93"/>
  <c r="J29" i="93"/>
  <c r="L29" i="93" s="1"/>
  <c r="D24" i="128"/>
  <c r="K13" i="128"/>
  <c r="G13" i="128"/>
  <c r="G14" i="128" s="1"/>
  <c r="D14" i="128"/>
  <c r="O32" i="115"/>
  <c r="C53" i="131" s="1"/>
  <c r="J4" i="107"/>
  <c r="H14" i="107"/>
  <c r="G24" i="93"/>
  <c r="G62" i="93" s="1"/>
  <c r="G24" i="115"/>
  <c r="L46" i="92"/>
  <c r="L48" i="92" s="1"/>
  <c r="C86" i="107"/>
  <c r="C58" i="107"/>
  <c r="C41" i="107"/>
  <c r="D51" i="58"/>
  <c r="H37" i="107"/>
  <c r="G35" i="93"/>
  <c r="G32" i="93" s="1"/>
  <c r="G28" i="93"/>
  <c r="B20" i="146"/>
  <c r="C20" i="146" s="1"/>
  <c r="G14" i="107"/>
  <c r="F15" i="128"/>
  <c r="F16" i="128" s="1"/>
  <c r="F18" i="128" s="1"/>
  <c r="Q39" i="61"/>
  <c r="K45" i="61"/>
  <c r="R39" i="61"/>
  <c r="H16" i="58"/>
  <c r="J54" i="107"/>
  <c r="K54" i="107" s="1"/>
  <c r="C66" i="107"/>
  <c r="J66" i="107" s="1"/>
  <c r="K66" i="107" s="1"/>
  <c r="H44" i="93"/>
  <c r="H27" i="93"/>
  <c r="H31" i="93"/>
  <c r="D31" i="93" s="1"/>
  <c r="H16" i="93"/>
  <c r="D30" i="58"/>
  <c r="D46" i="93"/>
  <c r="D24" i="93"/>
  <c r="D62" i="93" s="1"/>
  <c r="J24" i="128"/>
  <c r="F24" i="128"/>
  <c r="F25" i="128" s="1"/>
  <c r="C25" i="128"/>
  <c r="D48" i="151"/>
  <c r="E48" i="151" s="1"/>
  <c r="C111" i="107"/>
  <c r="C123" i="107" s="1"/>
  <c r="C94" i="107"/>
  <c r="R45" i="92"/>
  <c r="K46" i="92"/>
  <c r="G28" i="115" s="1"/>
  <c r="Q45" i="92"/>
  <c r="AA45" i="92" s="1"/>
  <c r="C15" i="128"/>
  <c r="J15" i="128" s="1"/>
  <c r="J14" i="128"/>
  <c r="E19" i="154"/>
  <c r="F29" i="107"/>
  <c r="F58" i="107" l="1"/>
  <c r="F70" i="107" s="1"/>
  <c r="F86" i="107"/>
  <c r="B155" i="107"/>
  <c r="B192" i="107" s="1"/>
  <c r="F41" i="107"/>
  <c r="C49" i="151"/>
  <c r="F26" i="128"/>
  <c r="F27" i="128" s="1"/>
  <c r="F29" i="128" s="1"/>
  <c r="C16" i="128"/>
  <c r="C18" i="128" s="1"/>
  <c r="H35" i="93"/>
  <c r="H32" i="93" s="1"/>
  <c r="H28" i="93"/>
  <c r="B17" i="146"/>
  <c r="C17" i="146" s="1"/>
  <c r="C54" i="131"/>
  <c r="J6" i="107"/>
  <c r="D15" i="128"/>
  <c r="K15" i="128" s="1"/>
  <c r="K14" i="128"/>
  <c r="H46" i="93"/>
  <c r="H24" i="93"/>
  <c r="H62" i="93" s="1"/>
  <c r="H41" i="58"/>
  <c r="H24" i="58"/>
  <c r="H28" i="58"/>
  <c r="H13" i="58"/>
  <c r="D35" i="93"/>
  <c r="D32" i="93" s="1"/>
  <c r="G15" i="128"/>
  <c r="G16" i="128" s="1"/>
  <c r="G18" i="128" s="1"/>
  <c r="D28" i="93"/>
  <c r="F19" i="154"/>
  <c r="F17" i="154" s="1"/>
  <c r="E17" i="154"/>
  <c r="C26" i="128"/>
  <c r="J26" i="128" s="1"/>
  <c r="J25" i="128"/>
  <c r="J58" i="107"/>
  <c r="K58" i="107" s="1"/>
  <c r="C70" i="107"/>
  <c r="J70" i="107" s="1"/>
  <c r="K70" i="107" s="1"/>
  <c r="J16" i="128"/>
  <c r="J18" i="128" s="1"/>
  <c r="J19" i="128" s="1"/>
  <c r="E24" i="154"/>
  <c r="G29" i="107"/>
  <c r="R45" i="61"/>
  <c r="C44" i="134"/>
  <c r="Q45" i="61"/>
  <c r="K46" i="61"/>
  <c r="E28" i="115" s="1"/>
  <c r="C115" i="107"/>
  <c r="C127" i="107" s="1"/>
  <c r="C98" i="107"/>
  <c r="G24" i="128"/>
  <c r="G25" i="128" s="1"/>
  <c r="K24" i="128"/>
  <c r="D25" i="128"/>
  <c r="H17" i="154" l="1"/>
  <c r="H19" i="154"/>
  <c r="D16" i="128"/>
  <c r="D18" i="128" s="1"/>
  <c r="G26" i="128"/>
  <c r="G27" i="128" s="1"/>
  <c r="G29" i="128" s="1"/>
  <c r="F24" i="154"/>
  <c r="F22" i="154" s="1"/>
  <c r="E15" i="156"/>
  <c r="E22" i="154"/>
  <c r="J27" i="128"/>
  <c r="J29" i="128" s="1"/>
  <c r="J30" i="128" s="1"/>
  <c r="C48" i="150"/>
  <c r="C27" i="128"/>
  <c r="C29" i="128" s="1"/>
  <c r="E20" i="153"/>
  <c r="G25" i="107"/>
  <c r="B194" i="107"/>
  <c r="B195" i="107" s="1"/>
  <c r="D26" i="128"/>
  <c r="K26" i="128" s="1"/>
  <c r="K25" i="128"/>
  <c r="K5" i="107"/>
  <c r="K6" i="107"/>
  <c r="K1" i="107"/>
  <c r="K2" i="107"/>
  <c r="K3" i="107"/>
  <c r="K4" i="107"/>
  <c r="H32" i="58"/>
  <c r="H29" i="58" s="1"/>
  <c r="D28" i="58"/>
  <c r="H25" i="58"/>
  <c r="C50" i="151"/>
  <c r="F115" i="107"/>
  <c r="F127" i="107" s="1"/>
  <c r="F98" i="107"/>
  <c r="B156" i="107"/>
  <c r="G86" i="107"/>
  <c r="G58" i="107"/>
  <c r="G70" i="107" s="1"/>
  <c r="G41" i="107"/>
  <c r="H43" i="58"/>
  <c r="H21" i="58"/>
  <c r="H51" i="58" s="1"/>
  <c r="K16" i="128"/>
  <c r="K18" i="128" s="1"/>
  <c r="K19" i="128" s="1"/>
  <c r="C52" i="131" l="1"/>
  <c r="K27" i="128"/>
  <c r="K29" i="128" s="1"/>
  <c r="K30" i="128" s="1"/>
  <c r="H22" i="154"/>
  <c r="D32" i="58"/>
  <c r="D29" i="58" s="1"/>
  <c r="D25" i="58"/>
  <c r="J28" i="93" s="1"/>
  <c r="L28" i="93" s="1"/>
  <c r="J31" i="93"/>
  <c r="L31" i="93" s="1"/>
  <c r="D49" i="151"/>
  <c r="E49" i="151" s="1"/>
  <c r="C49" i="150"/>
  <c r="D50" i="151" s="1"/>
  <c r="E50" i="151" s="1"/>
  <c r="G115" i="107"/>
  <c r="G127" i="107" s="1"/>
  <c r="G98" i="107"/>
  <c r="D27" i="128"/>
  <c r="D29" i="128" s="1"/>
  <c r="G82" i="107"/>
  <c r="G54" i="107"/>
  <c r="G66" i="107" s="1"/>
  <c r="B147" i="107"/>
  <c r="G37" i="107"/>
  <c r="F15" i="156"/>
  <c r="E13" i="156"/>
  <c r="E156" i="107"/>
  <c r="H156" i="107" s="1"/>
  <c r="B205" i="107"/>
  <c r="F20" i="153"/>
  <c r="F18" i="153" s="1"/>
  <c r="E10" i="156"/>
  <c r="E18" i="153"/>
  <c r="H24" i="154"/>
  <c r="H18" i="153" l="1"/>
  <c r="B207" i="107"/>
  <c r="B208" i="107" s="1"/>
  <c r="G111" i="107"/>
  <c r="G123" i="107" s="1"/>
  <c r="G94" i="107"/>
  <c r="F10" i="156"/>
  <c r="F8" i="156" s="1"/>
  <c r="E8" i="156"/>
  <c r="H20" i="153"/>
  <c r="F13" i="156"/>
  <c r="B199" i="107"/>
  <c r="E147" i="107"/>
  <c r="H147" i="107" s="1"/>
  <c r="E208" i="107" l="1"/>
  <c r="H208" i="107" s="1"/>
  <c r="B26" i="147"/>
  <c r="H26" i="147" s="1"/>
  <c r="B201" i="107"/>
  <c r="B202" i="107" s="1"/>
  <c r="E202" i="107" l="1"/>
  <c r="H202" i="107" s="1"/>
  <c r="B24" i="147"/>
  <c r="H24" i="1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J99" authorId="0" shapeId="0" xr:uid="{00000000-0006-0000-0C00-000001000000}">
      <text>
        <r>
          <rPr>
            <b/>
            <sz val="9"/>
            <color indexed="81"/>
            <rFont val="Tahoma"/>
            <family val="2"/>
            <charset val="204"/>
          </rPr>
          <t>Автор:</t>
        </r>
        <r>
          <rPr>
            <sz val="9"/>
            <color indexed="81"/>
            <rFont val="Tahoma"/>
            <family val="2"/>
            <charset val="204"/>
          </rPr>
          <t xml:space="preserve">
фактичні кВТгод РЦ за 2021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50" authorId="0" shapeId="0" xr:uid="{00000000-0006-0000-1400-000001000000}">
      <text>
        <r>
          <rPr>
            <b/>
            <sz val="9"/>
            <color indexed="81"/>
            <rFont val="Tahoma"/>
            <family val="2"/>
            <charset val="204"/>
          </rPr>
          <t>Автор:</t>
        </r>
        <r>
          <rPr>
            <sz val="9"/>
            <color indexed="81"/>
            <rFont val="Tahoma"/>
            <family val="2"/>
            <charset val="204"/>
          </rPr>
          <t xml:space="preserve">
нове</t>
        </r>
      </text>
    </comment>
  </commentList>
</comments>
</file>

<file path=xl/sharedStrings.xml><?xml version="1.0" encoding="utf-8"?>
<sst xmlns="http://schemas.openxmlformats.org/spreadsheetml/2006/main" count="11429" uniqueCount="3462">
  <si>
    <t>Виробництво теплової енергії</t>
  </si>
  <si>
    <t>Транспортування теплової енергії</t>
  </si>
  <si>
    <t>Постачання теплової енергії</t>
  </si>
  <si>
    <t>населення</t>
  </si>
  <si>
    <t>%</t>
  </si>
  <si>
    <t>Фінансові витрати</t>
  </si>
  <si>
    <t>ПОГОДЖЕНО</t>
  </si>
  <si>
    <t>№ з/п</t>
  </si>
  <si>
    <t>Показники</t>
  </si>
  <si>
    <t>Одиниці виміру</t>
  </si>
  <si>
    <t>січень</t>
  </si>
  <si>
    <t>лютий</t>
  </si>
  <si>
    <t>березень</t>
  </si>
  <si>
    <t>квітень</t>
  </si>
  <si>
    <t xml:space="preserve"> травень</t>
  </si>
  <si>
    <t>червень</t>
  </si>
  <si>
    <t>липень</t>
  </si>
  <si>
    <t>серпень</t>
  </si>
  <si>
    <t>вересень</t>
  </si>
  <si>
    <t>жовтень</t>
  </si>
  <si>
    <t>листопад</t>
  </si>
  <si>
    <t>грудень</t>
  </si>
  <si>
    <t>Гкал</t>
  </si>
  <si>
    <t>1.1</t>
  </si>
  <si>
    <t>1.2</t>
  </si>
  <si>
    <t>2.1</t>
  </si>
  <si>
    <t>2.2</t>
  </si>
  <si>
    <t>4.1</t>
  </si>
  <si>
    <t>5.1</t>
  </si>
  <si>
    <t>5.2</t>
  </si>
  <si>
    <t>5.3</t>
  </si>
  <si>
    <t>Гкал/год</t>
  </si>
  <si>
    <t>6.1</t>
  </si>
  <si>
    <t>6.2</t>
  </si>
  <si>
    <t>6.3</t>
  </si>
  <si>
    <t>Одиниця виміру</t>
  </si>
  <si>
    <t>Сумарні та середньозважені показники</t>
  </si>
  <si>
    <t>Виробництво теплової енергії для потреб населення</t>
  </si>
  <si>
    <t>Виробництво теплової енергії для  потреб бюджетних установ</t>
  </si>
  <si>
    <t>Виробництво теплової енергії для  потреб інших споживачів</t>
  </si>
  <si>
    <t>тис. грн</t>
  </si>
  <si>
    <t>1.1.1</t>
  </si>
  <si>
    <t>1.1.2</t>
  </si>
  <si>
    <t>електроенергія</t>
  </si>
  <si>
    <t>1.1.3</t>
  </si>
  <si>
    <t>1.1.4</t>
  </si>
  <si>
    <t>1.1.5</t>
  </si>
  <si>
    <t>прямі витрати на оплату праці</t>
  </si>
  <si>
    <t>1.3</t>
  </si>
  <si>
    <t>1.3.1</t>
  </si>
  <si>
    <t>1.3.2</t>
  </si>
  <si>
    <t>1.3.3</t>
  </si>
  <si>
    <t xml:space="preserve"> інші прямі витрати</t>
  </si>
  <si>
    <t>1.4</t>
  </si>
  <si>
    <t>1.4.1</t>
  </si>
  <si>
    <t>витрати на оплату праці</t>
  </si>
  <si>
    <t>1.4.2</t>
  </si>
  <si>
    <t>1.4.3</t>
  </si>
  <si>
    <t>інші витрати</t>
  </si>
  <si>
    <t>2.3</t>
  </si>
  <si>
    <t>3.1</t>
  </si>
  <si>
    <t>3.2</t>
  </si>
  <si>
    <t>3.3</t>
  </si>
  <si>
    <t>Повна собівартість*</t>
  </si>
  <si>
    <t>7.1</t>
  </si>
  <si>
    <t>податок на прибуток</t>
  </si>
  <si>
    <t>7.2</t>
  </si>
  <si>
    <t xml:space="preserve"> дивіденди</t>
  </si>
  <si>
    <t>7.3</t>
  </si>
  <si>
    <t xml:space="preserve"> резервний фонд (капітал)</t>
  </si>
  <si>
    <t>7.4</t>
  </si>
  <si>
    <t>на розвиток виробництва (виробничі інвестиції)</t>
  </si>
  <si>
    <t>7.5</t>
  </si>
  <si>
    <t>Вартість виробництва теплової енергії за відповідними тарифами</t>
  </si>
  <si>
    <t>грн/Гкал</t>
  </si>
  <si>
    <t>одиниць</t>
  </si>
  <si>
    <t>Обсяг покупної теплової енергії</t>
  </si>
  <si>
    <t>Ціна покупної теплової енергії</t>
  </si>
  <si>
    <t>кВт∙год/ Гкал</t>
  </si>
  <si>
    <t>* Без урахування списання безнадійної дебіторської заборгованості та нарахування резерву сумнівних боргів.</t>
  </si>
  <si>
    <t>Усього</t>
  </si>
  <si>
    <t>передбачено діючим тарифом</t>
  </si>
  <si>
    <t>інші прямі витрати</t>
  </si>
  <si>
    <t xml:space="preserve">Інші операційні витрати * </t>
  </si>
  <si>
    <t xml:space="preserve">тис. грн </t>
  </si>
  <si>
    <t>дивіденди</t>
  </si>
  <si>
    <t>резервний фонд (капітал)</t>
  </si>
  <si>
    <t>інше використання  прибутку</t>
  </si>
  <si>
    <t>Середньозважений тариф на транспортування теплової енергії</t>
  </si>
  <si>
    <t>10.1</t>
  </si>
  <si>
    <t>власної теплової енергії</t>
  </si>
  <si>
    <t>10.2</t>
  </si>
  <si>
    <t>11.1</t>
  </si>
  <si>
    <t>11.2</t>
  </si>
  <si>
    <t>12.1</t>
  </si>
  <si>
    <t>12.2</t>
  </si>
  <si>
    <t>корисний відпуск теплової енергії інших власників</t>
  </si>
  <si>
    <t>12.3</t>
  </si>
  <si>
    <t>бюджетних установ</t>
  </si>
  <si>
    <t>інших споживачів</t>
  </si>
  <si>
    <t>__________________</t>
  </si>
  <si>
    <t xml:space="preserve"> (підпис)</t>
  </si>
  <si>
    <t xml:space="preserve">  (ініціали, прізвище)</t>
  </si>
  <si>
    <t>прямі матеріальні витрати</t>
  </si>
  <si>
    <r>
      <t>прямі витрати на оплату</t>
    </r>
    <r>
      <rPr>
        <sz val="8"/>
        <color theme="1"/>
        <rFont val="Times New Roman"/>
        <family val="1"/>
        <charset val="204"/>
      </rPr>
      <t xml:space="preserve"> </t>
    </r>
    <r>
      <rPr>
        <sz val="10"/>
        <color theme="1"/>
        <rFont val="Times New Roman"/>
        <family val="1"/>
        <charset val="204"/>
      </rPr>
      <t>праці</t>
    </r>
  </si>
  <si>
    <r>
      <t>витрати на оплату</t>
    </r>
    <r>
      <rPr>
        <sz val="8"/>
        <color theme="1"/>
        <rFont val="Times New Roman"/>
        <family val="1"/>
        <charset val="204"/>
      </rPr>
      <t xml:space="preserve"> </t>
    </r>
    <r>
      <rPr>
        <sz val="10"/>
        <color theme="1"/>
        <rFont val="Times New Roman"/>
        <family val="1"/>
        <charset val="204"/>
      </rPr>
      <t>праці</t>
    </r>
  </si>
  <si>
    <t xml:space="preserve">Інші  операційні витрати*  </t>
  </si>
  <si>
    <t>Вартість постачання теплової енергії за відповідними тарифами</t>
  </si>
  <si>
    <t xml:space="preserve">Середньозважений тариф на постачання теплової енергії  </t>
  </si>
  <si>
    <t>10.3</t>
  </si>
  <si>
    <t>інших  споживачів</t>
  </si>
  <si>
    <t>Найменування показника</t>
  </si>
  <si>
    <t>Сумарні та середньозва-жені показники</t>
  </si>
  <si>
    <t>4.2</t>
  </si>
  <si>
    <t xml:space="preserve">корисний відпуск теплової енергії власним споживачам </t>
  </si>
  <si>
    <t>Рівні рентабельності тарифів:</t>
  </si>
  <si>
    <t>8.1</t>
  </si>
  <si>
    <t>на виробництво теплової енергії</t>
  </si>
  <si>
    <t>8.2</t>
  </si>
  <si>
    <t>на транспортування теплової енергії</t>
  </si>
  <si>
    <t>8.3</t>
  </si>
  <si>
    <t>на постачання теплової енергії</t>
  </si>
  <si>
    <t>8.4</t>
  </si>
  <si>
    <t>на теплову енергію</t>
  </si>
  <si>
    <t>ел</t>
  </si>
  <si>
    <t>іп</t>
  </si>
  <si>
    <t>Постачання теплової енергії для потреб населення</t>
  </si>
  <si>
    <t>Постачання теплової енергії для  потреб бюджетних установ</t>
  </si>
  <si>
    <t>Постачання теплової енергії для  потреб інших споживачів</t>
  </si>
  <si>
    <t>Вид палива</t>
  </si>
  <si>
    <t>Відпуск теплової енергії з колекторів, Гкал</t>
  </si>
  <si>
    <t>Витрати умовного палива, тонн</t>
  </si>
  <si>
    <t>Калорійність натурального палива, ккал/м3, ккал/кг</t>
  </si>
  <si>
    <t>Витрати натурального палива, тис.м3, тонн</t>
  </si>
  <si>
    <t>Ціна натурального палива, грн/тис. м3, грн/тонну</t>
  </si>
  <si>
    <t>Вартість палива, тис.грн</t>
  </si>
  <si>
    <t>Ціна 1 тонни умовного палива, грн/тонну</t>
  </si>
  <si>
    <t>Газ, у т.ч. для потреб:</t>
  </si>
  <si>
    <t>_____________________</t>
  </si>
  <si>
    <t>Плановий рік</t>
  </si>
  <si>
    <t>травень</t>
  </si>
  <si>
    <t>Норма питомих витрат електроенергії на виробництво теплової енергії</t>
  </si>
  <si>
    <t>Обсяг споживання активної електроенергії, усього</t>
  </si>
  <si>
    <t>тис. кВт∙год</t>
  </si>
  <si>
    <t>Вартість активної електроенергії, усього</t>
  </si>
  <si>
    <t>тис. кВАр∙год</t>
  </si>
  <si>
    <t>Теплове навантаження об’єктів теплоспоживання власних споживачів</t>
  </si>
  <si>
    <r>
      <t>м</t>
    </r>
    <r>
      <rPr>
        <vertAlign val="superscript"/>
        <sz val="10"/>
        <color theme="1"/>
        <rFont val="Times New Roman"/>
        <family val="1"/>
        <charset val="204"/>
      </rPr>
      <t>3</t>
    </r>
    <r>
      <rPr>
        <sz val="10"/>
        <color theme="1"/>
        <rFont val="Times New Roman"/>
        <family val="1"/>
        <charset val="204"/>
      </rPr>
      <t xml:space="preserve"> /Гкал</t>
    </r>
  </si>
  <si>
    <t>Фактичне питоме використання умовного палива на відпуск теплової енергії з колекторів генеруючих джерел</t>
  </si>
  <si>
    <t>кг у.п./Гкал</t>
  </si>
  <si>
    <t>Середньооблікова чисельність персоналу ліцензованої діяльності</t>
  </si>
  <si>
    <t>осіб</t>
  </si>
  <si>
    <t>Середньомісячна заробітна плата персоналу ліцензованої діяльності</t>
  </si>
  <si>
    <t>грн</t>
  </si>
  <si>
    <t>Витрати на оплату праці у повній собівартості, усього</t>
  </si>
  <si>
    <t>Витрати на електроенергію у повній собівартості, усього</t>
  </si>
  <si>
    <t>Загальна довжина теплових мереж у двотрубному виразі станом на кінець року</t>
  </si>
  <si>
    <t>км</t>
  </si>
  <si>
    <t xml:space="preserve"> грн</t>
  </si>
  <si>
    <t xml:space="preserve"> 7.2.1</t>
  </si>
  <si>
    <t xml:space="preserve"> 7.2.2</t>
  </si>
  <si>
    <t>9.1</t>
  </si>
  <si>
    <t>населення – фізичні особи</t>
  </si>
  <si>
    <t>інші споживачі</t>
  </si>
  <si>
    <t>населення – фізичних осіб</t>
  </si>
  <si>
    <t xml:space="preserve"> 4.1.1</t>
  </si>
  <si>
    <t xml:space="preserve"> 4.2.1</t>
  </si>
  <si>
    <t>4.3</t>
  </si>
  <si>
    <t xml:space="preserve"> 4.3.1</t>
  </si>
  <si>
    <t>4.4</t>
  </si>
  <si>
    <t>релігійні організації</t>
  </si>
  <si>
    <t>Виробництво теплової енергії для  потреб релігійних організацій</t>
  </si>
  <si>
    <t>Постачання теплової енергії для  потреб релігійних організацій</t>
  </si>
  <si>
    <t>12.4</t>
  </si>
  <si>
    <t>релігійних організацій</t>
  </si>
  <si>
    <t>4.5</t>
  </si>
  <si>
    <t xml:space="preserve"> 4.5.1</t>
  </si>
  <si>
    <t>5</t>
  </si>
  <si>
    <t>6</t>
  </si>
  <si>
    <t>7</t>
  </si>
  <si>
    <t>8</t>
  </si>
  <si>
    <t>3</t>
  </si>
  <si>
    <t>4</t>
  </si>
  <si>
    <t>Інші операційні витрати**</t>
  </si>
  <si>
    <t>Повна собівартість**</t>
  </si>
  <si>
    <t>** Без урахування списання безнадійної дебіторської заборгованості та нарахування резерву сумнівних боргів.</t>
  </si>
  <si>
    <t>Відпуск теплової енергії з колекторів котелень</t>
  </si>
  <si>
    <t>Обсяг споживання реактивної електроенергії</t>
  </si>
  <si>
    <t>Вартість активної та реактивної електроенергії на виробництво теплової енергії котельнями</t>
  </si>
  <si>
    <t>Транспортування теплової енергії власними тепловими мережами</t>
  </si>
  <si>
    <t>Гкал </t>
  </si>
  <si>
    <t>кВт·год /Гкал </t>
  </si>
  <si>
    <t>Обсяг споживання активної електроенергії, усього </t>
  </si>
  <si>
    <t>тис. кВт·год </t>
  </si>
  <si>
    <t>Виробництво теплової енергії котельнями</t>
  </si>
  <si>
    <t>9</t>
  </si>
  <si>
    <t>10</t>
  </si>
  <si>
    <t>11</t>
  </si>
  <si>
    <t>12</t>
  </si>
  <si>
    <t>13</t>
  </si>
  <si>
    <t>14</t>
  </si>
  <si>
    <t>15</t>
  </si>
  <si>
    <t>16.1</t>
  </si>
  <si>
    <t>16.2</t>
  </si>
  <si>
    <t xml:space="preserve">базовий період </t>
  </si>
  <si>
    <t xml:space="preserve">Базовий період </t>
  </si>
  <si>
    <t>Річний план</t>
  </si>
  <si>
    <t>період, попередній до базового</t>
  </si>
  <si>
    <t>плановий  період</t>
  </si>
  <si>
    <t>(орган місцевого самоврядування)</t>
  </si>
  <si>
    <t xml:space="preserve">Базовий період (факт) </t>
  </si>
  <si>
    <t>план</t>
  </si>
  <si>
    <t>Втрати теплової енергії в теплових мережах суб’єкта господарювання, усього:</t>
  </si>
  <si>
    <t>господарські потреби ліцензованої діяльності суб’єкта господарювання</t>
  </si>
  <si>
    <t>корисний відпуск теплової енергії власним  споживачам суб’єкта господарювання, усього,  зокрема на потреби:</t>
  </si>
  <si>
    <t>9.2</t>
  </si>
  <si>
    <t>Відпуск теплової енергії суб’єкта господарювання на надання комунальних послуг споживачам, зокрема:</t>
  </si>
  <si>
    <t>постачання теплової енергії, зокрема на потреби:</t>
  </si>
  <si>
    <t>постачання гарячої води, зокрема на потреби:</t>
  </si>
  <si>
    <t>_______________________________________</t>
  </si>
  <si>
    <t>(підпис)</t>
  </si>
  <si>
    <t>(без податку на додану вартість)</t>
  </si>
  <si>
    <t>період, що передує   базовому (факт)</t>
  </si>
  <si>
    <t>базовий період (факт)</t>
  </si>
  <si>
    <t>передбачено чинним тарифом</t>
  </si>
  <si>
    <t>Виробнича собівартість, зокрема:</t>
  </si>
  <si>
    <t>прямі матеріальні витрати, зокрема:</t>
  </si>
  <si>
    <t>інші прямі витрати, зокрема:</t>
  </si>
  <si>
    <t>загальновиробничі витрати, зокрема:</t>
  </si>
  <si>
    <t>Адміністративні витрати, зокрема:</t>
  </si>
  <si>
    <t>Витрати на збут, зокрема:</t>
  </si>
  <si>
    <t>Витрати на відшкодування втрат</t>
  </si>
  <si>
    <t>Розрахунковий прибуток, усього**, зокрема:</t>
  </si>
  <si>
    <t>8.5</t>
  </si>
  <si>
    <t>Х</t>
  </si>
  <si>
    <t>Тарифи на виробництво теплової енергії, зокрема:</t>
  </si>
  <si>
    <t>паливна складова</t>
  </si>
  <si>
    <t>решта витрат, крім паливної складової</t>
  </si>
  <si>
    <t>Собівартість виробництва  теплової енергії  власними  котельнями</t>
  </si>
  <si>
    <t>* Також заповнюється суб’єктами господарювання за  відсутності власного виробництва теплової енергії та відповідно до купівлі всього обсягу теплової енергії для подальшого її постачання власним споживачам.</t>
  </si>
  <si>
    <t>(ініціали, прізвище)</t>
  </si>
  <si>
    <t>_________________________________</t>
  </si>
  <si>
    <t>(керівник)</t>
  </si>
  <si>
    <t>інші витрати*</t>
  </si>
  <si>
    <t xml:space="preserve">Витрати на відшкодування втрат </t>
  </si>
  <si>
    <t>Розрахунковий прибуток*, усього,  зокрема:</t>
  </si>
  <si>
    <t>13.1</t>
  </si>
  <si>
    <t>13.2</t>
  </si>
  <si>
    <t xml:space="preserve">господарські потреби ліцензованої діяльності </t>
  </si>
  <si>
    <t>корисний відпуск теплової енергії власним споживачам, зокрема на потреби:</t>
  </si>
  <si>
    <t>_______</t>
  </si>
  <si>
    <t>період, що передує базовому (факт)</t>
  </si>
  <si>
    <t>Розрахунковий прибуток, усього, зокрема:</t>
  </si>
  <si>
    <t>11.3</t>
  </si>
  <si>
    <t>11.4</t>
  </si>
  <si>
    <t>На потреби споживачів</t>
  </si>
  <si>
    <t>Тариф на виробництво теплової енергії, зокрема:</t>
  </si>
  <si>
    <t>Тариф на  постачання  теплової енергії, зокрема:</t>
  </si>
  <si>
    <t>Тариф на теплову енергію, зокрема:</t>
  </si>
  <si>
    <t>зокрема:</t>
  </si>
  <si>
    <t>РАЗОМ</t>
  </si>
  <si>
    <t>Складові тарифу, вартість яких змінюється на загальнодержавному рівні</t>
  </si>
  <si>
    <t>Втрати всього, грн</t>
  </si>
  <si>
    <t xml:space="preserve">виробництво
теплової енергії
</t>
  </si>
  <si>
    <t xml:space="preserve">транспортування
теплової енергії
</t>
  </si>
  <si>
    <t xml:space="preserve">
постачання
теплової енергії
</t>
  </si>
  <si>
    <t>орган місцевого самоврядування</t>
  </si>
  <si>
    <t>ДОВІДКОВА ІНФОРМАЦІЯ:</t>
  </si>
  <si>
    <t>Вартість складової у відповідному тарифі на дату введення в дію тарифу (грн)</t>
  </si>
  <si>
    <t>Складова тарифу</t>
  </si>
  <si>
    <t>Вартість складової у відповідному тарифі на дату подання суб’єктом господарювання розрахунків до органу місцевого самоврядування (грн)</t>
  </si>
  <si>
    <t>Різниця                (п.3 - п.2)</t>
  </si>
  <si>
    <t>2. Обсяги виробництва/транспортування/постачання теплової енергії</t>
  </si>
  <si>
    <t xml:space="preserve"> 1. Зміна вартості складових тарифу:</t>
  </si>
  <si>
    <t>Обсяги виробництва/транспортування/постачання теплової енергії за відповідний період:</t>
  </si>
  <si>
    <t>Тривалість періоду розгляду розрахунків тарифів, встановлення та їх оприлюднення    (днів)</t>
  </si>
  <si>
    <t xml:space="preserve">       ___________</t>
  </si>
  <si>
    <t xml:space="preserve">        (підпис)</t>
  </si>
  <si>
    <t xml:space="preserve">   (ініціали, прізвище)</t>
  </si>
  <si>
    <t>Мазут, зокрема для потреб:</t>
  </si>
  <si>
    <t>Вугілля, зокрема для потреб:</t>
  </si>
  <si>
    <t>Інше технологічне паливо, зокрема для потреб:</t>
  </si>
  <si>
    <t>Сумарні та середньозважені показники, зокрема для потреб:</t>
  </si>
  <si>
    <t>вартості технологічних витрат електроенергії на виробництво, транспортування та постачання теплової енергії</t>
  </si>
  <si>
    <t xml:space="preserve">Постачання теплової енергії </t>
  </si>
  <si>
    <t>Норма питомих витрат електроенергії на постачання теплової енергії </t>
  </si>
  <si>
    <t>____________________</t>
  </si>
  <si>
    <t>______________________</t>
  </si>
  <si>
    <t xml:space="preserve">виробництво/транспортування/постачання теплової енергії, надає послуги </t>
  </si>
  <si>
    <t>з постачання теплової енергії та постачання гарячої води</t>
  </si>
  <si>
    <t>(загальна характеристика)</t>
  </si>
  <si>
    <t>Період, що передує базовому (факт)</t>
  </si>
  <si>
    <t>Передбачено чинними тарифами</t>
  </si>
  <si>
    <t>Встановлена потужність джерел теплопостачання (генерувальних джерел)</t>
  </si>
  <si>
    <t>інше паливо (зазначити)</t>
  </si>
  <si>
    <t>у відсотках</t>
  </si>
  <si>
    <t xml:space="preserve"> 12</t>
  </si>
  <si>
    <t>бюджетні установи та організації</t>
  </si>
  <si>
    <t>Річний обсяг постачання теплової енергії споживачам, зокрема на потреби:</t>
  </si>
  <si>
    <t>зокрема, що обліковується приладами обліку</t>
  </si>
  <si>
    <t>Надання послуги з постачання теплової енергії</t>
  </si>
  <si>
    <t>1.5</t>
  </si>
  <si>
    <t>Середньооблікова чисельність персоналу, що забезпечує надання послуги з  постачання теплової енергії (без персоналу за ліцензованими видами діяльності)</t>
  </si>
  <si>
    <t>Середньомісячна заробітна плата персоналу, що забезпечує надання послуги з  постачання теплової енергії (без персоналу за ліцензованими видами діяльності)</t>
  </si>
  <si>
    <t>Річний обсяг надання послуги з постачання теплової енергії споживачам, зокрема:</t>
  </si>
  <si>
    <t>Кількість споживачів (абонентів) виконавця послуг, яким надається послуга з постачання теплової енергії усього, зокрема:</t>
  </si>
  <si>
    <t>релігійним організаціям</t>
  </si>
  <si>
    <t>бюджетним установам та організаціям</t>
  </si>
  <si>
    <t xml:space="preserve"> 4.4.1</t>
  </si>
  <si>
    <t>4.4.1</t>
  </si>
  <si>
    <t>Надання послуги з постачання гарячої води</t>
  </si>
  <si>
    <t>Середньооблікова чисельність персоналу, що забезпечує надання послуги з  постачання гарячої води (без персоналу за ліцензованими видами діяльності)</t>
  </si>
  <si>
    <t>Середньомісячна заробітна плата персоналу, що забезпечує надання послуги з  постачання гарячої води (без персоналу за ліцензованими видами діяльності)</t>
  </si>
  <si>
    <t>Річний обсяг надання послуги з постачання гарячої води споживачам, зокрема:</t>
  </si>
  <si>
    <t>іншим споживачам</t>
  </si>
  <si>
    <t>* Заповнюється в разі встановлення двоставкових тарифів.</t>
  </si>
  <si>
    <t>Назва показника</t>
  </si>
  <si>
    <t xml:space="preserve">Послуга з постачання гарячої води </t>
  </si>
  <si>
    <t>Собівартість власної теплової енергії, врахована у встановлених тарифах на теплову енергію для потреб відповідної категорії споживачів</t>
  </si>
  <si>
    <t>зокрема паливна складова</t>
  </si>
  <si>
    <t>Витрати на утримання абонентської служби, зокрема:</t>
  </si>
  <si>
    <t>інші витрати абонентської служби</t>
  </si>
  <si>
    <t>Решта витрат, крім послуг банку та інших установ із приймання і перерахування коштів споживачів</t>
  </si>
  <si>
    <t>Собівартість послуг без урахування послуг банку та інших установ із приймання і перерахування коштів споживачів</t>
  </si>
  <si>
    <t>прибуток у тарифі на теплову енергію для потреб відповідної категорії споживачів</t>
  </si>
  <si>
    <t>Послуги банку та інших установ із приймання і перерахування коштів споживачів</t>
  </si>
  <si>
    <t>Повна планована собівартість послуг з урахуванням послуг банку та інших установ із приймання і перерахування коштів споживачів</t>
  </si>
  <si>
    <t>х</t>
  </si>
  <si>
    <t>Плановані тарифи на послуги з постачання гарячої води</t>
  </si>
  <si>
    <t>паливна складова з ПДВ</t>
  </si>
  <si>
    <t>решта витрат, крім паливної складової, з ПДВ</t>
  </si>
  <si>
    <t>Обсяг теплової енергії, врахований у розрахунку собівартості, Гкал</t>
  </si>
  <si>
    <t>Кількість абонентів, яким надаються послуги</t>
  </si>
  <si>
    <t>Середньорічна кількість штатних працівників, задіяних у наданні послуг, зокрема:</t>
  </si>
  <si>
    <t>абонентська служба</t>
  </si>
  <si>
    <t>решта працівників, задіяних у наданні послуг</t>
  </si>
  <si>
    <t>Середньорічна кількість позаштатних працівників за договором, задіяних у наданні послуг, зокрема:</t>
  </si>
  <si>
    <t>Середньомісячна заробітна плата, грн</t>
  </si>
  <si>
    <t>Відсоток послуг банку та інших установ із приймання і перерахування коштів споживачів, %</t>
  </si>
  <si>
    <r>
      <t>Обсяг споживання гарячої води відповідною категорією споживачів, тис. м</t>
    </r>
    <r>
      <rPr>
        <vertAlign val="superscript"/>
        <sz val="11"/>
        <color theme="1"/>
        <rFont val="Times New Roman"/>
        <family val="1"/>
        <charset val="204"/>
      </rPr>
      <t xml:space="preserve"> 3</t>
    </r>
  </si>
  <si>
    <r>
      <t>Обсяг холодної води для підігріву, тис. м</t>
    </r>
    <r>
      <rPr>
        <vertAlign val="superscript"/>
        <sz val="11"/>
        <color theme="1"/>
        <rFont val="Times New Roman"/>
        <family val="1"/>
        <charset val="204"/>
      </rPr>
      <t xml:space="preserve"> 3</t>
    </r>
  </si>
  <si>
    <r>
      <t>Вартість 1 м</t>
    </r>
    <r>
      <rPr>
        <vertAlign val="superscript"/>
        <sz val="11"/>
        <color theme="1"/>
        <rFont val="Times New Roman"/>
        <family val="1"/>
        <charset val="204"/>
      </rPr>
      <t xml:space="preserve"> 3</t>
    </r>
    <r>
      <rPr>
        <sz val="11"/>
        <color theme="1"/>
        <rFont val="Times New Roman"/>
        <family val="1"/>
        <charset val="204"/>
      </rPr>
      <t xml:space="preserve"> холодної води без ПДВ, грн</t>
    </r>
  </si>
  <si>
    <r>
      <t>Питомі норми, враховані у планованих тарифах на послуги з постачання гарячої води,  Гкал/м</t>
    </r>
    <r>
      <rPr>
        <vertAlign val="superscript"/>
        <sz val="11"/>
        <color theme="1"/>
        <rFont val="Times New Roman"/>
        <family val="1"/>
        <charset val="204"/>
      </rPr>
      <t xml:space="preserve"> 3</t>
    </r>
  </si>
  <si>
    <t>15.1</t>
  </si>
  <si>
    <t>15.2</t>
  </si>
  <si>
    <t>для відповідної категорії споживачів</t>
  </si>
  <si>
    <t>(найменування суб’єкта господарювання – виконавця послуг)</t>
  </si>
  <si>
    <t xml:space="preserve">Рядки, відмічені позначкою Х, суб’єктом господарювання - виконавцем послуг не заповнюються;
розрахунок тарифів за наведеною формою здійснюється окремо для кожної категорії споживачів.
</t>
  </si>
  <si>
    <t>_______________</t>
  </si>
  <si>
    <t>_____________</t>
  </si>
  <si>
    <t>Примітка.</t>
  </si>
  <si>
    <t>Зокрема</t>
  </si>
  <si>
    <t>5 і більше поверхів</t>
  </si>
  <si>
    <t>Адреса житлового та нежитлового приміщення (вулиця, будинок, корпус)</t>
  </si>
  <si>
    <t>Наявність будинкових приладів обліку теплової енергії на постачання теплової енергії (наявний/відсутній)</t>
  </si>
  <si>
    <t>9.3</t>
  </si>
  <si>
    <t>Показник</t>
  </si>
  <si>
    <t>з будинковими приладами обліку теплової енергії</t>
  </si>
  <si>
    <t>без будинкових приладів обліку теплової енергії</t>
  </si>
  <si>
    <t>Кількість абонентів, яким надається послуга з постачання теплової енергії</t>
  </si>
  <si>
    <t>Сума рядків 3 і 5, Гкал</t>
  </si>
  <si>
    <t>Дані, що плануються для розрахунку тарифів на послугу з постачання теплової енергії</t>
  </si>
  <si>
    <t>кількість діб опалювального періоду</t>
  </si>
  <si>
    <t>Дані згідно з додатком 1 до КТМ 204 України 244-94</t>
  </si>
  <si>
    <t>Дані згідно з додатком ДСТУ-Н Б В.1.1-27:2010 Будівельна кліматологія:</t>
  </si>
  <si>
    <r>
      <t>розрахункова температура для проектування системи опалення, </t>
    </r>
    <r>
      <rPr>
        <b/>
        <vertAlign val="superscript"/>
        <sz val="11"/>
        <color theme="1"/>
        <rFont val="Times New Roman"/>
        <family val="1"/>
        <charset val="204"/>
      </rPr>
      <t>°</t>
    </r>
    <r>
      <rPr>
        <sz val="11"/>
        <color theme="1"/>
        <rFont val="Times New Roman"/>
        <family val="1"/>
        <charset val="204"/>
      </rPr>
      <t>C</t>
    </r>
  </si>
  <si>
    <r>
      <t>середня температура зовнішнього повітря опалювального періоду, </t>
    </r>
    <r>
      <rPr>
        <b/>
        <vertAlign val="superscript"/>
        <sz val="11"/>
        <color theme="1"/>
        <rFont val="Times New Roman"/>
        <family val="1"/>
        <charset val="204"/>
      </rPr>
      <t>°</t>
    </r>
    <r>
      <rPr>
        <sz val="11"/>
        <color theme="1"/>
        <rFont val="Times New Roman"/>
        <family val="1"/>
        <charset val="204"/>
      </rPr>
      <t>C</t>
    </r>
  </si>
  <si>
    <t>на опалення будинків (будівель) у розрізі поверхів та кліматичних показників</t>
  </si>
  <si>
    <t>(найменування суб’єкта господарювання - виконавця послуг)</t>
  </si>
  <si>
    <t>________</t>
  </si>
  <si>
    <t>з квартирними засобами обліку гарячої води</t>
  </si>
  <si>
    <t>без квартирних засобів обліку гарячої води</t>
  </si>
  <si>
    <t>Кількість абонентів, яким надається послуга з постачання гарячої води</t>
  </si>
  <si>
    <t>Відповідна кількість мешканців, яким надається послуга з централізованого постачання гарячої води</t>
  </si>
  <si>
    <t>Кількість теплової енергії, потрібної для підігріву обсягу води (пункт 5), усього, Гкал на рік</t>
  </si>
  <si>
    <t>Фактична кількість днів надання послуги з постачання гарячої води за базовий період, діб</t>
  </si>
  <si>
    <t>Планована кількість днів надання послуги з постачання гарячої води протягом опалювального періоду, діб</t>
  </si>
  <si>
    <t>Планована кількість днів надання послуги з постачання гарячої води протягом міжопалювального періоду, діб</t>
  </si>
  <si>
    <t>Планована кількість годин надання послуги з постачання гарячої води на добу протягом опалювального періоду, годин</t>
  </si>
  <si>
    <t>Планована кількість годин надання послуги з постачання гарячої води на добу протягом міжопалювального періоду, годин</t>
  </si>
  <si>
    <r>
      <t>Середня температура холодної води протягом опалювального періоду, </t>
    </r>
    <r>
      <rPr>
        <b/>
        <vertAlign val="superscript"/>
        <sz val="11"/>
        <color rgb="FF000000"/>
        <rFont val="Times New Roman"/>
        <family val="1"/>
        <charset val="204"/>
      </rPr>
      <t>°</t>
    </r>
    <r>
      <rPr>
        <sz val="11"/>
        <color rgb="FF000000"/>
        <rFont val="Times New Roman"/>
        <family val="1"/>
        <charset val="204"/>
      </rPr>
      <t>C</t>
    </r>
  </si>
  <si>
    <r>
      <t>Середня температура холодної води протягом міжопалювального періоду, </t>
    </r>
    <r>
      <rPr>
        <b/>
        <vertAlign val="superscript"/>
        <sz val="11"/>
        <color rgb="FF000000"/>
        <rFont val="Times New Roman"/>
        <family val="1"/>
        <charset val="204"/>
      </rPr>
      <t>°</t>
    </r>
    <r>
      <rPr>
        <sz val="11"/>
        <color rgb="FF000000"/>
        <rFont val="Times New Roman"/>
        <family val="1"/>
        <charset val="204"/>
      </rPr>
      <t>C</t>
    </r>
  </si>
  <si>
    <t>Рядки, відмічені позначкою Х, виконавцем послуг не заповнюються; інформація  за наведеною формою заповнюється окремо для кожної категорії споживачів</t>
  </si>
  <si>
    <t>для надання послуг з постачання гарячої води</t>
  </si>
  <si>
    <t xml:space="preserve">для відповідної категорії споживачів </t>
  </si>
  <si>
    <t>Зміст</t>
  </si>
  <si>
    <t>Посилання на документ</t>
  </si>
  <si>
    <t>Заява за встановленою формою</t>
  </si>
  <si>
    <t>(стор. __ - __)</t>
  </si>
  <si>
    <t>Пояснювальна записка (обґрунтування потреби встановлення тарифів)</t>
  </si>
  <si>
    <t>Інформація про суб’єкта господарювання (заявника)</t>
  </si>
  <si>
    <t>Інформація про середньооблікову чисельність персоналу суб’єкта господарювання (заявника)</t>
  </si>
  <si>
    <t xml:space="preserve">Копія штатного розпису суб’єкта господарювання </t>
  </si>
  <si>
    <t>Копія колективного договору суб’єкта господарювання (за наявності)</t>
  </si>
  <si>
    <t>Інвестиційна програма суб’єкта господарювання (за наявності)</t>
  </si>
  <si>
    <t>Копії установчих документів (статуту, витягу з Єдиного державного реєстру юридичних осіб, фізичних осіб-підприємців та громадських формувань тощо)</t>
  </si>
  <si>
    <t>Копії розпорядчих документів про облікову політику підприємства з визначенням бази розподілу понесених витрат</t>
  </si>
  <si>
    <t>Копії договорів, укладених з організаціями, підприємствами та суб'єктами господарювання для забезпечення виробництва, транспортування та постачання теплової енергії, надання комунальних послуг</t>
  </si>
  <si>
    <t xml:space="preserve">Інформація щодо балансової вартості основних засобів, інших необоротних матеріальних і нематеріальних активів </t>
  </si>
  <si>
    <t xml:space="preserve">Розрахунки тарифів на теплову енергію (виробництво, транспортування, постачання)  </t>
  </si>
  <si>
    <t xml:space="preserve">Розрахунок втрат суб’єкта господарювання, які виникли протягом періоду розгляду розрахунків тарифів на теплову енергію, її виробництво, транспортування та постачання для відповідної категорії споживачів, встановлення та їх оприлюднення органом місцевого самоврядування, або копія рішення органу місцевого самоврядування про відшкодування таких втрат із місцевого бюджету </t>
  </si>
  <si>
    <r>
      <t>Річний план виробництва, транспортування та постачання теплової енергії, надання послуг із постачання теплової енергії та постачання гарячої води</t>
    </r>
    <r>
      <rPr>
        <sz val="14"/>
        <color theme="1"/>
        <rFont val="Times New Roman"/>
        <family val="1"/>
        <charset val="204"/>
      </rPr>
      <t xml:space="preserve"> </t>
    </r>
  </si>
  <si>
    <t>Розрахунки та документи, передбачені підпунктами 5-6 пункту 3 розділу ІІ Порядку</t>
  </si>
  <si>
    <t>Копія погоджених в установленому порядку норм питомих витрат паливно-енергетичних ресурсів</t>
  </si>
  <si>
    <t xml:space="preserve">Розрахунок палива, технологічних витрат електроенергії, води та відповідні підтвердні документи, передбачені підпунктом 8 пункту 3 розділу ІІ Порядку </t>
  </si>
  <si>
    <t>Копія графіка планово-запобіжних ремонтних робіт та дефектні акти</t>
  </si>
  <si>
    <t>Копія проектно-кошторисної документації на проведення ремонтних робіт</t>
  </si>
  <si>
    <t>Копії рішень власника щодо користування майном, що використовується під час виробництва, транспортування та постачання теплової енергії (користування, оренда тощо), та акти приймання-передавання зазначеного майна</t>
  </si>
  <si>
    <t>Копія наказу про встановлення норм витрат палива та мастильних матеріалів на автомобільному транспорті суб’єкта господарювання</t>
  </si>
  <si>
    <t>Довідка щодо сумарної встановленої потужності джерел теплової енергії, зокрема у розрізі джерел, та довідка щодо сумарної протяжності теплових мереж у розрізі діаметрів трубопроводів</t>
  </si>
  <si>
    <t xml:space="preserve">Розрахунок вартості технологічного палива на виробництво теплової енергії котельнями </t>
  </si>
  <si>
    <t xml:space="preserve">Розрахунок вартості технологічних витрат електроенергії на виробництво, транспортування та постачання теплової енергії </t>
  </si>
  <si>
    <t>Інформація про суб’єкта господарювання, що здійснює виробництво / транспортування / постачання теплової енергії, надає послуги з постачання теплової енергії та постачання гарячої води (загальна характеристика)</t>
  </si>
  <si>
    <t>Звітність, передбачена підпунктом 17 пункту 3 розділу ІІ Порядку</t>
  </si>
  <si>
    <t xml:space="preserve">Розрахунки тарифів на послуги з постачання теплової енергії та постачання гарячої води </t>
  </si>
  <si>
    <t xml:space="preserve">Перелік житлових та нежитлових приміщень, теплопостачання яких здійснює суб’єкт господарювання </t>
  </si>
  <si>
    <t>Розрахунок витрат на оплату праці персоналу, безпосередньо задіяного в наданні послуг із постачання гарячої води, передбачений підпунктом 3 пункту 4 розділу ІІ Порядку</t>
  </si>
  <si>
    <t xml:space="preserve">Інформація щодо планових обсягів теплової енергії на надання комунальних послуг: послуг із постачання теплової енергії, постачання гарячої води для відповідної категорії споживачів, щодо опалюваної площі та відповідних питомих норм на опалення будинків (будівель) </t>
  </si>
  <si>
    <t>Розрахунок інших витрат абонентської служби, розрахунок витрат на придбання води для надання послуги з постачання гарячої води, розрахунок витрат на послуги банку та інших установ з приймання і перерахування коштів споживачів, передбачений підпунктом 5 пункту 4 розділу ІІ Порядку</t>
  </si>
  <si>
    <t>ПЕРЕЛІК ДОКУМЕНТІВ</t>
  </si>
  <si>
    <t xml:space="preserve">що подаються для встановлення тарифів на  теплову енергію, </t>
  </si>
  <si>
    <t xml:space="preserve">її виробництво, транспортування та постачання, послуги з постачання теплової енергії, </t>
  </si>
  <si>
    <t>постачання гарячої води</t>
  </si>
  <si>
    <t>Директор</t>
  </si>
  <si>
    <t>ЗАЯВА</t>
  </si>
  <si>
    <t>(види діяльності)</t>
  </si>
  <si>
    <t>(найменування, місцезнаходження суб'єкта господарювання)</t>
  </si>
  <si>
    <t>(назва, серія, номер та дата видачі ліцензії суб'єкта господарювання (за наявності)</t>
  </si>
  <si>
    <t>(зазначити форму (спосіб) зміни тарифів)</t>
  </si>
  <si>
    <t>Заява та документи, що додаються до неї, містять достовірну інформацію.</t>
  </si>
  <si>
    <t>Дата вхідної  реєстрації_____________ №_______________</t>
  </si>
  <si>
    <t xml:space="preserve">*До обласної чи районної ради заява про встановлення тарифів подається лише підприємствами (суб’єктами господарювання), що перебувають у спільній власності територіальних громад. </t>
  </si>
  <si>
    <t>Найменування суб'єкта господарювання</t>
  </si>
  <si>
    <t>Планований період</t>
  </si>
  <si>
    <t>Період, що передує базовому періоду</t>
  </si>
  <si>
    <t>Відповідальні особи</t>
  </si>
  <si>
    <t>Головний інженер</t>
  </si>
  <si>
    <t>Головний бухгалтер</t>
  </si>
  <si>
    <t>Ціна природного газу всього, у т.ч.:</t>
  </si>
  <si>
    <t>грн./тис.куб.м.</t>
  </si>
  <si>
    <t>природний газ</t>
  </si>
  <si>
    <t>Вартісні дані без ПДВ</t>
  </si>
  <si>
    <t>Значення у розрахунках</t>
  </si>
  <si>
    <t>Постачальник</t>
  </si>
  <si>
    <t>грн./куб.м.</t>
  </si>
  <si>
    <t>Єдиний соціальний внесок</t>
  </si>
  <si>
    <t>Єдиний соціальний внесок для працюючих інвалідів</t>
  </si>
  <si>
    <t>грн.</t>
  </si>
  <si>
    <t>Додаток 1</t>
  </si>
  <si>
    <t xml:space="preserve">Виконавчий комітет </t>
  </si>
  <si>
    <t>сільської/селищної/міської ради</t>
  </si>
  <si>
    <t>РОЗРАХУНОК</t>
  </si>
  <si>
    <t>єдиний внесок на загальнообов’язкове державне соціальне страхування працівників</t>
  </si>
  <si>
    <t xml:space="preserve"> амортизація</t>
  </si>
  <si>
    <t>паливо всього, у т.ч.:</t>
  </si>
  <si>
    <t>1.1.1.1</t>
  </si>
  <si>
    <t>1.1.1.2</t>
  </si>
  <si>
    <t>1.1.1.3</t>
  </si>
  <si>
    <t xml:space="preserve"> планований період</t>
  </si>
  <si>
    <t>планований  період</t>
  </si>
  <si>
    <t>амортизація</t>
  </si>
  <si>
    <t>на</t>
  </si>
  <si>
    <t>рік</t>
  </si>
  <si>
    <t>Інформація</t>
  </si>
  <si>
    <t>1 - 2-поверхових будинків (будівель)</t>
  </si>
  <si>
    <t>3 - 4-поверхових будинків (будівель)</t>
  </si>
  <si>
    <t>Річний обсяг теплової енергії для забезпечення послугою з постачання теплової енергії у будинках (будівлях) (пункт 2), Гкал, усього, зокрема:</t>
  </si>
  <si>
    <r>
      <t>Питоме споживання теплової енергії для забезпечення послугою з постачання теплової енергії у будинках (будівлях) (пункт 2),  Гкал/м</t>
    </r>
    <r>
      <rPr>
        <vertAlign val="superscript"/>
        <sz val="11"/>
        <color theme="1"/>
        <rFont val="Times New Roman"/>
        <family val="1"/>
        <charset val="204"/>
      </rPr>
      <t>2</t>
    </r>
    <r>
      <rPr>
        <sz val="11"/>
        <color theme="1"/>
        <rFont val="Times New Roman"/>
        <family val="1"/>
        <charset val="204"/>
      </rPr>
      <t xml:space="preserve"> на рік, усього, зокрема:</t>
    </r>
  </si>
  <si>
    <t>Максимальне теплове навантаження будинків (будівель) (пункт 2), Гкал/год</t>
  </si>
  <si>
    <t>діб</t>
  </si>
  <si>
    <t>°C</t>
  </si>
  <si>
    <t>ІНФОРМАЦІЯ</t>
  </si>
  <si>
    <t xml:space="preserve">про суб’єкта господарювання, що здійснює
</t>
  </si>
  <si>
    <t>Витрати на ремонт основних засобів у повній собівартості, усього</t>
  </si>
  <si>
    <t>Амортизація у повній собівартості, усього</t>
  </si>
  <si>
    <t>Витрати на ремонт сновних засобів у повній собівартості, усього</t>
  </si>
  <si>
    <t>зокрема без витрат на оплату праці та єдиного внеску на загальнообов’язкове державне соціальне страхування працівників</t>
  </si>
  <si>
    <t>Обсяг теплової енергії для надання послуги з постачання гарячої води, Гкал</t>
  </si>
  <si>
    <t>Підтвердний документ (договір  + накладна, рахунок, інші документи)</t>
  </si>
  <si>
    <t>виробництва теплової енергії (Гкал)</t>
  </si>
  <si>
    <t>транспортування теплової енергії (Гкал)</t>
  </si>
  <si>
    <t>постачання теплової енергії (Гкал)</t>
  </si>
  <si>
    <t>1</t>
  </si>
  <si>
    <t>Виробництво теплової енергії власними генеруючими джерелами, усього, зокрема:</t>
  </si>
  <si>
    <t>новий рядок</t>
  </si>
  <si>
    <t>на установках з використанням альтернативних джерел енергії</t>
  </si>
  <si>
    <t>на котельнях</t>
  </si>
  <si>
    <t xml:space="preserve">tвн. </t>
  </si>
  <si>
    <t>tр.о.</t>
  </si>
  <si>
    <t>tср.о.</t>
  </si>
  <si>
    <t>Години роботи системи опалення за добу</t>
  </si>
  <si>
    <t>Тривалість опалювального періоду</t>
  </si>
  <si>
    <t>По</t>
  </si>
  <si>
    <t>Розрахункова температура зовнішнього повітря для проектування опалення</t>
  </si>
  <si>
    <t>Середня температура зовнішнього повітря за опалювальний період</t>
  </si>
  <si>
    <t>Дані для розрахунку Річного плану</t>
  </si>
  <si>
    <t>КТМ 204, формула 2.11</t>
  </si>
  <si>
    <t>березнь</t>
  </si>
  <si>
    <t>Всього, у т.ч.:</t>
  </si>
  <si>
    <t>Зокрема за місяць</t>
  </si>
  <si>
    <t>2</t>
  </si>
  <si>
    <t>Витрати теплової енергії на власні потреби генеруючих джерел, усього, зокрема:</t>
  </si>
  <si>
    <t>теплова енергія, придбана в інших суб'єктів господарювання (розшифрувати за суб'єктами)</t>
  </si>
  <si>
    <t>Надходження в теплові мережі суб'єкта господарювання теплової енергії, яка вироблена іншими суб'єктами господарювання, усього, зокрема:</t>
  </si>
  <si>
    <t>Надходження теплової енергії в теплові мережі суб’єкта господарювання, усього 
(пункт 4 + пункт 3)</t>
  </si>
  <si>
    <t>Втрати теплової енергії суб’єкта господарювання в теплових мережах інших теплотранспортуючих організацій</t>
  </si>
  <si>
    <t>те саме у відсотках від пункту 7</t>
  </si>
  <si>
    <t>Корисний відпуск теплової енергії з теплових мереж суб’єкта господарювання, усього, зокрема:</t>
  </si>
  <si>
    <t>9.3.1</t>
  </si>
  <si>
    <t>9.3.2</t>
  </si>
  <si>
    <t>9.3.3</t>
  </si>
  <si>
    <t>9.3.4</t>
  </si>
  <si>
    <t>те саме у відсотках від пункту 9.3</t>
  </si>
  <si>
    <t>нумерація, пункт</t>
  </si>
  <si>
    <t>10.4</t>
  </si>
  <si>
    <t>11.1.1</t>
  </si>
  <si>
    <t>11.1.2</t>
  </si>
  <si>
    <t>11.1.3</t>
  </si>
  <si>
    <t>11.1.4</t>
  </si>
  <si>
    <t>11.2.1</t>
  </si>
  <si>
    <t>11.2.2</t>
  </si>
  <si>
    <t>11.2.3</t>
  </si>
  <si>
    <t>11.2.4</t>
  </si>
  <si>
    <t>Тривалість опалювального періоду, діб</t>
  </si>
  <si>
    <t>Приєднане теплове навантаження системи опалення всього, Гкал/год, у т.ч.:</t>
  </si>
  <si>
    <t>Витрати теплової енергії на власні потреби котелень</t>
  </si>
  <si>
    <t>Розрахункова температура внутрішнього повітря:</t>
  </si>
  <si>
    <t>Діючий тариф на активну електроенергію</t>
  </si>
  <si>
    <t>грн./кВт/год</t>
  </si>
  <si>
    <t>Додаток 14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t>
  </si>
  <si>
    <r>
      <t xml:space="preserve">      </t>
    </r>
    <r>
      <rPr>
        <u/>
        <sz val="11"/>
        <color theme="1"/>
        <rFont val="Times New Roman"/>
        <family val="1"/>
        <charset val="204"/>
      </rPr>
      <t>Директор</t>
    </r>
    <r>
      <rPr>
        <sz val="11"/>
        <color theme="1"/>
        <rFont val="Times New Roman"/>
        <family val="1"/>
        <charset val="204"/>
      </rPr>
      <t xml:space="preserve">                                       _______________</t>
    </r>
  </si>
  <si>
    <r>
      <t>* Розраховується за кожною затвердженою органом місцевого самоврядування нормою споживання гарячої води, м</t>
    </r>
    <r>
      <rPr>
        <vertAlign val="superscript"/>
        <sz val="11"/>
        <color rgb="FF000000"/>
        <rFont val="Times New Roman"/>
        <family val="1"/>
        <charset val="204"/>
      </rPr>
      <t>3</t>
    </r>
    <r>
      <rPr>
        <sz val="11"/>
        <color rgb="FF000000"/>
        <rFont val="Times New Roman"/>
        <family val="1"/>
        <charset val="204"/>
      </rPr>
      <t xml:space="preserve"> на місяць.</t>
    </r>
  </si>
  <si>
    <r>
      <t>Планований обсяг використання споживачами відповідної категорії гарячої води на розрахунковий період, м</t>
    </r>
    <r>
      <rPr>
        <b/>
        <vertAlign val="superscript"/>
        <sz val="11"/>
        <color rgb="FF000000"/>
        <rFont val="Times New Roman"/>
        <family val="1"/>
        <charset val="204"/>
      </rPr>
      <t>3</t>
    </r>
    <r>
      <rPr>
        <sz val="11"/>
        <color rgb="FF000000"/>
        <rFont val="Times New Roman"/>
        <family val="1"/>
        <charset val="204"/>
      </rPr>
      <t> на рік*:</t>
    </r>
  </si>
  <si>
    <r>
      <t>затверджена органом місцевого самоврядування норма споживання гарячої води, м</t>
    </r>
    <r>
      <rPr>
        <b/>
        <vertAlign val="superscript"/>
        <sz val="11"/>
        <color rgb="FF000000"/>
        <rFont val="Times New Roman"/>
        <family val="1"/>
        <charset val="204"/>
      </rPr>
      <t>3</t>
    </r>
    <r>
      <rPr>
        <sz val="11"/>
        <color rgb="FF000000"/>
        <rFont val="Times New Roman"/>
        <family val="1"/>
        <charset val="204"/>
      </rPr>
      <t> на місяць</t>
    </r>
  </si>
  <si>
    <r>
      <t>розрахунковий річний обсяг послуги з централізованого постачання гарячої води за нормою (підпункт 3.1), м</t>
    </r>
    <r>
      <rPr>
        <b/>
        <vertAlign val="superscript"/>
        <sz val="11"/>
        <color rgb="FF000000"/>
        <rFont val="Times New Roman"/>
        <family val="1"/>
        <charset val="204"/>
      </rPr>
      <t>3</t>
    </r>
  </si>
  <si>
    <r>
      <t>Планований обсяг використання споживачами гарячої води, м</t>
    </r>
    <r>
      <rPr>
        <vertAlign val="superscript"/>
        <sz val="11"/>
        <color rgb="FF000000"/>
        <rFont val="Times New Roman"/>
        <family val="1"/>
        <charset val="204"/>
      </rPr>
      <t>3</t>
    </r>
    <r>
      <rPr>
        <sz val="11"/>
        <color rgb="FF000000"/>
        <rFont val="Times New Roman"/>
        <family val="1"/>
        <charset val="204"/>
      </rPr>
      <t> на рік</t>
    </r>
  </si>
  <si>
    <r>
      <t>Обсяг закупівлі холодної води для підігріву, м</t>
    </r>
    <r>
      <rPr>
        <b/>
        <vertAlign val="superscript"/>
        <sz val="11"/>
        <color rgb="FF000000"/>
        <rFont val="Times New Roman"/>
        <family val="1"/>
        <charset val="204"/>
      </rPr>
      <t>3</t>
    </r>
    <r>
      <rPr>
        <sz val="11"/>
        <color rgb="FF000000"/>
        <rFont val="Times New Roman"/>
        <family val="1"/>
        <charset val="204"/>
      </rPr>
      <t> на рік</t>
    </r>
  </si>
  <si>
    <r>
      <t>Нормативна кількість теплової енергії, потрібної  для підігріву 1 м</t>
    </r>
    <r>
      <rPr>
        <vertAlign val="superscript"/>
        <sz val="11"/>
        <color rgb="FF000000"/>
        <rFont val="Times New Roman"/>
        <family val="1"/>
        <charset val="204"/>
      </rPr>
      <t>3</t>
    </r>
    <r>
      <rPr>
        <sz val="11"/>
        <color rgb="FF000000"/>
        <rFont val="Times New Roman"/>
        <family val="1"/>
        <charset val="204"/>
      </rPr>
      <t> холодної води, Гкал/м</t>
    </r>
    <r>
      <rPr>
        <vertAlign val="superscript"/>
        <sz val="11"/>
        <color rgb="FF000000"/>
        <rFont val="Times New Roman"/>
        <family val="1"/>
        <charset val="204"/>
      </rPr>
      <t>3</t>
    </r>
  </si>
  <si>
    <t>календарні</t>
  </si>
  <si>
    <t>щодо планованих обсягів теплової енергії та води</t>
  </si>
  <si>
    <t>Додаток 11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t>
  </si>
  <si>
    <r>
      <t>грн/м</t>
    </r>
    <r>
      <rPr>
        <vertAlign val="superscript"/>
        <sz val="11"/>
        <color theme="1"/>
        <rFont val="Times New Roman"/>
        <family val="1"/>
        <charset val="204"/>
      </rPr>
      <t>3</t>
    </r>
  </si>
  <si>
    <t>єдиний внесок на загальнообов’язкове державне соціальне страхування</t>
  </si>
  <si>
    <t>Вартість послуг</t>
  </si>
  <si>
    <t>Плановані тарифи на послуги з постачання гарячої води з ПДВ, усього, зокрема:</t>
  </si>
  <si>
    <t>Витрати на придбання холодної води для надання послуг з постачання гарячої води</t>
  </si>
  <si>
    <t xml:space="preserve">Розрахунок одноставкових тарифів на послуги з постачання гарячої води </t>
  </si>
  <si>
    <t>Встановлений норматив використання умовного палива на відпуск теплової енергії з колекторів генеруючих джерел</t>
  </si>
  <si>
    <t>Кількість споживачів (абонентів) виконавця послуг, яким надається послуга з постачання гарячої води усього, зокрема:</t>
  </si>
  <si>
    <t>Питоме використання палива (газу) до обсягу відпуску в мережу теплової енергії  з колекторів генеруючих джерел</t>
  </si>
  <si>
    <t>Обсяг використання теплової енергії на власні потреби джерел теплопостачання (генеруючих джерел)</t>
  </si>
  <si>
    <t>власними тепловими мережами суб'єкта господарювання всього, у тому числі:</t>
  </si>
  <si>
    <t>Теплове навантаження об’єктів теплоспоживання споживачів інших власників теплової енергії*, яка транспортується мережами суб'єкта господарювання, зокрема на потреби:</t>
  </si>
  <si>
    <t>Кількість споживачів (абонентів) суб'єкта господарювання всього, зокрема:</t>
  </si>
  <si>
    <t>грн./кВАр</t>
  </si>
  <si>
    <t>Діючий тариф на централізоване водопостачання</t>
  </si>
  <si>
    <t>Діючий тариф на централізоване водовідведення</t>
  </si>
  <si>
    <t>ДСТУ Будівельна кліматологія</t>
  </si>
  <si>
    <t xml:space="preserve">     (керівник)                                                (підпис)</t>
  </si>
  <si>
    <t>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(пункт 1 розділу ІІ)</t>
  </si>
  <si>
    <t>на теплову енергію, її виробництво, транспортування та постачання, послуги з постачання теплової енергії</t>
  </si>
  <si>
    <t>1.1.3.1</t>
  </si>
  <si>
    <t>покупна теплова енергія</t>
  </si>
  <si>
    <t>1.1.3.2</t>
  </si>
  <si>
    <t>встановлена повна планована вартість теплової енергії, виробленої власними установками, що використовують НПДЕ</t>
  </si>
  <si>
    <t>Обсяг реалізації  теплової енергії власним споживачам</t>
  </si>
  <si>
    <t>тарифів на транспортування теплової енергії без урахування витрат на утримання та ремонт центральних теплових пунктів</t>
  </si>
  <si>
    <t>Вартість транспортування теплової енергії за відповідними тарифами</t>
  </si>
  <si>
    <t>Обсяг надходження теплової енергії до теплових мереж суб'єкта господарювання, зокрема:</t>
  </si>
  <si>
    <t>Втрати теплової енергії в теплових мережах суб'єкта господарювання, всього, зокрема:</t>
  </si>
  <si>
    <t>теплової енергії інших власників для транспортування тепловими мережами суб'єкта господарювання</t>
  </si>
  <si>
    <t>Корисний відпуск теплової енергії з теплових мереж суб'єкта господарювання, усього, зокрема:</t>
  </si>
  <si>
    <t>13.3</t>
  </si>
  <si>
    <t>13.3.1</t>
  </si>
  <si>
    <t>13.3.2</t>
  </si>
  <si>
    <t>13.3.3</t>
  </si>
  <si>
    <t>13.3.4</t>
  </si>
  <si>
    <t>Обсяг транспортування теплової енергії суб'єкта господарювання тепловими мережами іншого(их) суб’єкта(ів) господарювання</t>
  </si>
  <si>
    <t xml:space="preserve">Тариф(и) іншого(их) суб’єкта(ів) господарювання на транспортування теплової енергії </t>
  </si>
  <si>
    <t>Обсяг реалізації теплової енергії власним споживачам,  зокрема на потреби:</t>
  </si>
  <si>
    <t>Чинні тарифи (зазначити через дефіс номер і дату рішення для кожної групи споживачів, якщо це різні рішення)</t>
  </si>
  <si>
    <t>Адреси житлових будинків із системами автономного опалення (САО)</t>
  </si>
  <si>
    <t>відсутні</t>
  </si>
  <si>
    <t>повна планована собівартість виробництва теплової енергії</t>
  </si>
  <si>
    <t>планований прибуток</t>
  </si>
  <si>
    <t>Тариф на транспортування теплової енергії, зокрема:</t>
  </si>
  <si>
    <t>повна планована собівартість транспортування теплової енергії</t>
  </si>
  <si>
    <t>повна планована собівартість постачання теплової енергії</t>
  </si>
  <si>
    <t>повна планована собівартість теплової енергії</t>
  </si>
  <si>
    <t>повна планована собівартість виробництва, транспортування, постачання  теплової енергії</t>
  </si>
  <si>
    <t>планований прибуток від виробництва, транспортування, постачання  теплової енергії</t>
  </si>
  <si>
    <t>Річні плановані доходи від виробництва, транспортування, постачання теплової енергії, усього, зокрема:</t>
  </si>
  <si>
    <t>Річні плановані доходи від виробництва, транспортування, постачання теплової енергії без транспортування тепловими мережами суб'єкта господарювання теплової енергії інших власників, усього, зокрема:</t>
  </si>
  <si>
    <t xml:space="preserve">повна планована собівартість виробництва, транспортування, постачання  теплової енергії </t>
  </si>
  <si>
    <t xml:space="preserve">планований прибуток від виробництва, транспортування, постачання  теплової енергії </t>
  </si>
  <si>
    <t>Планований корисний відпуск з теплових мереж суб'єкта господарювання теплової енергії власним споживачам та теплової енергії інших власників, зокрема:</t>
  </si>
  <si>
    <t>транспортування теплової енергії іншими субєктами господарювання</t>
  </si>
  <si>
    <t>холодна вода для технологічних потреб  та водовідведення</t>
  </si>
  <si>
    <t>інші прямі матеріальні витрати</t>
  </si>
  <si>
    <t>теплоенергії інших власників для транспортування тепловими мережами суб'єкта господарювання</t>
  </si>
  <si>
    <t>тарифів на транспортування теплової енергії з урахуванням витрат на утримання та ремонт центральних теплових пунктів</t>
  </si>
  <si>
    <t>змінено, було тис. грн.</t>
  </si>
  <si>
    <t>змінено, було мережами ліцензата, стало - тепловими мережами суб'єкта господарювання</t>
  </si>
  <si>
    <t>змінено, було - з мереж ліцензата, стало - з теплових мереж суб'єкта господарювання</t>
  </si>
  <si>
    <t>Директор КП "ЧТЕ"</t>
  </si>
  <si>
    <t>Паншин А.В.</t>
  </si>
  <si>
    <t>Таблиця  значень температури зовнішнього повітря та кількості днів опалювального періоду</t>
  </si>
  <si>
    <t xml:space="preserve">1. Значення підприємства прийняті до розрахунку </t>
  </si>
  <si>
    <t>кількість днів у місяці</t>
  </si>
  <si>
    <t>середньозважений показник</t>
  </si>
  <si>
    <t>опалювальний період</t>
  </si>
  <si>
    <t>річний</t>
  </si>
  <si>
    <t>Опалювальний сезон 2018 - 2019</t>
  </si>
  <si>
    <t>середня кількість днів за місяц в опалювальний період</t>
  </si>
  <si>
    <t>середня кількість днів за місяц в міжопалювальний період</t>
  </si>
  <si>
    <t>температура зовнішнього повітря</t>
  </si>
  <si>
    <t>сердньозважений показник температури за місяц в опалювальний період</t>
  </si>
  <si>
    <t>сердньозважений показник температури за місяц в міжопалювальний період</t>
  </si>
  <si>
    <t>2. Корисний, Втрати</t>
  </si>
  <si>
    <t>місяці</t>
  </si>
  <si>
    <t>Найменування показників</t>
  </si>
  <si>
    <t>кількість днів</t>
  </si>
  <si>
    <t>кількість діб роботи системи в опалювальний період</t>
  </si>
  <si>
    <t>=</t>
  </si>
  <si>
    <t>кількість діб роботи системи в міжопалювальний період***</t>
  </si>
  <si>
    <t>*** обов`язково виключити кількість діб планового ремонтного періоду в міжопалювальний період</t>
  </si>
  <si>
    <t>Висоцький О.Г.</t>
  </si>
  <si>
    <t>Виконавець: Інженер ВТВ Мойсеєнко С.В.</t>
  </si>
  <si>
    <t>Бюджетні установи всього,у  т.ч.:</t>
  </si>
  <si>
    <t>Інші споживачі всього, у т.ч.:</t>
  </si>
  <si>
    <t xml:space="preserve">з ЦТП </t>
  </si>
  <si>
    <t>без ЦТП</t>
  </si>
  <si>
    <t>з ЦТП</t>
  </si>
  <si>
    <t>Релігійні організації всього, у т.ч.:</t>
  </si>
  <si>
    <t>з приладами обліку</t>
  </si>
  <si>
    <t>без приладів обліку</t>
  </si>
  <si>
    <t>Потреба в ТЕ на опалення</t>
  </si>
  <si>
    <t>Господарські потреби всього, у т.ч.:</t>
  </si>
  <si>
    <t>Населення (прямі договори) всього, у т.ч.:</t>
  </si>
  <si>
    <t>Населення (відомче житло) всього, у т.ч.:</t>
  </si>
  <si>
    <t xml:space="preserve">у т.ч. МЗК </t>
  </si>
  <si>
    <t>Орган місцевого самоврядування</t>
  </si>
  <si>
    <t xml:space="preserve"> втрат суб’єкта господарювання у сфері теплопостачання,</t>
  </si>
  <si>
    <t>(назва  суб’єкта господарювання )</t>
  </si>
  <si>
    <t>змінено</t>
  </si>
  <si>
    <t>додано</t>
  </si>
  <si>
    <t xml:space="preserve"> які виникли протягом періоду розгляду розрахунків тарифів на теплову енергію, її виробництво, </t>
  </si>
  <si>
    <t xml:space="preserve">встановлення та їх оприлюднення органом місцевого самоврядування* </t>
  </si>
  <si>
    <t>рр.</t>
  </si>
  <si>
    <t>НАДАННЯ ПОСЛУГ З ПОСТАЧАННЯ ТЕПЛОВОЇ ЕНЕРГІЇ НА</t>
  </si>
  <si>
    <t>Період, що передує базовому
(факт)</t>
  </si>
  <si>
    <t>змінено, було - генерувальних, стало - генеруючих, нумерація</t>
  </si>
  <si>
    <t>змінено, було - що використовують нетрадиційні або поновлювальні джерела енергії, стало - з використання альтернативних джерел енергії, нумерація</t>
  </si>
  <si>
    <t>змінено,було - котельні, стало - на котельнях, нумерація</t>
  </si>
  <si>
    <t>змінено, було - в мережу, виробниками, стало - в теплові мережі, іншими субєктами господарювання, нумерація</t>
  </si>
  <si>
    <t>змінено, було - покупна теплова енергія, стало - теплова енергія, придбана в інших субєктів господарювання, нумерація</t>
  </si>
  <si>
    <t>теплова енергія інших cуб'єктів  для транспортування тепловими мережами суб’єкта господарювання (розшифрувати за cуб'єктами господарювання)</t>
  </si>
  <si>
    <t>змінено, було - власників, мережами, за власниками, стало - іншими суб., нумерація</t>
  </si>
  <si>
    <t>змінено, було - в мережу, стало - в теплові мережі, нумерація</t>
  </si>
  <si>
    <t>те саме у відсотках від пункту 5</t>
  </si>
  <si>
    <t>змінено - номер пункту, нумерація</t>
  </si>
  <si>
    <t>зокрема втрати в теплових мережах суб’єкта господарювання теплової енергії інших суб'єктів господарювання (розшифрувати за суб'єктами господарювання)</t>
  </si>
  <si>
    <t>змінено, було власників, власниками, стало - суб'єктів господарювання, суб'єктами господарювання, нумерація</t>
  </si>
  <si>
    <t>Надходження теплової енергії суб’єкта господарювання  в  теплові мережі інших теплотранспортуючих організацій</t>
  </si>
  <si>
    <t>змінено,було - мережу, теплотранспортувальних, стало - теплові мережі, теплотранспортуючих, нумерація</t>
  </si>
  <si>
    <t>змінено, було теплотранспортувальних, стало - теплотранспортуючих, нумерація</t>
  </si>
  <si>
    <t>змінено, було - мереж, стало - теплових мереж, нумерація</t>
  </si>
  <si>
    <t>теплова енергія інших суб'єктів господарювання (розшифрувати за суб'єктами господарювання)</t>
  </si>
  <si>
    <t>змінено, було - власників, власниками, стало - суб'єктів господарювання, суб'єктами господарювання, нумерація</t>
  </si>
  <si>
    <t>змінено - нумерація</t>
  </si>
  <si>
    <t>змінено - нумерація, пункт</t>
  </si>
  <si>
    <t>змінено, було бюджетних установ та організацій, стало - бюджетних установ, нумерація</t>
  </si>
  <si>
    <t>Теплове навантаження об’єктів теплоспоживання власних споживачів суб'єкта господарювання, усього,  зокрема на потреби:</t>
  </si>
  <si>
    <t>змінено, було - бюджених установ та організацій, стало - бюджетних установ, нумерація</t>
  </si>
  <si>
    <t>2020-2021</t>
  </si>
  <si>
    <t>16</t>
  </si>
  <si>
    <t>17</t>
  </si>
  <si>
    <t>18</t>
  </si>
  <si>
    <t>11.2.1.1</t>
  </si>
  <si>
    <t>11.2.1.2</t>
  </si>
  <si>
    <t>11.2.2.1</t>
  </si>
  <si>
    <t>11.2.2.2</t>
  </si>
  <si>
    <t>11.2.3.1</t>
  </si>
  <si>
    <t>11.2.3.2</t>
  </si>
  <si>
    <t>11.2.4.1</t>
  </si>
  <si>
    <t>11.2.4.2</t>
  </si>
  <si>
    <t>11.1.4.1</t>
  </si>
  <si>
    <t>11.1.4.2</t>
  </si>
  <si>
    <t>11.1.3.1</t>
  </si>
  <si>
    <t>11.1.3.2</t>
  </si>
  <si>
    <t>11.1.2.1</t>
  </si>
  <si>
    <t>11.1.2.2</t>
  </si>
  <si>
    <t>11.1.1.1</t>
  </si>
  <si>
    <t>11.1.1.2</t>
  </si>
  <si>
    <t>11.1.1.1.1</t>
  </si>
  <si>
    <t>11.1.1.1.2</t>
  </si>
  <si>
    <t>11.1.1.2.1</t>
  </si>
  <si>
    <t>11.1.1.2.2</t>
  </si>
  <si>
    <t xml:space="preserve">МЗК </t>
  </si>
  <si>
    <t>МЗК споживачів з автономним опаленням</t>
  </si>
  <si>
    <t>власні споживачі</t>
  </si>
  <si>
    <t>10.5</t>
  </si>
  <si>
    <t>10.4.1</t>
  </si>
  <si>
    <t>10.4.2</t>
  </si>
  <si>
    <t>ВТВ</t>
  </si>
  <si>
    <t>10.3.1</t>
  </si>
  <si>
    <t>10.3.2</t>
  </si>
  <si>
    <t>10.5.1</t>
  </si>
  <si>
    <t>10.5.2</t>
  </si>
  <si>
    <t>10.1.1</t>
  </si>
  <si>
    <t>10.1.2</t>
  </si>
  <si>
    <t>10.1.1.1</t>
  </si>
  <si>
    <t>10.1.1.2</t>
  </si>
  <si>
    <t>10.1.2.1</t>
  </si>
  <si>
    <t>10.1.2.2</t>
  </si>
  <si>
    <t>10.2.1</t>
  </si>
  <si>
    <t>10.2.2</t>
  </si>
  <si>
    <t>з приладами обліку без МЗК</t>
  </si>
  <si>
    <t>9.2.1</t>
  </si>
  <si>
    <t>9.2.2</t>
  </si>
  <si>
    <t>9.3.4.1</t>
  </si>
  <si>
    <t>9.3.4.2</t>
  </si>
  <si>
    <t>9.3.3.1</t>
  </si>
  <si>
    <t>9.3.3.2</t>
  </si>
  <si>
    <t>9.3.2.1</t>
  </si>
  <si>
    <t>9.3.2.2</t>
  </si>
  <si>
    <t>9.3.1.1</t>
  </si>
  <si>
    <t>9.3.1.2</t>
  </si>
  <si>
    <t>9.3.1.1.1</t>
  </si>
  <si>
    <t>9.3.1.1.2</t>
  </si>
  <si>
    <t>9.3.1.2.1</t>
  </si>
  <si>
    <t>9.3.1.2.2</t>
  </si>
  <si>
    <t>6.1.1</t>
  </si>
  <si>
    <t>6.2.1</t>
  </si>
  <si>
    <t>4.2.1</t>
  </si>
  <si>
    <t>4.2.2</t>
  </si>
  <si>
    <t>те ж у відсотках від  пункту 4.2.1</t>
  </si>
  <si>
    <t>те ж у відсотках від  пункту 4.2.2</t>
  </si>
  <si>
    <t>3.2.1</t>
  </si>
  <si>
    <t>3.2.2</t>
  </si>
  <si>
    <t>3.2.3</t>
  </si>
  <si>
    <t>3.2.1.1</t>
  </si>
  <si>
    <t>3.2.1.2</t>
  </si>
  <si>
    <t>3.2.2.1</t>
  </si>
  <si>
    <t>3.2.2.2</t>
  </si>
  <si>
    <t>3.2.3.1</t>
  </si>
  <si>
    <t>3.2.3.2</t>
  </si>
  <si>
    <t>3.2.4</t>
  </si>
  <si>
    <t>3.2.4.1</t>
  </si>
  <si>
    <t>3.2.4.2</t>
  </si>
  <si>
    <t>Втрати теплової енергії</t>
  </si>
  <si>
    <t>у т.ч. населення</t>
  </si>
  <si>
    <t>у т.ч. бюджетні установи</t>
  </si>
  <si>
    <t>корисний відпуск ТЕ</t>
  </si>
  <si>
    <t>бюджетні установи</t>
  </si>
  <si>
    <t>господарські потреби</t>
  </si>
  <si>
    <t>6.1.2</t>
  </si>
  <si>
    <t>6.1.3</t>
  </si>
  <si>
    <t>6.1.4</t>
  </si>
  <si>
    <t>6.2.2</t>
  </si>
  <si>
    <t>6.2.3</t>
  </si>
  <si>
    <t>6.2.4</t>
  </si>
  <si>
    <t>змінено порядок</t>
  </si>
  <si>
    <t>Вартість електроенергії (постачання)</t>
  </si>
  <si>
    <t>грн/кВт ∙год</t>
  </si>
  <si>
    <t>Вартість електроенергії (розподіл)</t>
  </si>
  <si>
    <t>грн/кВАр∙год</t>
  </si>
  <si>
    <t>Тариф на послуги з розподілу електричної енергії, 2 клас напруги, без ПДВ</t>
  </si>
  <si>
    <t>Тариф на електричну енергію, без ПДВ</t>
  </si>
  <si>
    <t>кВт×год</t>
  </si>
  <si>
    <t>квар×год</t>
  </si>
  <si>
    <t>Всього</t>
  </si>
  <si>
    <t>в тому числі</t>
  </si>
  <si>
    <t>прямі витрати на виробництво теплової енергії (технологічні)</t>
  </si>
  <si>
    <t>прямі витрати на транспортування теплової енергії (технологічні)</t>
  </si>
  <si>
    <t>на неліцензовану діяльність (абонвідділ)</t>
  </si>
  <si>
    <t>на внески</t>
  </si>
  <si>
    <t>витрати на проведення ремонтів</t>
  </si>
  <si>
    <t xml:space="preserve">на  постачання  </t>
  </si>
  <si>
    <t xml:space="preserve"> на загально-виробничі витрати</t>
  </si>
  <si>
    <t>на адміністративні  витрати</t>
  </si>
  <si>
    <t>інше</t>
  </si>
  <si>
    <t>Тариф для розрахунку плати за перетікання реактивної електроенергії, без ПДВ</t>
  </si>
  <si>
    <t>Тариф для розрахунку плати за генерацію реактивної електроенергії, без ПДВ</t>
  </si>
  <si>
    <t>Обсяг генерації реактивної електроенергії</t>
  </si>
  <si>
    <t>Вартість споживання реактивної електроенергії (перетікання)</t>
  </si>
  <si>
    <t>Вартість споживання реактивної електроенергії (генерація)</t>
  </si>
  <si>
    <t>Обсяг відпуску з колекторів</t>
  </si>
  <si>
    <t>Обсяг споживання активної електроенергії, усього, зокрема:</t>
  </si>
  <si>
    <t>Норма питомих витрат електроенергії на транспортування теплової енергії, усього, зокрема:</t>
  </si>
  <si>
    <t>Розрахунок фактичного співвідношення активної та реактивної електроенергії за</t>
  </si>
  <si>
    <t>рік для застосування у планованому періоді</t>
  </si>
  <si>
    <t>Планований рік всього</t>
  </si>
  <si>
    <t>Обсяг споживання активної електроенергії всього, у т.ч.:</t>
  </si>
  <si>
    <t>ЦТП</t>
  </si>
  <si>
    <t>Мережеві насоси</t>
  </si>
  <si>
    <t>Підживлювальні насоси</t>
  </si>
  <si>
    <t>Усього витрати електроенергії</t>
  </si>
  <si>
    <t>Відноситься до котельні / ЦТП</t>
  </si>
  <si>
    <t>Втрати при трансформації (4%)</t>
  </si>
  <si>
    <t>Усього витрати електроенергії з втратами</t>
  </si>
  <si>
    <t>з ЦТП (розподіл по % відпуску)</t>
  </si>
  <si>
    <t>без ЦТП (розподіл по % відпуску)</t>
  </si>
  <si>
    <t>Загальні витрати електроенергії з ЦТП</t>
  </si>
  <si>
    <t>Загальні витрати електроенергії з ЦТП з урахуванням втрат</t>
  </si>
  <si>
    <t>Загальні витрати електроенергії без ЦТП</t>
  </si>
  <si>
    <t>Загальні витрати електроенергії без ЦТП з урахуванням втрат</t>
  </si>
  <si>
    <t>Вартість електроенергії (постачання) усього, зокрема:</t>
  </si>
  <si>
    <t>Вартість електроенергії (розподіл), усього, зокрема:</t>
  </si>
  <si>
    <t>2.2.1</t>
  </si>
  <si>
    <t>2.2.2</t>
  </si>
  <si>
    <t>1.2.1</t>
  </si>
  <si>
    <t>1.2.2</t>
  </si>
  <si>
    <t>6.1.5</t>
  </si>
  <si>
    <t>6.2.5</t>
  </si>
  <si>
    <t>3.2.5</t>
  </si>
  <si>
    <t>3.2.5.1</t>
  </si>
  <si>
    <t>3.2.5.2</t>
  </si>
  <si>
    <t>господарських потреб ліцензованої діяльності суб’єкта господарювання</t>
  </si>
  <si>
    <t>вартості технологічного палива на виробництво теплової енергії</t>
  </si>
  <si>
    <t>Розрахунок калорійного еквіваленту за</t>
  </si>
  <si>
    <t>Калорійний еквівалент</t>
  </si>
  <si>
    <t>тариф на послуги розподілу природного газу</t>
  </si>
  <si>
    <t>Постачання природного газу</t>
  </si>
  <si>
    <t>Транспортування природного газу</t>
  </si>
  <si>
    <t>новий</t>
  </si>
  <si>
    <t>Розподіл природного газу</t>
  </si>
  <si>
    <t>Розподіл обсягу відпуску теплової енергії  та кубів природного газу для послуги розподілу для господарських потреб ліцензованої діяльності суб’єкта господарювання</t>
  </si>
  <si>
    <t>Одиниц виміру</t>
  </si>
  <si>
    <t>куб.м.</t>
  </si>
  <si>
    <t>Прийнятий для планових розрахунків із заокругленням</t>
  </si>
  <si>
    <t>Калорійність прийнята для планових розрахунків (еквівалент * 7000)</t>
  </si>
  <si>
    <t>Обсяг розподілу природного газу для господарських потреб усього, зокрема для включення до обсягів:</t>
  </si>
  <si>
    <t>Обсяг розподілу природного газу усього, зокрема:</t>
  </si>
  <si>
    <t>Додаток ____</t>
  </si>
  <si>
    <t>Додаток ___</t>
  </si>
  <si>
    <t>Постанова НКРЕКП від 24.12.2019 № 3013</t>
  </si>
  <si>
    <t xml:space="preserve">новий </t>
  </si>
  <si>
    <t>Вартість активної електроенергії, усього, зокрема:</t>
  </si>
  <si>
    <t>Вартість споживання реактивної електроенергії (перетікання), усього, зокрема:</t>
  </si>
  <si>
    <t>Обсяг споживання реактивної електроенергії, усього, зокрема:</t>
  </si>
  <si>
    <t>Обсяг генерації реактивної електроенергії, усього, зокрема:</t>
  </si>
  <si>
    <t>Вартість споживання реактивної електроенергії (генерація), усього, зокрема:</t>
  </si>
  <si>
    <t>Вартість активної та реактивної електроенергії на транспортування теплової енергії, усього, зокрема:</t>
  </si>
  <si>
    <t>Вартість реактивної електроенергії, усього</t>
  </si>
  <si>
    <t>Вартість реактивної електроенергії, усього, зокрема:</t>
  </si>
  <si>
    <t>кВт год</t>
  </si>
  <si>
    <t>Розподіл планованих витрат активної електроенергії на транспортування теплової енергії для включення до тарифів на транспортування теплової енергії з урахуванням витрат на утримання та ремонт ЦТП</t>
  </si>
  <si>
    <t>Додаток _____</t>
  </si>
  <si>
    <t xml:space="preserve">витрат електроенергії на загальновиробничі та загальногосподарські (адміністративні) потреби </t>
  </si>
  <si>
    <t>загальногосподарські потреби</t>
  </si>
  <si>
    <t>з постачання теплової енергії</t>
  </si>
  <si>
    <t xml:space="preserve">для споживачів, опалюваної площі та відповідних питомих норм </t>
  </si>
  <si>
    <t xml:space="preserve">  (підпис)</t>
  </si>
  <si>
    <t>___________</t>
  </si>
  <si>
    <r>
      <t>Загальна опалювана площа будинків (будівель) без площі квартир (приміщень) з автономним опаленням станом на початок планованого періоду, м</t>
    </r>
    <r>
      <rPr>
        <vertAlign val="superscript"/>
        <sz val="11"/>
        <color theme="1"/>
        <rFont val="Times New Roman"/>
        <family val="1"/>
        <charset val="204"/>
      </rPr>
      <t>2</t>
    </r>
    <r>
      <rPr>
        <sz val="11"/>
        <color theme="1"/>
        <rFont val="Times New Roman"/>
        <family val="1"/>
        <charset val="204"/>
      </rPr>
      <t>, усього, зокрема:</t>
    </r>
  </si>
  <si>
    <t>абонвідділ</t>
  </si>
  <si>
    <t>Додаток 15 не примірна форма, його змінювати не можна</t>
  </si>
  <si>
    <t>Витрати на ремонт основних засобів у повній собівартості послуг, усього</t>
  </si>
  <si>
    <t>Амортизація у повній собівартості послуг, усього</t>
  </si>
  <si>
    <t>бюджетним установам</t>
  </si>
  <si>
    <t xml:space="preserve"> </t>
  </si>
  <si>
    <t>виконавці комунальних послуг</t>
  </si>
  <si>
    <t>виконавець комунальної послуги - суб’єкт господарювання, що надає комунальну послугу споживачу відповідно до умов договору;</t>
  </si>
  <si>
    <t>Річний обсяг надходження теплової енергії в теплові мережі суб'єкта господарювання</t>
  </si>
  <si>
    <t>Д7</t>
  </si>
  <si>
    <t>Фактичні втрати теплової енергії у власних теплових мережах суб'єкта господарювання:</t>
  </si>
  <si>
    <t>Нормативні втрати теплової енергії у власних теплових мережах суб'єкта господарювання:</t>
  </si>
  <si>
    <t xml:space="preserve">змінено </t>
  </si>
  <si>
    <t>Річний обсяг транспортування теплової енергії тепловими мережами, зокрема:</t>
  </si>
  <si>
    <t>власної теплової енергії тепловими мережами інших суб'єктів господарювання</t>
  </si>
  <si>
    <t>теплової енергії інших суб’єктів господарювання</t>
  </si>
  <si>
    <t>Базовий період (факт)</t>
  </si>
  <si>
    <t>Обсяг виробництва теплової енергії</t>
  </si>
  <si>
    <t>Обсяг відпущеної в теплові мережі теплової енергії з колекторів генеруючих джерел</t>
  </si>
  <si>
    <t>факт 2017</t>
  </si>
  <si>
    <t>грн., без ПДВ</t>
  </si>
  <si>
    <t>Структурній підрозділ</t>
  </si>
  <si>
    <t>Оператор зв’язку</t>
  </si>
  <si>
    <t>Договір</t>
  </si>
  <si>
    <t>од. виміру</t>
  </si>
  <si>
    <t xml:space="preserve">Кількість номерів телефонів   </t>
  </si>
  <si>
    <t xml:space="preserve"> Прямі витрати</t>
  </si>
  <si>
    <t>Загально-виробничі</t>
  </si>
  <si>
    <t>Адмініст-ративні</t>
  </si>
  <si>
    <t>Виробництво</t>
  </si>
  <si>
    <t>Транспор-тування</t>
  </si>
  <si>
    <t>Поста-чання</t>
  </si>
  <si>
    <t>Внески</t>
  </si>
  <si>
    <t>Абонентське обслуговуваня</t>
  </si>
  <si>
    <t>Вироб-ництво</t>
  </si>
  <si>
    <t>Послуги</t>
  </si>
  <si>
    <t>Сума</t>
  </si>
  <si>
    <t>Бухгалтерія</t>
  </si>
  <si>
    <t>ТОВ "Інтертелеком"</t>
  </si>
  <si>
    <t>шт.</t>
  </si>
  <si>
    <t>Товарознавець</t>
  </si>
  <si>
    <t>Кількість номерів</t>
  </si>
  <si>
    <t>Абонплата за рік</t>
  </si>
  <si>
    <t xml:space="preserve">Модемний зв'язок </t>
  </si>
  <si>
    <t>ТОВ "Лайфселл"</t>
  </si>
  <si>
    <t>Всього по договору №205115618</t>
  </si>
  <si>
    <t xml:space="preserve"> ПрАТ "ВФ Україна"</t>
  </si>
  <si>
    <t>1.10812556</t>
  </si>
  <si>
    <t>Всього по договору № 1.10812556</t>
  </si>
  <si>
    <t>Котельня</t>
  </si>
  <si>
    <t xml:space="preserve"> ПАТ "Укртелеком"</t>
  </si>
  <si>
    <t>Безпека праці</t>
  </si>
  <si>
    <t>Абонентський відділ</t>
  </si>
  <si>
    <t>Диспетчерська служба</t>
  </si>
  <si>
    <t>Виробнично-технічний відділ</t>
  </si>
  <si>
    <t>Група по ПО</t>
  </si>
  <si>
    <t xml:space="preserve">Заступники директора </t>
  </si>
  <si>
    <t>Приймальня</t>
  </si>
  <si>
    <t>Відділ кадрів</t>
  </si>
  <si>
    <t>Міжміські дзвінки</t>
  </si>
  <si>
    <t>Роздруківка дзвінків</t>
  </si>
  <si>
    <t>Всього по договору № 68210033</t>
  </si>
  <si>
    <t>ПрАТ "Київстар"</t>
  </si>
  <si>
    <t>Плата за 1 номер</t>
  </si>
  <si>
    <t>Плата всього</t>
  </si>
  <si>
    <t>Всього по договору № 5520345</t>
  </si>
  <si>
    <t>Кількість пристроїв Інтернет</t>
  </si>
  <si>
    <t>ТОВ "Глобал-сіті-нет"</t>
  </si>
  <si>
    <t xml:space="preserve">Всего  по договору №886958 </t>
  </si>
  <si>
    <t>Вик. Калмацуй К. Б.</t>
  </si>
  <si>
    <t>Постачання</t>
  </si>
  <si>
    <t>скорочено</t>
  </si>
  <si>
    <t>Всього по договорам №110800, 110793</t>
  </si>
  <si>
    <t>Абонплата за рік, грн</t>
  </si>
  <si>
    <t>Абонплата за 1 номер в місяць</t>
  </si>
  <si>
    <t>Абонплата за Інтернет в місяць</t>
  </si>
  <si>
    <t>Разом послуги звязку всього,  без ПДВ</t>
  </si>
  <si>
    <t>Заступник директора з економіки</t>
  </si>
  <si>
    <t>Начальник юридичного відділу</t>
  </si>
  <si>
    <t>Відділ збуту</t>
  </si>
  <si>
    <t>Енергонагляд</t>
  </si>
  <si>
    <t>база розподілу адміністративних витрат</t>
  </si>
  <si>
    <t xml:space="preserve">в тому числі </t>
  </si>
  <si>
    <t>виробництво ТЕ</t>
  </si>
  <si>
    <t>транспорту-вання ТЕ</t>
  </si>
  <si>
    <t>постачання ТЕ</t>
  </si>
  <si>
    <t>абонентське обслуговування</t>
  </si>
  <si>
    <t>Адміністративні витрати всього, у т.ч.:</t>
  </si>
  <si>
    <t>Матеріальні витрати всього, у т.ч.:</t>
  </si>
  <si>
    <t>розрахунок на листі ПММ</t>
  </si>
  <si>
    <t>запчастини</t>
  </si>
  <si>
    <t>Витрати на оплату праці з відрахуваннями всього, у т.ч.:</t>
  </si>
  <si>
    <t>працюючих інвалідів</t>
  </si>
  <si>
    <t>22% від ФОП, інваліди - 8,41%</t>
  </si>
  <si>
    <t>Витрати на утримання основних засобів, інших необоротних матеріальних активів загальногосподарського використання всього, у т.ч.:</t>
  </si>
  <si>
    <t>освітлення та робота оргтехніки</t>
  </si>
  <si>
    <t>опалення</t>
  </si>
  <si>
    <t>Інші витрати, у т.ч.:</t>
  </si>
  <si>
    <t>розрахунково-касове обслуговування</t>
  </si>
  <si>
    <t>витрати на періодичні видання</t>
  </si>
  <si>
    <t>Додаток___</t>
  </si>
  <si>
    <t>Податки, збори, платежі, тис. грн.</t>
  </si>
  <si>
    <t>Рентна плата за користування радіочастотним ресурсом </t>
  </si>
  <si>
    <t>Транспортування</t>
  </si>
  <si>
    <t>Адміністративні витрати</t>
  </si>
  <si>
    <t>внески</t>
  </si>
  <si>
    <t>інші види діяльності</t>
  </si>
  <si>
    <t>Факт</t>
  </si>
  <si>
    <t>План</t>
  </si>
  <si>
    <t>ПММ</t>
  </si>
  <si>
    <t>матеріали</t>
  </si>
  <si>
    <t>матеріали на техніку безпеки</t>
  </si>
  <si>
    <t>МШП</t>
  </si>
  <si>
    <t>МШП техніка безпеки</t>
  </si>
  <si>
    <t>канцтовари, бланки</t>
  </si>
  <si>
    <t>спецодяг та спецвзуття</t>
  </si>
  <si>
    <t>спецхарчування</t>
  </si>
  <si>
    <t>Тариф</t>
  </si>
  <si>
    <t>Всього витрат ПММ, грн</t>
  </si>
  <si>
    <t>Фактичні витрати ПММ за 2019 рік, грн</t>
  </si>
  <si>
    <t>Всього витрат, грн.</t>
  </si>
  <si>
    <t>Вид мастила</t>
  </si>
  <si>
    <t>Всього витрат, грн</t>
  </si>
  <si>
    <t>АІ-76</t>
  </si>
  <si>
    <t>АІ-80</t>
  </si>
  <si>
    <t>АІ-92</t>
  </si>
  <si>
    <t>АІ-95</t>
  </si>
  <si>
    <t>ДП</t>
  </si>
  <si>
    <t>Газ</t>
  </si>
  <si>
    <t>Ціна палива, грн/л (без ПДВ)</t>
  </si>
  <si>
    <t>Ціна мастила, грн/л (без ПДВ)</t>
  </si>
  <si>
    <t>Виробництво т/е</t>
  </si>
  <si>
    <t>Транспортування т/е</t>
  </si>
  <si>
    <t>Постачання т/е</t>
  </si>
  <si>
    <t>Послуги з абонентського обслуговування</t>
  </si>
  <si>
    <t>Інша неліцензована діяльність</t>
  </si>
  <si>
    <t>Загальновиробничого призначення</t>
  </si>
  <si>
    <t>Адміністративного призначення</t>
  </si>
  <si>
    <t>Всього:</t>
  </si>
  <si>
    <t>факт на ІЦВ</t>
  </si>
  <si>
    <t>без ПДВ</t>
  </si>
  <si>
    <t>№ п/п</t>
  </si>
  <si>
    <t>Медогляд</t>
  </si>
  <si>
    <t>Абон. Обслуг.</t>
  </si>
  <si>
    <t>ЗВВ</t>
  </si>
  <si>
    <t>Адміністративні</t>
  </si>
  <si>
    <t>Разом</t>
  </si>
  <si>
    <t>люд.</t>
  </si>
  <si>
    <t>вартість</t>
  </si>
  <si>
    <t>1 раз на 1 рік</t>
  </si>
  <si>
    <t>Психофізіологічна експертиза</t>
  </si>
  <si>
    <t>Медичний оглядів працівників щодо придатності до керування транспортним засобом</t>
  </si>
  <si>
    <t>Наркологичний оглядів працівників</t>
  </si>
  <si>
    <t>Психіатричний оглядів працівників</t>
  </si>
  <si>
    <t>Обов’язковий періодичний медичний огляд працівників</t>
  </si>
  <si>
    <t>2 рази на 1 рік</t>
  </si>
  <si>
    <t>Бактеріологічні та паразитологічні дослідження</t>
  </si>
  <si>
    <t>№№</t>
  </si>
  <si>
    <t>Навчання</t>
  </si>
  <si>
    <t>ціна</t>
  </si>
  <si>
    <t>1 раз на 3 роки</t>
  </si>
  <si>
    <t>члени ПДК</t>
  </si>
  <si>
    <t>Всього сума, грн.</t>
  </si>
  <si>
    <t>Навчання по  «Правилам будови та безпечної експлуатації вантажопідіймальних кранів» та «Правилам будови  та безпечної експлуатації посудин, що працюють під тиском»</t>
  </si>
  <si>
    <t>Навчання з питань цивільного захисту</t>
  </si>
  <si>
    <t>1 раз на  роки</t>
  </si>
  <si>
    <t>Правила безпеки систем газопостачання</t>
  </si>
  <si>
    <t>РАЗОМ сума, грн.</t>
  </si>
  <si>
    <t>Спецодяг</t>
  </si>
  <si>
    <t>сума, грн.</t>
  </si>
  <si>
    <t>куртка утеплена</t>
  </si>
  <si>
    <t>черевики шкіряні</t>
  </si>
  <si>
    <t>чоботи гумові (чол)/гідрокостюм</t>
  </si>
  <si>
    <t>жилет сигнальний</t>
  </si>
  <si>
    <t>рукавички бавов</t>
  </si>
  <si>
    <t>Рукавиці гумові</t>
  </si>
  <si>
    <t xml:space="preserve">плащ влагозахисний(костюм) </t>
  </si>
  <si>
    <t>навушники противошумні</t>
  </si>
  <si>
    <t>Фартух з нагрудником</t>
  </si>
  <si>
    <t>каска захисна</t>
  </si>
  <si>
    <t>шапка утепл.</t>
  </si>
  <si>
    <t>рукавички утепл.</t>
  </si>
  <si>
    <t>пояс предохр</t>
  </si>
  <si>
    <t>костюм зварника</t>
  </si>
  <si>
    <t>окуляри захисні</t>
  </si>
  <si>
    <t>рукавиці диелектричні (чергові)</t>
  </si>
  <si>
    <t>Разом, грн.</t>
  </si>
  <si>
    <t>1 р в 5 роки</t>
  </si>
  <si>
    <t>Атестація робочих місць</t>
  </si>
  <si>
    <t>1 р в 2 роки</t>
  </si>
  <si>
    <t>Атестація зварників</t>
  </si>
  <si>
    <t>Додаток____</t>
  </si>
  <si>
    <t>Додаток __</t>
  </si>
  <si>
    <t>Працівники</t>
  </si>
  <si>
    <t>Опалювальний період</t>
  </si>
  <si>
    <t>Міжопалювальний період</t>
  </si>
  <si>
    <t>Всього за рік</t>
  </si>
  <si>
    <t>Кількість працівників (осіб)</t>
  </si>
  <si>
    <t>ФОП (грн.)</t>
  </si>
  <si>
    <t>I</t>
  </si>
  <si>
    <t>Виробничий персонал задіяний у виробництві теплової енергії котельнями</t>
  </si>
  <si>
    <t>у т.ч. працюючих інвалідів</t>
  </si>
  <si>
    <t>Відрахування на соціальні заходи всього:</t>
  </si>
  <si>
    <t>ЄСВ 22%</t>
  </si>
  <si>
    <t>ЄСВ 8,41%</t>
  </si>
  <si>
    <t>II.А</t>
  </si>
  <si>
    <t>II.В</t>
  </si>
  <si>
    <t>III</t>
  </si>
  <si>
    <t xml:space="preserve">Виробничий персонал задіяний у постачанні  теплової енергії </t>
  </si>
  <si>
    <t>IV</t>
  </si>
  <si>
    <t>Виробничий персонал задіяний у наданні послуги з абонентського обслуговування</t>
  </si>
  <si>
    <t>V</t>
  </si>
  <si>
    <t>Виробничий персонал задіяний у наданні послуги з теплової енергії</t>
  </si>
  <si>
    <t>VI</t>
  </si>
  <si>
    <t>Виробничий персонал задіяний у встановленні, обслуговуванні та заміні вузлів обліку теплової енергії (внески)</t>
  </si>
  <si>
    <t>VIІ</t>
  </si>
  <si>
    <t>Загальновиробничий персонал</t>
  </si>
  <si>
    <t>VIІІ</t>
  </si>
  <si>
    <t>Адміністративно-управлінський персонал</t>
  </si>
  <si>
    <t>Всього витрат на оплату праці</t>
  </si>
  <si>
    <t>Всього відрахування на соціальні заходи</t>
  </si>
  <si>
    <t>М.П.</t>
  </si>
  <si>
    <t>(посада)</t>
  </si>
  <si>
    <t>рзрахунок на листі ФОП</t>
  </si>
  <si>
    <t>Загальновиробничі</t>
  </si>
  <si>
    <t xml:space="preserve">Зведений розрахунок амортизації </t>
  </si>
  <si>
    <t>на плановий період</t>
  </si>
  <si>
    <t>Додаток__</t>
  </si>
  <si>
    <t>Всього амортизація</t>
  </si>
  <si>
    <t>Виробництво ТЕ котельнями</t>
  </si>
  <si>
    <t>Постачання ТЕ</t>
  </si>
  <si>
    <t>Послуги з встановлення, обслуговування та заміни ВКО</t>
  </si>
  <si>
    <t>Активи:</t>
  </si>
  <si>
    <t>Амортизація, грн в т.ч.:</t>
  </si>
  <si>
    <t>Зведений розрахунок планових витрат на паливно-мастильні матеріали</t>
  </si>
  <si>
    <t>Транспортні засоби</t>
  </si>
  <si>
    <t xml:space="preserve">Додаток 13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
</t>
  </si>
  <si>
    <t>змінила номер на 13</t>
  </si>
  <si>
    <t>Затверджувати його не треба. Хіба що в рішенні написати - Додаток 15 Наказу 239 вважати Додатком 13</t>
  </si>
  <si>
    <t>НЕ ЗАПОВНЮЄМО /  НЕ ЗАТВЕРДЖУЄМО</t>
  </si>
  <si>
    <t>змінено номер з 13 на 12</t>
  </si>
  <si>
    <t xml:space="preserve"> щодо переліку житлових та нежитлових приміщень,</t>
  </si>
  <si>
    <t>(найменування територіальної громади)</t>
  </si>
  <si>
    <t>бюджет</t>
  </si>
  <si>
    <t>прочие</t>
  </si>
  <si>
    <t>7.1.</t>
  </si>
  <si>
    <t>8.1.</t>
  </si>
  <si>
    <t>9.1.</t>
  </si>
  <si>
    <t>9.2.</t>
  </si>
  <si>
    <t>9.3.</t>
  </si>
  <si>
    <t>ВІТАЛІЯ ШУМА 11</t>
  </si>
  <si>
    <t>наявний</t>
  </si>
  <si>
    <t>ВІТАЛІЯ ШУМА 13</t>
  </si>
  <si>
    <t>ВІТАЛІЯ ШУМА 13-А</t>
  </si>
  <si>
    <t>ВІТАЛІЯ ШУМА 15</t>
  </si>
  <si>
    <t>ВІТАЛІЯ ШУМА 17</t>
  </si>
  <si>
    <t>ВІТАЛІЯ ШУМА 17-А</t>
  </si>
  <si>
    <t>ВІТАЛІЯ ШУМА 19</t>
  </si>
  <si>
    <t>ВІТАЛІЯ ШУМА 21</t>
  </si>
  <si>
    <t>ВІТАЛІЯ ШУМА 6</t>
  </si>
  <si>
    <t>ВІТАЛІЯ ШУМА 6-А</t>
  </si>
  <si>
    <t>ВІТАЛІЯ ШУМА 6-Ж</t>
  </si>
  <si>
    <t>ВІТАЛІЯ ШУМА 9</t>
  </si>
  <si>
    <t>ДАНЧЕНКА 1</t>
  </si>
  <si>
    <t>ДАНЧЕНКА 10</t>
  </si>
  <si>
    <t>ДАНЧЕНКА 11</t>
  </si>
  <si>
    <t>ДАНЧЕНКА 12</t>
  </si>
  <si>
    <t>ДАНЧЕНКА 13</t>
  </si>
  <si>
    <t>ДАНЧЕНКА 14</t>
  </si>
  <si>
    <t>ДАНЧЕНКА 15</t>
  </si>
  <si>
    <t>ДАНЧЕНКА 16</t>
  </si>
  <si>
    <t>ДАНЧЕНКА 17</t>
  </si>
  <si>
    <t>ДАНЧЕНКА 19</t>
  </si>
  <si>
    <t>ДАНЧЕНКА 1-А</t>
  </si>
  <si>
    <t>ДАНЧЕНКА 2</t>
  </si>
  <si>
    <t>ДАНЧЕНКА 20</t>
  </si>
  <si>
    <t>ДАНЧЕНКА 21</t>
  </si>
  <si>
    <t>ДАНЧЕНКА 22</t>
  </si>
  <si>
    <t>ДАНЧЕНКА 24</t>
  </si>
  <si>
    <t>ДАНЧЕНКА 26</t>
  </si>
  <si>
    <t>ДАНЧЕНКА 3</t>
  </si>
  <si>
    <t>ДАНЧЕНКА 3-А</t>
  </si>
  <si>
    <t>ДАНЧЕНКА 3-Б</t>
  </si>
  <si>
    <t>ДАНЧЕНКА 3-В</t>
  </si>
  <si>
    <t>ДАНЧЕНКА 4</t>
  </si>
  <si>
    <t>ДАНЧЕНКА 5</t>
  </si>
  <si>
    <t>ДАНЧЕНКА 5-А</t>
  </si>
  <si>
    <t>ДАНЧЕНКА 7</t>
  </si>
  <si>
    <t>ДАНЧЕНКА 8</t>
  </si>
  <si>
    <t>ДАНЧЕНКА 9</t>
  </si>
  <si>
    <t>ЗЕЛЕНА 2-Б</t>
  </si>
  <si>
    <t>КОРАБЕЛЬНА 12</t>
  </si>
  <si>
    <t>КОРАБЕЛЬНА 2</t>
  </si>
  <si>
    <t>КОРАБЕЛЬНА 2-А</t>
  </si>
  <si>
    <t>КОРАБЕЛЬНА 3</t>
  </si>
  <si>
    <t>КОРАБЕЛЬНА 4</t>
  </si>
  <si>
    <t>КОРАБЕЛЬНА 4-А</t>
  </si>
  <si>
    <t>КОРАБЕЛЬНА 4-Б</t>
  </si>
  <si>
    <t>КОРАБЕЛЬНА 5</t>
  </si>
  <si>
    <t>КОРАБЕЛЬНА 6</t>
  </si>
  <si>
    <t>КОРАБЕЛЬНА 6-А</t>
  </si>
  <si>
    <t>КОРАБЕЛЬНА 7</t>
  </si>
  <si>
    <t>КОРАБЕЛЬНА 7-А</t>
  </si>
  <si>
    <t>КОРАБЕЛЬНА 8</t>
  </si>
  <si>
    <t>КОРАБЕЛЬНА 9</t>
  </si>
  <si>
    <t>ЛАЗУРНА 1</t>
  </si>
  <si>
    <t>ЛАЗУРНА 3</t>
  </si>
  <si>
    <t>ЛАЗУРНА 5</t>
  </si>
  <si>
    <t>ЛАЗУРНА 7</t>
  </si>
  <si>
    <t>ОЛЕКСАНДРІЙСЬКА 1</t>
  </si>
  <si>
    <t>ОЛЕКСАНДРІЙСЬКА 10</t>
  </si>
  <si>
    <t>ОЛЕКСАНДРІЙСЬКА 11</t>
  </si>
  <si>
    <t>ОЛЕКСАНДРІЙСЬКА 12</t>
  </si>
  <si>
    <t>ОЛЕКСАНДРІЙСЬКА 13</t>
  </si>
  <si>
    <t>ОЛЕКСАНДРІЙСЬКА 15</t>
  </si>
  <si>
    <t>ОЛЕКСАНДРІЙСЬКА 16</t>
  </si>
  <si>
    <t>ОЛЕКСАНДРІЙСЬКА 17</t>
  </si>
  <si>
    <t>ОЛЕКСАНДРІЙСЬКА 18</t>
  </si>
  <si>
    <t>ОЛЕКСАНДРІЙСЬКА 18-А</t>
  </si>
  <si>
    <t>ОЛЕКСАНДРІЙСЬКА 19</t>
  </si>
  <si>
    <t>ОЛЕКСАНДРІЙСЬКА 19-В</t>
  </si>
  <si>
    <t>ОЛЕКСАНДРІЙСЬКА 1-А</t>
  </si>
  <si>
    <t>ОЛЕКСАНДРІЙСЬКА 2</t>
  </si>
  <si>
    <t>ОЛЕКСАНДРІЙСЬКА 20</t>
  </si>
  <si>
    <t>ОЛЕКСАНДРІЙСЬКА 21</t>
  </si>
  <si>
    <t>ОЛЕКСАНДРІЙСЬКА 22</t>
  </si>
  <si>
    <t>ОЛЕКСАНДРІЙСЬКА 24</t>
  </si>
  <si>
    <t>ОЛЕКСАНДРІЙСЬКА 2-А</t>
  </si>
  <si>
    <t>ОЛЕКСАНДРІЙСЬКА 3</t>
  </si>
  <si>
    <t>ОЛЕКСАНДРІЙСЬКА 4</t>
  </si>
  <si>
    <t>ОЛЕКСАНДРІЙСЬКА 4-А</t>
  </si>
  <si>
    <t>ОЛЕКСАНДРІЙСЬКА 5</t>
  </si>
  <si>
    <t>ОЛЕКСАНДРІЙСЬКА 7</t>
  </si>
  <si>
    <t>ОЛЕКСАНДРІЙСЬКА 9</t>
  </si>
  <si>
    <t>ПАРКОВА 10</t>
  </si>
  <si>
    <t>ПАРКОВА 12</t>
  </si>
  <si>
    <t>ПАРКОВА 14</t>
  </si>
  <si>
    <t>ПАРКОВА 14-А</t>
  </si>
  <si>
    <t>ПАРКОВА 16</t>
  </si>
  <si>
    <t>ПАРКОВА 18</t>
  </si>
  <si>
    <t>ПАРКОВА 2</t>
  </si>
  <si>
    <t>ПАРКОВА 20</t>
  </si>
  <si>
    <t>ПАРКОВА 20-А</t>
  </si>
  <si>
    <t>ПАРКОВА 22</t>
  </si>
  <si>
    <t>ПАРКОВА 24</t>
  </si>
  <si>
    <t>ПАРКОВА 26</t>
  </si>
  <si>
    <t>ПАРКОВА 2-А</t>
  </si>
  <si>
    <t>ПАРКОВА 34</t>
  </si>
  <si>
    <t>ПАРКОВА 34-Б</t>
  </si>
  <si>
    <t>ПАРКОВА 36</t>
  </si>
  <si>
    <t>ПАРКОВА 4</t>
  </si>
  <si>
    <t>ПАРКОВА 44</t>
  </si>
  <si>
    <t>ПАРКОВА 46-А</t>
  </si>
  <si>
    <t>ПАРКОВА 46-Б</t>
  </si>
  <si>
    <t>ПАРКОВА 6</t>
  </si>
  <si>
    <t>ПАРКОВА 8</t>
  </si>
  <si>
    <t>ПАРКОВА 8-А</t>
  </si>
  <si>
    <t>ПАРУСНА 10</t>
  </si>
  <si>
    <t>ПАРУСНА 11</t>
  </si>
  <si>
    <t>ПАРУСНА 12</t>
  </si>
  <si>
    <t>ПАРУСНА 13</t>
  </si>
  <si>
    <t>ПАРУСНА 13/1</t>
  </si>
  <si>
    <t>ПАРУСНА 14</t>
  </si>
  <si>
    <t>ПАРУСНА 16</t>
  </si>
  <si>
    <t>ПАРУСНА 2</t>
  </si>
  <si>
    <t>ПАРУСНА 2-А</t>
  </si>
  <si>
    <t>ПАРУСНА 3</t>
  </si>
  <si>
    <t>ПАРУСНА 4</t>
  </si>
  <si>
    <t>ПАРУСНА 4-А</t>
  </si>
  <si>
    <t>ПАРУСНА 5</t>
  </si>
  <si>
    <t>ПАРУСНА 6</t>
  </si>
  <si>
    <t>ПАРУСНА 7</t>
  </si>
  <si>
    <t>ПАРУСНА 8</t>
  </si>
  <si>
    <t>ПАРУСНА 9</t>
  </si>
  <si>
    <t>ПЕРШОГО ТРАВНЯ 10</t>
  </si>
  <si>
    <t>ПЕРШОГО ТРАВНЯ 10-Б</t>
  </si>
  <si>
    <t>ПЕРШОГО ТРАВНЯ 11</t>
  </si>
  <si>
    <t>ПЕРШОГО ТРАВНЯ 13</t>
  </si>
  <si>
    <t>ПЕРШОГО ТРАВНЯ 15-А</t>
  </si>
  <si>
    <t>ПЕРШОГО ТРАВНЯ 17</t>
  </si>
  <si>
    <t>ПЕРШОГО ТРАВНЯ 2</t>
  </si>
  <si>
    <t>ПЕРШОГО ТРАВНЯ 2-А</t>
  </si>
  <si>
    <t>ПЕРШОГО ТРАВНЯ 4</t>
  </si>
  <si>
    <t>ПЕРШОГО ТРАВНЯ 4-А</t>
  </si>
  <si>
    <t>ПЕРШОГО ТРАВНЯ 5</t>
  </si>
  <si>
    <t>ПЕРШОГО ТРАВНЯ 6</t>
  </si>
  <si>
    <t>ПЕРШОГО ТРАВНЯ 6-Б</t>
  </si>
  <si>
    <t>ПЕРШОГО ТРАВНЯ 7</t>
  </si>
  <si>
    <t>ПЕРШОГО ТРАВНЯ 7-А</t>
  </si>
  <si>
    <t>ПЕРШОГО ТРАВНЯ 8</t>
  </si>
  <si>
    <t>ПЕРШОГО ТРАВНЯ 8-А</t>
  </si>
  <si>
    <t>ПЕРШОГО ТРАВНЯ 9</t>
  </si>
  <si>
    <t>ПРАЦІ 11</t>
  </si>
  <si>
    <t>ПРАЦІ 11-А</t>
  </si>
  <si>
    <t>ПРАЦІ 3</t>
  </si>
  <si>
    <t>ПРАЦІ 7-А</t>
  </si>
  <si>
    <t>ПРАЦІ 9</t>
  </si>
  <si>
    <t>ПРАЦІ 9-А</t>
  </si>
  <si>
    <t>ПРОВУЛОК ХАНТАДЗЕ 3</t>
  </si>
  <si>
    <t>ПРОСПЕКТ МИРУ 1</t>
  </si>
  <si>
    <t>ПРОСПЕКТ МИРУ 10</t>
  </si>
  <si>
    <t>ПРОСПЕКТ МИРУ 10-А</t>
  </si>
  <si>
    <t>ПРОСПЕКТ МИРУ 11</t>
  </si>
  <si>
    <t>ПРОСПЕКТ МИРУ 12</t>
  </si>
  <si>
    <t>ПРОСПЕКТ МИРУ 13-А</t>
  </si>
  <si>
    <t>ПРОСПЕКТ МИРУ 14-А</t>
  </si>
  <si>
    <t>ПРОСПЕКТ МИРУ 15-А</t>
  </si>
  <si>
    <t>ПРОСПЕКТ МИРУ 15-Б</t>
  </si>
  <si>
    <t>ПРОСПЕКТ МИРУ 16</t>
  </si>
  <si>
    <t>ПРОСПЕКТ МИРУ 17</t>
  </si>
  <si>
    <t>ПРОСПЕКТ МИРУ 18</t>
  </si>
  <si>
    <t>ПРОСПЕКТ МИРУ 18-А</t>
  </si>
  <si>
    <t>ПРОСПЕКТ МИРУ 19</t>
  </si>
  <si>
    <t>ПРОСПЕКТ МИРУ 2</t>
  </si>
  <si>
    <t>ПРОСПЕКТ МИРУ 20-А</t>
  </si>
  <si>
    <t>ПРОСПЕКТ МИРУ 21</t>
  </si>
  <si>
    <t>ПРОСПЕКТ МИРУ 22</t>
  </si>
  <si>
    <t>ПРОСПЕКТ МИРУ 23</t>
  </si>
  <si>
    <t>ПРОСПЕКТ МИРУ 24</t>
  </si>
  <si>
    <t>ПРОСПЕКТ МИРУ 25</t>
  </si>
  <si>
    <t>ПРОСПЕКТ МИРУ 26</t>
  </si>
  <si>
    <t>ПРОСПЕКТ МИРУ 27</t>
  </si>
  <si>
    <t>ПРОСПЕКТ МИРУ 28</t>
  </si>
  <si>
    <t>ПРОСПЕКТ МИРУ 29</t>
  </si>
  <si>
    <t>ПРОСПЕКТ МИРУ 3</t>
  </si>
  <si>
    <t>ПРОСПЕКТ МИРУ 30</t>
  </si>
  <si>
    <t>ПРОСПЕКТ МИРУ 32</t>
  </si>
  <si>
    <t>ПРОСПЕКТ МИРУ 35-А</t>
  </si>
  <si>
    <t>ПРОСПЕКТ МИРУ 35-Б</t>
  </si>
  <si>
    <t>ПРОСПЕКТ МИРУ 35-Г</t>
  </si>
  <si>
    <t>ПРОСПЕКТ МИРУ 39</t>
  </si>
  <si>
    <t>ПРОСПЕКТ МИРУ 3-А</t>
  </si>
  <si>
    <t>ПРОСПЕКТ МИРУ 4</t>
  </si>
  <si>
    <t>ПРОСПЕКТ МИРУ 41</t>
  </si>
  <si>
    <t>ПРОСПЕКТ МИРУ 43</t>
  </si>
  <si>
    <t>ПРОСПЕКТ МИРУ 4-А</t>
  </si>
  <si>
    <t>ПРОСПЕКТ МИРУ 4-Б</t>
  </si>
  <si>
    <t>ПРОСПЕКТ МИРУ 5-А</t>
  </si>
  <si>
    <t>ПРОСПЕКТ МИРУ 6</t>
  </si>
  <si>
    <t>ПРОСПЕКТ МИРУ 6-А</t>
  </si>
  <si>
    <t>ПРОСПЕКТ МИРУ 7</t>
  </si>
  <si>
    <t>ПРОСПЕКТ МИРУ 7-А</t>
  </si>
  <si>
    <t>ПРОСПЕКТ МИРУ 8</t>
  </si>
  <si>
    <t>ПРОСПЕКТ МИРУ 9</t>
  </si>
  <si>
    <t>СПОРТИВНА 10</t>
  </si>
  <si>
    <t>СПОРТИВНА 12</t>
  </si>
  <si>
    <t>СПОРТИВНА 12-А</t>
  </si>
  <si>
    <t>СПОРТИВНА 14</t>
  </si>
  <si>
    <t>СПОРТИВНА 3</t>
  </si>
  <si>
    <t>СПОРТИВНА 4</t>
  </si>
  <si>
    <t>СПОРТИВНА 5</t>
  </si>
  <si>
    <t>СПОРТИВНА 6</t>
  </si>
  <si>
    <t>СПОРТИВНА 6-А</t>
  </si>
  <si>
    <t>СПОРТИВНА 8</t>
  </si>
  <si>
    <t>ТОРГОВА 1</t>
  </si>
  <si>
    <t>ТОРГОВА 2-А</t>
  </si>
  <si>
    <t>ХАНТАДЗЕ 10</t>
  </si>
  <si>
    <t>ХАНТАДЗЕ 12</t>
  </si>
  <si>
    <t>ХАНТАДЗЕ 12-А</t>
  </si>
  <si>
    <t>ХАНТАДЗЕ 14</t>
  </si>
  <si>
    <t>ХАНТАДЗЕ 16</t>
  </si>
  <si>
    <t>ХАНТАДЗЕ 2</t>
  </si>
  <si>
    <t>ХАНТАДЗЕ 4</t>
  </si>
  <si>
    <t>ХАНТАДЗЕ 8</t>
  </si>
  <si>
    <t>ШЕВЧЕНКА 10</t>
  </si>
  <si>
    <t>ШЕВЧЕНКА 11</t>
  </si>
  <si>
    <t>ШЕВЧЕНКА 13</t>
  </si>
  <si>
    <t>ШЕВЧЕНКА 2-А</t>
  </si>
  <si>
    <t>ШЕВЧЕНКА 5-А</t>
  </si>
  <si>
    <t>ШЕВЧЕНКА 6</t>
  </si>
  <si>
    <t>ШЕВЧЕНКА 7</t>
  </si>
  <si>
    <t>ШКІЛЬНИЙ ПРОВУЛОК 2</t>
  </si>
  <si>
    <t>ШКІЛЬНИЙ ПРОВУЛОК 4</t>
  </si>
  <si>
    <t>ШКІЛЬНИЙ ПРОВУЛОК 4-А</t>
  </si>
  <si>
    <t>ШКІЛЬНИЙ ПРОВУЛОК 4-Б</t>
  </si>
  <si>
    <t>ШКІЛЬНИЙ ПРОВУЛОК 6</t>
  </si>
  <si>
    <t>Перенесено в ЗВВ</t>
  </si>
  <si>
    <t>розразунок на листі ОП</t>
  </si>
  <si>
    <t>ремонт</t>
  </si>
  <si>
    <t>витрати на зв'язок та інтернет, у т.ч.:</t>
  </si>
  <si>
    <t>зв'язок</t>
  </si>
  <si>
    <t>інтернет</t>
  </si>
  <si>
    <t>централізоване водопостачання, централізоване водовідведення</t>
  </si>
  <si>
    <t>Показники втрат</t>
  </si>
  <si>
    <t>тарифів на теплову енергію без урахування витрат на утримання та ремонт центральних теплових пунктів</t>
  </si>
  <si>
    <t>тарифів на теплову енергію з урахуванням витрат на утримання та ремонт центральних теплових пунктів</t>
  </si>
  <si>
    <t>КП“Чорноморськводоканал” </t>
  </si>
  <si>
    <t>податки, збори, обов'язкові платежі</t>
  </si>
  <si>
    <t>______________</t>
  </si>
  <si>
    <t>вивезення сміття</t>
  </si>
  <si>
    <t>технічне обслуговування</t>
  </si>
  <si>
    <t>техобслуговування транспортних засобів</t>
  </si>
  <si>
    <t>технічний контроль транспортних засобів</t>
  </si>
  <si>
    <t>страхування</t>
  </si>
  <si>
    <t>приймання відходів</t>
  </si>
  <si>
    <t>медогляд</t>
  </si>
  <si>
    <t>розрахунок на листі ОП</t>
  </si>
  <si>
    <t>підготовка та перепідготовка кадрів</t>
  </si>
  <si>
    <t>утилізація відходів, устаткування, обладнання</t>
  </si>
  <si>
    <t>Найменування</t>
  </si>
  <si>
    <t>Інв №</t>
  </si>
  <si>
    <t>Залиш. Вартість</t>
  </si>
  <si>
    <t>Примітка</t>
  </si>
  <si>
    <t>ИБП</t>
  </si>
  <si>
    <t>з підзвіту Бут В.І.</t>
  </si>
  <si>
    <t>ПТО</t>
  </si>
  <si>
    <t>ПЭО</t>
  </si>
  <si>
    <t>ОК</t>
  </si>
  <si>
    <t>Сбыт</t>
  </si>
  <si>
    <t>Компьютер</t>
  </si>
  <si>
    <t>Котельная</t>
  </si>
  <si>
    <t>Счетчики</t>
  </si>
  <si>
    <t>ВКО</t>
  </si>
  <si>
    <t>Программисты</t>
  </si>
  <si>
    <t>АО</t>
  </si>
  <si>
    <t>Додаток_____</t>
  </si>
  <si>
    <t>План з переробки та утилізації списаної побутової, комп'ютерної, організаційної техніки та обладнання</t>
  </si>
  <si>
    <t>Розташування</t>
  </si>
  <si>
    <t>Стаття витрат</t>
  </si>
  <si>
    <t>Вартість утилізації, грн</t>
  </si>
  <si>
    <t>в</t>
  </si>
  <si>
    <t>т</t>
  </si>
  <si>
    <t>п</t>
  </si>
  <si>
    <t>ао</t>
  </si>
  <si>
    <t>звв</t>
  </si>
  <si>
    <t>разом</t>
  </si>
  <si>
    <t>Рік</t>
  </si>
  <si>
    <t>Абон.обслуговування</t>
  </si>
  <si>
    <t>№</t>
  </si>
  <si>
    <t>ФИО</t>
  </si>
  <si>
    <t>Монитор</t>
  </si>
  <si>
    <t>Принтер</t>
  </si>
  <si>
    <t>факс</t>
  </si>
  <si>
    <t>ноутбук</t>
  </si>
  <si>
    <t>Козяр О.П.</t>
  </si>
  <si>
    <t>156/11</t>
  </si>
  <si>
    <t>а</t>
  </si>
  <si>
    <t>Высоцкий А.Г.</t>
  </si>
  <si>
    <t>199/2</t>
  </si>
  <si>
    <t>18/11</t>
  </si>
  <si>
    <t>Матвеева Л.П.</t>
  </si>
  <si>
    <t xml:space="preserve">3115, 3432 </t>
  </si>
  <si>
    <t>122/11</t>
  </si>
  <si>
    <t>83/11</t>
  </si>
  <si>
    <t>Яловчук С.И.</t>
  </si>
  <si>
    <t>39/11</t>
  </si>
  <si>
    <t>17/11</t>
  </si>
  <si>
    <t>Лукьянова И.А.</t>
  </si>
  <si>
    <t>217/1</t>
  </si>
  <si>
    <t>16/11</t>
  </si>
  <si>
    <t>Жданова Н.В.</t>
  </si>
  <si>
    <t>53/11</t>
  </si>
  <si>
    <t>Биленко Л.Н.</t>
  </si>
  <si>
    <t>205/1</t>
  </si>
  <si>
    <t>Калмацуй</t>
  </si>
  <si>
    <t>158/11</t>
  </si>
  <si>
    <t>171/11</t>
  </si>
  <si>
    <t>Седова В.Ю.</t>
  </si>
  <si>
    <t>8/11</t>
  </si>
  <si>
    <t>104</t>
  </si>
  <si>
    <t>Бут В.И.</t>
  </si>
  <si>
    <t>107/11</t>
  </si>
  <si>
    <t>3118, 3037</t>
  </si>
  <si>
    <t xml:space="preserve">Ахрамеев Д.И. </t>
  </si>
  <si>
    <t>3066, 182/11</t>
  </si>
  <si>
    <t>Чернат О.А.</t>
  </si>
  <si>
    <t>36/11</t>
  </si>
  <si>
    <t>Префак</t>
  </si>
  <si>
    <t>???</t>
  </si>
  <si>
    <t>Лаврова Е.А.</t>
  </si>
  <si>
    <t>109/11</t>
  </si>
  <si>
    <t>48/11</t>
  </si>
  <si>
    <t>187/11</t>
  </si>
  <si>
    <t>Павловский Г.А.</t>
  </si>
  <si>
    <t>137/11</t>
  </si>
  <si>
    <t>Сервер</t>
  </si>
  <si>
    <t>Жовнир</t>
  </si>
  <si>
    <t>40/11</t>
  </si>
  <si>
    <t xml:space="preserve">Мазур </t>
  </si>
  <si>
    <t xml:space="preserve">Емельянов </t>
  </si>
  <si>
    <t xml:space="preserve">Андриенко </t>
  </si>
  <si>
    <t>37/11</t>
  </si>
  <si>
    <t xml:space="preserve">Вдовиченко </t>
  </si>
  <si>
    <t xml:space="preserve">Кривенко </t>
  </si>
  <si>
    <t>136/11</t>
  </si>
  <si>
    <t>986</t>
  </si>
  <si>
    <t xml:space="preserve">Мойсеенко </t>
  </si>
  <si>
    <t>7/11</t>
  </si>
  <si>
    <t>985</t>
  </si>
  <si>
    <t xml:space="preserve">Шилинговская </t>
  </si>
  <si>
    <t xml:space="preserve">Глушко </t>
  </si>
  <si>
    <t>180/11</t>
  </si>
  <si>
    <t>вн</t>
  </si>
  <si>
    <t xml:space="preserve">Берчак </t>
  </si>
  <si>
    <t xml:space="preserve">Кацапова </t>
  </si>
  <si>
    <t>129/11</t>
  </si>
  <si>
    <t xml:space="preserve">Кашнова </t>
  </si>
  <si>
    <t>157/11</t>
  </si>
  <si>
    <t xml:space="preserve">Мирошниченко </t>
  </si>
  <si>
    <t>168/11</t>
  </si>
  <si>
    <t xml:space="preserve">Антонюк </t>
  </si>
  <si>
    <t>202/1</t>
  </si>
  <si>
    <t xml:space="preserve">Фарик </t>
  </si>
  <si>
    <t>140/11</t>
  </si>
  <si>
    <t>38/11</t>
  </si>
  <si>
    <t>98/11</t>
  </si>
  <si>
    <t xml:space="preserve">Кокойко </t>
  </si>
  <si>
    <t>35/11</t>
  </si>
  <si>
    <t xml:space="preserve">Мамедова </t>
  </si>
  <si>
    <t xml:space="preserve">Закора </t>
  </si>
  <si>
    <t>127/11</t>
  </si>
  <si>
    <t xml:space="preserve">Зелинский </t>
  </si>
  <si>
    <t xml:space="preserve">Макаренкова </t>
  </si>
  <si>
    <t>190/1</t>
  </si>
  <si>
    <t xml:space="preserve">Стоянова </t>
  </si>
  <si>
    <t xml:space="preserve">Злобарь </t>
  </si>
  <si>
    <t>47/11</t>
  </si>
  <si>
    <t xml:space="preserve">Кожевникова </t>
  </si>
  <si>
    <t>126/11</t>
  </si>
  <si>
    <t xml:space="preserve">Дмитрищук </t>
  </si>
  <si>
    <t>Бабенко</t>
  </si>
  <si>
    <t>Селиванова</t>
  </si>
  <si>
    <t>18 шт</t>
  </si>
  <si>
    <t>розрахунок на листі Картріджі</t>
  </si>
  <si>
    <t>ВСЬОГО</t>
  </si>
  <si>
    <t xml:space="preserve">оголошення в газету </t>
  </si>
  <si>
    <t>витрати на розв’язання спорів у судах</t>
  </si>
  <si>
    <t>службові відрядження</t>
  </si>
  <si>
    <t>ремонтні роботи (авто)</t>
  </si>
  <si>
    <t>транспортні послуги</t>
  </si>
  <si>
    <t>Вид послуг</t>
  </si>
  <si>
    <t>Надавач послуг</t>
  </si>
  <si>
    <t>ФОП Гонтар Л.В.</t>
  </si>
  <si>
    <t>ТОВ "Інститут місцевого розвитку"</t>
  </si>
  <si>
    <t>Науково-практична конференція</t>
  </si>
  <si>
    <t>ТОВ "Аналітично-виробничий центр "Укртеплоенерго"</t>
  </si>
  <si>
    <t>Аудит фінансової звітності</t>
  </si>
  <si>
    <t>ПП Аудиторська фірма "ГОЛВ-АУДИТ"</t>
  </si>
  <si>
    <t>Семінар-тренінг з публічних закупівель</t>
  </si>
  <si>
    <t>Будстандарт</t>
  </si>
  <si>
    <t>ВОТ "Computer Logik Group"</t>
  </si>
  <si>
    <t>Смета ПИР</t>
  </si>
  <si>
    <t>Смета</t>
  </si>
  <si>
    <t>Консультаційні послуги</t>
  </si>
  <si>
    <t>ФОП Арабаджи СА</t>
  </si>
  <si>
    <t>ТОВ "Смартіс"</t>
  </si>
  <si>
    <t>Ліга-Закон</t>
  </si>
  <si>
    <t>ТОВ "Ліга-Закон"</t>
  </si>
  <si>
    <t>Ліцензія Дт-Кт</t>
  </si>
  <si>
    <t>ТЗОВ ДК-Системи</t>
  </si>
  <si>
    <t>Оголошення в газету</t>
  </si>
  <si>
    <t>ТОВ "Редакція "Чорноморський маяк"</t>
  </si>
  <si>
    <t>Інформаційні послуги</t>
  </si>
  <si>
    <t>Український хостинг</t>
  </si>
  <si>
    <t>витрати на професійні послуги (у т.ч. послуги нотаріуса)</t>
  </si>
  <si>
    <t>Загальновиробничі витрати</t>
  </si>
  <si>
    <t>Загальновиробничі витрати всього, у т.ч.:</t>
  </si>
  <si>
    <t>Перенесено з адмін</t>
  </si>
  <si>
    <t>матеріали на технічне обслуговування</t>
  </si>
  <si>
    <t>Амінперсонал</t>
  </si>
  <si>
    <t>не плануємо тут, враховується через газ та ЕЕ в прямих витратах</t>
  </si>
  <si>
    <t>факт</t>
  </si>
  <si>
    <t>факт 2019 з урахуванням розбивки по людям</t>
  </si>
  <si>
    <t>розрахунок на листі Зв'язок</t>
  </si>
  <si>
    <t>кошторис на ремонт санвузлів</t>
  </si>
  <si>
    <t>факт ЗВВ на ІЦВ + факт адмін на ІЦВ з розподілом пропорційно кількості людей</t>
  </si>
  <si>
    <t>шины, акамулятори</t>
  </si>
  <si>
    <t>обстеження технічного стану та паспортизація</t>
  </si>
  <si>
    <t>розробка декларації, планів локалізації аварій та їх експертиза</t>
  </si>
  <si>
    <t>витрати на професійні послуги</t>
  </si>
  <si>
    <t>вимірювання якості води</t>
  </si>
  <si>
    <t>адміністративні витрати</t>
  </si>
  <si>
    <t>загальновиробничі витрати</t>
  </si>
  <si>
    <t>перенесено в виробницво</t>
  </si>
  <si>
    <t>оголошення 10 тис. договір, аудит в адмін</t>
  </si>
  <si>
    <t>оцінка обсягів водокористування</t>
  </si>
  <si>
    <t>послуги дератизації</t>
  </si>
  <si>
    <t>вимірювання опору заземлення</t>
  </si>
  <si>
    <t>лабораторні випробування захисних засобів</t>
  </si>
  <si>
    <t>атестація робочих місць</t>
  </si>
  <si>
    <t>Витрати</t>
  </si>
  <si>
    <t>Страхування транспортних засобів</t>
  </si>
  <si>
    <t>раз в год 8 машин + 2 трактора</t>
  </si>
  <si>
    <t>котельные и кислород</t>
  </si>
  <si>
    <t>Страхування відповідності перед третіми особами (по роботам  підвищеної безпеки)</t>
  </si>
  <si>
    <t>Страхування цивільної відповідальністі за шкоду, яка може бути заподіяна пожежами та аваріями перед трет лицами</t>
  </si>
  <si>
    <t>розрахунок на листі страхування</t>
  </si>
  <si>
    <t>інв.№</t>
  </si>
  <si>
    <t>Марка та модель транспортного засобу</t>
  </si>
  <si>
    <t>Державний номер</t>
  </si>
  <si>
    <t>Рік вводу в експлуатацію</t>
  </si>
  <si>
    <t>Належність до виду діяльності</t>
  </si>
  <si>
    <t>Очікувана сума за послугу, грн</t>
  </si>
  <si>
    <t>ДЄУ-Нубіра</t>
  </si>
  <si>
    <t>ВН9239АІ</t>
  </si>
  <si>
    <t>ВАЗ 2120 (Ніва)</t>
  </si>
  <si>
    <t>ВН8135АА</t>
  </si>
  <si>
    <t>ВАЗ 21063</t>
  </si>
  <si>
    <t>42691ОА</t>
  </si>
  <si>
    <t>ГАЗ 3307</t>
  </si>
  <si>
    <t>38946 ОВ</t>
  </si>
  <si>
    <t>УАЗ 3303</t>
  </si>
  <si>
    <t>О5258ОВ</t>
  </si>
  <si>
    <t>МАЗ 555102</t>
  </si>
  <si>
    <t>ВР9164ВО</t>
  </si>
  <si>
    <t>13001ОВ</t>
  </si>
  <si>
    <t>Ford Nransit CKC Ftfed-01 БП</t>
  </si>
  <si>
    <t>ВН 8063 КВ</t>
  </si>
  <si>
    <t>Кусторіз 335 R</t>
  </si>
  <si>
    <t>б/н</t>
  </si>
  <si>
    <t>Кусторіз BC 2125</t>
  </si>
  <si>
    <t>Автокран КС3577-4</t>
  </si>
  <si>
    <t>51170ОВ</t>
  </si>
  <si>
    <t>Трактор МТЗ-90</t>
  </si>
  <si>
    <t>Трактор Т-150-К</t>
  </si>
  <si>
    <t>Трактор Т-16М</t>
  </si>
  <si>
    <t>Автонавантажувач JCB 3CX</t>
  </si>
  <si>
    <t>9151ОО</t>
  </si>
  <si>
    <t>СААГ с дизельним двигуном</t>
  </si>
  <si>
    <t>Компресор пересувний ПКСД-5,25 ДМ</t>
  </si>
  <si>
    <t>993/1</t>
  </si>
  <si>
    <t>Агрегат бензоелект. АНД-100У1</t>
  </si>
  <si>
    <t>219/1</t>
  </si>
  <si>
    <t>Генератор Хонда для вентиляції теплових камер</t>
  </si>
  <si>
    <t>Бензопила 435</t>
  </si>
  <si>
    <t>Екскаватор ЭО 2628</t>
  </si>
  <si>
    <t>Насос "Андижанец"</t>
  </si>
  <si>
    <t>Агрегат для вентиля-ції теплових камер</t>
  </si>
  <si>
    <t>Генератор бензиновий GBG 3500</t>
  </si>
  <si>
    <t>Мотопомпа SST-80HX</t>
  </si>
  <si>
    <t>Майстер з експлуатації та ремонту машин і механізмів Ііг.</t>
  </si>
  <si>
    <t xml:space="preserve">А.Є. Бабенко </t>
  </si>
  <si>
    <t>Рік проведення технічного контролю</t>
  </si>
  <si>
    <t>1 раз в 2 года</t>
  </si>
  <si>
    <t>по году віпуска четніе в четній, нечетній в нечетніе</t>
  </si>
  <si>
    <t>техосвід каждій год, техоглягляд грузовіе каждій</t>
  </si>
  <si>
    <t>розрахунок на листі ТО</t>
  </si>
  <si>
    <t>розрахунок на листі ТЗ</t>
  </si>
  <si>
    <t>кисневі балони</t>
  </si>
  <si>
    <t>Групи споживачів</t>
  </si>
  <si>
    <t>Прямі матеріальні витрати всього, у т.ч.:</t>
  </si>
  <si>
    <t>Прямі витрати на постачання теплової енергії всього, у т.ч.:</t>
  </si>
  <si>
    <t>Прямі витрати на оплату праці всього, у т.ч.:</t>
  </si>
  <si>
    <t>Інші прямі витрати:</t>
  </si>
  <si>
    <t>амортизація  основних засобів загальногосподарського призначення</t>
  </si>
  <si>
    <t>амортизація інших необоротних матеріальних активів загальногосподарського призначення призначення</t>
  </si>
  <si>
    <t>розрахунок на листі ФОП</t>
  </si>
  <si>
    <t>Прямі витрати на постачання теплової енергії</t>
  </si>
  <si>
    <t>Прямі витрати на транспортування теплової енергії</t>
  </si>
  <si>
    <t>Прямі витрати на виробництво теплової енергії</t>
  </si>
  <si>
    <t xml:space="preserve">тарифів на постачання теплової енергії </t>
  </si>
  <si>
    <t>загальновиробничі потреби, крім ремонтів</t>
  </si>
  <si>
    <t>на ремонти</t>
  </si>
  <si>
    <t>договір+довідка</t>
  </si>
  <si>
    <t>договір, розподіл заг.суми</t>
  </si>
  <si>
    <t>Обсяг споживання реактивної електроенергії (на ремонти)</t>
  </si>
  <si>
    <t>Вартість активної та реактивної електроенергії на ремонти</t>
  </si>
  <si>
    <t>факт * ІЦВ</t>
  </si>
  <si>
    <t>Прямі витрати на транспортування теплової енергії всього, у т.ч.:</t>
  </si>
  <si>
    <t>Корисний відпуск всього, у т.ч.:</t>
  </si>
  <si>
    <t>радіочастоти</t>
  </si>
  <si>
    <t>розрахунок</t>
  </si>
  <si>
    <t>параметрування та техперевірка 3-х фазних лічильників</t>
  </si>
  <si>
    <t>1, а 2 на ТР</t>
  </si>
  <si>
    <t>державна повірка та юстування</t>
  </si>
  <si>
    <t>обслуговування теплових камер</t>
  </si>
  <si>
    <t>Прямі витрати на виробництво теплової енергії всього, у т.ч.:</t>
  </si>
  <si>
    <t>холодна вода для технологічних потреб та водовідведення</t>
  </si>
  <si>
    <t>Д8_Паливо</t>
  </si>
  <si>
    <t>Д9_ЕЕ</t>
  </si>
  <si>
    <t>сіль</t>
  </si>
  <si>
    <t>централізоване водопостачання, централізоване водовідведення (господарсько-питні потреби)</t>
  </si>
  <si>
    <t>амортизація основних засобів виробничого призначення, безпосередньо задіяних у процесі постачання теплової енергії</t>
  </si>
  <si>
    <t>амортизація інших необоротних матеріальних активів виробничого призначення, безпосередньо задіяних у процесі постачання теплової енергії</t>
  </si>
  <si>
    <t>перенесено у виробництво</t>
  </si>
  <si>
    <t>особи</t>
  </si>
  <si>
    <t>оплата праці працюючих інвалідів</t>
  </si>
  <si>
    <t>витрати на оплату праці апарату управління та іншого загальногосподарського персоналу всього, у т.ч.:</t>
  </si>
  <si>
    <t>єдиний внесок на загальнообов’язкове державне соціальне страхування апарату управління та іншого загальногосподарського персоналу</t>
  </si>
  <si>
    <t>Амортизація основних засобів загальногосподарського використання</t>
  </si>
  <si>
    <t>Амортизація інших необоротних матеріальних і нематеріальних активів загальногосподарського використання</t>
  </si>
  <si>
    <t>розрахунок на листі Д9_ЕЕ</t>
  </si>
  <si>
    <t>витрати на оплату праці загальновиробничого персоналу всього, у т.ч.:</t>
  </si>
  <si>
    <t>єдиний внесок на загальнообов’язкове державне соціальне страхування загальновиробничого персоналу</t>
  </si>
  <si>
    <t>Витрати на утримання основних засобів, інших необоротних матеріальних активів загальновиробничого використання всього, у т.ч.:</t>
  </si>
  <si>
    <t>вогнегасники</t>
  </si>
  <si>
    <t>перенесено з адмін</t>
  </si>
  <si>
    <t>Амортизація основних засобів загальновиробничого призначення</t>
  </si>
  <si>
    <t>Амортизація інших необоротних матеріальних і нематеріальних активів загальновиробничого призначення</t>
  </si>
  <si>
    <t>факт 2020, включено у виробництво і транспорт</t>
  </si>
  <si>
    <t>розрахунок в окремому файлі ВОДА</t>
  </si>
  <si>
    <t>заміна кінцевої муфти (прямолінійних ділянок газопроводу перед комерційними шайбами)</t>
  </si>
  <si>
    <t>обстеження димвентканалів</t>
  </si>
  <si>
    <t>припинення та відновлення газопостачання</t>
  </si>
  <si>
    <t>обслуговування кондиціонерів</t>
  </si>
  <si>
    <t>лабораторні вимірювання якості води</t>
  </si>
  <si>
    <t>перетворювачі частоти</t>
  </si>
  <si>
    <t>Планові витрати пального, грн.</t>
  </si>
  <si>
    <t>Планові витрати мастила, грн.</t>
  </si>
  <si>
    <t>Розрахунок витрат на медичні обстеження персоналу</t>
  </si>
  <si>
    <t>Розрахунок витрат на навчання персоналу</t>
  </si>
  <si>
    <t>Розрахунок планованих витрат на засоби індивідуального захисту працівників</t>
  </si>
  <si>
    <t>Розрахунок витрат на проведення атестації</t>
  </si>
  <si>
    <t>Інша діяльнісь</t>
  </si>
  <si>
    <t>розрахунок в окремому файлі АМОРТИЗАЦІЯ, зведена на листі Амортизація</t>
  </si>
  <si>
    <t>для МЗК</t>
  </si>
  <si>
    <t>для всіх інших споживачів</t>
  </si>
  <si>
    <t>"ЗАТВЕРДЖЕНО"</t>
  </si>
  <si>
    <t>"___"______________ 201_р</t>
  </si>
  <si>
    <t>(найменування ліцензіата)</t>
  </si>
  <si>
    <t>Без ПДВ</t>
  </si>
  <si>
    <t>ВІДСОТОК ХВП</t>
  </si>
  <si>
    <t xml:space="preserve">№ </t>
  </si>
  <si>
    <t>одиниця виміру</t>
  </si>
  <si>
    <t>Факт 2019 року</t>
  </si>
  <si>
    <t>ВІДСОТОК ВОДОДВІДВЕДЕННЯ</t>
  </si>
  <si>
    <t>Всього на виробництво, транспортування, постачання т.е.</t>
  </si>
  <si>
    <t>Виробництво теплової енергії  (прямі витрати)</t>
  </si>
  <si>
    <t>Транспортування теплової енергії (прямі витрати)</t>
  </si>
  <si>
    <t>Послуга з абон. обслугов.</t>
  </si>
  <si>
    <t>Встан. Обслед, замін ВКО</t>
  </si>
  <si>
    <t>Відхилення гр.8 від гр.4, %</t>
  </si>
  <si>
    <t>Відхилення гр.9 від гр.5, %</t>
  </si>
  <si>
    <t>Відхилення гр.8 від гр.6, %</t>
  </si>
  <si>
    <t>Відхилення гр.9 від гр.7, %</t>
  </si>
  <si>
    <t>ПЕРЕВІРКА</t>
  </si>
  <si>
    <t>водопос- тачання</t>
  </si>
  <si>
    <t>водовід- ведення</t>
  </si>
  <si>
    <t>Розрахунок потреб водопостачання та водовідведення</t>
  </si>
  <si>
    <t>Загальний обсяг споживання води та водовідведення всього, у т.ч.:</t>
  </si>
  <si>
    <r>
      <t>м</t>
    </r>
    <r>
      <rPr>
        <b/>
        <i/>
        <vertAlign val="superscript"/>
        <sz val="8"/>
        <rFont val="Times New Roman"/>
        <family val="1"/>
        <charset val="204"/>
      </rPr>
      <t>3</t>
    </r>
  </si>
  <si>
    <t>1.</t>
  </si>
  <si>
    <t>Обсяги споживання води та водовідведення на технологічні потреби всього, у т.ч.:</t>
  </si>
  <si>
    <t>1.1.</t>
  </si>
  <si>
    <t>Обсяг споживання води на ХВП</t>
  </si>
  <si>
    <t>1.2.</t>
  </si>
  <si>
    <t>Обсяг води на заповнення системи</t>
  </si>
  <si>
    <t>запов+гідр.випроб</t>
  </si>
  <si>
    <t>1.3.</t>
  </si>
  <si>
    <t>Обсяг води на підживлення</t>
  </si>
  <si>
    <t>1.4.</t>
  </si>
  <si>
    <t>1.5.</t>
  </si>
  <si>
    <t>Обсяг води на гідравлічні випробування</t>
  </si>
  <si>
    <t>1.6.</t>
  </si>
  <si>
    <t>Обсяг води на охолодження підшипників</t>
  </si>
  <si>
    <t>1.7.</t>
  </si>
  <si>
    <t>Інше використання технологічної води (призначення розшифрувати)  обслуговування технологічних баков</t>
  </si>
  <si>
    <t>1.7.1.</t>
  </si>
  <si>
    <t>Заполнение котлів</t>
  </si>
  <si>
    <t>1.7.2.</t>
  </si>
  <si>
    <t>Промивка теплових мереж</t>
  </si>
  <si>
    <t>1.7.3.</t>
  </si>
  <si>
    <t>Продувка парових та водогрыйних котлів</t>
  </si>
  <si>
    <t>2.</t>
  </si>
  <si>
    <t>Обсяг води на інші потреби (господарські)  ліцензованої діяльності нетехнологічні</t>
  </si>
  <si>
    <t>3.</t>
  </si>
  <si>
    <r>
      <rPr>
        <b/>
        <sz val="9"/>
        <rFont val="Times New Roman"/>
        <family val="1"/>
        <charset val="204"/>
      </rPr>
      <t>Довідково:</t>
    </r>
    <r>
      <rPr>
        <sz val="9"/>
        <rFont val="Times New Roman"/>
        <family val="1"/>
        <charset val="204"/>
      </rPr>
      <t xml:space="preserve"> Обсяг хімічнопідготовленної води </t>
    </r>
    <r>
      <rPr>
        <b/>
        <sz val="9"/>
        <rFont val="Times New Roman"/>
        <family val="1"/>
        <charset val="204"/>
      </rPr>
      <t>(тільки для котелень на яких проводиться ХВО)</t>
    </r>
    <r>
      <rPr>
        <sz val="9"/>
        <rFont val="Times New Roman"/>
        <family val="1"/>
        <charset val="204"/>
      </rPr>
      <t xml:space="preserve"> </t>
    </r>
  </si>
  <si>
    <t>Розрахунок вартості послуг з водопостачання та водовідведення</t>
  </si>
  <si>
    <t>4.</t>
  </si>
  <si>
    <t>Обсяги покупної води та водовідведення всього</t>
  </si>
  <si>
    <t>4.1.</t>
  </si>
  <si>
    <t>Тариф на покупну воду   / водовідведення (без ПДВ)</t>
  </si>
  <si>
    <r>
      <t>грн/м</t>
    </r>
    <r>
      <rPr>
        <b/>
        <i/>
        <vertAlign val="superscript"/>
        <sz val="8"/>
        <rFont val="Times New Roman"/>
        <family val="1"/>
        <charset val="204"/>
      </rPr>
      <t>3</t>
    </r>
  </si>
  <si>
    <t>4.2.</t>
  </si>
  <si>
    <t>Вартість покупної води / водовідведення всього</t>
  </si>
  <si>
    <t>тис. грн.</t>
  </si>
  <si>
    <t>№1</t>
  </si>
  <si>
    <r>
      <t xml:space="preserve">Обсяги (об*єкт водопостачання </t>
    </r>
    <r>
      <rPr>
        <sz val="9"/>
        <color rgb="FFFF0000"/>
        <rFont val="Times New Roman"/>
        <family val="1"/>
        <charset val="204"/>
      </rPr>
      <t>№1</t>
    </r>
    <r>
      <rPr>
        <sz val="9"/>
        <rFont val="Times New Roman"/>
        <family val="1"/>
        <charset val="204"/>
      </rPr>
      <t>)</t>
    </r>
  </si>
  <si>
    <t>Тариф (об*єкт №1) на покупну воду   / водовідведення (без ПДВ)</t>
  </si>
  <si>
    <r>
      <rPr>
        <sz val="9"/>
        <rFont val="Times New Roman"/>
        <family val="1"/>
        <charset val="204"/>
      </rPr>
      <t>Вартість покупної води / водовідведення від об*єкта</t>
    </r>
    <r>
      <rPr>
        <sz val="9"/>
        <color rgb="FFFF0000"/>
        <rFont val="Times New Roman"/>
        <family val="1"/>
        <charset val="204"/>
      </rPr>
      <t xml:space="preserve"> №1</t>
    </r>
  </si>
  <si>
    <t>№2</t>
  </si>
  <si>
    <r>
      <t xml:space="preserve">Обсяги (об*єкт </t>
    </r>
    <r>
      <rPr>
        <b/>
        <sz val="9"/>
        <rFont val="Times New Roman"/>
        <family val="1"/>
        <charset val="204"/>
      </rPr>
      <t>водопостачання</t>
    </r>
    <r>
      <rPr>
        <sz val="9"/>
        <rFont val="Times New Roman"/>
        <family val="1"/>
        <charset val="204"/>
      </rPr>
      <t xml:space="preserve"> </t>
    </r>
    <r>
      <rPr>
        <sz val="9"/>
        <color rgb="FFFF0000"/>
        <rFont val="Times New Roman"/>
        <family val="1"/>
        <charset val="204"/>
      </rPr>
      <t>№2</t>
    </r>
    <r>
      <rPr>
        <sz val="9"/>
        <rFont val="Times New Roman"/>
        <family val="1"/>
        <charset val="204"/>
      </rPr>
      <t xml:space="preserve">) </t>
    </r>
  </si>
  <si>
    <t>Тариф (об*єкт №2) на покупну воду   / водовідведення (без ПДВ)</t>
  </si>
  <si>
    <r>
      <rPr>
        <sz val="9"/>
        <rFont val="Times New Roman"/>
        <family val="1"/>
        <charset val="204"/>
      </rPr>
      <t>Вартість покупної води / водовідведення від об*єкта</t>
    </r>
    <r>
      <rPr>
        <sz val="9"/>
        <color rgb="FFFF0000"/>
        <rFont val="Times New Roman"/>
        <family val="1"/>
        <charset val="204"/>
      </rPr>
      <t xml:space="preserve"> №2</t>
    </r>
  </si>
  <si>
    <t>№3</t>
  </si>
  <si>
    <t>Обсяги (об*єкт водопостачання №3)</t>
  </si>
  <si>
    <t>Тариф (об*єкт №3) на покупну воду   / водовідведення (без ПДВ)</t>
  </si>
  <si>
    <t>Вартість покупної води / водовідведення від об*єкта №3</t>
  </si>
  <si>
    <t>№4</t>
  </si>
  <si>
    <t>Обсяги (об*єкт водопостачання №4)</t>
  </si>
  <si>
    <t>Тариф (об*єкт №4) на покупну воду   / водовідведення (без ПДВ)</t>
  </si>
  <si>
    <t>Вартість покупної води / водовідведення від об*єкта №4</t>
  </si>
  <si>
    <t>№5</t>
  </si>
  <si>
    <t>Обсяги (об*єкт водопостачання №5)</t>
  </si>
  <si>
    <t>Тариф (об*єкт №5) на покупну воду   / водовідведення (без ПДВ)</t>
  </si>
  <si>
    <t>Вартість покупної води / водовідведення від об*єкта №5</t>
  </si>
  <si>
    <t>№6</t>
  </si>
  <si>
    <t>Обсяги (об*єкт водопостачання №6)</t>
  </si>
  <si>
    <t>Тариф (об*єкт №6) на покупну воду   / водовідведення (без ПДВ)</t>
  </si>
  <si>
    <t>Вартість покупної води / водовідведення від об*єкта №6</t>
  </si>
  <si>
    <t>№7</t>
  </si>
  <si>
    <t>Обсяги (об*єкт водопостачання №7)</t>
  </si>
  <si>
    <t>Тариф (об*єкт №7) на покупну воду   / водовідведення (без ПДВ)</t>
  </si>
  <si>
    <t>Вартість покупної води / водовідведення від об*єкта №7</t>
  </si>
  <si>
    <t>№8</t>
  </si>
  <si>
    <t>Обсяги (об*єкт водопостачання №8)</t>
  </si>
  <si>
    <t>Тариф (об*єкт №8) на покупну воду   / водовідведення (без ПДВ)</t>
  </si>
  <si>
    <t>Вартість покупної води / водовідведення від об*єкта №8</t>
  </si>
  <si>
    <t>№9</t>
  </si>
  <si>
    <t>Обсяги (об*єкт водопостачання №9)</t>
  </si>
  <si>
    <t>Тариф (об*єкт №9) на покупну воду   / водовідведення (без ПДВ)</t>
  </si>
  <si>
    <t>Вартість покупної води / водовідведення від об*єкта №9</t>
  </si>
  <si>
    <t>№10</t>
  </si>
  <si>
    <t>Обсяги (об*єкт водопостачання №10)</t>
  </si>
  <si>
    <t>Тариф (об*єкт №10) на покупну воду   / водовідведення (без ПДВ)</t>
  </si>
  <si>
    <t>Вартість покупної води / водовідведення від об*єкта №10</t>
  </si>
  <si>
    <t>№11</t>
  </si>
  <si>
    <t>Обсяги (об*єкт водопостачання №11)</t>
  </si>
  <si>
    <t>Тариф (об*єкт №11) на покупну воду   / водовідведення (без ПДВ)</t>
  </si>
  <si>
    <t>Вартість покупної води / водовідведення від об*єкта №11</t>
  </si>
  <si>
    <t>№12</t>
  </si>
  <si>
    <t>Обсяги (об*єкт водопостачання №12)</t>
  </si>
  <si>
    <t>Тариф (об*єкт №12) на покупну воду   / водовідведення (без ПДВ)</t>
  </si>
  <si>
    <t>Вартість покупної води / водовідведення від об*єкта №12</t>
  </si>
  <si>
    <t>№13</t>
  </si>
  <si>
    <t>Обсяги (об*єкт водопостачання №13)</t>
  </si>
  <si>
    <t>Тариф (об*єкт №13) на покупну воду   / водовідведення (без ПДВ)</t>
  </si>
  <si>
    <t>Вартість покупної води / водовідведення від об*єкта №13</t>
  </si>
  <si>
    <t>№14</t>
  </si>
  <si>
    <t>Обсяги (об*єкт водопостачання №14)</t>
  </si>
  <si>
    <t>Тариф (об*єкт №14) на покупну воду   / водовідведення (без ПДВ)</t>
  </si>
  <si>
    <t>Вартість покупної води / водовідведення від об*єкта №14</t>
  </si>
  <si>
    <t>№15</t>
  </si>
  <si>
    <t>Обсяги (об*єкт водопостачання №15)</t>
  </si>
  <si>
    <t>Тариф (об*єкт №15) на покупну воду   / водовідведення (без ПДВ)</t>
  </si>
  <si>
    <t>Вартість покупної води / водовідведення від об*єкта №15</t>
  </si>
  <si>
    <t>№16</t>
  </si>
  <si>
    <t>Обсяги (об*єкт водопостачання №16)</t>
  </si>
  <si>
    <t>Тариф (об*єкт №16) на покупну воду   / водовідведення (без ПДВ)</t>
  </si>
  <si>
    <t>Вартість покупної води / водовідведення від об*єкта №16</t>
  </si>
  <si>
    <t>5.</t>
  </si>
  <si>
    <t>Обсяги споживання води власного видобутку (поверхневий водозабір, артезіанські свердловини) всього</t>
  </si>
  <si>
    <t>5.1.</t>
  </si>
  <si>
    <t>Собівартість води власного видобутку      (без ПДВ)</t>
  </si>
  <si>
    <t>5.2.</t>
  </si>
  <si>
    <t>Вартість води  власного видобутку (поверхневий водозабір, артезіанські свердловини)  всього</t>
  </si>
  <si>
    <t>6.</t>
  </si>
  <si>
    <t>Обсяги споживання води власного виробництва всього</t>
  </si>
  <si>
    <t>6.1.</t>
  </si>
  <si>
    <t>Тариф на воду власного виробництва    (без ПДВ)</t>
  </si>
  <si>
    <t>6.2.</t>
  </si>
  <si>
    <t>Вартість води  власного виробництва всього</t>
  </si>
  <si>
    <t>7.</t>
  </si>
  <si>
    <t>Вартість водопостачання та водовідведення</t>
  </si>
  <si>
    <t>8.</t>
  </si>
  <si>
    <t>Рівень складової водопостачання та водовідведення у собівартості тарифу на теплову енергії</t>
  </si>
  <si>
    <t>9.</t>
  </si>
  <si>
    <t>Реалізація  теплової енергії власним споживачам</t>
  </si>
  <si>
    <t>тис.Гкал</t>
  </si>
  <si>
    <t>Інформаційно:</t>
  </si>
  <si>
    <t>10.</t>
  </si>
  <si>
    <t>Ємність мереж від котелень, що працюють тільки в опалювальний період (крім мереж ГВП)</t>
  </si>
  <si>
    <t>11.</t>
  </si>
  <si>
    <t>Кількість днів опалювального періоду</t>
  </si>
  <si>
    <t>12.</t>
  </si>
  <si>
    <t>Ємність мереж від котелень, що працюють в опалювальний та міжопалювальний період (крім мереж ГВП)</t>
  </si>
  <si>
    <t>13.</t>
  </si>
  <si>
    <t xml:space="preserve">Кількість  днів роботи в опалювальний та міжопалювальний період  </t>
  </si>
  <si>
    <t>14.</t>
  </si>
  <si>
    <t xml:space="preserve">Обсяг води виставлений до сплати споживачам, як втрати в мережах споживачів на підживлення мереж </t>
  </si>
  <si>
    <t>Головний інженер КП "ЧТЕ"</t>
  </si>
  <si>
    <t>Розрахунок вартості обсягів технологічної води та води на господарсько-побутові потреби з урахуванням водовідведення</t>
  </si>
  <si>
    <t>розрахунок в окремому файлі ВОДА, зведена на листі ВОДА</t>
  </si>
  <si>
    <t>ВСЬОГО, у т.ч.:</t>
  </si>
  <si>
    <t>Абонентське обслуговування</t>
  </si>
  <si>
    <t>Статті витрат</t>
  </si>
  <si>
    <t>Кількість</t>
  </si>
  <si>
    <t>Ціна обслуговування картріджа, грн./од</t>
  </si>
  <si>
    <t>Витрати, грн в рік</t>
  </si>
  <si>
    <t>Розрахунок витрат на послуги (консультаційні, інформаційні, професійні, аудит та інші)</t>
  </si>
  <si>
    <t>Доступ до електронного документообороту</t>
  </si>
  <si>
    <t>Розшифровка фактичних витрат на відрядження для врахування при плануванні на</t>
  </si>
  <si>
    <t>база розподілу загальновиробничих витрат</t>
  </si>
  <si>
    <t>СПЕЦХАРЧУВАННЯ</t>
  </si>
  <si>
    <t xml:space="preserve">Молоко </t>
  </si>
  <si>
    <t>сума</t>
  </si>
  <si>
    <t>Розрахунок витрат на спецхарчування</t>
  </si>
  <si>
    <t>кількість</t>
  </si>
  <si>
    <t>Загальновироничі</t>
  </si>
  <si>
    <t>Ціна на молоко</t>
  </si>
  <si>
    <t>ЦІНА</t>
  </si>
  <si>
    <t>Розрахунок витрат на проведення технічного обслуговування транспортних засобів</t>
  </si>
  <si>
    <t>Ціна, грн</t>
  </si>
  <si>
    <t>виробництво</t>
  </si>
  <si>
    <t>транспортування</t>
  </si>
  <si>
    <t>загальновиробничі</t>
  </si>
  <si>
    <t>адміністративні</t>
  </si>
  <si>
    <t>декларация на 6 видов работ , вроде добровольно, а без нее не регистрируют держпрацы</t>
  </si>
  <si>
    <t>виробництво/транспорт</t>
  </si>
  <si>
    <t>заправка картріджів</t>
  </si>
  <si>
    <t>Екологічний податок</t>
  </si>
  <si>
    <t>Витрати на податки, збори, платежі на</t>
  </si>
  <si>
    <t>Розрахунки для Річного плану</t>
  </si>
  <si>
    <t>придбання палива (природний газ) на технологічні потреби всього, у т.ч.:</t>
  </si>
  <si>
    <t>транспортування природного газу</t>
  </si>
  <si>
    <t>розподіл природного газу</t>
  </si>
  <si>
    <t>Обстеження  та перевірка техстану димарних каналів та повітряпроводів</t>
  </si>
  <si>
    <t>Обстеження димоходів</t>
  </si>
  <si>
    <t>Технічне освідоцтво котлів КВГМ-50</t>
  </si>
  <si>
    <t>Технічне освідоцтво котлів ПТВМ-30 (3783)</t>
  </si>
  <si>
    <t>Технічне освідоцтво кран-балки</t>
  </si>
  <si>
    <t>Технічне освідоцтво автокрана</t>
  </si>
  <si>
    <t>Калібровка резервуара</t>
  </si>
  <si>
    <t>Технічне освідоцтво трубопроводів IV категорії</t>
  </si>
  <si>
    <t>Тех обстеження стану димових труб (Садова 1)</t>
  </si>
  <si>
    <t>Випробування, освідотсвування, фарбування кисневих балонів</t>
  </si>
  <si>
    <t>Випробування образивних кругів</t>
  </si>
  <si>
    <t>Обладнання, устткування</t>
  </si>
  <si>
    <t>Технічне обслуговування вогнегасників</t>
  </si>
  <si>
    <t>Послуга на зняття відключаючих засувок ГРУ з електроприводом, 2 од, та встановлення відключаючихз засувок ГРУ з електроприводом після ремонту газової котельні (Садова 1)</t>
  </si>
  <si>
    <t>Розрахунок  витрат на  технічне обслуговування обладнання, установок</t>
  </si>
  <si>
    <t>грн. без ПДВ</t>
  </si>
  <si>
    <t xml:space="preserve">З В Т </t>
  </si>
  <si>
    <t>Кільк. Штук</t>
  </si>
  <si>
    <t>Період. Повірочний</t>
  </si>
  <si>
    <t>Варт. Пов.</t>
  </si>
  <si>
    <t>Сума за пов.</t>
  </si>
  <si>
    <t>Сума за юстир.</t>
  </si>
  <si>
    <t>ТИП</t>
  </si>
  <si>
    <t>1разнарік</t>
  </si>
  <si>
    <t>1р. на рік</t>
  </si>
  <si>
    <t>Амперметри</t>
  </si>
  <si>
    <t>Вольтметри</t>
  </si>
  <si>
    <t>Манометри до 60 МРА</t>
  </si>
  <si>
    <t>Напороміри, тягонапороміри</t>
  </si>
  <si>
    <t>Прилади вимір. з уніфіц. сигналом</t>
  </si>
  <si>
    <t>1р на рік</t>
  </si>
  <si>
    <t>Маном. електр. дістанціон.</t>
  </si>
  <si>
    <t>Діафрагми  станд.госпорахункові</t>
  </si>
  <si>
    <t>Перетворювач тиску РС-28</t>
  </si>
  <si>
    <t>1р.на рік</t>
  </si>
  <si>
    <t>Перетворювач тиску ППС3-РН</t>
  </si>
  <si>
    <t>Діафрагми стандартні,технічні</t>
  </si>
  <si>
    <t>Термоперетворювачі опору  ТСМ,ТСП</t>
  </si>
  <si>
    <t>Разом:</t>
  </si>
  <si>
    <t>Майстер з обслуговування електроавтоматики і засобів виміру</t>
  </si>
  <si>
    <t>Стоянова Л.П.</t>
  </si>
  <si>
    <t>договір</t>
  </si>
  <si>
    <t>на В і Тр</t>
  </si>
  <si>
    <t>Администр</t>
  </si>
  <si>
    <t>Вид діяльності</t>
  </si>
  <si>
    <t>Абонобсл</t>
  </si>
  <si>
    <t>кількість, шт.</t>
  </si>
  <si>
    <t>к-cть</t>
  </si>
  <si>
    <t>Витрати на спецхарчування</t>
  </si>
  <si>
    <t>ціна, грн. за 0,5 л</t>
  </si>
  <si>
    <t>розразунок на листі СПЕЦХАРЧ</t>
  </si>
  <si>
    <t>Персонал</t>
  </si>
  <si>
    <t>Сума, грн</t>
  </si>
  <si>
    <t>перенесено в транспортування</t>
  </si>
  <si>
    <t>Ліцензована діяльність у сфері теплопостачання</t>
  </si>
  <si>
    <t>Всього ТЕ</t>
  </si>
  <si>
    <t>Інші види діяльності</t>
  </si>
  <si>
    <t>Прямі витрати на оплату праці</t>
  </si>
  <si>
    <t>у т.ч. з ЦТП</t>
  </si>
  <si>
    <t>Транспортування всього, у т.ч.:</t>
  </si>
  <si>
    <t>Розподіл загальновиробничих та адміністративних витрат між видами діяльності</t>
  </si>
  <si>
    <t>Прямі витрати всього, без урахування витрат на покриття втрат теплової енергії в теплових мережах</t>
  </si>
  <si>
    <t>витрати на покриття втрат теплової енергії в телових мережах</t>
  </si>
  <si>
    <t>Адміністративні витрати всього, розподілені між всіма видами діяльності по прямим витратам на опату праці</t>
  </si>
  <si>
    <t>Загальновиробничі витрати всього, розподілені між всіма видами діяльності по прямим витратам на оплату праці</t>
  </si>
  <si>
    <t>Загальновиробничі витрати всього, розподілені між ліцензованими видами діяльності по прямим витратам</t>
  </si>
  <si>
    <t>ЗАГАЛЬНОВИРОБНИЧІ ВИТРАТИ РОЗПОДІЛЕНІ ВСЬОГО</t>
  </si>
  <si>
    <t>ЗАГАЛЬНА БАЗА РОЗПОДІЛУ ЗАГАЛЬНОВИРОБНИЧИХ ВИТРАТ</t>
  </si>
  <si>
    <t>Виробнича собівартість всього, без урахування витрат на покриття втрат теплової енергії в теплових мережах</t>
  </si>
  <si>
    <t>Адміністративні витрати всього, розподілені між ліцензованими видами діяльності по виробничій собівартості</t>
  </si>
  <si>
    <t>у т.ч. без ЦТП</t>
  </si>
  <si>
    <t>АДМІНІСТРАТИВНІ ВИТРАТИ РОЗПОДІЛЕНІ ВСЬОГО</t>
  </si>
  <si>
    <t>Відсоток повної планованої собівартості теплової енергії (без урахування витрат на відшкодування втрат та вартості виробництва теплової енергії на власних ТЕЦ, ТЕС, АЕС, когенераційних установках, установках з використанням альтернативних джерел енергії)</t>
  </si>
  <si>
    <t>Ставка податку на прибуток</t>
  </si>
  <si>
    <t>Розшифровка  витрат  на страхування</t>
  </si>
  <si>
    <t>тарифів на виробництво теплової енергії</t>
  </si>
  <si>
    <t>покупна теплова енергія та/або встановлена повна планована собівартість теплової енергії, виробленої  власними ТЕЦ, ТЕС, АЕС, КГУ та/або встановлена повна планована вартість теплової енергії, виробленої власними установками, що використовують НПДЕ</t>
  </si>
  <si>
    <t>Відпуск теплової енергії з колекторів власних генеруючих джерел, усього, зокрема:</t>
  </si>
  <si>
    <t>січ</t>
  </si>
  <si>
    <t>Тариф на електричну енергію (діючий), без ПДВ</t>
  </si>
  <si>
    <t>Тариф для розрахунку плати за перетікання реактивної електроенергії (діючий), без ПДВ</t>
  </si>
  <si>
    <t>Примітка: В 2018-2019 рр  та в чинному тарифі тариф на виробництво теплової енергії та собівартість виробництва розраховано на обсяг реалізації теплової енергії, в планованому періоді - на обсяг відпуску теплової енергії</t>
  </si>
  <si>
    <t>Розрахунок витрат на повірку  та юстування</t>
  </si>
  <si>
    <t>Розрахунок  витрат на  технічне освідотство обладнання</t>
  </si>
  <si>
    <t>Розрахунок витрат на проведення обов'язкового техконтролю транспортних засобів</t>
  </si>
  <si>
    <t>Вартість юстир.</t>
  </si>
  <si>
    <t>Середньорічна сума</t>
  </si>
  <si>
    <t>Розрахунок витрат на обслуговування картріджів</t>
  </si>
  <si>
    <t>Витрати на утилізацію відходів (ганчіря, лампи, шини)</t>
  </si>
  <si>
    <t>Фонд оплати праці виробничого, загальновиробничого та адміністративного персоналу з відрахуваннями на соціальні заходи</t>
  </si>
  <si>
    <t>берез</t>
  </si>
  <si>
    <t>за рік</t>
  </si>
  <si>
    <t xml:space="preserve">Витрати на зв’язок </t>
  </si>
  <si>
    <t>ЗАГАЛЬНА БАЗА РОЗПОДІЛУ АДМІНІСТРАТИВНИХ ВИТРАТ</t>
  </si>
  <si>
    <t xml:space="preserve">(ініціали, прізвище)               </t>
  </si>
  <si>
    <t>ДАНЧЕНКА 6</t>
  </si>
  <si>
    <t>з ЦТП (витрати на ЦТП + частина спільних витрат)</t>
  </si>
  <si>
    <t>без ЦТП (частина спільних витрат)</t>
  </si>
  <si>
    <t>придбання електроенергії на технологічні потреби</t>
  </si>
  <si>
    <t>розподіл</t>
  </si>
  <si>
    <t>у т.ч. лише ЦТП</t>
  </si>
  <si>
    <t>лише ЦТП</t>
  </si>
  <si>
    <t>спільні з ЦТП та без ЦТП</t>
  </si>
  <si>
    <t>в тому числі за групами</t>
  </si>
  <si>
    <t>в т.ч. з ЦТП/без ЦТП</t>
  </si>
  <si>
    <t>1.1.4.1</t>
  </si>
  <si>
    <t>Планований відпуск з теплових мереж суб'єкта господарювання теплової енергії власним споживачам та теплової енергії інших власників, зокрема:</t>
  </si>
  <si>
    <t xml:space="preserve">відпуск теплової енергії власним споживачам </t>
  </si>
  <si>
    <t>9.4</t>
  </si>
  <si>
    <t>проверка</t>
  </si>
  <si>
    <t>прям</t>
  </si>
  <si>
    <t xml:space="preserve">        Лічильники електричної енергії (транспортування) на сумму</t>
  </si>
  <si>
    <t>Манометри (транспортування) 96 шт. на сумму</t>
  </si>
  <si>
    <t>ВСЬОГО ВИТРАТ НА ТРАНСПОРТУВАННЯ</t>
  </si>
  <si>
    <t>ВСЬОГО ВИТРАТ НА ВИРОБНИЦТВО</t>
  </si>
  <si>
    <t>у відсотках до нормативного обсягу надходження теплової енергії в теплові мережі</t>
  </si>
  <si>
    <t>Дивний показник)</t>
  </si>
  <si>
    <t>Бюджет</t>
  </si>
  <si>
    <t>9.4.</t>
  </si>
  <si>
    <t>В файле тарифов за 2018 год</t>
  </si>
  <si>
    <t>Д12</t>
  </si>
  <si>
    <t>4.6</t>
  </si>
  <si>
    <t xml:space="preserve"> 4.6.1</t>
  </si>
  <si>
    <t>у т.ч.  для плану</t>
  </si>
  <si>
    <t>з ПДВ</t>
  </si>
  <si>
    <t>Всього буде нараховано</t>
  </si>
  <si>
    <t>Факт буде такий</t>
  </si>
  <si>
    <t>на господарські потреби ліцензованої діяльності суб’єкта господарювання</t>
  </si>
  <si>
    <t>виконавців комунальних послуг</t>
  </si>
  <si>
    <t>Вартість активної та реактивної електроенергії на постачання теплової енергії</t>
  </si>
  <si>
    <t>Планований корисний відпуск теплової енергії власним споживачам та теплової енергії інших власників, зокрема:</t>
  </si>
  <si>
    <t>щодо планованих обсягів теплової енергії для надання послуг</t>
  </si>
  <si>
    <t>Обсяг відпуску теплової енергії з колекторів власних генеруючих джерел</t>
  </si>
  <si>
    <t>Відсоток дивідендів</t>
  </si>
  <si>
    <t>Вихідні дані та техніко-економічні показники</t>
  </si>
  <si>
    <t>Найменування показника </t>
  </si>
  <si>
    <t>Показник базового року</t>
  </si>
  <si>
    <t>Усього </t>
  </si>
  <si>
    <t>У тому числі </t>
  </si>
  <si>
    <t>населення </t>
  </si>
  <si>
    <t>релігійні
організації</t>
  </si>
  <si>
    <t>Теплове навантаження системи: </t>
  </si>
  <si>
    <t>Гкал/г </t>
  </si>
  <si>
    <t>опалення </t>
  </si>
  <si>
    <t>- " - </t>
  </si>
  <si>
    <t>вентиляції </t>
  </si>
  <si>
    <t>постачання технологічної пари </t>
  </si>
  <si>
    <t>Реалізація теплової енергії споживачам, усього </t>
  </si>
  <si>
    <t>тис. Гкал </t>
  </si>
  <si>
    <t>у тому числі: </t>
  </si>
  <si>
    <t>  </t>
  </si>
  <si>
    <t>вентиляція </t>
  </si>
  <si>
    <t>постачання гарячої води </t>
  </si>
  <si>
    <t>2.4</t>
  </si>
  <si>
    <t>х </t>
  </si>
  <si>
    <t>Втрати теплової енергії під час транспортування магістральними та розподільчими мережами та в обладнанні</t>
  </si>
  <si>
    <t>Покупна теплова енергія  </t>
  </si>
  <si>
    <t>Теплова енергія, відпущена з колекторів  </t>
  </si>
  <si>
    <t>Теплова енергія для власних господарських потреб</t>
  </si>
  <si>
    <t>Теплова енергія для надання послуги з постачання теплової енергії</t>
  </si>
  <si>
    <t>Власне виробництво теплової енергії </t>
  </si>
  <si>
    <t>Витрати палива на виробництво теплової енергії: </t>
  </si>
  <si>
    <t>газу </t>
  </si>
  <si>
    <t>млн. куб. метрів </t>
  </si>
  <si>
    <t>мазуту </t>
  </si>
  <si>
    <t>тис. тонн </t>
  </si>
  <si>
    <t>твердого палива </t>
  </si>
  <si>
    <t>іншого виду палива</t>
  </si>
  <si>
    <t>Витрати умовного палива на виробництво теплової енергії </t>
  </si>
  <si>
    <t>Питомі витрати умовного палива </t>
  </si>
  <si>
    <t>кг/Гкал </t>
  </si>
  <si>
    <t>Витрати умовного палива на компенсацію тепловтрат </t>
  </si>
  <si>
    <t>Витрати електроенергії на технологічні потреби </t>
  </si>
  <si>
    <r>
      <t>тис. кВт</t>
    </r>
    <r>
      <rPr>
        <b/>
        <sz val="12"/>
        <rFont val="Times New Roman"/>
        <family val="1"/>
        <charset val="204"/>
      </rPr>
      <t>·</t>
    </r>
    <r>
      <rPr>
        <sz val="12"/>
        <rFont val="Times New Roman"/>
        <family val="1"/>
        <charset val="204"/>
      </rPr>
      <t>г </t>
    </r>
  </si>
  <si>
    <t>Питомі витрати електроенергії на технологічні потреби </t>
  </si>
  <si>
    <r>
      <t>кВт</t>
    </r>
    <r>
      <rPr>
        <b/>
        <sz val="12"/>
        <rFont val="Times New Roman"/>
        <family val="1"/>
        <charset val="204"/>
      </rPr>
      <t>·</t>
    </r>
    <r>
      <rPr>
        <sz val="12"/>
        <rFont val="Times New Roman"/>
        <family val="1"/>
        <charset val="204"/>
      </rPr>
      <t>г/Гкал </t>
    </r>
  </si>
  <si>
    <t>15.</t>
  </si>
  <si>
    <t>Витрати води на технологічні потреби </t>
  </si>
  <si>
    <t>тис. куб. метрів </t>
  </si>
  <si>
    <t>16.</t>
  </si>
  <si>
    <t>Витрати електричної енергії на централізоване постачання гарячої води </t>
  </si>
  <si>
    <t>17.</t>
  </si>
  <si>
    <t>Тривалість опалювального періоду </t>
  </si>
  <si>
    <t>діб </t>
  </si>
  <si>
    <t>18.</t>
  </si>
  <si>
    <t>Тривалість міжопалювального періоду </t>
  </si>
  <si>
    <t>19.</t>
  </si>
  <si>
    <t>Середня розрахункова температура внутрішнього повітря опалюваних будівель</t>
  </si>
  <si>
    <t>°C </t>
  </si>
  <si>
    <t>20.</t>
  </si>
  <si>
    <t>Середня температура зовнішнього повітря за опалювальний період </t>
  </si>
  <si>
    <t>21.</t>
  </si>
  <si>
    <t>Розрахункова температура зовнішнього повітря для проектування системи опалення </t>
  </si>
  <si>
    <t>22.</t>
  </si>
  <si>
    <t>Розрахункова температура зовнішнього повітря для проектування систем вентиляції </t>
  </si>
  <si>
    <t>23.</t>
  </si>
  <si>
    <t>Робота систем гарячого водопостачання під час режимної подачі гарячої води: </t>
  </si>
  <si>
    <t>23.1</t>
  </si>
  <si>
    <t>годин за добу </t>
  </si>
  <si>
    <t>годин </t>
  </si>
  <si>
    <t>23.2</t>
  </si>
  <si>
    <t>діб за тиждень </t>
  </si>
  <si>
    <t>23.3</t>
  </si>
  <si>
    <t>місяців протягом року </t>
  </si>
  <si>
    <t>місяців </t>
  </si>
  <si>
    <t>24.</t>
  </si>
  <si>
    <t>Споживання холодної води для потреб постачання гарячої води </t>
  </si>
  <si>
    <t>куб. метрів/г </t>
  </si>
  <si>
    <t>25.</t>
  </si>
  <si>
    <t>Норма витрати холодної води на гаряче водопостачання </t>
  </si>
  <si>
    <t>літрів на добу </t>
  </si>
  <si>
    <t>26.</t>
  </si>
  <si>
    <t>Температура холодної (водопровідної) води: </t>
  </si>
  <si>
    <t>26.1</t>
  </si>
  <si>
    <t>в опалювальний період </t>
  </si>
  <si>
    <t>26.2</t>
  </si>
  <si>
    <t>в міжопалювальний період </t>
  </si>
  <si>
    <t>27.</t>
  </si>
  <si>
    <t>Нижня теплота згорання натурального палива: </t>
  </si>
  <si>
    <t>ккал/куб. метр (ккал/кг) </t>
  </si>
  <si>
    <t>28.</t>
  </si>
  <si>
    <t>Вартість палива (без урахування податку на додану вартість) </t>
  </si>
  <si>
    <t>29.</t>
  </si>
  <si>
    <t>Вартість електроенергії в середньому за рік </t>
  </si>
  <si>
    <t>гривень/кВт·г </t>
  </si>
  <si>
    <t>30.</t>
  </si>
  <si>
    <t>Вартість води на потреби гарячого водопостачання </t>
  </si>
  <si>
    <t>гривень/куб. метр </t>
  </si>
  <si>
    <t>31.</t>
  </si>
  <si>
    <t>Вартість покупної теплової енергії </t>
  </si>
  <si>
    <t>гривень/ Гкал </t>
  </si>
  <si>
    <t>32.</t>
  </si>
  <si>
    <t>гривень/  куб. метр </t>
  </si>
  <si>
    <t>33.</t>
  </si>
  <si>
    <t>Загальна опалювана площа будівель усіх категорій споживачів </t>
  </si>
  <si>
    <t>тис. кв. метрів </t>
  </si>
  <si>
    <t>34.</t>
  </si>
  <si>
    <t>Загальна опалювана площа будівель у яких встановлено вузли комерційного обліку теплової енергії</t>
  </si>
  <si>
    <t>Загальна опалювана площа будівель у яких не встановлено вузли комерційного обліку теплової енергії</t>
  </si>
  <si>
    <t>Розрахункова норма витрат теплової енергії для опалення будинків, в яких відсутні вузли комерційного обліку теплової енергії</t>
  </si>
  <si>
    <t>Гкал/ кв. метр/ рік </t>
  </si>
  <si>
    <t>Питоме теплове навантаження системи опалення </t>
  </si>
  <si>
    <t>Гкал/г/кв. метр</t>
  </si>
  <si>
    <t>Кількість квартир з централізованим постачанням теплової енергії</t>
  </si>
  <si>
    <t>тис. квартир </t>
  </si>
  <si>
    <t>Кількість квартир з централізованим постачанням гарячої води </t>
  </si>
  <si>
    <t>Кількість споживачів (абонентів), яким надається послуга з постачання теплової енергії</t>
  </si>
  <si>
    <t>один.</t>
  </si>
  <si>
    <t>___________________</t>
  </si>
  <si>
    <t xml:space="preserve">                                  (керівник)</t>
  </si>
  <si>
    <t xml:space="preserve">     (власне ім'я, прізвище)</t>
  </si>
  <si>
    <r>
      <t xml:space="preserve">Примітки: </t>
    </r>
    <r>
      <rPr>
        <sz val="10"/>
        <rFont val="Times New Roman"/>
        <family val="1"/>
        <charset val="204"/>
      </rPr>
      <t>Рядки, відмічені позначкою Х не заповнюються.</t>
    </r>
  </si>
  <si>
    <t xml:space="preserve">                  * Одиниця виміру  зазначається відповідно до  виду палива, що використовується суб'єктом господарювання. </t>
  </si>
  <si>
    <t>Сумарні та середньозважені показники </t>
  </si>
  <si>
    <t>Для потреб</t>
  </si>
  <si>
    <t>умовно-змінна частина</t>
  </si>
  <si>
    <t>тис. Гкал</t>
  </si>
  <si>
    <t>20.1</t>
  </si>
  <si>
    <t>20.2</t>
  </si>
  <si>
    <t>помінено місцями</t>
  </si>
  <si>
    <t xml:space="preserve">Кількість споживачів (абонентів), яким надається послуга з постачання гарячої води </t>
  </si>
  <si>
    <t>20.3</t>
  </si>
  <si>
    <t>20.4</t>
  </si>
  <si>
    <t xml:space="preserve">Приєднане теплове навантаження  </t>
  </si>
  <si>
    <t>грн/Гкал </t>
  </si>
  <si>
    <t>грн/ Гкал/год</t>
  </si>
  <si>
    <t>Навантаження всього, у т.ч.:</t>
  </si>
  <si>
    <t>ТАРИФИ</t>
  </si>
  <si>
    <t>відпуск</t>
  </si>
  <si>
    <t>реаліз</t>
  </si>
  <si>
    <t xml:space="preserve">ПКМУ № 869 (зміни ПКМУ № 467) </t>
  </si>
  <si>
    <t>Договір з водоканалом</t>
  </si>
  <si>
    <t>Д2</t>
  </si>
  <si>
    <t>Д3</t>
  </si>
  <si>
    <t>Д4</t>
  </si>
  <si>
    <t>всього</t>
  </si>
  <si>
    <t>витрати</t>
  </si>
  <si>
    <t>прибуток</t>
  </si>
  <si>
    <t>Відпуск з колекторів/реалізація ТЕ для господарських потреб усього, зокрема для включення до обсягів:</t>
  </si>
  <si>
    <t xml:space="preserve">Структура корисного відпуску </t>
  </si>
  <si>
    <t>17.1</t>
  </si>
  <si>
    <t>17.2</t>
  </si>
  <si>
    <t>база розподілу умовно-постійних витрат (корисний відпуск) для одноставкового тарифу</t>
  </si>
  <si>
    <t>база розподілу витрат (відпуск з колекторів) для одноставкового тарифу</t>
  </si>
  <si>
    <t>база розподілу витрат (корисний відпуск) для одноставкового тарифу</t>
  </si>
  <si>
    <t>без ГП</t>
  </si>
  <si>
    <t>постачання</t>
  </si>
  <si>
    <t>21.1</t>
  </si>
  <si>
    <t>21.2</t>
  </si>
  <si>
    <t>21.3</t>
  </si>
  <si>
    <t>грн/ тис. куб. метрів* </t>
  </si>
  <si>
    <t>Вартість води та водовідведення для технологічних потреб</t>
  </si>
  <si>
    <r>
      <t xml:space="preserve">До заяви додаються документи згідно з переліком на </t>
    </r>
    <r>
      <rPr>
        <sz val="13"/>
        <color rgb="FFFF0000"/>
        <rFont val="Times New Roman"/>
        <family val="1"/>
        <charset val="204"/>
      </rPr>
      <t>________</t>
    </r>
    <r>
      <rPr>
        <sz val="13"/>
        <color theme="1"/>
        <rFont val="Times New Roman"/>
        <family val="1"/>
        <charset val="204"/>
      </rPr>
      <t xml:space="preserve"> арк.</t>
    </r>
  </si>
  <si>
    <t xml:space="preserve">       (керівник)                            (підпис)                                           (ініціали, прізвище)</t>
  </si>
  <si>
    <t>адм</t>
  </si>
  <si>
    <t>пр</t>
  </si>
  <si>
    <t>т1</t>
  </si>
  <si>
    <t>т2</t>
  </si>
  <si>
    <t>сумма</t>
  </si>
  <si>
    <t>УЗС</t>
  </si>
  <si>
    <t>УПС</t>
  </si>
  <si>
    <t>тариф</t>
  </si>
  <si>
    <t>середньовзважений</t>
  </si>
  <si>
    <t>Од. вим.</t>
  </si>
  <si>
    <t>Бюджетних установ</t>
  </si>
  <si>
    <t>транспортування без цтп</t>
  </si>
  <si>
    <t>теплова енергія з цтп</t>
  </si>
  <si>
    <t>теплова енергія без цтп</t>
  </si>
  <si>
    <t>без пдв</t>
  </si>
  <si>
    <t>з пдв</t>
  </si>
  <si>
    <t>фін витрати</t>
  </si>
  <si>
    <t>N з/п</t>
  </si>
  <si>
    <t>Од. виміру </t>
  </si>
  <si>
    <t xml:space="preserve">разом </t>
  </si>
  <si>
    <t>сума, 
тис. грн.</t>
  </si>
  <si>
    <t xml:space="preserve">на 1Гкал </t>
  </si>
  <si>
    <t xml:space="preserve"> грн. на 1Гкал </t>
  </si>
  <si>
    <t>Виробнича собівартість, у т. ч.:</t>
  </si>
  <si>
    <t>тис. грн </t>
  </si>
  <si>
    <t>прямі матеріальні витрати, у т. ч.:</t>
  </si>
  <si>
    <t>вода для технологічних потреб та водовідведення</t>
  </si>
  <si>
    <t>матеріали, запасні частини та інші матеріальні ресурси</t>
  </si>
  <si>
    <t>інші прямі витрати, у т. ч.:</t>
  </si>
  <si>
    <t>відрахування на соціальні заходи</t>
  </si>
  <si>
    <t>амортизаційні відрахування</t>
  </si>
  <si>
    <t>загальновиробничі витрати, у т. ч.:</t>
  </si>
  <si>
    <t>Адміністративні витрати, у т. ч.:</t>
  </si>
  <si>
    <t>Витрати на збут, у т. ч.:</t>
  </si>
  <si>
    <t>Інші операційні витрати*</t>
  </si>
  <si>
    <t xml:space="preserve">умовно-постійна частина </t>
  </si>
  <si>
    <t>Розрахунковий прибуток, усього *, у т. ч.:</t>
  </si>
  <si>
    <t>Вартість за відповідними тарифами всього, у т.ч.:</t>
  </si>
  <si>
    <t>Реалізація теплової енергії власним споживачам, Гкал</t>
  </si>
  <si>
    <t>Приєднане теплове навантаження, Гкал/год</t>
  </si>
  <si>
    <t>Тариф :</t>
  </si>
  <si>
    <t>грн./Гкал</t>
  </si>
  <si>
    <t>умовно-постійна частина, грн. за 1 Гкал/год в місяць</t>
  </si>
  <si>
    <t>грн./Гкал/год в рік</t>
  </si>
  <si>
    <t>умовно-змінна частина, грн/1 Гкал</t>
  </si>
  <si>
    <t>Відпуск теплової енергії з колекторів власних котелень</t>
  </si>
  <si>
    <t>* Без урахування списання безнадійної дебіторської заборгованості та нарахування резерву сумнівних боргів</t>
  </si>
  <si>
    <t>М.П</t>
  </si>
  <si>
    <t>підпис</t>
  </si>
  <si>
    <t>Зарплата</t>
  </si>
  <si>
    <t>Відрахування</t>
  </si>
  <si>
    <t>газ</t>
  </si>
  <si>
    <t>водопостачання, водовідведення</t>
  </si>
  <si>
    <t>податки</t>
  </si>
  <si>
    <t>Ремонти</t>
  </si>
  <si>
    <t>інші</t>
  </si>
  <si>
    <t>рівень рентабельності</t>
  </si>
  <si>
    <t>паливо, у тому числі</t>
  </si>
  <si>
    <t>постачання та транспортування</t>
  </si>
  <si>
    <t>Прибуток</t>
  </si>
  <si>
    <t>Плановані тарифи</t>
  </si>
  <si>
    <t>Діючі тарифи</t>
  </si>
  <si>
    <t>Різниця</t>
  </si>
  <si>
    <t>Відхилення</t>
  </si>
  <si>
    <t>чистий прибуток</t>
  </si>
  <si>
    <t>придбання електроенергії на технологічні потреби (розподіл)</t>
  </si>
  <si>
    <t xml:space="preserve">транспортування та постачання для   споживачів категорії населення, </t>
  </si>
  <si>
    <t>Додаток  6</t>
  </si>
  <si>
    <t xml:space="preserve">транспортування та постачання для   споживачів категорії інші, </t>
  </si>
  <si>
    <t xml:space="preserve">транспортування та постачання для   споживачів категорії бюджетні установи, </t>
  </si>
  <si>
    <t xml:space="preserve">транспортування та постачання для   споживачів категорії релігійні організації, </t>
  </si>
  <si>
    <t xml:space="preserve">транспортування та постачання для   споживачів, </t>
  </si>
  <si>
    <t>діючі</t>
  </si>
  <si>
    <t>транспортування
 з цтп</t>
  </si>
  <si>
    <t>Діючий тариф на 2020-2021 рр</t>
  </si>
  <si>
    <t>Паливо, в т.ч.</t>
  </si>
  <si>
    <t>Витрати, %</t>
  </si>
  <si>
    <t>Електроенергія</t>
  </si>
  <si>
    <t>Вода й водовідведення</t>
  </si>
  <si>
    <t>Ремонти (господарським та підрядним способами)</t>
  </si>
  <si>
    <t>Нарахування на зарплату</t>
  </si>
  <si>
    <t>Амортизація</t>
  </si>
  <si>
    <t>Податки</t>
  </si>
  <si>
    <t>Інші витрати</t>
  </si>
  <si>
    <t>Відхилення, %
(гр.3-гр.2)</t>
  </si>
  <si>
    <t>Витрати на покриття втрат в мережах</t>
  </si>
  <si>
    <t>Витрати, тис. грн</t>
  </si>
  <si>
    <t>Відхилення
(гр.3-гр.2)</t>
  </si>
  <si>
    <t>прибуток на 1 Гкал</t>
  </si>
  <si>
    <t>з ЦТП/без ЦТП</t>
  </si>
  <si>
    <t>Населення</t>
  </si>
  <si>
    <t>Релігія</t>
  </si>
  <si>
    <t>Інші</t>
  </si>
  <si>
    <t>Навантаження Гкал/год</t>
  </si>
  <si>
    <t>Реалізація, тис. Гкал</t>
  </si>
  <si>
    <t>з цтп</t>
  </si>
  <si>
    <t>без цтп</t>
  </si>
  <si>
    <t>відпуск, тис Гкал</t>
  </si>
  <si>
    <t>на 1 Гкал</t>
  </si>
  <si>
    <t>Розвиток виробництва</t>
  </si>
  <si>
    <t>Собівартість</t>
  </si>
  <si>
    <t>Порівнянн структур одноставкових та двоставкових тарифів на виробництво теплової енергії КП "ЧТЕ"</t>
  </si>
  <si>
    <t>одноставкові тарифи</t>
  </si>
  <si>
    <t>двоставкові тарифи</t>
  </si>
  <si>
    <t>*відхилення одноставкових від двоставкових тарифів</t>
  </si>
  <si>
    <t>Виробництво теплової енергії для потреб</t>
  </si>
  <si>
    <t xml:space="preserve"> населення</t>
  </si>
  <si>
    <t xml:space="preserve"> релігійних організацій</t>
  </si>
  <si>
    <t xml:space="preserve"> бюджетних установ</t>
  </si>
  <si>
    <t xml:space="preserve"> інших споживачів</t>
  </si>
  <si>
    <t>Примітка: * Відхилення по групам споживачів пояснюється різною базою розподілу витрат - при одноставковому тарифі по Гкал всі витрати, а при двоставковому тарифі УПС по приєднаному навантаженню, УЗС по Гкал.</t>
  </si>
  <si>
    <t>одноставковий тариф</t>
  </si>
  <si>
    <t xml:space="preserve">всього </t>
  </si>
  <si>
    <t>насел</t>
  </si>
  <si>
    <t>реліг</t>
  </si>
  <si>
    <t>двоставковий тариф з цтп</t>
  </si>
  <si>
    <t>двоставковий тариф без цтп</t>
  </si>
  <si>
    <t>відхилення</t>
  </si>
  <si>
    <t>Прошу розглянути заяву про встановлення тарифів:</t>
  </si>
  <si>
    <t>Олена ЛАВРОВА</t>
  </si>
  <si>
    <t>Виконавчий комітет Чорноморської міської ради Одеського району Одеської області</t>
  </si>
  <si>
    <t xml:space="preserve">та додані до неї матеріали і розрахунки </t>
  </si>
  <si>
    <t>Прямі витрати</t>
  </si>
  <si>
    <t xml:space="preserve">                                                                         С НДС = ______ грн.</t>
  </si>
  <si>
    <t>Факт 2020</t>
  </si>
  <si>
    <t>21-22</t>
  </si>
  <si>
    <t>Факт 2020 року</t>
  </si>
  <si>
    <t>опалюв</t>
  </si>
  <si>
    <t>міжопалюв</t>
  </si>
  <si>
    <t>дн</t>
  </si>
  <si>
    <t>Витрати на спецхарчування за 2020 рік</t>
  </si>
  <si>
    <t>Фактичні витрати ПММ за 2020 рік, грн</t>
  </si>
  <si>
    <t xml:space="preserve">Структура планованих тарифів на теплову енергію КП "ЧТЕ" на 2021-2022 роки. </t>
  </si>
  <si>
    <t>2-х  ставковий</t>
  </si>
  <si>
    <t>1-но ставковий</t>
  </si>
  <si>
    <t>витрати на покриття втрат теплової енергії в теплових мережах</t>
  </si>
  <si>
    <t>Факт 2019</t>
  </si>
  <si>
    <t>АФ ГОЛВ-АУДИТ, ПП</t>
  </si>
  <si>
    <t>Аудиторські послуги</t>
  </si>
  <si>
    <t>Головне управлiння статистики в Одеськiй областi</t>
  </si>
  <si>
    <t>Семінар зі статистики праці</t>
  </si>
  <si>
    <t>ДержавтотрансНДІпроект, ДП</t>
  </si>
  <si>
    <t>Розробл.норми витрат палива на Ford Transit</t>
  </si>
  <si>
    <t>послуги у сфері інформатизації</t>
  </si>
  <si>
    <t>Расторгуєв Е. О., ФОП</t>
  </si>
  <si>
    <t>онлайн-семінар</t>
  </si>
  <si>
    <t xml:space="preserve">Степанов В. А., ФОП </t>
  </si>
  <si>
    <t>електронні ключі</t>
  </si>
  <si>
    <t>Центр сертифiкацiї ключiв"Україна"</t>
  </si>
  <si>
    <t>організація перевезень, відправлень</t>
  </si>
  <si>
    <t>(по факту 2021 р.)</t>
  </si>
  <si>
    <t>Навчання з "Правил безпеки систем газопостачання"</t>
  </si>
  <si>
    <t>Директор, головний інженер, начальник служби охорони праці в 2021 р</t>
  </si>
  <si>
    <t>Навчання з "Правил ОП під час експлуатації вантажопідіймальних кранів"</t>
  </si>
  <si>
    <t>Андрієнко - первинне на відпов. особу</t>
  </si>
  <si>
    <t xml:space="preserve"> Навчання з Правил технічної експлуатації та з Правил безпечної експлуатації електроустаткування</t>
  </si>
  <si>
    <t xml:space="preserve">Директор, головний інженер, начальник служби ОП, майстер з обслуговування та ремонту електрообладнання та начальник дільниці електроустаткування </t>
  </si>
  <si>
    <t>Навчання нової спеціальності "стропальник"</t>
  </si>
  <si>
    <t>по факту 2021 р.</t>
  </si>
  <si>
    <t xml:space="preserve">Навчання з питань охорони праці ІТП </t>
  </si>
  <si>
    <t xml:space="preserve">Павлюченко - первинне на виконання обов'язків майстра, Мирошниченко - первинне на виконання обов'яків керівника групи </t>
  </si>
  <si>
    <t>куртка бавовняна чол.</t>
  </si>
  <si>
    <t>полукомбінезон бавоняний чол./штани</t>
  </si>
  <si>
    <t>напівкомбінезон утеплений</t>
  </si>
  <si>
    <t>куртка утеплена Капрал</t>
  </si>
  <si>
    <t>куртка утеплена Флис</t>
  </si>
  <si>
    <t>куртка утеплена Оптима</t>
  </si>
  <si>
    <t>куртка утеплена Гетьман</t>
  </si>
  <si>
    <t>сума грн.</t>
  </si>
  <si>
    <t>чоботи гумові (жін)</t>
  </si>
  <si>
    <t>захисна маска для зварювал.</t>
  </si>
  <si>
    <t>куртка робоча (жіноча)</t>
  </si>
  <si>
    <t>штани робочі (жіночі)</t>
  </si>
  <si>
    <t>рукавиці комбін</t>
  </si>
  <si>
    <t>респиратор газозахисний (фільтр)</t>
  </si>
  <si>
    <t>черевики утеплені</t>
  </si>
  <si>
    <t>краги</t>
  </si>
  <si>
    <t>щиток захисний</t>
  </si>
  <si>
    <t>распиратор одноразовий</t>
  </si>
  <si>
    <t>распиратор зі змінним фільтром</t>
  </si>
  <si>
    <t>окуляри захисні газоріз</t>
  </si>
  <si>
    <t>галоші (чергові)</t>
  </si>
  <si>
    <t>Транспортування без ЦТП</t>
  </si>
  <si>
    <t>Транспортування з ЦТП</t>
  </si>
  <si>
    <t>середня ціна</t>
  </si>
  <si>
    <t>Опалювальний сезон 2019 - 2020</t>
  </si>
  <si>
    <t>Опалювальний сезон 2020 - 2021</t>
  </si>
  <si>
    <r>
      <t>Коефіцієнт для розрахунку потреби в теплоті на опалення для 18</t>
    </r>
    <r>
      <rPr>
        <sz val="11"/>
        <color theme="1"/>
        <rFont val="Calibri"/>
        <family val="2"/>
        <charset val="204"/>
      </rPr>
      <t>°</t>
    </r>
    <r>
      <rPr>
        <sz val="11"/>
        <color theme="1"/>
        <rFont val="Times New Roman"/>
        <family val="1"/>
        <charset val="204"/>
      </rPr>
      <t>С</t>
    </r>
  </si>
  <si>
    <r>
      <t xml:space="preserve">Розрахункова температура внутрішнього повітря, </t>
    </r>
    <r>
      <rPr>
        <sz val="11"/>
        <color theme="1"/>
        <rFont val="Calibri"/>
        <family val="2"/>
        <charset val="204"/>
      </rPr>
      <t>°</t>
    </r>
    <r>
      <rPr>
        <sz val="11"/>
        <color theme="1"/>
        <rFont val="Times New Roman"/>
        <family val="1"/>
        <charset val="204"/>
      </rPr>
      <t>С</t>
    </r>
  </si>
  <si>
    <r>
      <t xml:space="preserve">Розрахункова температура внутрішнього повітря, </t>
    </r>
    <r>
      <rPr>
        <sz val="11"/>
        <color theme="1"/>
        <rFont val="Calibri"/>
        <family val="2"/>
        <charset val="204"/>
      </rPr>
      <t>°</t>
    </r>
    <r>
      <rPr>
        <sz val="11"/>
        <color theme="1"/>
        <rFont val="Times New Roman"/>
        <family val="1"/>
        <charset val="204"/>
      </rPr>
      <t>С для МЗК</t>
    </r>
  </si>
  <si>
    <r>
      <t xml:space="preserve">Розрахункова температура зовнішнього повітря для проектування опалення, </t>
    </r>
    <r>
      <rPr>
        <sz val="11"/>
        <color theme="1"/>
        <rFont val="Calibri"/>
        <family val="2"/>
        <charset val="204"/>
      </rPr>
      <t>°</t>
    </r>
    <r>
      <rPr>
        <sz val="11"/>
        <color theme="1"/>
        <rFont val="Times New Roman"/>
        <family val="1"/>
        <charset val="204"/>
      </rPr>
      <t>С</t>
    </r>
  </si>
  <si>
    <r>
      <t xml:space="preserve">Середня температура зовнішнього повітря за опалювальний період, </t>
    </r>
    <r>
      <rPr>
        <sz val="11"/>
        <color theme="1"/>
        <rFont val="Calibri"/>
        <family val="2"/>
        <charset val="204"/>
      </rPr>
      <t>°</t>
    </r>
    <r>
      <rPr>
        <sz val="11"/>
        <color theme="1"/>
        <rFont val="Times New Roman"/>
        <family val="1"/>
        <charset val="204"/>
      </rPr>
      <t>С</t>
    </r>
  </si>
  <si>
    <r>
      <t>Коефіцієнт для розрахунку потреби в теплоті на опалення для 16</t>
    </r>
    <r>
      <rPr>
        <sz val="11"/>
        <color theme="1"/>
        <rFont val="Calibri"/>
        <family val="2"/>
        <charset val="204"/>
      </rPr>
      <t>°</t>
    </r>
    <r>
      <rPr>
        <sz val="11"/>
        <color theme="1"/>
        <rFont val="Times New Roman"/>
        <family val="1"/>
        <charset val="204"/>
      </rPr>
      <t>С</t>
    </r>
  </si>
  <si>
    <t>вопрос про кол-во месяцев по приборам учета тепла комерческим</t>
  </si>
  <si>
    <t>Захід</t>
  </si>
  <si>
    <t>Сума, грн без ПДВ</t>
  </si>
  <si>
    <t>Загальна сума на ремонти по підприємству, тис. грн. без ПДВ:</t>
  </si>
  <si>
    <t>АДМ</t>
  </si>
  <si>
    <t>е/е на ремонт</t>
  </si>
  <si>
    <t>Котельня 2 (вир)</t>
  </si>
  <si>
    <t>Котельня 1 (звв)</t>
  </si>
  <si>
    <t>квітень оп.</t>
  </si>
  <si>
    <t>квітень моп</t>
  </si>
  <si>
    <t>жовтень моп</t>
  </si>
  <si>
    <t>жовтень оп</t>
  </si>
  <si>
    <t>кот 1</t>
  </si>
  <si>
    <t>кот 2</t>
  </si>
  <si>
    <t xml:space="preserve">постачання </t>
  </si>
  <si>
    <t>у.т.ч.    З ЦТП</t>
  </si>
  <si>
    <t xml:space="preserve">             без цтп</t>
  </si>
  <si>
    <t>Всього е/е по підприємству</t>
  </si>
  <si>
    <t>грн.  без ПДВ</t>
  </si>
  <si>
    <t>Місяць</t>
  </si>
  <si>
    <t>Тариф на постачання електричної енергії, за кВт*год</t>
  </si>
  <si>
    <t xml:space="preserve">Тариф послуги з розподілу електричної енергії клас напруги 2, за кВт*год </t>
  </si>
  <si>
    <t>Тариф послуги внаслідок перетікання реактивної електроенергії, кВАр*год</t>
  </si>
  <si>
    <t>Тариф послуги генерації внаслідок перетікання реактивної електроенергії, кВАр*год</t>
  </si>
  <si>
    <t>Тариф на постачання та розподіл електричної енергіїелектричної енергії, за кВт*год</t>
  </si>
  <si>
    <t>Грудень 2020 р.</t>
  </si>
  <si>
    <t>Січень 2021 р.</t>
  </si>
  <si>
    <t>Лютий 2021 р.</t>
  </si>
  <si>
    <t>Березень 2021р.</t>
  </si>
  <si>
    <t>Квітень 2021р.</t>
  </si>
  <si>
    <t xml:space="preserve">Середня </t>
  </si>
  <si>
    <t>Листопад 2020 р.</t>
  </si>
  <si>
    <r>
      <t>Тариф за постачання природного газу, за 1000 м</t>
    </r>
    <r>
      <rPr>
        <b/>
        <sz val="12"/>
        <color theme="1"/>
        <rFont val="Calibri"/>
        <family val="2"/>
        <charset val="204"/>
      </rPr>
      <t>³</t>
    </r>
  </si>
  <si>
    <r>
      <t>Тариф за транспортування природного газу, за 1000 м</t>
    </r>
    <r>
      <rPr>
        <b/>
        <sz val="12"/>
        <color theme="1"/>
        <rFont val="Calibri"/>
        <family val="2"/>
        <charset val="204"/>
      </rPr>
      <t>³</t>
    </r>
  </si>
  <si>
    <r>
      <t>Тариф за розподіл природного газу, за 1000 м</t>
    </r>
    <r>
      <rPr>
        <b/>
        <sz val="12"/>
        <color theme="1"/>
        <rFont val="Calibri"/>
        <family val="2"/>
        <charset val="204"/>
      </rPr>
      <t>³</t>
    </r>
  </si>
  <si>
    <t>Розрахунок ціни природного газу для потреб КП "ЧТЕ" на планований період станом на 01.06.2021 року.</t>
  </si>
  <si>
    <t xml:space="preserve">на виробництво </t>
  </si>
  <si>
    <t>на транспортування</t>
  </si>
  <si>
    <t>на абонплату та внески</t>
  </si>
  <si>
    <t>витрати на ремонт</t>
  </si>
  <si>
    <t>Показники (виробництво ТЕ)</t>
  </si>
  <si>
    <t>Показники (транспортування ТЕ)</t>
  </si>
  <si>
    <t>У т.ч. нормативний обсяг води на підживлення (0,0025 кб.м/год від ємності мереж)</t>
  </si>
  <si>
    <t xml:space="preserve">Виробничий персонал задіяний у транспортуванні  теплової енергії </t>
  </si>
  <si>
    <t>Виробничий персонал задіяний у транспортуванні  теплової енергії тільки з ЦТП</t>
  </si>
  <si>
    <t>вода</t>
  </si>
  <si>
    <t>прямі</t>
  </si>
  <si>
    <t>Структура планованих витрат на  плату за абонентське обслуговування КП "ЧТЕ" 
станом на 01.08.2020 року.</t>
  </si>
  <si>
    <t>На 1 абонента в місяць, грн.</t>
  </si>
  <si>
    <r>
      <t>інші прямі витрати</t>
    </r>
    <r>
      <rPr>
        <sz val="12"/>
        <color rgb="FFFF0000"/>
        <rFont val="Times New Roman"/>
        <family val="1"/>
        <charset val="204"/>
      </rPr>
      <t>*</t>
    </r>
  </si>
  <si>
    <t>Інші операційні витрати</t>
  </si>
  <si>
    <t>Повна собівартість</t>
  </si>
  <si>
    <t>Розрахунковий прибуток, усього, у т. ч.:</t>
  </si>
  <si>
    <t>6.4</t>
  </si>
  <si>
    <t>6.5</t>
  </si>
  <si>
    <t>інше використання прибутку</t>
  </si>
  <si>
    <t>Кількість абонентів</t>
  </si>
  <si>
    <t>Плата в місяць  з 1 абонента, без ПДВ</t>
  </si>
  <si>
    <t xml:space="preserve">грн. </t>
  </si>
  <si>
    <t>Плата в місяць  з 1 абонента, з ПДВ</t>
  </si>
  <si>
    <t>Довідково:</t>
  </si>
  <si>
    <t xml:space="preserve">Граничний розмір плати за абонентське обслуговування </t>
  </si>
  <si>
    <t>грн. з 1 абонента</t>
  </si>
  <si>
    <t>*</t>
  </si>
  <si>
    <t>А.В. Паншин</t>
  </si>
  <si>
    <t>О.А. Лаврова</t>
  </si>
  <si>
    <t>Тариф 2020-2021 рр.</t>
  </si>
  <si>
    <t>План 2021-2022 рр.</t>
  </si>
  <si>
    <t xml:space="preserve">Прямі витрати </t>
  </si>
  <si>
    <t>амортизація основних засобів виробничого призначення, безпосередньо задіяних у наданні послуг</t>
  </si>
  <si>
    <t>амортизація інших необоротних матеріальних активів виробничого призначення, безпосередньо задіяних у надані послуг</t>
  </si>
  <si>
    <t xml:space="preserve">ремонтні роботи </t>
  </si>
  <si>
    <t>послуги банків з приймання платежів</t>
  </si>
  <si>
    <t>перевірка захисних засобів</t>
  </si>
  <si>
    <t>2314+2315</t>
  </si>
  <si>
    <t>Тариф 2020-2021</t>
  </si>
  <si>
    <t>План 2021-2022</t>
  </si>
  <si>
    <t>на 1 аб</t>
  </si>
  <si>
    <t xml:space="preserve">розрахунок на листі </t>
  </si>
  <si>
    <t>ОП</t>
  </si>
  <si>
    <t>СПЕЦХАРЧ</t>
  </si>
  <si>
    <t>ВОДА</t>
  </si>
  <si>
    <t>Д 9_ЕЕ</t>
  </si>
  <si>
    <t>Примітка: В 2019-2020 рр  тариф на виробництво теплової енергії та собівартість виробництва розраховано на обсяг реалізації теплової енергії, в планованому періоді та в чинному тарифі - на обсяг відпуску теплової енергії</t>
  </si>
  <si>
    <t>витрати на власні потреби</t>
  </si>
  <si>
    <t>Господарські потреби відпуск з колекторі</t>
  </si>
  <si>
    <t>Відпуск те з колекторів з ГП</t>
  </si>
  <si>
    <t>Реалізація споживачам без ГП</t>
  </si>
  <si>
    <t>Господарські потреби реалізація</t>
  </si>
  <si>
    <t>Втрати те при транспортуванні споживачам</t>
  </si>
  <si>
    <t>Виробництво те, в т.ч.</t>
  </si>
  <si>
    <t>втрати те в мережах (+ на ГП)</t>
  </si>
  <si>
    <t>у тому числі  втрати те на ГП</t>
  </si>
  <si>
    <t>транспортування тільки ЦТП</t>
  </si>
  <si>
    <t>Послуги з ремонту і технічного обслуговування вимірювальних, випробувальних і контрольних приладів</t>
  </si>
  <si>
    <t>дог 63 26/02/21 на 9 міс</t>
  </si>
  <si>
    <t>Е-журнал Довідник з ОП</t>
  </si>
  <si>
    <t>Назва</t>
  </si>
  <si>
    <t>дог 52 15/02/21</t>
  </si>
  <si>
    <t>До техніки JCB</t>
  </si>
  <si>
    <t>ремонт дорожньо-транспортних засобів</t>
  </si>
  <si>
    <t>відновлення дорожнього покриття</t>
  </si>
  <si>
    <t>дог 47 15/02/21</t>
  </si>
  <si>
    <t>дог 46 15/02/21</t>
  </si>
  <si>
    <t>дог 60 25/02/21</t>
  </si>
  <si>
    <t>Експлуатація складових газорозподільної системи (с. Малодолинське) /(профобслуговування)</t>
  </si>
  <si>
    <t>дог 41 05/02/21</t>
  </si>
  <si>
    <t>Аудит ліцензіата</t>
  </si>
  <si>
    <t>Діловодство та архівна справа (вебінар)</t>
  </si>
  <si>
    <t>ТОВ "Центр освіти"Спектр знань"</t>
  </si>
  <si>
    <t>Послуги з ремонту і технічного обслуговування охолоджувальних установок (то кондиціонерів)</t>
  </si>
  <si>
    <t>дог 30 25/01/21</t>
  </si>
  <si>
    <t>Насоси та компресори (робоче колесо до насосу)</t>
  </si>
  <si>
    <t>дог 26 28/01/21</t>
  </si>
  <si>
    <t>дог 25 27/01/21</t>
  </si>
  <si>
    <t>загальне</t>
  </si>
  <si>
    <t>тільки ЦТП</t>
  </si>
  <si>
    <t>тільки ВКО</t>
  </si>
  <si>
    <t>Послуги з діагностування, ремонту, заміни комплектуючих, проведення метрологічної повірки ВО СВТУ</t>
  </si>
  <si>
    <t>Меблі та комплектуючі</t>
  </si>
  <si>
    <t>дог 23 25/01/21</t>
  </si>
  <si>
    <t xml:space="preserve">Кабелі та супутня продукція, мережеве обладнання </t>
  </si>
  <si>
    <t>ППЗ для захисту від вірусів</t>
  </si>
  <si>
    <t>дог  5 18/01/21</t>
  </si>
  <si>
    <t>дог 24 27/01/21</t>
  </si>
  <si>
    <t>Компи</t>
  </si>
  <si>
    <t>ремонт авто</t>
  </si>
  <si>
    <t>розрах</t>
  </si>
  <si>
    <t>Поточний ремонт устаткування, трубопроводів, арматури на ділянці котельних</t>
  </si>
  <si>
    <t>Поточний ремонт устаткування ЦТП</t>
  </si>
  <si>
    <t>Поточний ремонт магістральних т/м по вул. Перемоги/, 1 Травня, Данченка, Спортивній, Олександрійській.</t>
  </si>
  <si>
    <t>поточний ремонт розподільчих т/м</t>
  </si>
  <si>
    <t>поточний ремонт ізоляції т/м</t>
  </si>
  <si>
    <t xml:space="preserve">поточний ремонт ізоляції т/м в техпідпіллях </t>
  </si>
  <si>
    <t>ремонти (Вдовиченко) 21-22 (ППР)</t>
  </si>
  <si>
    <t>Майстер з експлуатації та ремонту машин і механізмів ІІг.</t>
  </si>
  <si>
    <t>Аркана</t>
  </si>
  <si>
    <t>дог 154 10/06/21</t>
  </si>
  <si>
    <t>дог 153 10/06/21</t>
  </si>
  <si>
    <t>механічні запасні частини, крім двигунів і частин двигунів</t>
  </si>
  <si>
    <t>Технічне і сервісне обслуговування 2-х КВО газу Садова 1</t>
  </si>
  <si>
    <t xml:space="preserve">дог 150 08/06/2021 </t>
  </si>
  <si>
    <t>дог 149 08/06/21</t>
  </si>
  <si>
    <t>Технічне обслуговування котельні Малодолинське</t>
  </si>
  <si>
    <t>дог 142 07/06/21</t>
  </si>
  <si>
    <t>Послуги (вебінар)</t>
  </si>
  <si>
    <t>Послуги з ремонту і технічного обслуговування турбинки</t>
  </si>
  <si>
    <t>дог 137 28/05/21</t>
  </si>
  <si>
    <t>Послуги з ремонту і технічного обслуговування газонокосарки</t>
  </si>
  <si>
    <t>дог 136 28/05/21</t>
  </si>
  <si>
    <t>Частини для с/г техніки</t>
  </si>
  <si>
    <t>дог 135 28/05/21</t>
  </si>
  <si>
    <t xml:space="preserve">дог </t>
  </si>
  <si>
    <t>дог №84 08/04/20</t>
  </si>
  <si>
    <t>компоектуючі для Семпал СВТУ</t>
  </si>
  <si>
    <t>дог 125 14/05/21</t>
  </si>
  <si>
    <t>дог 122 11/05/21</t>
  </si>
  <si>
    <t xml:space="preserve">підшипник </t>
  </si>
  <si>
    <t>дог 121 12/05/21</t>
  </si>
  <si>
    <t>електричні акумулятори</t>
  </si>
  <si>
    <t>дог 119 05/05/21</t>
  </si>
  <si>
    <t>дог 113 21/04/21 95000/1,2</t>
  </si>
  <si>
    <t>Технічне обслуговування газорізальної аппаратури</t>
  </si>
  <si>
    <t xml:space="preserve">дог 98 29/03/21 </t>
  </si>
  <si>
    <t>дог 93 23/03/21</t>
  </si>
  <si>
    <t>Моторні оливи</t>
  </si>
  <si>
    <t>Трансмісійні оливи</t>
  </si>
  <si>
    <t>Спеціальні масла</t>
  </si>
  <si>
    <t>Пластичні масла</t>
  </si>
  <si>
    <t>Дератизація і дезинсекція</t>
  </si>
  <si>
    <t>транспортировка - 2 года не делали; виробництво - когда візовут; адм - не біло</t>
  </si>
  <si>
    <t>Агрегат для вентиляції теплових камер</t>
  </si>
  <si>
    <t>рено Аркана</t>
  </si>
  <si>
    <t>дог червень 2021</t>
  </si>
  <si>
    <t>на підпису</t>
  </si>
  <si>
    <t>тех обсл и ремонт+ шини+ техобсл</t>
  </si>
  <si>
    <t>тех обсл и ремонт+ аккумулятор+ шини</t>
  </si>
  <si>
    <t>то</t>
  </si>
  <si>
    <t>то+шини</t>
  </si>
  <si>
    <t>замена тормозних колодок+ аккумулятор</t>
  </si>
  <si>
    <t>то-2000</t>
  </si>
  <si>
    <t>часткове технічне опосвідчення експертом + то</t>
  </si>
  <si>
    <t>Асенізаційна машина
 КО 503 А (ГАЗ 53)</t>
  </si>
  <si>
    <t>Середн. сума</t>
  </si>
  <si>
    <t>Агентство "Консалт"</t>
  </si>
  <si>
    <t>ВИРОБНИЦТВО</t>
  </si>
  <si>
    <t>Розрахунок витрат на періодичні видання по КП "ЧТЕ" на планований період з 01.10.2021 р. по 30.09.2022 р.</t>
  </si>
  <si>
    <t>Вироб-тво</t>
  </si>
  <si>
    <t>Трансп-ння</t>
  </si>
  <si>
    <t>Адмін-вні</t>
  </si>
  <si>
    <t>Всього витрати:</t>
  </si>
  <si>
    <t>Вечірня Одеса</t>
  </si>
  <si>
    <t>Все про бухгалтерський облік</t>
  </si>
  <si>
    <t>Праця і зарплата</t>
  </si>
  <si>
    <t xml:space="preserve">Урядовий кур'єр </t>
  </si>
  <si>
    <t>На пенсії (Одеса)</t>
  </si>
  <si>
    <t>Аргументи та факти</t>
  </si>
  <si>
    <t>Голос України (укр)</t>
  </si>
  <si>
    <t>Кадровик</t>
  </si>
  <si>
    <t>Охорона праці</t>
  </si>
  <si>
    <t>Довідник спеціаліста з охорони праці</t>
  </si>
  <si>
    <t>Інформаційний бюлетень Міністерства регіонального розвитку, будівництва та ЖКГ України</t>
  </si>
  <si>
    <t>Журнал Головного інженера</t>
  </si>
  <si>
    <t>Журнал Головного енергетика</t>
  </si>
  <si>
    <t>Довідник економіста</t>
  </si>
  <si>
    <t>Бюлетень законодавства і юридичної практики України</t>
  </si>
  <si>
    <t>ТОВ "Науково-виробнича фірма "Інпроект"</t>
  </si>
  <si>
    <t>Екологія підприемств</t>
  </si>
  <si>
    <t>ЗАГАЛЬНОВИРОБНИЧІ</t>
  </si>
  <si>
    <t>електронний</t>
  </si>
  <si>
    <t>паперовий</t>
  </si>
  <si>
    <t>6.3.</t>
  </si>
  <si>
    <t xml:space="preserve">Голос України </t>
  </si>
  <si>
    <t>Одеські відомості</t>
  </si>
  <si>
    <t xml:space="preserve">Послуги у сфері інформатизації (БУХГАЛ)
</t>
  </si>
  <si>
    <t>АХРАМЕЕВ</t>
  </si>
  <si>
    <t>Газоаналізатор НОВА-2000</t>
  </si>
  <si>
    <t>технічне і сервісне обслуговування двох комерційних вузлів обліку газу Садова б.1</t>
  </si>
  <si>
    <t>1.приймання в експлуатацію після монтажу
2.дотримуватися правил безпеки
3.монтажі демонтаж для планової повірки</t>
  </si>
  <si>
    <t>Ремонт кровлі виробничих приміщень (ЦТП)</t>
  </si>
  <si>
    <t xml:space="preserve">Ремонт кровлі виробничих приміщень </t>
  </si>
  <si>
    <t>ремонт приміщень слесарні Садова, 1</t>
  </si>
  <si>
    <t>заміна воріт Садова 1</t>
  </si>
  <si>
    <t>ремонт туалету на 3 поверсі</t>
  </si>
  <si>
    <t>Погоджено__________ А.Паншин</t>
  </si>
  <si>
    <t>червень 2021 року</t>
  </si>
  <si>
    <t>дог 2021</t>
  </si>
  <si>
    <t>нет</t>
  </si>
  <si>
    <t>Залишкова вартість о/з станом на 1.10.2021 року за даними податкового обліку, грн</t>
  </si>
  <si>
    <t>Транспортування ТЕ (ЦТП)</t>
  </si>
  <si>
    <t>Транспортування ТЕ (не ЦТП)</t>
  </si>
  <si>
    <t>производство</t>
  </si>
  <si>
    <t>ЯНВАРЬ</t>
  </si>
  <si>
    <t>ФЕВРАЛЬ</t>
  </si>
  <si>
    <t>МАРТ</t>
  </si>
  <si>
    <t>АПРЕЛЬ</t>
  </si>
  <si>
    <t>МАЙ</t>
  </si>
  <si>
    <t>ИЮНЬ</t>
  </si>
  <si>
    <t>ИЮЛЬ</t>
  </si>
  <si>
    <t>АВГУСТ</t>
  </si>
  <si>
    <t>СЕНТЯБРЬ</t>
  </si>
  <si>
    <t>окт</t>
  </si>
  <si>
    <t>остаточная стоимость на начало</t>
  </si>
  <si>
    <t>сумма для амортизации</t>
  </si>
  <si>
    <t>амортизация</t>
  </si>
  <si>
    <t>остаточная стоимость на конец</t>
  </si>
  <si>
    <t>к</t>
  </si>
  <si>
    <t>ноя</t>
  </si>
  <si>
    <t>дек</t>
  </si>
  <si>
    <t>ТРАНСПОРТИРОВКА (НЕ ЦТП)</t>
  </si>
  <si>
    <t>ТРАНСПОРТИРОВКА (ЦТП)</t>
  </si>
  <si>
    <t>ПОСТАВКА</t>
  </si>
  <si>
    <t>Заступник головного бухгалтера</t>
  </si>
  <si>
    <t>Наталя Жданова</t>
  </si>
  <si>
    <t>інше використання прибутку (забезпечення обігових коштів)</t>
  </si>
  <si>
    <t>розрахунок на листі ремонт</t>
  </si>
  <si>
    <t>Сума спільна, грн без ПДВ</t>
  </si>
  <si>
    <t>Сума тільки ЦТП, грн без ПДВ</t>
  </si>
  <si>
    <t>Сума авто, грн без ПДВ</t>
  </si>
  <si>
    <t>розрахунок на листі зв'язок</t>
  </si>
  <si>
    <t>акт №21-14-3621 31.05.2021 р.</t>
  </si>
  <si>
    <t>АКТУАЛЬНАЯ цена!!!!</t>
  </si>
  <si>
    <t>Начальник служби охорони праці                                                                   Жовнір Ю.Є.</t>
  </si>
  <si>
    <t>рах-фактура №0114/0012054 14.05.2021</t>
  </si>
  <si>
    <t>СК БРОКБІЗНЕС, ПрАТ</t>
  </si>
  <si>
    <t>коефіцієнт, який застосовується при замовлені потужності на квартальний період</t>
  </si>
  <si>
    <t>Електроенергія на технологію</t>
  </si>
  <si>
    <t>факт на ІЦП</t>
  </si>
  <si>
    <t>обстеження димвентканалів на виробництві</t>
  </si>
  <si>
    <t>розрахунок на листі періодичні видання</t>
  </si>
  <si>
    <t>высоцкий сказал нет, будет замена обліку газу 1 черги</t>
  </si>
  <si>
    <t>в то тз</t>
  </si>
  <si>
    <t>біло с ремонтом труб в 020 году</t>
  </si>
  <si>
    <t>амортизація інших необоротних матеріальних активів загальногосподарського призначення</t>
  </si>
  <si>
    <t>дог 50 17.02.2020 по 2020</t>
  </si>
  <si>
    <t>дог 51 17.02.2020 по 2020</t>
  </si>
  <si>
    <t>дог 52 17.02.2020 по 2020</t>
  </si>
  <si>
    <t>нотаріальні послуги</t>
  </si>
  <si>
    <t>Слаєва</t>
  </si>
  <si>
    <t>в прямих</t>
  </si>
  <si>
    <t>Послуги з реєстрації показів лічильників (обстеження комерційного ВОГ Зелена, 2-б)</t>
  </si>
  <si>
    <t>дог 180 30/09/2020</t>
  </si>
  <si>
    <t>Послуги з реєстрації показів лічильників (обстеження комерційного ВОГ Садова, 1)</t>
  </si>
  <si>
    <t>дог 176 15/09/2020</t>
  </si>
  <si>
    <t>Газоаналізатор ЩИТ-2</t>
  </si>
  <si>
    <t>Регистраторы МТМ</t>
  </si>
  <si>
    <t>Газоанализатор ДОЗОР</t>
  </si>
  <si>
    <t>Датчики ВИКА</t>
  </si>
  <si>
    <t xml:space="preserve">18. </t>
  </si>
  <si>
    <t>Теплосчетчик Взлёт</t>
  </si>
  <si>
    <t xml:space="preserve">19. </t>
  </si>
  <si>
    <t xml:space="preserve">Коммерческий узел учёта </t>
  </si>
  <si>
    <t>1р 2р.</t>
  </si>
  <si>
    <t>Счетчик газа КУРС</t>
  </si>
  <si>
    <t>1р.2р.</t>
  </si>
  <si>
    <r>
      <t xml:space="preserve">         </t>
    </r>
    <r>
      <rPr>
        <i/>
        <sz val="12"/>
        <color indexed="8"/>
        <rFont val="Arial"/>
        <family val="2"/>
        <charset val="204"/>
      </rPr>
      <t>Амперметри  та вольтметри  (виробництво) на сумму</t>
    </r>
  </si>
  <si>
    <r>
      <t>1.</t>
    </r>
    <r>
      <rPr>
        <sz val="7"/>
        <color indexed="8"/>
        <rFont val="Times New Roman"/>
        <family val="1"/>
        <charset val="204"/>
      </rPr>
      <t xml:space="preserve">     </t>
    </r>
    <r>
      <rPr>
        <sz val="12"/>
        <color indexed="8"/>
        <rFont val="Calibri"/>
        <family val="2"/>
        <charset val="204"/>
      </rPr>
      <t>Амперметр Э3777 1,5 кА №525895</t>
    </r>
  </si>
  <si>
    <r>
      <t>2.</t>
    </r>
    <r>
      <rPr>
        <sz val="7"/>
        <color indexed="8"/>
        <rFont val="Times New Roman"/>
        <family val="1"/>
        <charset val="204"/>
      </rPr>
      <t xml:space="preserve">     </t>
    </r>
    <r>
      <rPr>
        <sz val="12"/>
        <color indexed="8"/>
        <rFont val="Calibri"/>
        <family val="2"/>
        <charset val="204"/>
      </rPr>
      <t>Амперметр Э3777 1,5 кА №672323</t>
    </r>
  </si>
  <si>
    <r>
      <t>3.</t>
    </r>
    <r>
      <rPr>
        <sz val="7"/>
        <color indexed="8"/>
        <rFont val="Times New Roman"/>
        <family val="1"/>
        <charset val="204"/>
      </rPr>
      <t xml:space="preserve">     </t>
    </r>
    <r>
      <rPr>
        <sz val="12"/>
        <color indexed="8"/>
        <rFont val="Calibri"/>
        <family val="2"/>
        <charset val="204"/>
      </rPr>
      <t>Вольтметр Э365-1 500 В  №853870</t>
    </r>
  </si>
  <si>
    <r>
      <t>4.</t>
    </r>
    <r>
      <rPr>
        <sz val="7"/>
        <color indexed="8"/>
        <rFont val="Times New Roman"/>
        <family val="1"/>
        <charset val="204"/>
      </rPr>
      <t xml:space="preserve">     </t>
    </r>
    <r>
      <rPr>
        <sz val="12"/>
        <color indexed="8"/>
        <rFont val="Calibri"/>
        <family val="2"/>
        <charset val="204"/>
      </rPr>
      <t>Вольтметр Э78500 В  №192205</t>
    </r>
  </si>
  <si>
    <r>
      <t>5.</t>
    </r>
    <r>
      <rPr>
        <sz val="7"/>
        <color indexed="8"/>
        <rFont val="Times New Roman"/>
        <family val="1"/>
        <charset val="204"/>
      </rPr>
      <t xml:space="preserve">     </t>
    </r>
    <r>
      <rPr>
        <sz val="12"/>
        <color indexed="8"/>
        <rFont val="Calibri"/>
        <family val="2"/>
        <charset val="204"/>
      </rPr>
      <t>Вольтметр Э365-1 500 В  №89274284</t>
    </r>
  </si>
  <si>
    <r>
      <t>6.</t>
    </r>
    <r>
      <rPr>
        <sz val="7"/>
        <color indexed="8"/>
        <rFont val="Times New Roman"/>
        <family val="1"/>
        <charset val="204"/>
      </rPr>
      <t xml:space="preserve">     </t>
    </r>
    <r>
      <rPr>
        <sz val="12"/>
        <color indexed="8"/>
        <rFont val="Calibri"/>
        <family val="2"/>
        <charset val="204"/>
      </rPr>
      <t>Амперметр Э377  №8738550</t>
    </r>
  </si>
  <si>
    <r>
      <t>7.</t>
    </r>
    <r>
      <rPr>
        <sz val="7"/>
        <color indexed="8"/>
        <rFont val="Times New Roman"/>
        <family val="1"/>
        <charset val="204"/>
      </rPr>
      <t xml:space="preserve">     </t>
    </r>
    <r>
      <rPr>
        <sz val="12"/>
        <color indexed="8"/>
        <rFont val="Calibri"/>
        <family val="2"/>
        <charset val="204"/>
      </rPr>
      <t>Амперметр Э378 №925381</t>
    </r>
  </si>
  <si>
    <r>
      <t>8.</t>
    </r>
    <r>
      <rPr>
        <sz val="7"/>
        <color indexed="8"/>
        <rFont val="Times New Roman"/>
        <family val="1"/>
        <charset val="204"/>
      </rPr>
      <t xml:space="preserve">     </t>
    </r>
    <r>
      <rPr>
        <sz val="12"/>
        <color indexed="8"/>
        <rFont val="Calibri"/>
        <family val="2"/>
        <charset val="204"/>
      </rPr>
      <t>Амперметр Э365-1 №88127471</t>
    </r>
  </si>
  <si>
    <r>
      <t>9.</t>
    </r>
    <r>
      <rPr>
        <sz val="7"/>
        <color indexed="8"/>
        <rFont val="Times New Roman"/>
        <family val="1"/>
        <charset val="204"/>
      </rPr>
      <t xml:space="preserve">     </t>
    </r>
    <r>
      <rPr>
        <sz val="12"/>
        <color indexed="8"/>
        <rFont val="Calibri"/>
        <family val="2"/>
        <charset val="204"/>
      </rPr>
      <t>Вольтметр Э365-1  №05.93</t>
    </r>
  </si>
  <si>
    <r>
      <t>10.</t>
    </r>
    <r>
      <rPr>
        <sz val="7"/>
        <color indexed="8"/>
        <rFont val="Times New Roman"/>
        <family val="1"/>
        <charset val="204"/>
      </rPr>
      <t xml:space="preserve">  </t>
    </r>
    <r>
      <rPr>
        <sz val="12"/>
        <color indexed="8"/>
        <rFont val="Calibri"/>
        <family val="2"/>
        <charset val="204"/>
      </rPr>
      <t>Амперметр Э378  №889189</t>
    </r>
  </si>
  <si>
    <r>
      <t>11.</t>
    </r>
    <r>
      <rPr>
        <sz val="7"/>
        <color indexed="8"/>
        <rFont val="Times New Roman"/>
        <family val="1"/>
        <charset val="204"/>
      </rPr>
      <t xml:space="preserve">  </t>
    </r>
    <r>
      <rPr>
        <sz val="12"/>
        <color indexed="8"/>
        <rFont val="Calibri"/>
        <family val="2"/>
        <charset val="204"/>
      </rPr>
      <t>Амперметр Э365-1 №672247</t>
    </r>
  </si>
  <si>
    <r>
      <t>12.</t>
    </r>
    <r>
      <rPr>
        <sz val="7"/>
        <color indexed="8"/>
        <rFont val="Times New Roman"/>
        <family val="1"/>
        <charset val="204"/>
      </rPr>
      <t xml:space="preserve">  </t>
    </r>
    <r>
      <rPr>
        <sz val="12"/>
        <color indexed="8"/>
        <rFont val="Calibri"/>
        <family val="2"/>
        <charset val="204"/>
      </rPr>
      <t>Амперметр Э365-1 №738590</t>
    </r>
  </si>
  <si>
    <r>
      <t>13.</t>
    </r>
    <r>
      <rPr>
        <sz val="7"/>
        <color indexed="8"/>
        <rFont val="Times New Roman"/>
        <family val="1"/>
        <charset val="204"/>
      </rPr>
      <t xml:space="preserve">  </t>
    </r>
    <r>
      <rPr>
        <sz val="12"/>
        <color indexed="8"/>
        <rFont val="Calibri"/>
        <family val="2"/>
        <charset val="204"/>
      </rPr>
      <t>Амперметр Э365-1 №91758542</t>
    </r>
  </si>
  <si>
    <r>
      <t>14.</t>
    </r>
    <r>
      <rPr>
        <sz val="7"/>
        <color indexed="8"/>
        <rFont val="Times New Roman"/>
        <family val="1"/>
        <charset val="204"/>
      </rPr>
      <t xml:space="preserve">  </t>
    </r>
    <r>
      <rPr>
        <sz val="12"/>
        <color indexed="8"/>
        <rFont val="Calibri"/>
        <family val="2"/>
        <charset val="204"/>
      </rPr>
      <t>Вольтметр Э378 №148665</t>
    </r>
  </si>
  <si>
    <r>
      <t>15.</t>
    </r>
    <r>
      <rPr>
        <sz val="7"/>
        <color indexed="8"/>
        <rFont val="Times New Roman"/>
        <family val="1"/>
        <charset val="204"/>
      </rPr>
      <t xml:space="preserve">  </t>
    </r>
    <r>
      <rPr>
        <sz val="12"/>
        <color indexed="8"/>
        <rFont val="Calibri"/>
        <family val="2"/>
        <charset val="204"/>
      </rPr>
      <t>Амперметр Э378 №636639</t>
    </r>
  </si>
  <si>
    <r>
      <t>16.</t>
    </r>
    <r>
      <rPr>
        <sz val="7"/>
        <color indexed="8"/>
        <rFont val="Times New Roman"/>
        <family val="1"/>
        <charset val="204"/>
      </rPr>
      <t xml:space="preserve">  </t>
    </r>
    <r>
      <rPr>
        <sz val="12"/>
        <color indexed="8"/>
        <rFont val="Calibri"/>
        <family val="2"/>
        <charset val="204"/>
      </rPr>
      <t>Амперметр Э378 №636902</t>
    </r>
  </si>
  <si>
    <r>
      <t>17.</t>
    </r>
    <r>
      <rPr>
        <sz val="7"/>
        <color indexed="8"/>
        <rFont val="Times New Roman"/>
        <family val="1"/>
        <charset val="204"/>
      </rPr>
      <t xml:space="preserve">  </t>
    </r>
    <r>
      <rPr>
        <sz val="12"/>
        <color indexed="8"/>
        <rFont val="Calibri"/>
        <family val="2"/>
        <charset val="204"/>
      </rPr>
      <t>Амперметр Э378 №150854</t>
    </r>
  </si>
  <si>
    <r>
      <t>18.</t>
    </r>
    <r>
      <rPr>
        <sz val="7"/>
        <color indexed="8"/>
        <rFont val="Times New Roman"/>
        <family val="1"/>
        <charset val="204"/>
      </rPr>
      <t xml:space="preserve">  </t>
    </r>
    <r>
      <rPr>
        <sz val="12"/>
        <color indexed="8"/>
        <rFont val="Calibri"/>
        <family val="2"/>
        <charset val="204"/>
      </rPr>
      <t>Электроконтактный манометр ЭКМВ №481085</t>
    </r>
  </si>
  <si>
    <r>
      <t>19.</t>
    </r>
    <r>
      <rPr>
        <sz val="7"/>
        <color indexed="8"/>
        <rFont val="Times New Roman"/>
        <family val="1"/>
        <charset val="204"/>
      </rPr>
      <t xml:space="preserve">  </t>
    </r>
    <r>
      <rPr>
        <sz val="12"/>
        <color indexed="8"/>
        <rFont val="Calibri"/>
        <family val="2"/>
        <charset val="204"/>
      </rPr>
      <t>Электроконтактный манометр ЭКМВ №489398</t>
    </r>
  </si>
  <si>
    <r>
      <t>21.</t>
    </r>
    <r>
      <rPr>
        <sz val="7"/>
        <color indexed="8"/>
        <rFont val="Times New Roman"/>
        <family val="1"/>
        <charset val="204"/>
      </rPr>
      <t xml:space="preserve">  </t>
    </r>
    <r>
      <rPr>
        <sz val="12"/>
        <color indexed="8"/>
        <rFont val="Calibri"/>
        <family val="2"/>
        <charset val="204"/>
      </rPr>
      <t>Амперметр Э30 №862379</t>
    </r>
  </si>
  <si>
    <r>
      <t>22.</t>
    </r>
    <r>
      <rPr>
        <sz val="7"/>
        <color indexed="8"/>
        <rFont val="Times New Roman"/>
        <family val="1"/>
        <charset val="204"/>
      </rPr>
      <t xml:space="preserve">  </t>
    </r>
    <r>
      <rPr>
        <sz val="12"/>
        <color indexed="8"/>
        <rFont val="Calibri"/>
        <family val="2"/>
        <charset val="204"/>
      </rPr>
      <t>Амперметр Э378 №826733</t>
    </r>
  </si>
  <si>
    <r>
      <t>23.</t>
    </r>
    <r>
      <rPr>
        <sz val="7"/>
        <color indexed="8"/>
        <rFont val="Times New Roman"/>
        <family val="1"/>
        <charset val="204"/>
      </rPr>
      <t xml:space="preserve">  </t>
    </r>
    <r>
      <rPr>
        <sz val="12"/>
        <color indexed="8"/>
        <rFont val="Calibri"/>
        <family val="2"/>
        <charset val="204"/>
      </rPr>
      <t>Амперметр Э3777 1,5 кА №526048</t>
    </r>
  </si>
  <si>
    <r>
      <t>24.</t>
    </r>
    <r>
      <rPr>
        <sz val="7"/>
        <color indexed="8"/>
        <rFont val="Times New Roman"/>
        <family val="1"/>
        <charset val="204"/>
      </rPr>
      <t xml:space="preserve">  </t>
    </r>
    <r>
      <rPr>
        <sz val="12"/>
        <color indexed="8"/>
        <rFont val="Calibri"/>
        <family val="2"/>
        <charset val="204"/>
      </rPr>
      <t>Амперметр Э365-1 №90327050</t>
    </r>
  </si>
  <si>
    <r>
      <t>25.</t>
    </r>
    <r>
      <rPr>
        <sz val="7"/>
        <color indexed="8"/>
        <rFont val="Times New Roman"/>
        <family val="1"/>
        <charset val="204"/>
      </rPr>
      <t xml:space="preserve">  </t>
    </r>
    <r>
      <rPr>
        <sz val="12"/>
        <color indexed="8"/>
        <rFont val="Calibri"/>
        <family val="2"/>
        <charset val="204"/>
      </rPr>
      <t>Амперметр  600 №91791725</t>
    </r>
  </si>
  <si>
    <r>
      <t>26.</t>
    </r>
    <r>
      <rPr>
        <sz val="7"/>
        <color indexed="8"/>
        <rFont val="Times New Roman"/>
        <family val="1"/>
        <charset val="204"/>
      </rPr>
      <t xml:space="preserve">  </t>
    </r>
    <r>
      <rPr>
        <sz val="12"/>
        <color indexed="8"/>
        <rFont val="Calibri"/>
        <family val="2"/>
        <charset val="204"/>
      </rPr>
      <t>Вольтметр 600 №89580824</t>
    </r>
  </si>
  <si>
    <r>
      <t>27.</t>
    </r>
    <r>
      <rPr>
        <sz val="7"/>
        <color indexed="8"/>
        <rFont val="Times New Roman"/>
        <family val="1"/>
        <charset val="204"/>
      </rPr>
      <t xml:space="preserve">   </t>
    </r>
    <r>
      <rPr>
        <sz val="11"/>
        <color theme="1"/>
        <rFont val="Calibri"/>
        <family val="2"/>
        <scheme val="minor"/>
      </rPr>
      <t>Термометр показывающий ТСМ-100 №72356</t>
    </r>
  </si>
  <si>
    <r>
      <t>28.</t>
    </r>
    <r>
      <rPr>
        <sz val="7"/>
        <color indexed="8"/>
        <rFont val="Times New Roman"/>
        <family val="1"/>
        <charset val="204"/>
      </rPr>
      <t xml:space="preserve">   </t>
    </r>
    <r>
      <rPr>
        <sz val="11"/>
        <color theme="1"/>
        <rFont val="Calibri"/>
        <family val="2"/>
        <scheme val="minor"/>
      </rPr>
      <t>Термометр показывающий ТСМ-100 №64985</t>
    </r>
  </si>
  <si>
    <r>
      <t>1.</t>
    </r>
    <r>
      <rPr>
        <sz val="7"/>
        <color indexed="8"/>
        <rFont val="Times New Roman"/>
        <family val="1"/>
        <charset val="204"/>
      </rPr>
      <t xml:space="preserve">     </t>
    </r>
    <r>
      <rPr>
        <sz val="12"/>
        <color indexed="8"/>
        <rFont val="Times New Roman"/>
        <family val="1"/>
        <charset val="204"/>
      </rPr>
      <t>НІК 2303 АРП1 5-100 А  зав. №8046003</t>
    </r>
  </si>
  <si>
    <r>
      <t>2.</t>
    </r>
    <r>
      <rPr>
        <sz val="7"/>
        <color indexed="8"/>
        <rFont val="Times New Roman"/>
        <family val="1"/>
        <charset val="204"/>
      </rPr>
      <t xml:space="preserve">     </t>
    </r>
    <r>
      <rPr>
        <sz val="12"/>
        <color indexed="8"/>
        <rFont val="Times New Roman"/>
        <family val="1"/>
        <charset val="204"/>
      </rPr>
      <t>НІК 2303 АРП1 5-100 А    зав. №7702893</t>
    </r>
  </si>
  <si>
    <r>
      <t>3.</t>
    </r>
    <r>
      <rPr>
        <sz val="7"/>
        <color indexed="8"/>
        <rFont val="Times New Roman"/>
        <family val="1"/>
        <charset val="204"/>
      </rPr>
      <t xml:space="preserve">     </t>
    </r>
    <r>
      <rPr>
        <sz val="12"/>
        <color indexed="8"/>
        <rFont val="Times New Roman"/>
        <family val="1"/>
        <charset val="204"/>
      </rPr>
      <t>НІК 2303 АРК-1 5(10)А       зав. №336263</t>
    </r>
  </si>
  <si>
    <r>
      <t>4.</t>
    </r>
    <r>
      <rPr>
        <sz val="7"/>
        <color indexed="8"/>
        <rFont val="Times New Roman"/>
        <family val="1"/>
        <charset val="204"/>
      </rPr>
      <t xml:space="preserve">     </t>
    </r>
    <r>
      <rPr>
        <sz val="12"/>
        <color indexed="8"/>
        <rFont val="Times New Roman"/>
        <family val="1"/>
        <charset val="204"/>
      </rPr>
      <t>НІК 2303 АРП1 5-100 А  зав. №0201221</t>
    </r>
  </si>
  <si>
    <r>
      <t>5.</t>
    </r>
    <r>
      <rPr>
        <sz val="7"/>
        <color indexed="8"/>
        <rFont val="Times New Roman"/>
        <family val="1"/>
        <charset val="204"/>
      </rPr>
      <t xml:space="preserve">  </t>
    </r>
    <r>
      <rPr>
        <sz val="12"/>
        <color indexed="8"/>
        <rFont val="Times New Roman"/>
        <family val="1"/>
        <charset val="204"/>
      </rPr>
      <t xml:space="preserve">Трансформаторы тока Т-0,66  кл.т. 0,5S 150/5 </t>
    </r>
  </si>
  <si>
    <r>
      <t>6.</t>
    </r>
    <r>
      <rPr>
        <sz val="7"/>
        <color indexed="8"/>
        <rFont val="Times New Roman"/>
        <family val="1"/>
        <charset val="204"/>
      </rPr>
      <t xml:space="preserve">  </t>
    </r>
    <r>
      <rPr>
        <sz val="12"/>
        <color indexed="8"/>
        <rFont val="Times New Roman"/>
        <family val="1"/>
        <charset val="204"/>
      </rPr>
      <t xml:space="preserve">Трансформаторы тока Т-0,66  кл.т. 0,5S 150/5 </t>
    </r>
  </si>
  <si>
    <r>
      <t>7.</t>
    </r>
    <r>
      <rPr>
        <sz val="7"/>
        <color indexed="8"/>
        <rFont val="Times New Roman"/>
        <family val="1"/>
        <charset val="204"/>
      </rPr>
      <t xml:space="preserve">  </t>
    </r>
    <r>
      <rPr>
        <sz val="12"/>
        <color indexed="8"/>
        <rFont val="Times New Roman"/>
        <family val="1"/>
        <charset val="204"/>
      </rPr>
      <t xml:space="preserve"> Трансформаторы тока Т-0,66  кл.т. 0,5S 150/5 </t>
    </r>
  </si>
  <si>
    <t>Довідково за 2020 рік</t>
  </si>
  <si>
    <t>ТО Газового обладнання котельні Садова, 1</t>
  </si>
  <si>
    <t>ТО Газового обладнання котельні Зелена, 2-б</t>
  </si>
  <si>
    <t>31/20 від 17.04.2020р.</t>
  </si>
  <si>
    <t>Зняття та встановлення шайб для виміру витрат газу, прямолінійних ділянок газопроводу перед комер шайбами (Садова 1)</t>
  </si>
  <si>
    <t>Технічне обслуговування Зліт ТСРВ та витратоміра лічильника ЗлітМР (Садова 2)</t>
  </si>
  <si>
    <t>Технічне і сервісне обслуговування КВО газу Зелена 2-б</t>
  </si>
  <si>
    <t>Періодична метрологічна повірка приладу обліку газу на  котельні Зелена 2б</t>
  </si>
  <si>
    <t>Періодична метрологічна повірка  приладу обліку газу на  котельні Садова 1</t>
  </si>
  <si>
    <t>дог 65 25/02/21</t>
  </si>
  <si>
    <t>стандарт метрологія</t>
  </si>
  <si>
    <t>Технічне обслуговування Зліт ТСРВ та витратоміра лічильника ЗлітМР (Зелена, 2-б)</t>
  </si>
  <si>
    <t>913-У/19/ОД від 24.12.2019р.</t>
  </si>
  <si>
    <t>дог 2021+ дог 13 2021</t>
  </si>
  <si>
    <t>Виконання планово-профілактичних робіт на котельні за адресою м. Чорноморськ вул. Зелена 2-б (міжопал період)</t>
  </si>
  <si>
    <t>Технічне обслуговування теплотехнічного обладнання котельні за адресою м. Чорноморськ вул. Зелена 2-б (опал період)</t>
  </si>
  <si>
    <t>дог №84 08/04/20 (факт 2021)</t>
  </si>
  <si>
    <t>ВКО (94-23)</t>
  </si>
  <si>
    <t>Розрахунок амортизації  інших необоротних матеріальних і нематеріальних активів КП «ЧТЕ»</t>
  </si>
  <si>
    <t>Балансова вартість, грн.</t>
  </si>
  <si>
    <t>Транспортування ТЕ</t>
  </si>
  <si>
    <t>Інша діяльність</t>
  </si>
  <si>
    <t>факт 2021</t>
  </si>
  <si>
    <t>план попереднього періоду</t>
  </si>
  <si>
    <t>Структура планованих витрат на  плату за абонентське обслуговування та обслуговування та заміну ВКО по Комунальному підприємству "Чорноморськтеплоенерго" Чорноморської міської ради Одеського району Одеської області 
станом на 01.07.2021 року.</t>
  </si>
  <si>
    <t xml:space="preserve">Факт 2019 </t>
  </si>
  <si>
    <t>Діючий тариф</t>
  </si>
  <si>
    <t>План на 2021-2022</t>
  </si>
  <si>
    <t>загальновиробничі витрати, 
у т. ч.:</t>
  </si>
  <si>
    <r>
      <rPr>
        <b/>
        <u/>
        <sz val="18"/>
        <color theme="1"/>
        <rFont val="Times New Roman"/>
        <family val="1"/>
        <charset val="204"/>
      </rPr>
      <t>Розрахунок</t>
    </r>
    <r>
      <rPr>
        <sz val="12"/>
        <color theme="1"/>
        <rFont val="Times New Roman"/>
        <family val="1"/>
        <charset val="204"/>
      </rPr>
      <t xml:space="preserve">
</t>
    </r>
    <r>
      <rPr>
        <i/>
        <sz val="12"/>
        <color theme="1"/>
        <rFont val="Times New Roman"/>
        <family val="1"/>
        <charset val="204"/>
      </rPr>
      <t>граничного розміру плати за абонентське обслуговування станом на 01.08.2020 року.</t>
    </r>
  </si>
  <si>
    <t xml:space="preserve">             Під абонентом слід розуміти споживача відповідної комунальної послуги, з яким виконавець уклав індивідуальний договір про надання такої послуги у багатоквартирному будинку.</t>
  </si>
  <si>
    <r>
      <t>РП</t>
    </r>
    <r>
      <rPr>
        <vertAlign val="subscript"/>
        <sz val="12"/>
        <color rgb="FF000000"/>
        <rFont val="Times New Roman"/>
        <family val="1"/>
        <charset val="204"/>
      </rPr>
      <t>грн =</t>
    </r>
    <r>
      <rPr>
        <sz val="12"/>
        <color rgb="FF000000"/>
        <rFont val="Times New Roman"/>
        <family val="1"/>
        <charset val="204"/>
      </rPr>
      <t xml:space="preserve"> П</t>
    </r>
    <r>
      <rPr>
        <vertAlign val="subscript"/>
        <sz val="12"/>
        <color rgb="FF000000"/>
        <rFont val="Times New Roman"/>
        <family val="1"/>
        <charset val="204"/>
      </rPr>
      <t>мін</t>
    </r>
    <r>
      <rPr>
        <sz val="12"/>
        <color rgb="FF000000"/>
        <rFont val="Times New Roman"/>
        <family val="1"/>
        <charset val="204"/>
      </rPr>
      <t xml:space="preserve"> х СД</t>
    </r>
    <r>
      <rPr>
        <vertAlign val="subscript"/>
        <sz val="12"/>
        <color rgb="FF000000"/>
        <rFont val="Times New Roman"/>
        <family val="1"/>
        <charset val="204"/>
      </rPr>
      <t>сер</t>
    </r>
    <r>
      <rPr>
        <sz val="12"/>
        <color rgb="FF000000"/>
        <rFont val="Times New Roman"/>
        <family val="1"/>
        <charset val="204"/>
      </rPr>
      <t xml:space="preserve"> x К</t>
    </r>
    <r>
      <rPr>
        <vertAlign val="subscript"/>
        <sz val="12"/>
        <color rgb="FF000000"/>
        <rFont val="Times New Roman"/>
        <family val="1"/>
        <charset val="204"/>
      </rPr>
      <t>д</t>
    </r>
    <r>
      <rPr>
        <sz val="12"/>
        <color rgb="FF000000"/>
        <rFont val="Times New Roman"/>
        <family val="1"/>
        <charset val="204"/>
      </rPr>
      <t xml:space="preserve"> x К</t>
    </r>
    <r>
      <rPr>
        <vertAlign val="subscript"/>
        <sz val="12"/>
        <color rgb="FF000000"/>
        <rFont val="Times New Roman"/>
        <family val="1"/>
        <charset val="204"/>
      </rPr>
      <t>жкп</t>
    </r>
    <r>
      <rPr>
        <sz val="12"/>
        <color rgb="FF000000"/>
        <rFont val="Times New Roman"/>
        <family val="1"/>
        <charset val="204"/>
      </rPr>
      <t xml:space="preserve"> x К,</t>
    </r>
  </si>
  <si>
    <r>
      <t>де РП</t>
    </r>
    <r>
      <rPr>
        <vertAlign val="subscript"/>
        <sz val="12"/>
        <color rgb="FF000000"/>
        <rFont val="Times New Roman"/>
        <family val="1"/>
        <charset val="204"/>
      </rPr>
      <t>грн</t>
    </r>
    <r>
      <rPr>
        <sz val="12"/>
        <color rgb="FF000000"/>
        <rFont val="Times New Roman"/>
        <family val="1"/>
        <charset val="204"/>
      </rPr>
      <t xml:space="preserve"> - граничний розмір плати за абонентське обслуговування, гривень на місяць на одного абонента;</t>
    </r>
  </si>
  <si>
    <r>
      <t>П</t>
    </r>
    <r>
      <rPr>
        <vertAlign val="subscript"/>
        <sz val="12"/>
        <color rgb="FF000000"/>
        <rFont val="Times New Roman"/>
        <family val="1"/>
        <charset val="204"/>
      </rPr>
      <t>мін</t>
    </r>
    <r>
      <rPr>
        <sz val="12"/>
        <color rgb="FF000000"/>
        <rFont val="Times New Roman"/>
        <family val="1"/>
        <charset val="204"/>
      </rPr>
      <t xml:space="preserve"> - законодавчо встановлений на відповідну дату розмір прожиткового мінімуму на одну особу в розрахунку на місяць, гривень;</t>
    </r>
  </si>
  <si>
    <r>
      <t>СД</t>
    </r>
    <r>
      <rPr>
        <vertAlign val="subscript"/>
        <sz val="12"/>
        <color rgb="FF000000"/>
        <rFont val="Times New Roman"/>
        <family val="1"/>
        <charset val="204"/>
      </rPr>
      <t>сер</t>
    </r>
    <r>
      <rPr>
        <sz val="12"/>
        <color rgb="FF000000"/>
        <rFont val="Times New Roman"/>
        <family val="1"/>
        <charset val="204"/>
      </rPr>
      <t xml:space="preserve"> - середній кількісний склад домогосподарства, що становить 2,58 особи;</t>
    </r>
  </si>
  <si>
    <r>
      <t>К</t>
    </r>
    <r>
      <rPr>
        <vertAlign val="subscript"/>
        <sz val="12"/>
        <color rgb="FF000000"/>
        <rFont val="Times New Roman"/>
        <family val="1"/>
        <charset val="204"/>
      </rPr>
      <t>д</t>
    </r>
    <r>
      <rPr>
        <sz val="12"/>
        <color rgb="FF000000"/>
        <rFont val="Times New Roman"/>
        <family val="1"/>
        <charset val="204"/>
      </rPr>
      <t xml:space="preserve"> - коефіцієнт дохідності домогосподарства для розрахунку плати за абонентське обслуговування, що становить два прожиткових мінімуми на одну особу в розрахунку на місяць;</t>
    </r>
  </si>
  <si>
    <r>
      <t>К</t>
    </r>
    <r>
      <rPr>
        <vertAlign val="subscript"/>
        <sz val="12"/>
        <color rgb="FF000000"/>
        <rFont val="Times New Roman"/>
        <family val="1"/>
        <charset val="204"/>
      </rPr>
      <t>жкп</t>
    </r>
    <r>
      <rPr>
        <sz val="12"/>
        <color rgb="FF000000"/>
        <rFont val="Times New Roman"/>
        <family val="1"/>
        <charset val="204"/>
      </rPr>
      <t xml:space="preserve"> - коефіцієнт середнього по Україні розміру витрат домогосподарств на оплату житлово-комунальних послуг, що становить 0,15;</t>
    </r>
  </si>
  <si>
    <t>К - коефіцієнт відшкодування домогосподарством витрат, здійснених виконавцем комунальних послуг під час їх надання у багатоквартирних будинках за індивідуальними договорами та віднесених до плати за абонентське обслуговування, що становить:</t>
  </si>
  <si>
    <t>- 0,019 - для виконавців послуг з постачання теплової енергії та/або гарячої води, з централізованого водопостачання та/або централізованого водовідведення;</t>
  </si>
  <si>
    <t>факт 2020 з урахуванням розбивки по людям</t>
  </si>
  <si>
    <t>банкам</t>
  </si>
  <si>
    <t>решта</t>
  </si>
  <si>
    <t>повірка</t>
  </si>
  <si>
    <t>картриджи</t>
  </si>
  <si>
    <t>аморт</t>
  </si>
  <si>
    <t>Перерахунок витрат</t>
  </si>
  <si>
    <t>Прожитковий мінімум на 2021 рік</t>
  </si>
  <si>
    <t>на одну особу</t>
  </si>
  <si>
    <t>Період дії</t>
  </si>
  <si>
    <t>1 січня-30 червня</t>
  </si>
  <si>
    <t>1 липня - 30 листопада</t>
  </si>
  <si>
    <t>1 грудня - 31 грудня</t>
  </si>
  <si>
    <t>матеріали на ремонт</t>
  </si>
  <si>
    <t>відх</t>
  </si>
  <si>
    <t>технологія</t>
  </si>
  <si>
    <t>господарчі</t>
  </si>
  <si>
    <t>всього, у т.ч.</t>
  </si>
  <si>
    <t>відвед</t>
  </si>
  <si>
    <t>Обсяг реалізації теплової енергії власним споживачам, усього, зокрема:</t>
  </si>
  <si>
    <t>транспортування з цтп</t>
  </si>
  <si>
    <t>релігія</t>
  </si>
  <si>
    <t>розподіл господар навантаженя</t>
  </si>
  <si>
    <t>Відпуск ТЕ в мережі, усього, зокрема:</t>
  </si>
  <si>
    <t>в т.ч. з цтп</t>
  </si>
  <si>
    <t>в т.ч. без цтп</t>
  </si>
  <si>
    <t>Відпуск ТЕ в мережу +втрати ГП</t>
  </si>
  <si>
    <t>навант + гп</t>
  </si>
  <si>
    <t xml:space="preserve">навант </t>
  </si>
  <si>
    <t>Господарчі потреби</t>
  </si>
  <si>
    <t>безЦТП</t>
  </si>
  <si>
    <t>Втрати з господарчих потреб</t>
  </si>
  <si>
    <t>Навантаження господарчих потреб</t>
  </si>
  <si>
    <t>навантаженя</t>
  </si>
  <si>
    <t>Різн</t>
  </si>
  <si>
    <t>Для 2- ст коеф виробництво</t>
  </si>
  <si>
    <t>без господарчих</t>
  </si>
  <si>
    <t>про встановлення тарифів</t>
  </si>
  <si>
    <t>Чорноморської міської ради Одеського району Одеської області</t>
  </si>
  <si>
    <t>Коригування витрат</t>
  </si>
  <si>
    <t>Витрати на відшкодування втрат, коригування витрат</t>
  </si>
  <si>
    <t>витрати на відшкодування втрат, коригування витрат</t>
  </si>
  <si>
    <t>Голові Чорноморської міської ради
Василю ГУЛЯЄВУ</t>
  </si>
  <si>
    <t>Послуги з постачання теплової енергії</t>
  </si>
  <si>
    <t>Теплова енергія</t>
  </si>
  <si>
    <t>Загальногосподарські</t>
  </si>
  <si>
    <t>Прибуток, у т.ч.</t>
  </si>
  <si>
    <t>податок на прибуток 18%</t>
  </si>
  <si>
    <t>Вартість теплової енергії</t>
  </si>
  <si>
    <t>Перетворювач тиску Метран-100</t>
  </si>
  <si>
    <t>лист ремонт</t>
  </si>
  <si>
    <t>лист ТО ТЗ</t>
  </si>
  <si>
    <t>4% від повної с/в</t>
  </si>
  <si>
    <t>Порівняльна таблиця % планованих витрат на виробництво теплової енергії в 2021-2022 роках КП "ЧТЕ" та урахованих в  діючих тарифах в 2020-2021 роках</t>
  </si>
  <si>
    <t>Порівняльна таблиця % планованих витрат на теплову енергію  в 2021-2022 роках КП "ЧТЕ" та урахованих в  діючих тарифах в 2020-2021 роках</t>
  </si>
  <si>
    <t>Планові тарифи на 2021-2022 рр</t>
  </si>
  <si>
    <t>Порівняльна таблиця % планованих загальновиробничих витрат на  теплову енергію  в 2021-2022 роках КП "ЧТЕ" та урахованих в  діючих тарифах в 2020-2021 роках</t>
  </si>
  <si>
    <t>послуги з проведення інструментально-лабораторних вимірів для здійснення контролю забруднюючих речовин в навколішному середовищу</t>
  </si>
  <si>
    <t>ПДВ</t>
  </si>
  <si>
    <t>Разом з ПДВ</t>
  </si>
  <si>
    <t>ТЕ з ЦТП</t>
  </si>
  <si>
    <t>Структура тарифів на ТЕ (діючі 2020-2021 рр.)</t>
  </si>
  <si>
    <t>ТЕ без ЦТП</t>
  </si>
  <si>
    <t>Складові</t>
  </si>
  <si>
    <t>Структура тарифів на ТЕ (планові 2021-2022 рр.) подані в ОМС</t>
  </si>
  <si>
    <t>Структура тарифів на ТЕ (планові 2021-2022 рр.) без перерахунку витрат по ціні газу в ОП 2020-2021 рр.</t>
  </si>
  <si>
    <t>втрати в мережах</t>
  </si>
  <si>
    <t>бюдетні організації</t>
  </si>
  <si>
    <t>грн. за 1 Гкал</t>
  </si>
  <si>
    <t>ціна виробництва теплової енергії</t>
  </si>
  <si>
    <t>приєднане теплове навантаження</t>
  </si>
  <si>
    <t>Розрахунок витрат на покриття втрат в мережах</t>
  </si>
  <si>
    <t>Витрати на покриття втрат:</t>
  </si>
  <si>
    <t>Гкал в год.</t>
  </si>
  <si>
    <t>за одноставковим тарифом</t>
  </si>
  <si>
    <t>собівартість</t>
  </si>
  <si>
    <t>Без ГП</t>
  </si>
  <si>
    <t>Kвироб</t>
  </si>
  <si>
    <t>у т.ч. витрати на покриття втрат теплової енергії в теплових мережах</t>
  </si>
  <si>
    <t>Додаток 1                                         до рішення виконавчого комітету Чорноморської міської ради Одеського району Одеської області                               від ________ № ____</t>
  </si>
  <si>
    <t>Сумарні тарифні витрати, тис. грн. на рік</t>
  </si>
  <si>
    <t>Тарифи, грн/Гкал:</t>
  </si>
  <si>
    <t>Для потреб населення</t>
  </si>
  <si>
    <t>Для потреб релігійних організацій</t>
  </si>
  <si>
    <t>Для потреб бюджетних організацій</t>
  </si>
  <si>
    <t>Для потреб інших споживачів (крім населення)</t>
  </si>
  <si>
    <t>Структура тарифів на теплову енергію, грн./Гкал</t>
  </si>
  <si>
    <t xml:space="preserve">І </t>
  </si>
  <si>
    <t xml:space="preserve">Тарифи на теплову енергію, у тому числі:                          </t>
  </si>
  <si>
    <t>тарифи на виробництво теплової енергії</t>
  </si>
  <si>
    <r>
      <t xml:space="preserve">тарифи на транспортування теплової енергії </t>
    </r>
    <r>
      <rPr>
        <b/>
        <u/>
        <sz val="11"/>
        <color theme="1"/>
        <rFont val="Times New Roman"/>
        <family val="1"/>
        <charset val="204"/>
      </rPr>
      <t>з  урахуванням витрат на утримання та ремонт центральних теплових пунктів</t>
    </r>
  </si>
  <si>
    <t>тарифи на постачання теплової енергії</t>
  </si>
  <si>
    <t>ІІ</t>
  </si>
  <si>
    <t>Структура витрат на теплову енергію, тис. грн. на рік</t>
  </si>
  <si>
    <t xml:space="preserve"> Виробнича собівартість, у тому числі:  </t>
  </si>
  <si>
    <t>прямі матеріальні витрати, у тому числі:</t>
  </si>
  <si>
    <t>1.1.1.</t>
  </si>
  <si>
    <t>витрати на паливо для виробництва теплової енергії</t>
  </si>
  <si>
    <t>1.1.2.</t>
  </si>
  <si>
    <t>витрати на електричну енергію для технологічних потреб</t>
  </si>
  <si>
    <t>1.1.3.</t>
  </si>
  <si>
    <t>витрати на воду для технологічних потреб та водовідведення</t>
  </si>
  <si>
    <t>1.1.4.</t>
  </si>
  <si>
    <t xml:space="preserve">прямі витрати на оплату праці </t>
  </si>
  <si>
    <t xml:space="preserve">інші прямі витрати, у тому числі: </t>
  </si>
  <si>
    <t>1.3.1.</t>
  </si>
  <si>
    <t xml:space="preserve"> відрахування на соціальні заходи </t>
  </si>
  <si>
    <t>1.3.2.</t>
  </si>
  <si>
    <t xml:space="preserve">амортизаційні відрахування </t>
  </si>
  <si>
    <t>1.3.3.</t>
  </si>
  <si>
    <t xml:space="preserve">загальновиробничі витрати, у тому числі: </t>
  </si>
  <si>
    <t>1.4.1.</t>
  </si>
  <si>
    <t xml:space="preserve">витрати на оплату праці </t>
  </si>
  <si>
    <t>1.4.2.</t>
  </si>
  <si>
    <t>1.4.3.</t>
  </si>
  <si>
    <t>1.4.4.</t>
  </si>
  <si>
    <t xml:space="preserve">Адміністративні витрати, у тому числі: </t>
  </si>
  <si>
    <t>2.1.</t>
  </si>
  <si>
    <t>2.2.</t>
  </si>
  <si>
    <t xml:space="preserve">відрахування на соціальні заходи </t>
  </si>
  <si>
    <t>2.3.</t>
  </si>
  <si>
    <t>2.4.</t>
  </si>
  <si>
    <t xml:space="preserve">інші витрати </t>
  </si>
  <si>
    <t xml:space="preserve">Інші операційні витрати </t>
  </si>
  <si>
    <t>Витрати на теплову енергію для компенсації втрат власної теплової енергії ліцензіата в теплових мережах</t>
  </si>
  <si>
    <t xml:space="preserve">Фінансові витрати </t>
  </si>
  <si>
    <t>Витрати на покриття втрат</t>
  </si>
  <si>
    <t xml:space="preserve">Коригування витрат </t>
  </si>
  <si>
    <t xml:space="preserve">Розрахунковий прибуток, усього, у тому числі: </t>
  </si>
  <si>
    <t>8.2.</t>
  </si>
  <si>
    <t>8.3.</t>
  </si>
  <si>
    <t>8.4.</t>
  </si>
  <si>
    <t>Загальна вартість теплової енергії</t>
  </si>
  <si>
    <t>Обсяг відпуску теплової енергії з колекторів власних генеруючих джерел, Гкал</t>
  </si>
  <si>
    <t>Обсяг реалізації теплової енергії власним споживачам, Гкал</t>
  </si>
  <si>
    <t>Додаток 2                                         до рішення виконавчого комітету Чорноморської міської ради Одеського району Одеської області                               від ________ № ____</t>
  </si>
  <si>
    <r>
      <t xml:space="preserve">тарифи на транспортування теплової енергії  </t>
    </r>
    <r>
      <rPr>
        <b/>
        <u/>
        <sz val="11"/>
        <color theme="1"/>
        <rFont val="Times New Roman"/>
        <family val="1"/>
        <charset val="204"/>
      </rPr>
      <t xml:space="preserve">без  урахуванням витрат на утримання та ремонт центральних теплових пунктів </t>
    </r>
  </si>
  <si>
    <t>Тарифи на виробництво теплової енергії                                  ((п. 8*п. 9 )/п. 8)</t>
  </si>
  <si>
    <t xml:space="preserve"> Виробнича собівартість виробництва теплової енергії власними котельнами, у тому числі:  </t>
  </si>
  <si>
    <t>7.2.</t>
  </si>
  <si>
    <t>7.3.</t>
  </si>
  <si>
    <t>7.4.</t>
  </si>
  <si>
    <t>Вартість виробництва теплової енергії власними котельнами</t>
  </si>
  <si>
    <t xml:space="preserve">прямі матеріальні витрати </t>
  </si>
  <si>
    <t>Усього розподілені витрати на утримання, експлуатацію основних засобів</t>
  </si>
  <si>
    <t>Річний обсяг реалізації теплової енергії власним споживачам, Гкал</t>
  </si>
  <si>
    <t>Структура тарифів на транспортування  теплової енергії з урахуванням витрат на утримання та ремонт центральних теплових пунктів</t>
  </si>
  <si>
    <t>Тарифи на постачання теплової енергії                    ((п. 1+п. 2+п. 3+п. 4+п. 5+п. 6+п. 7)/п. 8)</t>
  </si>
  <si>
    <t>Структура тарифів на постачання теплової енергії</t>
  </si>
  <si>
    <t>Для потреб інших споживачів</t>
  </si>
  <si>
    <t>Питомі витрати умовного палива, кг у.п./Гкал</t>
  </si>
  <si>
    <t xml:space="preserve">до рішення виконавчого комітету </t>
  </si>
  <si>
    <t>Од. виміру</t>
  </si>
  <si>
    <t xml:space="preserve">  умовно -змінна</t>
  </si>
  <si>
    <t>грн./1 Гкал</t>
  </si>
  <si>
    <t xml:space="preserve">  умовно - постійна</t>
  </si>
  <si>
    <t>грн./Гкал/год. в місяць</t>
  </si>
  <si>
    <t>виробництво теплової енергії</t>
  </si>
  <si>
    <t>транспортування теплової енергії</t>
  </si>
  <si>
    <t>постачання теплової енергії</t>
  </si>
  <si>
    <t>Керуюча справами</t>
  </si>
  <si>
    <t>Наталя КУШНІРЕНКО</t>
  </si>
  <si>
    <t>від ______________2021 №________</t>
  </si>
  <si>
    <t>Тариф
 (без ПДВ)</t>
  </si>
  <si>
    <t>Тариф 
(з ПДВ)</t>
  </si>
  <si>
    <t>Теплова енергія, 
у т.ч.:</t>
  </si>
  <si>
    <t>Чорноморської міської ради  
Одеського району Одеської області</t>
  </si>
  <si>
    <t>Kтрансп</t>
  </si>
  <si>
    <t>теплова енергія</t>
  </si>
  <si>
    <t>вир</t>
  </si>
  <si>
    <t>трансп</t>
  </si>
  <si>
    <t>постач</t>
  </si>
  <si>
    <t>Т з ЦТП</t>
  </si>
  <si>
    <t>Т без ЦТП</t>
  </si>
  <si>
    <t>те</t>
  </si>
  <si>
    <t>фін витр</t>
  </si>
  <si>
    <t>Природний газ</t>
  </si>
  <si>
    <t>населення, у тому числі</t>
  </si>
  <si>
    <t>за фіксованим обсягом</t>
  </si>
  <si>
    <t>за нефіксованим обсягом</t>
  </si>
  <si>
    <t>Розрахунок вартості природного газу</t>
  </si>
  <si>
    <t>Вартість природного газу всього</t>
  </si>
  <si>
    <t>Ціна натурального палива, грн/тис. м3</t>
  </si>
  <si>
    <t>Двоставковий тариф</t>
  </si>
  <si>
    <t>умовно-змінна складова</t>
  </si>
  <si>
    <t>умовно-постійна складова</t>
  </si>
  <si>
    <t>Планований тариф</t>
  </si>
  <si>
    <t>грн/Гкал/год</t>
  </si>
  <si>
    <t>Тариф на виробництво теплової енергії,  без ПДВ</t>
  </si>
  <si>
    <t>Для потреб:</t>
  </si>
  <si>
    <r>
      <t xml:space="preserve">Тариф на </t>
    </r>
    <r>
      <rPr>
        <b/>
        <sz val="11"/>
        <color theme="1"/>
        <rFont val="Times New Roman"/>
        <family val="1"/>
        <charset val="204"/>
      </rPr>
      <t>транспортування</t>
    </r>
    <r>
      <rPr>
        <sz val="11"/>
        <color theme="1"/>
        <rFont val="Times New Roman"/>
        <family val="1"/>
        <charset val="204"/>
      </rPr>
      <t xml:space="preserve"> теплової енергії з ЦТП,  без ПДВ</t>
    </r>
  </si>
  <si>
    <r>
      <t xml:space="preserve">Тариф на </t>
    </r>
    <r>
      <rPr>
        <b/>
        <sz val="11"/>
        <color theme="1"/>
        <rFont val="Times New Roman"/>
        <family val="1"/>
        <charset val="204"/>
      </rPr>
      <t>транспортування</t>
    </r>
    <r>
      <rPr>
        <sz val="11"/>
        <color theme="1"/>
        <rFont val="Times New Roman"/>
        <family val="1"/>
        <charset val="204"/>
      </rPr>
      <t xml:space="preserve"> теплової енергії без ЦТП,  без ПДВ</t>
    </r>
  </si>
  <si>
    <r>
      <t xml:space="preserve">Тариф на </t>
    </r>
    <r>
      <rPr>
        <b/>
        <sz val="11"/>
        <color theme="1"/>
        <rFont val="Times New Roman"/>
        <family val="1"/>
        <charset val="204"/>
      </rPr>
      <t>постачання</t>
    </r>
    <r>
      <rPr>
        <sz val="11"/>
        <color theme="1"/>
        <rFont val="Times New Roman"/>
        <family val="1"/>
        <charset val="204"/>
      </rPr>
      <t xml:space="preserve"> теплової енергії,  без ПДВ</t>
    </r>
  </si>
  <si>
    <t>Всього теплова енергія</t>
  </si>
  <si>
    <t>транспортування ТЕ</t>
  </si>
  <si>
    <t>Для потреб населення з ЦТП, за складовими:</t>
  </si>
  <si>
    <t>Для потреб населення без ЦТП, за складовими:</t>
  </si>
  <si>
    <t>Для потреб бюджетних організацій з ЦТП, за складовими:</t>
  </si>
  <si>
    <t>Для потреб бюджетних організацій без ЦТП, за складовими:</t>
  </si>
  <si>
    <t>Для потреб інших споживачів з ЦТП, за складовими:</t>
  </si>
  <si>
    <t>Для потреб інших споживачів без ЦТП, за складовими:</t>
  </si>
  <si>
    <t>Для потреб релігійних організацій без ЦТП, за складовими:</t>
  </si>
  <si>
    <t>теплова енергія, %</t>
  </si>
  <si>
    <t>Відрахування ЄСВ</t>
  </si>
  <si>
    <t>Для потреб бюджетних установ та організацій</t>
  </si>
  <si>
    <t>отпуск в сети</t>
  </si>
  <si>
    <t>религия</t>
  </si>
  <si>
    <t>№ зп</t>
  </si>
  <si>
    <t>Тарифи, грн/Гкал (грн/Гкал/год)</t>
  </si>
  <si>
    <t>Для потреб бюджетних установ</t>
  </si>
  <si>
    <t>Двоставкові тарифи на теплову енергію</t>
  </si>
  <si>
    <t>Умовно-змінна частина двоставкового тарифу на теплову енергію на одиницю спожитої теплової енергії</t>
  </si>
  <si>
    <t>Умовно-постійна частина двоставкового тарифу на теплову енергію - місячна абонентська плата на одиницю теплового навантаження</t>
  </si>
  <si>
    <t>Технічні показники</t>
  </si>
  <si>
    <t>Додаток 3</t>
  </si>
  <si>
    <t>Загальний обсяг відпуску теплової енергії з колекторів, тис. Гкал, у тому числі:</t>
  </si>
  <si>
    <t>3.1.</t>
  </si>
  <si>
    <t>3.1.1.</t>
  </si>
  <si>
    <t>3.1.2.</t>
  </si>
  <si>
    <t>Обсяг реалізації теплової енергії власним споживачам всього, у тому числі</t>
  </si>
  <si>
    <r>
      <rPr>
        <b/>
        <sz val="11"/>
        <color theme="1"/>
        <rFont val="Times New Roman"/>
        <family val="1"/>
        <charset val="204"/>
      </rPr>
      <t>Виробництво теплової енергії,</t>
    </r>
    <r>
      <rPr>
        <sz val="11"/>
        <color theme="1"/>
        <rFont val="Times New Roman"/>
        <family val="1"/>
        <charset val="204"/>
      </rPr>
      <t xml:space="preserve">  умовно-змінні витрати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</si>
  <si>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умовно-постійні витрати двоставкового тарифу</t>
    </r>
  </si>
  <si>
    <t>Kоригування витрат</t>
  </si>
  <si>
    <t>5.1.1.</t>
  </si>
  <si>
    <t>6.1.1.</t>
  </si>
  <si>
    <t>6.1.2.</t>
  </si>
  <si>
    <t>6.1.3.</t>
  </si>
  <si>
    <t>6.3.1.</t>
  </si>
  <si>
    <t>6.3.2.</t>
  </si>
  <si>
    <t>6.3.3.</t>
  </si>
  <si>
    <t>6.4.</t>
  </si>
  <si>
    <t>6.4.1.</t>
  </si>
  <si>
    <t>6.4.2.</t>
  </si>
  <si>
    <t>6.4.3.</t>
  </si>
  <si>
    <t>12.1.</t>
  </si>
  <si>
    <t>12.2.</t>
  </si>
  <si>
    <t>12.3.</t>
  </si>
  <si>
    <t>12.4.</t>
  </si>
  <si>
    <t>12.5.</t>
  </si>
  <si>
    <r>
      <rPr>
        <b/>
        <sz val="11"/>
        <color theme="1"/>
        <rFont val="Times New Roman"/>
        <family val="1"/>
        <charset val="204"/>
      </rPr>
      <t>Транспортування теплової енергії,</t>
    </r>
    <r>
      <rPr>
        <sz val="11"/>
        <color theme="1"/>
        <rFont val="Times New Roman"/>
        <family val="1"/>
        <charset val="204"/>
      </rPr>
      <t xml:space="preserve">  умовно-змінні витрати двоставкового тарифу</t>
    </r>
  </si>
  <si>
    <t xml:space="preserve"> податок на прибуток</t>
  </si>
  <si>
    <t xml:space="preserve"> на розвиток виробництва (виробничі інвестиції)</t>
  </si>
  <si>
    <t xml:space="preserve"> інше використання  прибутку</t>
  </si>
  <si>
    <r>
      <rPr>
        <b/>
        <sz val="11"/>
        <color theme="1"/>
        <rFont val="Times New Roman"/>
        <family val="1"/>
        <charset val="204"/>
      </rPr>
      <t>Транспортування теплової енергії,</t>
    </r>
    <r>
      <rPr>
        <sz val="11"/>
        <color theme="1"/>
        <rFont val="Times New Roman"/>
        <family val="1"/>
        <charset val="204"/>
      </rPr>
      <t xml:space="preserve">  умовно-постійні витрати двоставкового тарифу</t>
    </r>
  </si>
  <si>
    <t>13.1.</t>
  </si>
  <si>
    <t>13.1.1.</t>
  </si>
  <si>
    <r>
      <t>Постачання теплової енергії,</t>
    </r>
    <r>
      <rPr>
        <sz val="11"/>
        <color rgb="FF000000"/>
        <rFont val="Times New Roman"/>
        <family val="1"/>
        <charset val="204"/>
      </rPr>
      <t xml:space="preserve">  умовно-постійні витрати двоставкового тарифу</t>
    </r>
  </si>
  <si>
    <t>Додаток 4</t>
  </si>
  <si>
    <t>5.1.1.1.</t>
  </si>
  <si>
    <t>5.1.1.2.</t>
  </si>
  <si>
    <r>
      <t xml:space="preserve">на </t>
    </r>
    <r>
      <rPr>
        <b/>
        <u/>
        <sz val="12"/>
        <color rgb="FF333333"/>
        <rFont val="Times New Roman"/>
        <family val="1"/>
        <charset val="204"/>
      </rPr>
      <t xml:space="preserve">теплову енергію, її виробництво, транспортування </t>
    </r>
    <r>
      <rPr>
        <sz val="12"/>
        <color rgb="FF333333"/>
        <rFont val="Times New Roman"/>
        <family val="1"/>
        <charset val="204"/>
      </rPr>
      <t xml:space="preserve"> </t>
    </r>
    <r>
      <rPr>
        <b/>
        <u/>
        <sz val="12"/>
        <color rgb="FF333333"/>
        <rFont val="Times New Roman"/>
        <family val="1"/>
        <charset val="204"/>
      </rPr>
      <t>без урахуванням витрат на обслуговування та ремонт центральних теплових пунктів та постачання</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</si>
  <si>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r>
      <t xml:space="preserve">на </t>
    </r>
    <r>
      <rPr>
        <b/>
        <u/>
        <sz val="12"/>
        <color rgb="FF333333"/>
        <rFont val="Times New Roman"/>
        <family val="1"/>
        <charset val="204"/>
      </rPr>
      <t>теплову енергію, її виробництво, транспортування з урахуванням витрат на обслуговування та ремонт центральних теплових пунктів та постачання</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</si>
  <si>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з урахуванням витрат на обслуговування та ремонт центральних теплових пунктів</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</si>
  <si>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без урахування витрат на обслуговування та ремонт центральних теплових пунктів</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</si>
  <si>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t>15.1.1</t>
  </si>
  <si>
    <t>15.1.2</t>
  </si>
  <si>
    <t>15.1.3</t>
  </si>
  <si>
    <t>15.1.4</t>
  </si>
  <si>
    <t>15.1.4.1</t>
  </si>
  <si>
    <t>15.3</t>
  </si>
  <si>
    <t>15.3.1</t>
  </si>
  <si>
    <t>15.3.2</t>
  </si>
  <si>
    <t>15.3.3</t>
  </si>
  <si>
    <t>15.4</t>
  </si>
  <si>
    <t>15.4.1</t>
  </si>
  <si>
    <t>15.4.2</t>
  </si>
  <si>
    <t>15.4.3</t>
  </si>
  <si>
    <t>16.3</t>
  </si>
  <si>
    <t>17.3</t>
  </si>
  <si>
    <t>19</t>
  </si>
  <si>
    <t>20</t>
  </si>
  <si>
    <t>21</t>
  </si>
  <si>
    <t>22</t>
  </si>
  <si>
    <t>22.1</t>
  </si>
  <si>
    <t>22.2</t>
  </si>
  <si>
    <t>22.3</t>
  </si>
  <si>
    <t>22.4</t>
  </si>
  <si>
    <t>22.5</t>
  </si>
  <si>
    <t>23</t>
  </si>
  <si>
    <t>24</t>
  </si>
  <si>
    <t>24.1</t>
  </si>
  <si>
    <t>24.2</t>
  </si>
  <si>
    <t>24.3</t>
  </si>
  <si>
    <t>24.3.1</t>
  </si>
  <si>
    <t>24.3.2</t>
  </si>
  <si>
    <t>24.3.3</t>
  </si>
  <si>
    <t>24.4</t>
  </si>
  <si>
    <t>24.4.1</t>
  </si>
  <si>
    <t>24.4.2</t>
  </si>
  <si>
    <t>24.4.3</t>
  </si>
  <si>
    <t>25</t>
  </si>
  <si>
    <t>25.1</t>
  </si>
  <si>
    <t>25.2</t>
  </si>
  <si>
    <t>25.3</t>
  </si>
  <si>
    <t>26</t>
  </si>
  <si>
    <t>26.3</t>
  </si>
  <si>
    <t>27</t>
  </si>
  <si>
    <t>28</t>
  </si>
  <si>
    <t>29</t>
  </si>
  <si>
    <t>30</t>
  </si>
  <si>
    <t>31</t>
  </si>
  <si>
    <t>31.1</t>
  </si>
  <si>
    <t>31.2</t>
  </si>
  <si>
    <t>31.3</t>
  </si>
  <si>
    <t>31.4</t>
  </si>
  <si>
    <t>31.5</t>
  </si>
  <si>
    <t>Виробнича собівартість УЗС тарифу, зокрема:</t>
  </si>
  <si>
    <t>Вартість УПС тарифу виробництва теплової енергії за відповідними тарифами, у тому числі</t>
  </si>
  <si>
    <t>Вартість УПС тарифу транспортування теплової енергії за відповідними тарифами, у тому числі</t>
  </si>
  <si>
    <t>Вартість УПС тарифу постачання теплової енергії за відповідними тарифами, у тому числі</t>
  </si>
  <si>
    <t>Структура двоставкових тарифів</t>
  </si>
  <si>
    <t>За ціною газу 6408</t>
  </si>
  <si>
    <t>Вартість, т.гр. без ПДВ, у т.ч.</t>
  </si>
  <si>
    <t>З цтп</t>
  </si>
  <si>
    <t>Без цтп</t>
  </si>
  <si>
    <t>Виробництво, в т.ч.</t>
  </si>
  <si>
    <t>Транспортування, в т. ч.</t>
  </si>
  <si>
    <t>Постачання, в т.ч.</t>
  </si>
  <si>
    <t>Теплова енергія, в т.ч.</t>
  </si>
  <si>
    <t>Відхилення, т.грн. без ПДВ</t>
  </si>
  <si>
    <t>Заст. директора з економіки О. Лаврова</t>
  </si>
  <si>
    <t>TE</t>
  </si>
  <si>
    <t>B</t>
  </si>
  <si>
    <t>T1</t>
  </si>
  <si>
    <t>T2</t>
  </si>
  <si>
    <t>П</t>
  </si>
  <si>
    <t>УПС, в т.ч.</t>
  </si>
  <si>
    <t>матеріальні витрати</t>
  </si>
  <si>
    <t>зарплата</t>
  </si>
  <si>
    <t>ЄСВ (відрах з з/пл)</t>
  </si>
  <si>
    <t>ремонти</t>
  </si>
  <si>
    <t>загальновиробничі, у т.ч.</t>
  </si>
  <si>
    <t>адміністративні, у т.ч.</t>
  </si>
  <si>
    <t>вода, водовідведення</t>
  </si>
  <si>
    <t xml:space="preserve">проверка </t>
  </si>
  <si>
    <t>коригування витрат</t>
  </si>
  <si>
    <t>фінансові витрати</t>
  </si>
  <si>
    <t>УЗС, в т.ч.</t>
  </si>
  <si>
    <t>паливо</t>
  </si>
  <si>
    <t>тис. грн. без ПДВ</t>
  </si>
  <si>
    <t>виробнича собівартість</t>
  </si>
  <si>
    <t>Тариф 2021-2022</t>
  </si>
  <si>
    <t>природний газ  населення</t>
  </si>
  <si>
    <t>Заст. директора з економіки О.Лаврова
048-68-4-18-21</t>
  </si>
  <si>
    <t>Відхилення на</t>
  </si>
  <si>
    <t>Урахована вартість газу, грн за 1000 м³</t>
  </si>
  <si>
    <t xml:space="preserve">Для потреб населення </t>
  </si>
  <si>
    <t>з урахуванням витрат на утримання та ремонт ЦТП</t>
  </si>
  <si>
    <t>без урахування витрат на утримання та ремонт ЦТП</t>
  </si>
  <si>
    <t>Для потреб релігійних організацій без ЦТП</t>
  </si>
  <si>
    <t>Підприємство</t>
  </si>
  <si>
    <t>умовно-змінна, грн./Гкал</t>
  </si>
  <si>
    <t>умовно-постійна, грн./Гкал/год</t>
  </si>
  <si>
    <t>Довідково : в одноставковому еквіваленті, грн/Гкал</t>
  </si>
  <si>
    <t>КП ТМ "ЮТКЕ" м. Южне</t>
  </si>
  <si>
    <t>КП "Білдгород-Дністровськ-теплоенерго"</t>
  </si>
  <si>
    <t>КП "ТП Ізмаілтепло-комуненерго"</t>
  </si>
  <si>
    <t>КП "Чорноморськ-теплоенерго"</t>
  </si>
  <si>
    <t>з січня 2019 року</t>
  </si>
  <si>
    <t>з січня 2019 року до серпня 2020 року</t>
  </si>
  <si>
    <t xml:space="preserve"> серпень 2020 року (з коригуванням)</t>
  </si>
  <si>
    <t>урахування витрат на обслуговування та ремонт</t>
  </si>
  <si>
    <t>Планові тарифи на теплову енергію на 2021-2022 роки</t>
  </si>
  <si>
    <t>Тарифи на послуги з централізованого опалення для потреб населення (з урахуванням  вартості природного газу для теплопостачальних організацій на рівні 8361,85 грн за 1000 м³ з ПДВ)</t>
  </si>
  <si>
    <t>Ціна газу , врахована в тарифах на теплову енергію, грн./тис.м³ без ПДВ</t>
  </si>
  <si>
    <t>подані на розгляд</t>
  </si>
  <si>
    <t>Бровари</t>
  </si>
  <si>
    <t xml:space="preserve">Вхідні дані для розрахунку тарифів </t>
  </si>
  <si>
    <t>на 1 Гкал/год</t>
  </si>
  <si>
    <t>Факт 2021 (9 міс)</t>
  </si>
  <si>
    <t>Структура витрат на виробництво теплової енергії</t>
  </si>
  <si>
    <t>Для потреб бюджетних організацій та установ</t>
  </si>
  <si>
    <t>Структура витрат на транспортування  теплової енергії без урахуванням витрат на утримання та ремонт центральних теплових пунктів</t>
  </si>
  <si>
    <t>І</t>
  </si>
  <si>
    <t>ІІІ</t>
  </si>
  <si>
    <t>Структура витрат, урахованих в тарифах на теплову енергію</t>
  </si>
  <si>
    <t>грн./Гкал/год</t>
  </si>
  <si>
    <t>Загальний обсяг відпуску теплової енергії з колекторів,  у тому числі:</t>
  </si>
  <si>
    <t>ˮ-ˮ</t>
  </si>
  <si>
    <r>
      <rPr>
        <b/>
        <sz val="11"/>
        <color theme="1"/>
        <rFont val="Times New Roman"/>
        <family val="1"/>
        <charset val="204"/>
      </rPr>
      <t>Виробництво теплової енергії,</t>
    </r>
    <r>
      <rPr>
        <sz val="11"/>
        <color theme="1"/>
        <rFont val="Times New Roman"/>
        <family val="1"/>
        <charset val="204"/>
      </rPr>
      <t xml:space="preserve">  умовно-змінні складові витрат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</si>
  <si>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умовно-постійні складові витрат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</si>
  <si>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умовно-змінні складові витрат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</si>
  <si>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умовно-постійні складові витрат двоставкового тарифу</t>
    </r>
  </si>
  <si>
    <r>
      <t>Постачання теплової енергії,</t>
    </r>
    <r>
      <rPr>
        <sz val="11"/>
        <color rgb="FF000000"/>
        <rFont val="Times New Roman"/>
        <family val="1"/>
        <charset val="204"/>
      </rPr>
      <t xml:space="preserve">  умовно-постійні складові витрат двоставкового тарифу</t>
    </r>
  </si>
  <si>
    <t xml:space="preserve">теплопостачання яких здійснює комунальне підприємство "Чорноморськтеплоенерго" </t>
  </si>
  <si>
    <t>на території Черноморської міської ради Одеської області</t>
  </si>
  <si>
    <t>З ЦТП/ без ЦТП</t>
  </si>
  <si>
    <t>Без ЦТП</t>
  </si>
  <si>
    <t>З ЦТП</t>
  </si>
  <si>
    <t>ПЕРШОГО ТРАВНЯ  19</t>
  </si>
  <si>
    <t>ПЕРШОГО ТРАВНЯ 40</t>
  </si>
  <si>
    <t>ПЕРШОГО ТРАВНЯ 40-Б</t>
  </si>
  <si>
    <t>ПЕРШОГО ТРАВНЯ 42</t>
  </si>
  <si>
    <t>ПЕРШОГО ТРАВНЯ 42-А</t>
  </si>
  <si>
    <t>Хантадзе 7,Б (перспектива)</t>
  </si>
  <si>
    <t>Хантадзе, 13 (перспектива)</t>
  </si>
  <si>
    <t>Керуюча справами             _________________            Н.В. Кушніренко</t>
  </si>
  <si>
    <t xml:space="preserve">до рішення виконавчого комітету 
Чорноморської міської ради 
від ______________2021 №_____
</t>
  </si>
  <si>
    <r>
      <t xml:space="preserve">Структура одноставкових тарифів на теплову енергію  </t>
    </r>
    <r>
      <rPr>
        <b/>
        <u/>
        <sz val="11"/>
        <color theme="1"/>
        <rFont val="Times New Roman"/>
        <family val="1"/>
        <charset val="204"/>
      </rPr>
      <t>з урахуванням витрат на утримання та ремонт центральних теплових пунктів</t>
    </r>
    <r>
      <rPr>
        <b/>
        <sz val="11"/>
        <color theme="1"/>
        <rFont val="Times New Roman"/>
        <family val="1"/>
        <charset val="204"/>
      </rPr>
      <t xml:space="preserve">  Комунального підприємства "Чорноморськтеплоенерго" Чорноморської міської ради Одеського району Одеської області</t>
    </r>
  </si>
  <si>
    <r>
      <t xml:space="preserve">Структура одноставкових тарифів на теплову енергію  </t>
    </r>
    <r>
      <rPr>
        <b/>
        <u/>
        <sz val="11"/>
        <color theme="1"/>
        <rFont val="Times New Roman"/>
        <family val="1"/>
        <charset val="204"/>
      </rPr>
      <t>без урахуванням витрат на утримання та ремонт центральних теплових пунктів</t>
    </r>
    <r>
      <rPr>
        <b/>
        <sz val="11"/>
        <color theme="1"/>
        <rFont val="Times New Roman"/>
        <family val="1"/>
        <charset val="204"/>
      </rPr>
      <t xml:space="preserve">  Комунального підприємства "Чорноморськтеплоенерго" Чорноморської міської ради Одеського району Одеської області</t>
    </r>
  </si>
  <si>
    <t>Додаток 5</t>
  </si>
  <si>
    <t>Додаток 6</t>
  </si>
  <si>
    <t>Додаток 7</t>
  </si>
  <si>
    <t>Річний обсяг реалізації теплової енергії власним споживачам, тис. Гкал</t>
  </si>
  <si>
    <t>Обсяг відпуску теплової енергії з колекторів власних генеруючих джерел, тис. Гкал</t>
  </si>
  <si>
    <t>Сумарні тарифні витрати, 
тис. грн.
 на рік</t>
  </si>
  <si>
    <t>прийняті в вересні, ще не вступили в дію</t>
  </si>
  <si>
    <t>прийняті в октябре, ще не вступили в дію</t>
  </si>
  <si>
    <t>на території Черноморської міської ради Одеського району Одеської області</t>
  </si>
  <si>
    <t>ІНШІ СПОЖИВАЧІ</t>
  </si>
  <si>
    <t>Місяць 2021 року</t>
  </si>
  <si>
    <t>Об'єм газу, тис. м куб.</t>
  </si>
  <si>
    <t>Фактична вартість, тис. грн</t>
  </si>
  <si>
    <t>Відшкод тарифами (4011,12) тис. грн</t>
  </si>
  <si>
    <t>Не відшкодовується тарифами, 
тис. грн</t>
  </si>
  <si>
    <t xml:space="preserve">Розмір обігових коштів урахований в тарифах на послуги з постачання теплової енергії для потреб інших споживачів, що діяли протягом 2021 року з січня по жовтень включно становить </t>
  </si>
  <si>
    <t>Т з цтп</t>
  </si>
  <si>
    <t>Т без цтп</t>
  </si>
  <si>
    <t>поставка</t>
  </si>
  <si>
    <t>на 2,57 року</t>
  </si>
  <si>
    <t>За ціною газу 7420 та 16554 та 24993</t>
  </si>
  <si>
    <t>транс</t>
  </si>
  <si>
    <t>пост</t>
  </si>
  <si>
    <t>Усього на планований  період, у тому числі</t>
  </si>
  <si>
    <t xml:space="preserve">для  потреб </t>
  </si>
  <si>
    <t>x</t>
  </si>
  <si>
    <t>2-ct</t>
  </si>
  <si>
    <t>1-ct</t>
  </si>
  <si>
    <t>ЗВВ та АДМ всі, а потрібно тільки ТЕ</t>
  </si>
  <si>
    <t>Структура витрат на теплову енергію</t>
  </si>
  <si>
    <t>Д1</t>
  </si>
  <si>
    <t>Д5</t>
  </si>
  <si>
    <t>Д6</t>
  </si>
  <si>
    <t>Д8</t>
  </si>
  <si>
    <t>Д9</t>
  </si>
  <si>
    <t>Д10</t>
  </si>
  <si>
    <t>ТЕ б/ЦТП</t>
  </si>
  <si>
    <t>ТЕ з/ЦТП</t>
  </si>
  <si>
    <t>тр з цтп</t>
  </si>
  <si>
    <t>тр б цтп</t>
  </si>
  <si>
    <t>поста</t>
  </si>
  <si>
    <t>2-х з цтп</t>
  </si>
  <si>
    <t>2-х б цтп</t>
  </si>
  <si>
    <t>ппте з цтп</t>
  </si>
  <si>
    <t>ппте б цтп</t>
  </si>
  <si>
    <t>АТ "ДТЕК Одеські електромережі"</t>
  </si>
  <si>
    <t>-</t>
  </si>
  <si>
    <t>ЧФ ДП "АМПУ"</t>
  </si>
  <si>
    <t>2022-2023</t>
  </si>
  <si>
    <t>Опалювальний сезон 2021 - 2022</t>
  </si>
  <si>
    <t>Години подачі гарячої води, год/міс</t>
  </si>
  <si>
    <t>Приєднане теплове навантаження системи ГВС всього, Гкал/год, у т.ч.:</t>
  </si>
  <si>
    <t>Потреба в ТЕ на ГВС</t>
  </si>
  <si>
    <t xml:space="preserve"> ЦТП</t>
  </si>
  <si>
    <t xml:space="preserve"> кВт год</t>
  </si>
  <si>
    <t>бойлерна 1</t>
  </si>
  <si>
    <t>Відпуск теплової енергії з колекторів котельні, у т.ч.:</t>
  </si>
  <si>
    <t xml:space="preserve">у т.ч. котельня </t>
  </si>
  <si>
    <t>Витрати активної електроенергії котельні , що є спільними з ЦТП та без ЦТП (мережеві, підживлювальні, допоміжні), у т.ч.:</t>
  </si>
  <si>
    <t xml:space="preserve">Витрати активної електроенергії котельні , що відносяться тільки до ЦТП </t>
  </si>
  <si>
    <t>відсутня інформація</t>
  </si>
  <si>
    <t>только ЦК</t>
  </si>
  <si>
    <t>Співвідношення обсягів централізованого водопостачання та водовідведення для господарсько-питних потреб</t>
  </si>
  <si>
    <t>Наталія БАРТОШИК</t>
  </si>
  <si>
    <t>Тетяна ЗІМАН</t>
  </si>
  <si>
    <t>Віталій ЛІПСКИЙ</t>
  </si>
  <si>
    <t>Чорноморська філія Державного підприємства "Адміністрація морських портів України", вул. Праці, 6,  м. Чорноморськ, Одеська обл., 68001</t>
  </si>
  <si>
    <t>Співвідношення обсягів централізованого водопостачання та водовідведення для технологічних потреб</t>
  </si>
  <si>
    <t xml:space="preserve">Транспортування теплової енергії магістральними та  місцевими (розподільчими) тепловими мережами - АЕ № 522293 від 20.11.2014 р. № 368 </t>
  </si>
  <si>
    <t xml:space="preserve">Постачання теплової енергії - АЕ № 287715 від 18.04.2014 р. № 423 </t>
  </si>
  <si>
    <t xml:space="preserve">Виробництво теплової енергії - АЕ № 287714 від 18.04.2014 р. № 423 </t>
  </si>
  <si>
    <t>обслуговування пожежної сигналізації</t>
  </si>
  <si>
    <t>обов᾽язкове обслуговування обєктів та територій Державними аварійно-рятувальними службами</t>
  </si>
  <si>
    <t>дезинфекція, дератизація</t>
  </si>
  <si>
    <t>котельня по вул Центральна, 20</t>
  </si>
  <si>
    <t>Медичне страхування</t>
  </si>
  <si>
    <t>відрахування профспілкам 3% від фонду оплати праці</t>
  </si>
  <si>
    <t>культурно-масові міроприємства та утримання профсоюзів</t>
  </si>
  <si>
    <t>обслуговування систем пожежетушіння</t>
  </si>
  <si>
    <t>ліцензії</t>
  </si>
  <si>
    <t>послуги державного реєстратора</t>
  </si>
  <si>
    <t>послуги автогосподарства</t>
  </si>
  <si>
    <t>послуги відділу охорони СМБ</t>
  </si>
  <si>
    <t>послуги з передачі ел/енергії</t>
  </si>
  <si>
    <t>послуги з передачі води та стоків</t>
  </si>
  <si>
    <t>послуги служби пожежної охорони</t>
  </si>
  <si>
    <t>послуги ТСГ з теплопостачання</t>
  </si>
  <si>
    <t>не планується</t>
  </si>
  <si>
    <t>метрологічні послуги</t>
  </si>
  <si>
    <t>підготовка та перепідготовка кадрів (навчання)</t>
  </si>
  <si>
    <t>культурно-масові міроприємства, утримання профспілок</t>
  </si>
  <si>
    <t>медичне страхування</t>
  </si>
  <si>
    <t>3,5% від ФОП</t>
  </si>
  <si>
    <t>розрахункові обсяги помножені на вільні тарифи та на ІЦП</t>
  </si>
  <si>
    <t>2022-2023 рр.</t>
  </si>
  <si>
    <t>медична страховка</t>
  </si>
  <si>
    <t>виготовлення технічної  документації</t>
  </si>
  <si>
    <t>друкарські витрати</t>
  </si>
  <si>
    <t>медогляд та медична страховка</t>
  </si>
  <si>
    <t>поштові та друкарські витрати</t>
  </si>
  <si>
    <t>експертизи, (СЕС, ГАЧЕІ та інше)</t>
  </si>
  <si>
    <t>Відрахування профспілкам 3%</t>
  </si>
  <si>
    <t>Послуги підрозділів філії</t>
  </si>
  <si>
    <t>витрати на користування програмним забезпеченням</t>
  </si>
  <si>
    <t>Культурно-масові міроприємства, утримання профспілок</t>
  </si>
  <si>
    <t>Порівняльна таблиця % планованих адміністративних витрат на тепловe енергі.  в 2022-2023 роках ЧФ ДП "АМПУ" та урахованих в  діючих тарифах в 2020-2021 роках</t>
  </si>
  <si>
    <t xml:space="preserve">факт на ІЦВ </t>
  </si>
  <si>
    <t>22% від ФОП</t>
  </si>
  <si>
    <t>послуги електромережі, вільні таприфи</t>
  </si>
  <si>
    <t>інші витрати, благоустрій території, периметральна сизналізація, тривожна точка</t>
  </si>
  <si>
    <t>витрати за користування програмним забезпеченням</t>
  </si>
  <si>
    <t>Медична страховка</t>
  </si>
  <si>
    <t>технічна документація</t>
  </si>
  <si>
    <t>послуги підрозділів філії</t>
  </si>
  <si>
    <t>послуги центру радіочастот, МІРТ</t>
  </si>
  <si>
    <t>розрахнок в окремому файлі</t>
  </si>
  <si>
    <t>Газ всього, у т.ч. для потреб:</t>
  </si>
  <si>
    <t xml:space="preserve"> без ЦТП</t>
  </si>
  <si>
    <t>план 2022-2023</t>
  </si>
  <si>
    <t>до бюджету   30%</t>
  </si>
  <si>
    <t>без урахуванням витрат на утримання та ремонт ЦТП</t>
  </si>
  <si>
    <t>Додаток 10
до розрахунку тарифів на теплову енергію ЧФ ДП "АМПУ"</t>
  </si>
  <si>
    <t>природний газ релігія</t>
  </si>
  <si>
    <t>природний газ бюджет, інші споживачі</t>
  </si>
  <si>
    <t>Одноставковий тариф</t>
  </si>
  <si>
    <t>Додаток 3
до розрахунку тарифів на теплову енергії ЧФ ДП "АМПУ"</t>
  </si>
  <si>
    <t xml:space="preserve">Додаток 3.1
до розрахунку тарифів на теплову енергію ЧФ ДП "АМПУ" 
</t>
  </si>
  <si>
    <t>одноставковий</t>
  </si>
  <si>
    <t>Головний енергетик</t>
  </si>
  <si>
    <t>Олександр ФЕДОРОВИЧ</t>
  </si>
  <si>
    <t xml:space="preserve">Додаток 2
до розрахунку тарифів на теплову енергію ЧФ ДП "АМПУ"
</t>
  </si>
  <si>
    <t xml:space="preserve">Додаток 5
до розрахунку тарифів на теплову енергію ЧФ ДП "АМПУ"
</t>
  </si>
  <si>
    <t xml:space="preserve">Додаток 5.1
до розрахунку тарифів на теплову енергію ЧФ ДП "АМПУ"
</t>
  </si>
  <si>
    <t>Додаток 8
до розрахунку тарифів на теплову енергію ЧФ ДП "АМПУ"</t>
  </si>
  <si>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з урахуванням витрат на обслуговування та ремонт центральних теплових пунктів</t>
    </r>
    <r>
      <rPr>
        <b/>
        <sz val="12"/>
        <color rgb="FF333333"/>
        <rFont val="Times New Roman"/>
        <family val="1"/>
        <charset val="204"/>
      </rPr>
      <t xml:space="preserve">
для Чорноморської філії Державного підприємства "Адміністрація морських портів України" Чорноморської міської ради Одеського району Одеської області </t>
    </r>
  </si>
  <si>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без урахування витрат на обслуговування та ремонт центральних теплових пунктів</t>
    </r>
    <r>
      <rPr>
        <b/>
        <sz val="12"/>
        <color rgb="FF333333"/>
        <rFont val="Times New Roman"/>
        <family val="1"/>
        <charset val="204"/>
      </rPr>
      <t xml:space="preserve">
Чорноморської філії Державного підприємства "Адміністрація морських портів України" Чорноморської міської ради Одеського району Одеської області </t>
    </r>
  </si>
  <si>
    <t>витрати на відшкодування втрат</t>
  </si>
  <si>
    <t xml:space="preserve">НА ВИРОБНИЦТВО, ТРАНСПОРТУВАННЯ ТА  ПОСТАЧАННЯ  ТЕПЛОВОЇ  ЕНЕРГІЇ, </t>
  </si>
  <si>
    <t xml:space="preserve">                                ____________</t>
  </si>
  <si>
    <t xml:space="preserve">                                                    РОЗРАХУНОК</t>
  </si>
  <si>
    <t>до розрахунку тарифів на теплову енергію ЧФ ДП "АМПУ"</t>
  </si>
  <si>
    <t xml:space="preserve">Додаток 4  </t>
  </si>
  <si>
    <t xml:space="preserve">                                                     (найменування суб'єкта господарювання)</t>
  </si>
  <si>
    <t xml:space="preserve"> (ініціали, прізвище)</t>
  </si>
  <si>
    <t xml:space="preserve">                                         РІЧНИЙ ПЛАН </t>
  </si>
  <si>
    <t xml:space="preserve">                            (керівник)</t>
  </si>
  <si>
    <t>__________</t>
  </si>
  <si>
    <t xml:space="preserve">                        (керівник)                                          </t>
  </si>
  <si>
    <r>
      <t xml:space="preserve">Таблиця </t>
    </r>
    <r>
      <rPr>
        <b/>
        <sz val="11"/>
        <color indexed="8"/>
        <rFont val="Times New Roman"/>
        <family val="1"/>
        <charset val="204"/>
      </rPr>
      <t>для розрахунку корисного тепла та втрат теплової енергії в мережах</t>
    </r>
  </si>
  <si>
    <t xml:space="preserve"> щодо переліку  об'єктів,</t>
  </si>
  <si>
    <t>Назва об'єкту</t>
  </si>
  <si>
    <t>Адреса об'єкту (вулиця, будинок, корпус)</t>
  </si>
  <si>
    <t>Склад №12</t>
  </si>
  <si>
    <t>вул. Сухолиманська,7</t>
  </si>
  <si>
    <t>у наявності</t>
  </si>
  <si>
    <t>Бокс гусеничної техніки</t>
  </si>
  <si>
    <t>Мийка ВМ-1</t>
  </si>
  <si>
    <t>Приміщення ВМ-1</t>
  </si>
  <si>
    <t>АПК-1 (2-4-ий повер)</t>
  </si>
  <si>
    <t>Їдальня 1-ий поверх АПК-1</t>
  </si>
  <si>
    <t>Тепловий пункт №1</t>
  </si>
  <si>
    <t>вул. Сухолиманська,9</t>
  </si>
  <si>
    <t>Електроцех</t>
  </si>
  <si>
    <t>вул. Сухолиманська,11</t>
  </si>
  <si>
    <t>Інвертарний склад</t>
  </si>
  <si>
    <t>Сховище ЦО-1</t>
  </si>
  <si>
    <t>вул. Центральна,5</t>
  </si>
  <si>
    <t>АПК (ГСМ) ВМТЗ</t>
  </si>
  <si>
    <t>вул. Транспортна,2</t>
  </si>
  <si>
    <t>АЗС-1</t>
  </si>
  <si>
    <t>Метеостанція</t>
  </si>
  <si>
    <t>вул. Центральна,5а</t>
  </si>
  <si>
    <t>Міленіум-2003</t>
  </si>
  <si>
    <t>вул. Центральна,4</t>
  </si>
  <si>
    <t>ФНС №10</t>
  </si>
  <si>
    <t>пров.Хантадзе,7а</t>
  </si>
  <si>
    <t>Побутові приміщення тепл/мереж</t>
  </si>
  <si>
    <t>вул. Центральна,15</t>
  </si>
  <si>
    <t>Токарна ділянка</t>
  </si>
  <si>
    <t>Контейнер склад №45</t>
  </si>
  <si>
    <t>Туалет</t>
  </si>
  <si>
    <t>Побутові приміщення водопровідників</t>
  </si>
  <si>
    <t>Слюсарна ділянка механиків</t>
  </si>
  <si>
    <t>Слюсарна майстерня</t>
  </si>
  <si>
    <t>Приміщення КВПтаА</t>
  </si>
  <si>
    <t>АПК ТСГ</t>
  </si>
  <si>
    <t>Центральна прохідна (праве крило)</t>
  </si>
  <si>
    <t>вул. Транспортна,2в</t>
  </si>
  <si>
    <t>Центральна прохідна (ліве крило)</t>
  </si>
  <si>
    <t>ВКПО-1</t>
  </si>
  <si>
    <t>вул. Центральна,8</t>
  </si>
  <si>
    <t>Склад №1 ОМТС (магазин №26)</t>
  </si>
  <si>
    <t>вул. Транспортна,4</t>
  </si>
  <si>
    <t>Ділянка звязку і прохідна</t>
  </si>
  <si>
    <t>вул. Транспортна,6а</t>
  </si>
  <si>
    <t>Кабельна ділянка (РХУ)</t>
  </si>
  <si>
    <t>Типографія</t>
  </si>
  <si>
    <t>Управління АМПУ + їдальня</t>
  </si>
  <si>
    <t>вул. Праці,6</t>
  </si>
  <si>
    <t>Сховище ЦО-2</t>
  </si>
  <si>
    <t>вул. Центральна,8а</t>
  </si>
  <si>
    <t>АПК БНГ (Нові побутові приміщення), мийка</t>
  </si>
  <si>
    <t>вул. Центральна,10</t>
  </si>
  <si>
    <t>НВ побут. прим. "старі" насосна</t>
  </si>
  <si>
    <t>НВ контора б/н складу</t>
  </si>
  <si>
    <t>НВ інвент. склад, приміщення мех.</t>
  </si>
  <si>
    <t>Насосна</t>
  </si>
  <si>
    <t>Лабораторія</t>
  </si>
  <si>
    <t>Електромережа</t>
  </si>
  <si>
    <t>вул. Сухолиманська,25а</t>
  </si>
  <si>
    <t>Склад №15 (контейн. терм)</t>
  </si>
  <si>
    <t>вул. Центральна,18</t>
  </si>
  <si>
    <t>АПК</t>
  </si>
  <si>
    <t>ЦВНС</t>
  </si>
  <si>
    <t>АПК котельні</t>
  </si>
  <si>
    <t>вул. Центральна,20</t>
  </si>
  <si>
    <t>Прохідна №2</t>
  </si>
  <si>
    <t>вул. Транспортна,34</t>
  </si>
  <si>
    <t>Сховище ЦО-3</t>
  </si>
  <si>
    <t>вул. Центральна,33</t>
  </si>
  <si>
    <t>АПК Одеська З/Д</t>
  </si>
  <si>
    <t>вул. Сухолиманська,</t>
  </si>
  <si>
    <t>ЕЦ Одеська З/Д</t>
  </si>
  <si>
    <t>АПК ТОВ "ТРАНСГРЕЙНТЕРМІНАЛ"</t>
  </si>
  <si>
    <t>вул. Сухолиманська,65а</t>
  </si>
  <si>
    <t>Плотницька</t>
  </si>
  <si>
    <t>вул. Сухолиманська,32</t>
  </si>
  <si>
    <t>Електроцех, склад №2</t>
  </si>
  <si>
    <t>Магазин</t>
  </si>
  <si>
    <t>вул. Транспортна,37</t>
  </si>
  <si>
    <t>Дезкорпус</t>
  </si>
  <si>
    <t>Цех дефект. Конт.</t>
  </si>
  <si>
    <t>вул. Транспортна,39</t>
  </si>
  <si>
    <t>АПК (без їдальні)</t>
  </si>
  <si>
    <t>Їдальня</t>
  </si>
  <si>
    <t>Маляр. Холод. Вентил.</t>
  </si>
  <si>
    <t>Пождепо ВКПО-2 (Автогосп-во)</t>
  </si>
  <si>
    <t>вул. Транспортна,42</t>
  </si>
  <si>
    <t>Опергрупа ВОХР (Автогосп-во)</t>
  </si>
  <si>
    <t xml:space="preserve">               (ініціали, прізвище)               </t>
  </si>
  <si>
    <t xml:space="preserve">Одноставковий тариф </t>
  </si>
  <si>
    <t xml:space="preserve">Додаток 7                                        до рішення виконавчого комітету Чорноморської міської ради Одеського району Одеської області                               від ________ № ____ 
</t>
  </si>
  <si>
    <t xml:space="preserve">Додаток 8                                       до рішення виконавчого комітету Чорноморської міської ради Одеського району Одеської області                               від ________ № ____ 
</t>
  </si>
  <si>
    <t xml:space="preserve">   (підпис)</t>
  </si>
  <si>
    <t xml:space="preserve">              (ініціали, прізвище)               </t>
  </si>
  <si>
    <t>для розрахунку одноставкових тарифів на теплову енергію, послуги з постачання теплової енергії</t>
  </si>
  <si>
    <t>Додаток 6
до рішення виконавчого комітету міської ради від ___.___ 2022 р. №_____</t>
  </si>
  <si>
    <t>Провідний економіст відділу економіки І. Ткач
048-68-4-18-21</t>
  </si>
  <si>
    <r>
      <t xml:space="preserve">Провідний економіст відділу економіки І. Ткач
</t>
    </r>
    <r>
      <rPr>
        <sz val="8"/>
        <color rgb="FFFF0000"/>
        <rFont val="Times New Roman"/>
        <family val="1"/>
        <charset val="204"/>
      </rPr>
      <t>048-68-4-18-21</t>
    </r>
  </si>
  <si>
    <t xml:space="preserve">
Тариф на теплову енергію,  з ПДВ</t>
  </si>
  <si>
    <t>Обсяг реалізації теплової енергії власним споживачам, тис. Гкал</t>
  </si>
  <si>
    <t>Для потреб бюджетних установ та релігійних організацій</t>
  </si>
  <si>
    <t>Для потреб інших споживачів з урахуванням витрат (крім населення) на обслуговування та ремонт центральних теплових пунктів</t>
  </si>
  <si>
    <t>Для потреб інших споживачів без урахування витрат (крім населення) на обслуговування та ремонт центральних теплових пунктів</t>
  </si>
  <si>
    <t>Тарифи на транспортування з  урахуванням витрат на утримання та ремонт центральних теплових пунктів теплової енергії                                                                 ((п. 4+п. 5+п. 6+п. 7+п. 9 )/п. 10)</t>
  </si>
  <si>
    <t>Тарифи на транспортування без  урахуванням витрат на утримання та ремонт центральних теплових пунктів теплової енергії                                                                ((п. 4+п. 5+п. 6+п. 7+п. 9 )/п. 10)</t>
  </si>
  <si>
    <t xml:space="preserve">             (ініціали, прізвище)               </t>
  </si>
  <si>
    <t>Опалювальний сезон 2022 - 2023</t>
  </si>
  <si>
    <t>Опалювальний сезон 2022 - 2022</t>
  </si>
  <si>
    <t>Виконавець: провідний інженер Владислав Бобрушев</t>
  </si>
  <si>
    <t>Вартість компенації замовленої потужності</t>
  </si>
  <si>
    <t>2023-2024</t>
  </si>
  <si>
    <t>Постанова НКРЕКП від 22.12.2021 № 2763</t>
  </si>
  <si>
    <t>Розрахунок ціни електричної енергії для потреб ЧФ ДП "Адміністрація морських портів України" на планований період 2023-2024 рр</t>
  </si>
  <si>
    <t>Обсяг спожитого умовного палива в 2022 році</t>
  </si>
  <si>
    <t>Обсяг спожитого природного газу в 2023 році</t>
  </si>
  <si>
    <t>2021, 2022-2023</t>
  </si>
  <si>
    <t>Березень 2023</t>
  </si>
  <si>
    <t>Лютий 2023</t>
  </si>
  <si>
    <t>факт 5ти років - 2018-2023 із заокругленням</t>
  </si>
  <si>
    <t>факт 5ти років - 2018-2023</t>
  </si>
  <si>
    <t xml:space="preserve"> ТОВ "Укр газ ресурс"</t>
  </si>
  <si>
    <t>АТ "Одесагаз"</t>
  </si>
  <si>
    <t>Договір від 23.12.2019 №146-В-АМПУ-19</t>
  </si>
  <si>
    <t>прибирання та благоустрій території</t>
  </si>
  <si>
    <t>медичне обстеження працівників</t>
  </si>
  <si>
    <t>визначення технічного стану майна</t>
  </si>
  <si>
    <t>передплата на періодичні видання</t>
  </si>
  <si>
    <t xml:space="preserve">Ріш. № 297 від 25.10.2022 </t>
  </si>
  <si>
    <t>Загальновиробничі витрати, зокрема:</t>
  </si>
  <si>
    <t>Ззагальновиробничі витрати, зокрема:</t>
  </si>
  <si>
    <t>Факт споживання активної електроенергії 2022 р.</t>
  </si>
  <si>
    <t>Факт споживання реактивної електроенергії 2022 р.</t>
  </si>
  <si>
    <t>Факт споживання генерації реактивної електроенергії 2022 р.</t>
  </si>
  <si>
    <t>Плановане співвідношення реактивної та активної електроенергії в 2022 році</t>
  </si>
  <si>
    <t>Планове співвідношення генерації та активної електроенергії в 2022 році</t>
  </si>
  <si>
    <t>відділ гол енергет = 450 кВтгод в міс/9 чоловік=50 квтгод</t>
  </si>
  <si>
    <t>Чорноморська філія Державного підприємства "Адміністрація морських портів України"</t>
  </si>
  <si>
    <t>Виконавець: провідний інженер Владислав БОБРУШЕВ</t>
  </si>
  <si>
    <t>Заступник міського голови</t>
  </si>
  <si>
    <t>Індекс цін виробників промислової продукції, відсотків</t>
  </si>
  <si>
    <t xml:space="preserve">
Постанова КМУ від 31 травня 2021 р. № 586 </t>
  </si>
  <si>
    <t>Проєкт тарифу 2023-2024 рр.</t>
  </si>
  <si>
    <t>план на 2023</t>
  </si>
  <si>
    <t xml:space="preserve">дог 2-ЧФ-23 від 12.01.2023 </t>
  </si>
  <si>
    <t>дог. № 38-В-ЧФ-23 від 20.02.2023</t>
  </si>
  <si>
    <t>факт 2022</t>
  </si>
  <si>
    <t>3,5% від фот</t>
  </si>
  <si>
    <t xml:space="preserve">дог. № 82-В-ЧФ-23 від 17.04.2023 </t>
  </si>
  <si>
    <t>договір  41 -В-ЧФ-23 від 28-02-2023</t>
  </si>
  <si>
    <t>фaкт 2022</t>
  </si>
  <si>
    <t>Квітень 2023</t>
  </si>
  <si>
    <t>Травень 2023</t>
  </si>
  <si>
    <t>Червень 2023</t>
  </si>
  <si>
    <t>Станом на 01.06.2023
Тариф на теплову енергію,  з ПДВ</t>
  </si>
  <si>
    <t>Додаток 7
до рішення виконавчого комітету міської ради від ___.___ 2023 р. №_____</t>
  </si>
  <si>
    <t>Додаток 9
до рішення виконавчого комітету міської ради від ___.___ 2023 р. №_____</t>
  </si>
  <si>
    <t>Додаток 11
до рішення виконавчого комітету міської ради від ___.___ 2023 р. №_____</t>
  </si>
  <si>
    <t xml:space="preserve">Додаток 12
до рішення виконавчого комітету міської ради від ___.___ 2023 р. №_____
</t>
  </si>
  <si>
    <t xml:space="preserve">           (ініціали, прізвище)               </t>
  </si>
  <si>
    <t xml:space="preserve">                        (ініціали, прізвище)</t>
  </si>
  <si>
    <t>Виконавець: Інна ТКАЧ, (04868)75194</t>
  </si>
  <si>
    <t>Виконавець: провідний енергетик Владислав БОБРУШЕВ</t>
  </si>
  <si>
    <t>Порівняльна таблиця % планованих прямих витрат на виробництво теплової енергії  в 2023-2024 роках ЧФ ДП "АМПУ" та урахованих в  діючих тарифах в 2022-2023 роках</t>
  </si>
  <si>
    <t>Порівняльна таблиця % планованих прямих витрат на транспортування теплової енергії  в 2023-2024 роках ЧФ ДП "АМПУ" та урахованих в  діючих тарифах в 2022-2023 роках</t>
  </si>
  <si>
    <t>2023-2024 рр.</t>
  </si>
  <si>
    <t>Порівняльна таблиця % планованих прямих витрат на постачання теплової енергії  в 2023-2024 роках ЧФ ДП "АМПУ" та урахованих в  діючих тарифах в 2022-2023 роках</t>
  </si>
  <si>
    <t>в умовах воєнного стану не нараховується</t>
  </si>
  <si>
    <t>Заступник начальника з економіки та фінансів</t>
  </si>
  <si>
    <t>В.о. начальника Адміністрації морського порту Чорноморськ</t>
  </si>
  <si>
    <t>Юрій СОКОЛОВ</t>
  </si>
  <si>
    <r>
      <t>фактичний коеф 2022</t>
    </r>
    <r>
      <rPr>
        <sz val="12"/>
        <color theme="0"/>
        <rFont val="Times New Roman"/>
        <family val="1"/>
        <charset val="204"/>
      </rPr>
      <t xml:space="preserve"> (98,91 Власні потреби/13014,55 Вироб)</t>
    </r>
  </si>
  <si>
    <t>Встановлені рішенням виконавчого комітету від 25.10.2022 № 297</t>
  </si>
  <si>
    <t>станом на 01.08.2023 року</t>
  </si>
  <si>
    <t>інше використання  прибутку (обігові кошти)</t>
  </si>
  <si>
    <t>В.о. головного енергетика</t>
  </si>
  <si>
    <t>Віктор ЮЛИК</t>
  </si>
  <si>
    <t>Липень 2023</t>
  </si>
  <si>
    <t>"11"серпня 2023 року</t>
  </si>
  <si>
    <t xml:space="preserve">Договір від 02.06.2023 від 120-В-ЧФ-23 </t>
  </si>
  <si>
    <t>Постанова НКРЕКП від 23.05.2023 № 922</t>
  </si>
  <si>
    <t>Рішення  виконавчого комітету Чорноморської міської ради  від 27.01.2022 року   №20</t>
  </si>
  <si>
    <t>Заступник начальника Адміністрації морського порту Чорноморськ з технічних питань та розвитку</t>
  </si>
  <si>
    <t>Заступник начальника Адміністрації морського порту Чорноморськ                                                     з технічних питань та розвитку                                                              ________ Віталій ЛІПСЬКИЙ</t>
  </si>
  <si>
    <t>відпуск теплової енергії мінус господарські потреби</t>
  </si>
  <si>
    <t>Постанова КМУ ВІД 23.02.2011 № 138</t>
  </si>
  <si>
    <t xml:space="preserve">Начальник УЕРтаТ  </t>
  </si>
  <si>
    <t>Наталія ГЄНЧЕВА</t>
  </si>
  <si>
    <t>Структура тарифів на виробництво теплової енергії ДП «Адміністрація морських портів України» на території Чорноморської міської ради Одеського району   Одеської області</t>
  </si>
  <si>
    <r>
      <t>Структура тарифів на транспортування теплової енергії</t>
    </r>
    <r>
      <rPr>
        <b/>
        <u/>
        <sz val="11"/>
        <color theme="1"/>
        <rFont val="Times New Roman"/>
        <family val="1"/>
        <charset val="204"/>
      </rPr>
      <t xml:space="preserve"> з урахуванням витрат на утримання та ремонт центральних теплових пунктів </t>
    </r>
    <r>
      <rPr>
        <b/>
        <sz val="11"/>
        <color theme="1"/>
        <rFont val="Times New Roman"/>
        <family val="1"/>
        <charset val="204"/>
      </rPr>
      <t>ДП «Адміністрація морських портів України» на території Чорноморської міської ради Одеського району   Одеської області</t>
    </r>
  </si>
  <si>
    <r>
      <t xml:space="preserve">Структура тарифів на транспортування теплової енергії </t>
    </r>
    <r>
      <rPr>
        <b/>
        <u/>
        <sz val="11"/>
        <color theme="1"/>
        <rFont val="Times New Roman"/>
        <family val="1"/>
        <charset val="204"/>
      </rPr>
      <t>без урахуванням витрат на утримання та ремонт центральних теплових пунктів</t>
    </r>
    <r>
      <rPr>
        <b/>
        <sz val="11"/>
        <color theme="1"/>
        <rFont val="Times New Roman"/>
        <family val="1"/>
        <charset val="204"/>
      </rPr>
      <t xml:space="preserve"> ДП «Адміністрація морських портів України» на території Чорноморської міської ради Одеського району   Одеської області</t>
    </r>
  </si>
  <si>
    <t>Структура тарифів на постачання теплової енергії ДП «Адміністрація морських портів України» на території Чорноморської міської ради Одеського району   Одеської області</t>
  </si>
  <si>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sz val="12"/>
        <color rgb="FF333333"/>
        <rFont val="Times New Roman"/>
        <family val="1"/>
        <charset val="204"/>
      </rPr>
      <t xml:space="preserve">
 ДП "Адміністрація морських портів України"  на території Чорноморської міської ради Одеського району Одеської області </t>
    </r>
  </si>
  <si>
    <t xml:space="preserve">теплопостачання яким здійснює  ДП "Адміністрація морських портів України"  </t>
  </si>
  <si>
    <r>
      <t xml:space="preserve">Структура тарифів на теплову енергію  </t>
    </r>
    <r>
      <rPr>
        <b/>
        <u/>
        <sz val="11"/>
        <color theme="1"/>
        <rFont val="Times New Roman"/>
        <family val="1"/>
        <charset val="204"/>
      </rPr>
      <t xml:space="preserve">з урахуванням витрат на утримання та ремонт центральних теплових пунктів                   </t>
    </r>
    <r>
      <rPr>
        <b/>
        <sz val="11"/>
        <color theme="1"/>
        <rFont val="Times New Roman"/>
        <family val="1"/>
        <charset val="204"/>
      </rPr>
      <t xml:space="preserve">        ДП «Адміністрація морських портів України» на території Чорноморської міської ради Одеського району Одеської області</t>
    </r>
  </si>
  <si>
    <r>
      <t xml:space="preserve">Структура тарифів на теплову енергію  </t>
    </r>
    <r>
      <rPr>
        <b/>
        <u/>
        <sz val="11"/>
        <color theme="1"/>
        <rFont val="Times New Roman"/>
        <family val="1"/>
        <charset val="204"/>
      </rPr>
      <t>без урахуванням витрат на утримання та ремонт центральних теплових пунктів</t>
    </r>
    <r>
      <rPr>
        <b/>
        <sz val="11"/>
        <color theme="1"/>
        <rFont val="Times New Roman"/>
        <family val="1"/>
        <charset val="204"/>
      </rPr>
      <t xml:space="preserve">                               ДП «Адміністрація морських портів України» на території Чорноморської міської ради Одеського району   Одеської області</t>
    </r>
  </si>
  <si>
    <t>Додаток 1  до рішення виконавчого комітету Чорноморської міської ради Одеського району Одеської області     від 05.10.2023   № 287</t>
  </si>
  <si>
    <t>Додаток 2    до рішення виконавчого комітету Чорноморської міської ради Одеського району Одеської області      від 05.10.2023   № 287</t>
  </si>
  <si>
    <t>Додаток 3  
 до рішення виконавчого комітету Чорноморської міської ради 
Одеського району Одеської області                                від 05.10.2023   № 287</t>
  </si>
  <si>
    <t>Додаток 4    до рішення виконавчого комітету Чорноморської міської ради Одеського району Одеської області                                від 05.10.2023   № 287</t>
  </si>
  <si>
    <t>Додаток 5   до рішення виконавчого комітету Чорноморської міської ради Одеського району Одеської області                                від 05.10.2023   № 287</t>
  </si>
  <si>
    <t>Додаток 6 
 до рішення виконавчого комітету Чорноморської міської ради Одеського району Одеської області                                від 05.10.2023   № 287</t>
  </si>
  <si>
    <t xml:space="preserve">Додаток 7   до рішення виконавчого комітету Чорноморської міської ради Одеського району Одеської області                                від 05.10.2023   № 287
</t>
  </si>
  <si>
    <t xml:space="preserve">Додаток 8  до рішення виконавчого комітету Чорноморської міської ради Одеського району Одеської області                                від 05.10.2023   № 287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</si>
</sst>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64" formatCode="_-* #,##0.00\ _₽_-;\-* #,##0.00\ _₽_-;_-* &quot;-&quot;??\ _₽_-;_-@_-"/>
    <numFmt numFmtId="165" formatCode="_-* #,##0.00&quot;р.&quot;_-;\-* #,##0.00&quot;р.&quot;_-;_-* &quot;-&quot;??&quot;р.&quot;_-;_-@_-"/>
    <numFmt numFmtId="166" formatCode="_-* #,##0.00_р_._-;\-* #,##0.00_р_._-;_-* &quot;-&quot;??_р_._-;_-@_-"/>
    <numFmt numFmtId="167" formatCode="_-* #,##0.00_₴_-;\-* #,##0.00_₴_-;_-* &quot;-&quot;??_₴_-;_-@_-"/>
    <numFmt numFmtId="168" formatCode="_-* #,##0.00\ _г_р_н_._-;\-* #,##0.00\ _г_р_н_._-;_-* &quot;-&quot;??\ _г_р_н_._-;_-@_-"/>
    <numFmt numFmtId="169" formatCode="_(* #,##0.00_);_(* \(#,##0.00\);_(* &quot;-&quot;??_);_(@_)"/>
    <numFmt numFmtId="170" formatCode="0.0"/>
    <numFmt numFmtId="171" formatCode="_-* #,##0\ _к_._-;\-* #,##0\ _к_._-;_-* &quot;-&quot;\ _к_._-;_-@_-"/>
    <numFmt numFmtId="172" formatCode="_-* #,##0.0\ _г_р_н_._-;\-* #,##0.0\ _г_р_н_._-;_-* &quot;-&quot;??\ _г_р_н_._-;_-@_-"/>
    <numFmt numFmtId="173" formatCode="_-* #,##0\ _р_._-;\-* #,##0\ _р_._-;_-* &quot;-&quot;\ _р_._-;_-@_-"/>
    <numFmt numFmtId="174" formatCode="_-* #,##0.00\ _р_._-;\-* #,##0.00\ _р_._-;_-* &quot;-&quot;??\ _р_._-;_-@_-"/>
    <numFmt numFmtId="175" formatCode="0.0000"/>
    <numFmt numFmtId="176" formatCode="0.0%"/>
    <numFmt numFmtId="177" formatCode="0.000"/>
    <numFmt numFmtId="178" formatCode="0.0000000"/>
    <numFmt numFmtId="179" formatCode="0.00000"/>
    <numFmt numFmtId="180" formatCode="#,##0.000"/>
    <numFmt numFmtId="181" formatCode="0.000000"/>
    <numFmt numFmtId="182" formatCode="#,##0.000000"/>
    <numFmt numFmtId="183" formatCode="0.0000%"/>
    <numFmt numFmtId="184" formatCode="[$-419]General"/>
    <numFmt numFmtId="185" formatCode="#,##0.00&quot; &quot;[$руб.-419];[Red]&quot;-&quot;#,##0.00&quot; &quot;[$руб.-419]"/>
    <numFmt numFmtId="186" formatCode="#,##0.000000000"/>
    <numFmt numFmtId="187" formatCode="0.000%"/>
    <numFmt numFmtId="188" formatCode="#,##0.000_ ;\-#,##0.000\ "/>
    <numFmt numFmtId="189" formatCode="#,##0.0000_ ;\-#,##0.0000\ "/>
    <numFmt numFmtId="190" formatCode="#,##0.00_ ;\-#,##0.00\ "/>
    <numFmt numFmtId="191" formatCode="#,##0.0000"/>
    <numFmt numFmtId="192" formatCode="0.00000%"/>
    <numFmt numFmtId="193" formatCode="0.000000%"/>
    <numFmt numFmtId="194" formatCode="0.00000000"/>
  </numFmts>
  <fonts count="28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0"/>
      <name val="Arial Cyr"/>
      <charset val="204"/>
    </font>
    <font>
      <sz val="10"/>
      <name val="Arial"/>
      <family val="2"/>
      <charset val="204"/>
    </font>
    <font>
      <sz val="10"/>
      <name val="Arial Cyr"/>
    </font>
    <font>
      <sz val="9"/>
      <color theme="1"/>
      <name val="Times New Roman"/>
      <family val="1"/>
      <charset val="204"/>
    </font>
    <font>
      <sz val="8"/>
      <color theme="1"/>
      <name val="Times New Roman"/>
      <family val="1"/>
      <charset val="204"/>
    </font>
    <font>
      <sz val="10"/>
      <color theme="1"/>
      <name val="Times New Roman"/>
      <family val="1"/>
      <charset val="204"/>
    </font>
    <font>
      <sz val="11"/>
      <color theme="1"/>
      <name val="Times New Roman"/>
      <family val="1"/>
      <charset val="204"/>
    </font>
    <font>
      <sz val="12"/>
      <color theme="1"/>
      <name val="Times New Roman"/>
      <family val="1"/>
      <charset val="204"/>
    </font>
    <font>
      <b/>
      <sz val="8"/>
      <color theme="1"/>
      <name val="Times New Roman"/>
      <family val="1"/>
      <charset val="204"/>
    </font>
    <font>
      <b/>
      <sz val="9"/>
      <color theme="1"/>
      <name val="Times New Roman"/>
      <family val="1"/>
      <charset val="204"/>
    </font>
    <font>
      <b/>
      <sz val="10"/>
      <color theme="1"/>
      <name val="Times New Roman"/>
      <family val="1"/>
      <charset val="204"/>
    </font>
    <font>
      <sz val="7"/>
      <color theme="1"/>
      <name val="Times New Roman"/>
      <family val="1"/>
      <charset val="204"/>
    </font>
    <font>
      <b/>
      <sz val="7"/>
      <color theme="1"/>
      <name val="Times New Roman"/>
      <family val="1"/>
      <charset val="204"/>
    </font>
    <font>
      <sz val="10"/>
      <color rgb="FF000000"/>
      <name val="Times New Roman"/>
      <family val="1"/>
      <charset val="204"/>
    </font>
    <font>
      <sz val="10"/>
      <name val="Times New Roman"/>
      <family val="1"/>
      <charset val="204"/>
    </font>
    <font>
      <b/>
      <sz val="11"/>
      <color theme="1"/>
      <name val="Times New Roman"/>
      <family val="1"/>
      <charset val="204"/>
    </font>
    <font>
      <vertAlign val="superscript"/>
      <sz val="10"/>
      <color theme="1"/>
      <name val="Times New Roman"/>
      <family val="1"/>
      <charset val="204"/>
    </font>
    <font>
      <sz val="8"/>
      <name val="Times New Roman"/>
      <family val="1"/>
      <charset val="204"/>
    </font>
    <font>
      <sz val="11"/>
      <color theme="1"/>
      <name val="Calibri"/>
      <family val="2"/>
      <scheme val="minor"/>
    </font>
    <font>
      <sz val="11"/>
      <color indexed="8"/>
      <name val="Calibri"/>
      <family val="2"/>
      <charset val="204"/>
    </font>
    <font>
      <sz val="11"/>
      <color indexed="8"/>
      <name val="Calibri"/>
      <family val="2"/>
    </font>
    <font>
      <sz val="11"/>
      <color indexed="9"/>
      <name val="Calibri"/>
      <family val="2"/>
    </font>
    <font>
      <sz val="11"/>
      <color indexed="9"/>
      <name val="Calibri"/>
      <family val="2"/>
      <charset val="204"/>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indexed="62"/>
      <name val="Calibri"/>
      <family val="2"/>
      <charset val="204"/>
    </font>
    <font>
      <sz val="10"/>
      <name val="Arial Cyr"/>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2"/>
      <name val="Courier"/>
      <family val="1"/>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1"/>
      <color theme="1"/>
      <name val="Calibri"/>
      <family val="2"/>
      <scheme val="minor"/>
    </font>
    <font>
      <b/>
      <sz val="12"/>
      <color theme="1"/>
      <name val="Times New Roman"/>
      <family val="1"/>
      <charset val="204"/>
    </font>
    <font>
      <sz val="10"/>
      <color theme="1"/>
      <name val="Calibri"/>
      <family val="2"/>
      <scheme val="minor"/>
    </font>
    <font>
      <sz val="14"/>
      <color theme="1"/>
      <name val="Times New Roman"/>
      <family val="1"/>
      <charset val="204"/>
    </font>
    <font>
      <sz val="10"/>
      <color rgb="FFFF0000"/>
      <name val="Times New Roman"/>
      <family val="1"/>
      <charset val="204"/>
    </font>
    <font>
      <vertAlign val="superscript"/>
      <sz val="11"/>
      <color theme="1"/>
      <name val="Times New Roman"/>
      <family val="1"/>
      <charset val="204"/>
    </font>
    <font>
      <b/>
      <vertAlign val="superscript"/>
      <sz val="11"/>
      <color theme="1"/>
      <name val="Times New Roman"/>
      <family val="1"/>
      <charset val="204"/>
    </font>
    <font>
      <sz val="11"/>
      <color rgb="FF000000"/>
      <name val="Times New Roman"/>
      <family val="1"/>
      <charset val="204"/>
    </font>
    <font>
      <b/>
      <vertAlign val="superscript"/>
      <sz val="11"/>
      <color rgb="FF000000"/>
      <name val="Times New Roman"/>
      <family val="1"/>
      <charset val="204"/>
    </font>
    <font>
      <sz val="12"/>
      <name val="Times New Roman"/>
      <family val="1"/>
      <charset val="204"/>
    </font>
    <font>
      <sz val="11"/>
      <color rgb="FF000000"/>
      <name val="Calibri"/>
      <family val="2"/>
      <charset val="204"/>
    </font>
    <font>
      <u/>
      <sz val="11"/>
      <color theme="1"/>
      <name val="Times New Roman"/>
      <family val="1"/>
      <charset val="204"/>
    </font>
    <font>
      <u/>
      <sz val="12"/>
      <color theme="1"/>
      <name val="Times New Roman"/>
      <family val="1"/>
      <charset val="204"/>
    </font>
    <font>
      <sz val="12"/>
      <color rgb="FFFF0000"/>
      <name val="Times New Roman"/>
      <family val="1"/>
      <charset val="204"/>
    </font>
    <font>
      <u/>
      <sz val="11"/>
      <color theme="1"/>
      <name val="Calibri"/>
      <family val="2"/>
      <charset val="204"/>
      <scheme val="minor"/>
    </font>
    <font>
      <sz val="8"/>
      <name val="Arial"/>
      <family val="2"/>
    </font>
    <font>
      <u/>
      <sz val="11"/>
      <color theme="10"/>
      <name val="Calibri"/>
      <family val="2"/>
      <scheme val="minor"/>
    </font>
    <font>
      <vertAlign val="superscript"/>
      <sz val="11"/>
      <color rgb="FF000000"/>
      <name val="Times New Roman"/>
      <family val="1"/>
      <charset val="204"/>
    </font>
    <font>
      <sz val="12"/>
      <color rgb="FF000000"/>
      <name val="Times New Roman"/>
      <family val="1"/>
      <charset val="204"/>
    </font>
    <font>
      <b/>
      <sz val="13"/>
      <color theme="1"/>
      <name val="Times New Roman"/>
      <family val="1"/>
      <charset val="204"/>
    </font>
    <font>
      <sz val="13"/>
      <color theme="1"/>
      <name val="Times New Roman"/>
      <family val="1"/>
      <charset val="204"/>
    </font>
    <font>
      <sz val="13"/>
      <color rgb="FFFF0000"/>
      <name val="Times New Roman"/>
      <family val="1"/>
      <charset val="204"/>
    </font>
    <font>
      <i/>
      <sz val="11"/>
      <color theme="1"/>
      <name val="Calibri"/>
      <family val="2"/>
      <charset val="204"/>
      <scheme val="minor"/>
    </font>
    <font>
      <i/>
      <sz val="11"/>
      <color theme="1"/>
      <name val="Times New Roman"/>
      <family val="1"/>
      <charset val="204"/>
    </font>
    <font>
      <sz val="11"/>
      <color rgb="FFFF0000"/>
      <name val="Calibri"/>
      <family val="2"/>
      <charset val="204"/>
      <scheme val="minor"/>
    </font>
    <font>
      <b/>
      <sz val="10"/>
      <name val="Arial"/>
      <family val="2"/>
      <charset val="204"/>
    </font>
    <font>
      <sz val="11"/>
      <name val="Arial"/>
      <family val="2"/>
      <charset val="204"/>
    </font>
    <font>
      <sz val="11"/>
      <name val="Calibri"/>
      <family val="2"/>
      <charset val="204"/>
      <scheme val="minor"/>
    </font>
    <font>
      <sz val="11"/>
      <color rgb="FFFF0000"/>
      <name val="Arial"/>
      <family val="2"/>
      <charset val="204"/>
    </font>
    <font>
      <sz val="10"/>
      <color rgb="FFFF0000"/>
      <name val="Arial"/>
      <family val="2"/>
      <charset val="204"/>
    </font>
    <font>
      <sz val="14"/>
      <name val="Arial"/>
      <family val="2"/>
      <charset val="204"/>
    </font>
    <font>
      <b/>
      <i/>
      <sz val="10"/>
      <name val="Arial"/>
      <family val="2"/>
      <charset val="204"/>
    </font>
    <font>
      <sz val="9"/>
      <color indexed="8"/>
      <name val="Arial"/>
      <family val="2"/>
      <charset val="204"/>
    </font>
    <font>
      <sz val="8"/>
      <color indexed="8"/>
      <name val="Arial"/>
      <family val="2"/>
      <charset val="204"/>
    </font>
    <font>
      <b/>
      <sz val="11"/>
      <color indexed="10"/>
      <name val="Calibri"/>
      <family val="2"/>
      <charset val="204"/>
    </font>
    <font>
      <b/>
      <sz val="18"/>
      <color indexed="62"/>
      <name val="Cambria"/>
      <family val="2"/>
      <charset val="204"/>
    </font>
    <font>
      <sz val="11"/>
      <color indexed="19"/>
      <name val="Calibri"/>
      <family val="2"/>
      <charset val="204"/>
    </font>
    <font>
      <sz val="11"/>
      <color indexed="8"/>
      <name val="Arial Cyr"/>
      <family val="2"/>
      <charset val="204"/>
    </font>
    <font>
      <b/>
      <i/>
      <sz val="11"/>
      <color theme="1"/>
      <name val="Times New Roman"/>
      <family val="1"/>
      <charset val="204"/>
    </font>
    <font>
      <sz val="12"/>
      <color rgb="FF333333"/>
      <name val="Times New Roman"/>
      <family val="1"/>
      <charset val="204"/>
    </font>
    <font>
      <sz val="10"/>
      <color theme="1"/>
      <name val="Calibri"/>
      <family val="2"/>
      <charset val="204"/>
      <scheme val="minor"/>
    </font>
    <font>
      <sz val="11"/>
      <name val="Times New Roman"/>
      <family val="1"/>
      <charset val="204"/>
    </font>
    <font>
      <i/>
      <sz val="11"/>
      <name val="Times New Roman"/>
      <family val="1"/>
      <charset val="204"/>
    </font>
    <font>
      <b/>
      <sz val="8"/>
      <name val="Times New Roman"/>
      <family val="1"/>
      <charset val="204"/>
    </font>
    <font>
      <b/>
      <sz val="12"/>
      <name val="Times New Roman"/>
      <family val="1"/>
      <charset val="204"/>
    </font>
    <font>
      <b/>
      <sz val="10"/>
      <name val="Times New Roman"/>
      <family val="1"/>
      <charset val="204"/>
    </font>
    <font>
      <b/>
      <sz val="9"/>
      <name val="Times New Roman"/>
      <family val="1"/>
      <charset val="204"/>
    </font>
    <font>
      <b/>
      <i/>
      <sz val="16"/>
      <color theme="1"/>
      <name val="Arial"/>
      <family val="2"/>
      <charset val="204"/>
    </font>
    <font>
      <b/>
      <i/>
      <sz val="16"/>
      <color rgb="FF000000"/>
      <name val="Arial"/>
      <family val="2"/>
      <charset val="204"/>
    </font>
    <font>
      <b/>
      <i/>
      <u/>
      <sz val="11"/>
      <color theme="1"/>
      <name val="Arial"/>
      <family val="2"/>
      <charset val="204"/>
    </font>
    <font>
      <b/>
      <i/>
      <u/>
      <sz val="11"/>
      <color rgb="FF000000"/>
      <name val="Arial"/>
      <family val="2"/>
      <charset val="204"/>
    </font>
    <font>
      <b/>
      <sz val="12"/>
      <name val="Arial CE"/>
      <family val="2"/>
      <charset val="238"/>
    </font>
    <font>
      <sz val="11"/>
      <color rgb="FF000000"/>
      <name val="Arial"/>
      <family val="2"/>
      <charset val="204"/>
    </font>
    <font>
      <b/>
      <sz val="11"/>
      <name val="Times New Roman"/>
      <family val="1"/>
      <charset val="204"/>
    </font>
    <font>
      <b/>
      <sz val="11"/>
      <color indexed="8"/>
      <name val="Times New Roman"/>
      <family val="1"/>
      <charset val="204"/>
    </font>
    <font>
      <b/>
      <sz val="8"/>
      <color indexed="8"/>
      <name val="Times New Roman"/>
      <family val="1"/>
      <charset val="204"/>
    </font>
    <font>
      <sz val="10"/>
      <color indexed="8"/>
      <name val="Times New Roman"/>
      <family val="1"/>
      <charset val="204"/>
    </font>
    <font>
      <sz val="8"/>
      <color indexed="8"/>
      <name val="Times New Roman"/>
      <family val="1"/>
      <charset val="204"/>
    </font>
    <font>
      <sz val="14"/>
      <color indexed="8"/>
      <name val="Times New Roman"/>
      <family val="1"/>
      <charset val="204"/>
    </font>
    <font>
      <sz val="9"/>
      <color indexed="8"/>
      <name val="Times New Roman"/>
      <family val="1"/>
      <charset val="204"/>
    </font>
    <font>
      <sz val="12"/>
      <color indexed="8"/>
      <name val="Times New Roman"/>
      <family val="1"/>
      <charset val="204"/>
    </font>
    <font>
      <sz val="11"/>
      <color indexed="8"/>
      <name val="Times New Roman"/>
      <family val="1"/>
      <charset val="204"/>
    </font>
    <font>
      <sz val="12"/>
      <color theme="0"/>
      <name val="Times New Roman"/>
      <family val="1"/>
      <charset val="204"/>
    </font>
    <font>
      <sz val="14"/>
      <name val="Times New Roman"/>
      <family val="1"/>
      <charset val="204"/>
    </font>
    <font>
      <u/>
      <sz val="14"/>
      <name val="Times New Roman"/>
      <family val="1"/>
      <charset val="204"/>
    </font>
    <font>
      <b/>
      <i/>
      <sz val="11"/>
      <color indexed="8"/>
      <name val="Times New Roman"/>
      <family val="1"/>
      <charset val="204"/>
    </font>
    <font>
      <b/>
      <sz val="9"/>
      <color indexed="8"/>
      <name val="Times New Roman"/>
      <family val="1"/>
      <charset val="204"/>
    </font>
    <font>
      <b/>
      <sz val="14"/>
      <name val="Times New Roman"/>
      <family val="1"/>
      <charset val="204"/>
    </font>
    <font>
      <sz val="13"/>
      <name val="Times New Roman"/>
      <family val="1"/>
      <charset val="204"/>
    </font>
    <font>
      <b/>
      <sz val="13"/>
      <name val="Times New Roman"/>
      <family val="1"/>
      <charset val="204"/>
    </font>
    <font>
      <sz val="9"/>
      <name val="Times New Roman"/>
      <family val="1"/>
      <charset val="204"/>
    </font>
    <font>
      <b/>
      <sz val="12"/>
      <color rgb="FF000000"/>
      <name val="Times New Roman"/>
      <family val="1"/>
      <charset val="204"/>
    </font>
    <font>
      <b/>
      <sz val="12"/>
      <color indexed="8"/>
      <name val="Times New Roman"/>
      <family val="1"/>
      <charset val="204"/>
    </font>
    <font>
      <sz val="12"/>
      <color theme="1"/>
      <name val="Calibri"/>
      <family val="2"/>
      <scheme val="minor"/>
    </font>
    <font>
      <sz val="28"/>
      <color theme="1"/>
      <name val="Times New Roman"/>
      <family val="1"/>
      <charset val="204"/>
    </font>
    <font>
      <b/>
      <sz val="15"/>
      <name val="Times New Roman"/>
      <family val="1"/>
      <charset val="204"/>
    </font>
    <font>
      <sz val="15"/>
      <name val="Times New Roman"/>
      <family val="1"/>
      <charset val="204"/>
    </font>
    <font>
      <sz val="9"/>
      <color indexed="8"/>
      <name val="Times New Roman"/>
      <family val="2"/>
      <charset val="204"/>
    </font>
    <font>
      <b/>
      <i/>
      <sz val="8"/>
      <name val="Times New Roman"/>
      <family val="1"/>
      <charset val="204"/>
    </font>
    <font>
      <sz val="9"/>
      <color theme="1"/>
      <name val="Times New Roman"/>
      <family val="2"/>
      <charset val="204"/>
    </font>
    <font>
      <b/>
      <i/>
      <vertAlign val="superscript"/>
      <sz val="8"/>
      <name val="Times New Roman"/>
      <family val="1"/>
      <charset val="204"/>
    </font>
    <font>
      <sz val="9"/>
      <color rgb="FFFF0000"/>
      <name val="Times New Roman"/>
      <family val="1"/>
      <charset val="204"/>
    </font>
    <font>
      <sz val="10"/>
      <color indexed="10"/>
      <name val="Arial Cyr"/>
      <family val="2"/>
      <charset val="204"/>
    </font>
    <font>
      <sz val="12"/>
      <color theme="1"/>
      <name val="Arial"/>
      <family val="2"/>
      <charset val="204"/>
    </font>
    <font>
      <i/>
      <sz val="12"/>
      <color theme="1"/>
      <name val="Times New Roman"/>
      <family val="1"/>
      <charset val="204"/>
    </font>
    <font>
      <b/>
      <i/>
      <sz val="11"/>
      <color theme="1"/>
      <name val="Calibri"/>
      <family val="2"/>
      <charset val="204"/>
      <scheme val="minor"/>
    </font>
    <font>
      <i/>
      <sz val="11"/>
      <color theme="1"/>
      <name val="Calibri"/>
      <family val="2"/>
      <scheme val="minor"/>
    </font>
    <font>
      <i/>
      <sz val="9"/>
      <color theme="1"/>
      <name val="Times New Roman"/>
      <family val="1"/>
      <charset val="204"/>
    </font>
    <font>
      <sz val="10.5"/>
      <color theme="1"/>
      <name val="Times New Roman"/>
      <family val="1"/>
      <charset val="204"/>
    </font>
    <font>
      <b/>
      <sz val="11"/>
      <color rgb="FF000000"/>
      <name val="Times New Roman"/>
      <family val="1"/>
      <charset val="204"/>
    </font>
    <font>
      <b/>
      <sz val="14"/>
      <color rgb="FF000000"/>
      <name val="Times New Roman"/>
      <family val="1"/>
      <charset val="204"/>
    </font>
    <font>
      <b/>
      <sz val="12.5"/>
      <name val="Times New Roman"/>
      <family val="1"/>
      <charset val="204"/>
    </font>
    <font>
      <b/>
      <sz val="14"/>
      <color theme="1"/>
      <name val="Times New Roman"/>
      <family val="1"/>
      <charset val="204"/>
    </font>
    <font>
      <b/>
      <sz val="11.5"/>
      <name val="Times New Roman"/>
      <family val="1"/>
      <charset val="204"/>
    </font>
    <font>
      <sz val="9"/>
      <color theme="1"/>
      <name val="Calibri"/>
      <family val="2"/>
      <scheme val="minor"/>
    </font>
    <font>
      <i/>
      <sz val="10"/>
      <color theme="1"/>
      <name val="Times New Roman"/>
      <family val="1"/>
      <charset val="204"/>
    </font>
    <font>
      <b/>
      <sz val="11"/>
      <color rgb="FFFF0000"/>
      <name val="Times New Roman"/>
      <family val="1"/>
      <charset val="204"/>
    </font>
    <font>
      <b/>
      <sz val="11"/>
      <color theme="5" tint="-0.249977111117893"/>
      <name val="Times New Roman"/>
      <family val="1"/>
      <charset val="204"/>
    </font>
    <font>
      <sz val="11"/>
      <color theme="5" tint="-0.249977111117893"/>
      <name val="Times New Roman"/>
      <family val="1"/>
      <charset val="204"/>
    </font>
    <font>
      <b/>
      <sz val="13.5"/>
      <name val="Times New Roman"/>
      <family val="1"/>
      <charset val="204"/>
    </font>
    <font>
      <u/>
      <sz val="12"/>
      <name val="Times New Roman"/>
      <family val="1"/>
      <charset val="204"/>
    </font>
    <font>
      <sz val="5"/>
      <name val="Times New Roman"/>
      <family val="1"/>
      <charset val="204"/>
    </font>
    <font>
      <i/>
      <sz val="11"/>
      <name val="Calibri"/>
      <family val="2"/>
      <charset val="204"/>
      <scheme val="minor"/>
    </font>
    <font>
      <b/>
      <sz val="7"/>
      <name val="Times New Roman"/>
      <family val="1"/>
      <charset val="204"/>
    </font>
    <font>
      <b/>
      <sz val="11"/>
      <name val="Calibri"/>
      <family val="2"/>
      <charset val="204"/>
      <scheme val="minor"/>
    </font>
    <font>
      <u/>
      <sz val="11"/>
      <name val="Times New Roman"/>
      <family val="1"/>
      <charset val="204"/>
    </font>
    <font>
      <sz val="11"/>
      <color rgb="FFFF0000"/>
      <name val="Times New Roman"/>
      <family val="1"/>
      <charset val="204"/>
    </font>
    <font>
      <i/>
      <sz val="12"/>
      <name val="Times New Roman"/>
      <family val="1"/>
      <charset val="204"/>
    </font>
    <font>
      <sz val="8"/>
      <color theme="1"/>
      <name val="Calibri"/>
      <family val="2"/>
      <scheme val="minor"/>
    </font>
    <font>
      <sz val="8"/>
      <color rgb="FFFF0000"/>
      <name val="Times New Roman"/>
      <family val="1"/>
      <charset val="204"/>
    </font>
    <font>
      <b/>
      <sz val="12"/>
      <color rgb="FFFF0000"/>
      <name val="Times New Roman"/>
      <family val="1"/>
      <charset val="204"/>
    </font>
    <font>
      <b/>
      <i/>
      <sz val="11"/>
      <color rgb="FFFF0000"/>
      <name val="Calibri"/>
      <family val="2"/>
      <charset val="204"/>
      <scheme val="minor"/>
    </font>
    <font>
      <sz val="11"/>
      <color theme="1"/>
      <name val="Calibri"/>
      <family val="2"/>
      <charset val="204"/>
    </font>
    <font>
      <sz val="11"/>
      <color rgb="FF0070C0"/>
      <name val="Times New Roman"/>
      <family val="1"/>
      <charset val="204"/>
    </font>
    <font>
      <b/>
      <u/>
      <sz val="12"/>
      <color theme="1"/>
      <name val="Times New Roman"/>
      <family val="1"/>
      <charset val="204"/>
    </font>
    <font>
      <i/>
      <sz val="10"/>
      <color rgb="FFFF0000"/>
      <name val="Times New Roman"/>
      <family val="1"/>
      <charset val="204"/>
    </font>
    <font>
      <b/>
      <sz val="12"/>
      <color theme="1"/>
      <name val="Calibri"/>
      <family val="2"/>
      <charset val="204"/>
    </font>
    <font>
      <b/>
      <sz val="10"/>
      <color rgb="FF000000"/>
      <name val="Times New Roman"/>
      <family val="1"/>
      <charset val="204"/>
    </font>
    <font>
      <b/>
      <i/>
      <sz val="10"/>
      <color rgb="FF000000"/>
      <name val="Times New Roman"/>
      <family val="1"/>
      <charset val="204"/>
    </font>
    <font>
      <b/>
      <u/>
      <sz val="10"/>
      <color theme="1"/>
      <name val="Times New Roman"/>
      <family val="1"/>
      <charset val="204"/>
    </font>
    <font>
      <sz val="14"/>
      <color rgb="FFFF0000"/>
      <name val="Times New Roman"/>
      <family val="1"/>
      <charset val="204"/>
    </font>
    <font>
      <sz val="16"/>
      <name val="Times New Roman"/>
      <family val="1"/>
      <charset val="204"/>
    </font>
    <font>
      <i/>
      <sz val="9"/>
      <name val="Times New Roman"/>
      <family val="1"/>
      <charset val="204"/>
    </font>
    <font>
      <b/>
      <i/>
      <sz val="9"/>
      <name val="Times New Roman"/>
      <family val="1"/>
      <charset val="204"/>
    </font>
    <font>
      <sz val="11"/>
      <color rgb="FFFF0000"/>
      <name val="Calibri"/>
      <family val="2"/>
      <scheme val="minor"/>
    </font>
    <font>
      <b/>
      <u/>
      <sz val="11"/>
      <color theme="1"/>
      <name val="Times New Roman"/>
      <family val="1"/>
      <charset val="204"/>
    </font>
    <font>
      <b/>
      <sz val="11"/>
      <color rgb="FFFF0000"/>
      <name val="Calibri"/>
      <family val="2"/>
      <charset val="204"/>
      <scheme val="minor"/>
    </font>
    <font>
      <i/>
      <sz val="8"/>
      <color theme="1"/>
      <name val="Times New Roman"/>
      <family val="1"/>
      <charset val="204"/>
    </font>
    <font>
      <b/>
      <u/>
      <sz val="9"/>
      <color indexed="8"/>
      <name val="Times New Roman"/>
      <family val="1"/>
      <charset val="204"/>
    </font>
    <font>
      <sz val="12"/>
      <color indexed="10"/>
      <name val="Times New Roman"/>
      <family val="1"/>
      <charset val="204"/>
    </font>
    <font>
      <sz val="11"/>
      <color indexed="8"/>
      <name val="Arial"/>
      <family val="2"/>
      <charset val="204"/>
    </font>
    <font>
      <i/>
      <sz val="12"/>
      <color indexed="8"/>
      <name val="Arial"/>
      <family val="2"/>
      <charset val="204"/>
    </font>
    <font>
      <sz val="12"/>
      <color indexed="8"/>
      <name val="Calibri"/>
      <family val="2"/>
      <charset val="204"/>
    </font>
    <font>
      <sz val="7"/>
      <color indexed="8"/>
      <name val="Times New Roman"/>
      <family val="1"/>
      <charset val="204"/>
    </font>
    <font>
      <b/>
      <u/>
      <sz val="11"/>
      <color theme="1"/>
      <name val="Calibri"/>
      <family val="2"/>
      <charset val="204"/>
      <scheme val="minor"/>
    </font>
    <font>
      <i/>
      <sz val="10"/>
      <name val="Times New Roman"/>
      <family val="1"/>
      <charset val="204"/>
    </font>
    <font>
      <b/>
      <sz val="9"/>
      <color rgb="FFFF0000"/>
      <name val="Times New Roman"/>
      <family val="1"/>
      <charset val="204"/>
    </font>
    <font>
      <b/>
      <u/>
      <sz val="18"/>
      <color theme="1"/>
      <name val="Times New Roman"/>
      <family val="1"/>
      <charset val="204"/>
    </font>
    <font>
      <vertAlign val="subscript"/>
      <sz val="12"/>
      <color rgb="FF000000"/>
      <name val="Times New Roman"/>
      <family val="1"/>
      <charset val="204"/>
    </font>
    <font>
      <i/>
      <sz val="12"/>
      <color rgb="FF000000"/>
      <name val="Times New Roman"/>
      <family val="1"/>
      <charset val="204"/>
    </font>
    <font>
      <sz val="24"/>
      <name val="Times New Roman"/>
      <family val="1"/>
      <charset val="204"/>
    </font>
    <font>
      <sz val="11"/>
      <color rgb="FF00B050"/>
      <name val="Times New Roman"/>
      <family val="1"/>
      <charset val="204"/>
    </font>
    <font>
      <sz val="11"/>
      <color rgb="FF00B050"/>
      <name val="Calibri"/>
      <family val="2"/>
      <charset val="204"/>
      <scheme val="minor"/>
    </font>
    <font>
      <sz val="11"/>
      <color theme="3" tint="-0.249977111117893"/>
      <name val="Times New Roman"/>
      <family val="1"/>
      <charset val="204"/>
    </font>
    <font>
      <b/>
      <sz val="11"/>
      <color theme="3" tint="-0.249977111117893"/>
      <name val="Times New Roman"/>
      <family val="1"/>
      <charset val="204"/>
    </font>
    <font>
      <b/>
      <sz val="11"/>
      <color theme="3" tint="-0.249977111117893"/>
      <name val="Calibri"/>
      <family val="2"/>
      <charset val="204"/>
      <scheme val="minor"/>
    </font>
    <font>
      <b/>
      <u/>
      <sz val="11"/>
      <color rgb="FFFF0000"/>
      <name val="Calibri"/>
      <family val="2"/>
      <charset val="204"/>
      <scheme val="minor"/>
    </font>
    <font>
      <b/>
      <u/>
      <sz val="9"/>
      <color rgb="FF000000"/>
      <name val="Times New Roman"/>
      <family val="1"/>
      <charset val="204"/>
    </font>
    <font>
      <sz val="11"/>
      <color theme="9" tint="-0.499984740745262"/>
      <name val="Times New Roman"/>
      <family val="1"/>
      <charset val="204"/>
    </font>
    <font>
      <b/>
      <sz val="11"/>
      <color rgb="FFFF0000"/>
      <name val="Calibri"/>
      <family val="2"/>
      <scheme val="minor"/>
    </font>
    <font>
      <b/>
      <u/>
      <sz val="12"/>
      <color rgb="FF333333"/>
      <name val="Times New Roman"/>
      <family val="1"/>
      <charset val="204"/>
    </font>
    <font>
      <b/>
      <sz val="12"/>
      <color rgb="FF333333"/>
      <name val="Times New Roman"/>
      <family val="1"/>
      <charset val="204"/>
    </font>
    <font>
      <b/>
      <sz val="10"/>
      <color rgb="FF333333"/>
      <name val="Times New Roman"/>
      <family val="1"/>
      <charset val="204"/>
    </font>
    <font>
      <sz val="10"/>
      <color rgb="FF333333"/>
      <name val="Times New Roman"/>
      <family val="1"/>
      <charset val="204"/>
    </font>
    <font>
      <i/>
      <sz val="8"/>
      <name val="Times New Roman"/>
      <family val="1"/>
      <charset val="204"/>
    </font>
    <font>
      <i/>
      <sz val="8"/>
      <color rgb="FFFF0000"/>
      <name val="Times New Roman"/>
      <family val="1"/>
      <charset val="204"/>
    </font>
    <font>
      <b/>
      <u/>
      <sz val="11"/>
      <color rgb="FFFF0000"/>
      <name val="Times New Roman"/>
      <family val="1"/>
      <charset val="204"/>
    </font>
    <font>
      <b/>
      <i/>
      <u/>
      <sz val="11"/>
      <color rgb="FFFF0000"/>
      <name val="Times New Roman"/>
      <family val="1"/>
      <charset val="204"/>
    </font>
    <font>
      <sz val="11"/>
      <color rgb="FF333333"/>
      <name val="Times New Roman"/>
      <family val="1"/>
      <charset val="204"/>
    </font>
    <font>
      <sz val="8"/>
      <color rgb="FF333333"/>
      <name val="Times New Roman"/>
      <family val="1"/>
      <charset val="204"/>
    </font>
    <font>
      <sz val="12"/>
      <color rgb="FF0070C0"/>
      <name val="Times New Roman"/>
      <family val="1"/>
      <charset val="204"/>
    </font>
    <font>
      <b/>
      <i/>
      <sz val="12"/>
      <color theme="1"/>
      <name val="Times New Roman"/>
      <family val="1"/>
      <charset val="204"/>
    </font>
    <font>
      <b/>
      <i/>
      <sz val="14"/>
      <color theme="1"/>
      <name val="Times New Roman"/>
      <family val="1"/>
      <charset val="204"/>
    </font>
    <font>
      <b/>
      <sz val="11"/>
      <color rgb="FF0000FF"/>
      <name val="Times New Roman"/>
      <family val="1"/>
      <charset val="204"/>
    </font>
    <font>
      <sz val="11"/>
      <color rgb="FF002060"/>
      <name val="Times New Roman"/>
      <family val="1"/>
      <charset val="204"/>
    </font>
    <font>
      <b/>
      <sz val="11"/>
      <color rgb="FF002060"/>
      <name val="Times New Roman"/>
      <family val="1"/>
      <charset val="204"/>
    </font>
    <font>
      <b/>
      <i/>
      <sz val="14"/>
      <color rgb="FF050505"/>
      <name val="Times New Roman"/>
      <family val="1"/>
      <charset val="204"/>
    </font>
    <font>
      <b/>
      <sz val="11"/>
      <color theme="8" tint="-0.499984740745262"/>
      <name val="Calibri"/>
      <family val="2"/>
      <charset val="204"/>
      <scheme val="minor"/>
    </font>
    <font>
      <sz val="10"/>
      <color theme="1"/>
      <name val="Calibri"/>
      <family val="2"/>
      <charset val="204"/>
    </font>
    <font>
      <sz val="10"/>
      <color rgb="FF000000"/>
      <name val="Calibri"/>
      <family val="2"/>
      <charset val="204"/>
      <scheme val="minor"/>
    </font>
    <font>
      <sz val="16"/>
      <color theme="1"/>
      <name val="Times New Roman"/>
      <family val="1"/>
      <charset val="204"/>
    </font>
    <font>
      <sz val="11"/>
      <color theme="0"/>
      <name val="Times New Roman"/>
      <family val="1"/>
      <charset val="204"/>
    </font>
    <font>
      <b/>
      <sz val="8.75"/>
      <color theme="1"/>
      <name val="Times New Roman"/>
      <family val="1"/>
      <charset val="204"/>
    </font>
    <font>
      <sz val="11"/>
      <color rgb="FFFFFF00"/>
      <name val="Times New Roman"/>
      <family val="1"/>
      <charset val="204"/>
    </font>
    <font>
      <sz val="9"/>
      <color indexed="81"/>
      <name val="Tahoma"/>
      <family val="2"/>
      <charset val="204"/>
    </font>
    <font>
      <b/>
      <sz val="9"/>
      <color indexed="81"/>
      <name val="Tahoma"/>
      <family val="2"/>
      <charset val="204"/>
    </font>
    <font>
      <u/>
      <sz val="14"/>
      <color theme="1"/>
      <name val="Times New Roman"/>
      <family val="1"/>
      <charset val="204"/>
    </font>
    <font>
      <u/>
      <sz val="12"/>
      <color rgb="FF0070C0"/>
      <name val="Times New Roman"/>
      <family val="1"/>
      <charset val="204"/>
    </font>
    <font>
      <u/>
      <sz val="14"/>
      <color rgb="FF0070C0"/>
      <name val="Times New Roman"/>
      <family val="1"/>
      <charset val="204"/>
    </font>
    <font>
      <i/>
      <u/>
      <sz val="12"/>
      <name val="Times New Roman"/>
      <family val="1"/>
      <charset val="204"/>
    </font>
    <font>
      <u/>
      <sz val="12"/>
      <color rgb="FFC00000"/>
      <name val="Times New Roman"/>
      <family val="1"/>
      <charset val="204"/>
    </font>
    <font>
      <u/>
      <sz val="10"/>
      <color theme="1"/>
      <name val="Times New Roman"/>
      <family val="1"/>
      <charset val="204"/>
    </font>
    <font>
      <i/>
      <sz val="11"/>
      <color rgb="FF000000"/>
      <name val="Times New Roman"/>
      <family val="1"/>
      <charset val="204"/>
    </font>
    <font>
      <i/>
      <sz val="10"/>
      <color rgb="FF000000"/>
      <name val="Times New Roman"/>
      <family val="1"/>
      <charset val="204"/>
    </font>
    <font>
      <i/>
      <sz val="9"/>
      <color rgb="FF000000"/>
      <name val="Times New Roman"/>
      <family val="1"/>
      <charset val="204"/>
    </font>
    <font>
      <b/>
      <u/>
      <sz val="12"/>
      <color rgb="FFFF0000"/>
      <name val="Times New Roman"/>
      <family val="1"/>
      <charset val="204"/>
    </font>
    <font>
      <b/>
      <sz val="12"/>
      <color theme="8" tint="-0.499984740745262"/>
      <name val="Times New Roman"/>
      <family val="1"/>
      <charset val="204"/>
    </font>
    <font>
      <sz val="10"/>
      <color theme="0"/>
      <name val="Times New Roman"/>
      <family val="1"/>
      <charset val="204"/>
    </font>
    <font>
      <b/>
      <u/>
      <sz val="10"/>
      <color theme="0"/>
      <name val="Times New Roman"/>
      <family val="1"/>
      <charset val="204"/>
    </font>
    <font>
      <b/>
      <u/>
      <sz val="11"/>
      <color theme="0"/>
      <name val="Times New Roman"/>
      <family val="1"/>
      <charset val="204"/>
    </font>
  </fonts>
  <fills count="88">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9"/>
      </patternFill>
    </fill>
    <fill>
      <patternFill patternType="solid">
        <fgColor indexed="54"/>
      </patternFill>
    </fill>
    <fill>
      <patternFill patternType="solid">
        <fgColor indexed="53"/>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rgb="FFFFFFFF"/>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bgColor indexed="64"/>
      </patternFill>
    </fill>
    <fill>
      <patternFill patternType="solid">
        <fgColor theme="0"/>
        <bgColor indexed="64"/>
      </patternFill>
    </fill>
    <fill>
      <patternFill patternType="solid">
        <fgColor theme="5" tint="0.59999389629810485"/>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43"/>
        <bgColor indexed="26"/>
      </patternFill>
    </fill>
    <fill>
      <patternFill patternType="solid">
        <fgColor indexed="22"/>
        <bgColor indexed="31"/>
      </patternFill>
    </fill>
    <fill>
      <patternFill patternType="solid">
        <fgColor indexed="26"/>
        <bgColor indexed="9"/>
      </patternFill>
    </fill>
    <fill>
      <patternFill patternType="solid">
        <fgColor rgb="FFFFC000"/>
        <bgColor indexed="64"/>
      </patternFill>
    </fill>
    <fill>
      <patternFill patternType="solid">
        <fgColor rgb="FFD8D8D8"/>
        <bgColor rgb="FF000000"/>
      </patternFill>
    </fill>
    <fill>
      <patternFill patternType="solid">
        <fgColor theme="5"/>
        <bgColor indexed="64"/>
      </patternFill>
    </fill>
    <fill>
      <patternFill patternType="solid">
        <fgColor rgb="FFFFFFFF"/>
        <bgColor rgb="FF000000"/>
      </patternFill>
    </fill>
    <fill>
      <patternFill patternType="solid">
        <fgColor theme="9" tint="0.59999389629810485"/>
        <bgColor indexed="64"/>
      </patternFill>
    </fill>
    <fill>
      <patternFill patternType="solid">
        <fgColor indexed="9"/>
        <bgColor indexed="64"/>
      </patternFill>
    </fill>
    <fill>
      <patternFill patternType="solid">
        <fgColor theme="6" tint="0.79998168889431442"/>
        <bgColor indexed="64"/>
      </patternFill>
    </fill>
    <fill>
      <patternFill patternType="solid">
        <fgColor theme="2"/>
        <bgColor indexed="64"/>
      </patternFill>
    </fill>
    <fill>
      <patternFill patternType="solid">
        <fgColor indexed="13"/>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9"/>
        <bgColor rgb="FF000000"/>
      </patternFill>
    </fill>
    <fill>
      <patternFill patternType="solid">
        <fgColor rgb="FF92D050"/>
        <bgColor indexed="64"/>
      </patternFill>
    </fill>
    <fill>
      <patternFill patternType="solid">
        <fgColor rgb="FF00B050"/>
        <bgColor indexed="64"/>
      </patternFill>
    </fill>
    <fill>
      <patternFill patternType="solid">
        <fgColor rgb="FFFFCC00"/>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indexed="43"/>
        <bgColor indexed="64"/>
      </patternFill>
    </fill>
    <fill>
      <patternFill patternType="solid">
        <fgColor rgb="FF00FFFF"/>
        <bgColor indexed="64"/>
      </patternFill>
    </fill>
    <fill>
      <patternFill patternType="solid">
        <fgColor indexed="53"/>
        <bgColor indexed="64"/>
      </patternFill>
    </fill>
    <fill>
      <patternFill patternType="solid">
        <fgColor indexed="22"/>
        <bgColor indexed="64"/>
      </patternFill>
    </fill>
    <fill>
      <patternFill patternType="solid">
        <fgColor rgb="FFFFC000"/>
        <bgColor rgb="FF000000"/>
      </patternFill>
    </fill>
    <fill>
      <patternFill patternType="solid">
        <fgColor rgb="FF92D050"/>
        <bgColor rgb="FF000000"/>
      </patternFill>
    </fill>
    <fill>
      <patternFill patternType="solid">
        <fgColor theme="6" tint="0.39997558519241921"/>
        <bgColor indexed="64"/>
      </patternFill>
    </fill>
    <fill>
      <patternFill patternType="solid">
        <fgColor theme="8" tint="0.59999389629810485"/>
        <bgColor indexed="64"/>
      </patternFill>
    </fill>
    <fill>
      <patternFill patternType="solid">
        <fgColor theme="0"/>
        <bgColor rgb="FF000000"/>
      </patternFill>
    </fill>
  </fills>
  <borders count="1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right style="medium">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thin">
        <color indexed="56"/>
      </top>
      <bottom style="double">
        <color indexed="56"/>
      </bottom>
      <diagonal/>
    </border>
    <border>
      <left/>
      <right/>
      <top/>
      <bottom style="double">
        <color indexed="10"/>
      </bottom>
      <diagonal/>
    </border>
    <border>
      <left/>
      <right style="thin">
        <color indexed="64"/>
      </right>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auto="1"/>
      </bottom>
      <diagonal/>
    </border>
    <border>
      <left/>
      <right style="thin">
        <color indexed="64"/>
      </right>
      <top style="medium">
        <color indexed="64"/>
      </top>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rgb="FF000000"/>
      </left>
      <right style="thin">
        <color rgb="FF000000"/>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medium">
        <color indexed="64"/>
      </left>
      <right/>
      <top style="medium">
        <color indexed="64"/>
      </top>
      <bottom style="hair">
        <color indexed="64"/>
      </bottom>
      <diagonal/>
    </border>
    <border>
      <left style="thin">
        <color auto="1"/>
      </left>
      <right style="thin">
        <color auto="1"/>
      </right>
      <top style="medium">
        <color indexed="64"/>
      </top>
      <bottom style="hair">
        <color indexed="64"/>
      </bottom>
      <diagonal/>
    </border>
    <border>
      <left style="thin">
        <color auto="1"/>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style="medium">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top/>
      <bottom style="medium">
        <color indexed="64"/>
      </bottom>
      <diagonal/>
    </border>
    <border>
      <left/>
      <right style="thin">
        <color auto="1"/>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medium">
        <color indexed="64"/>
      </left>
      <right/>
      <top style="hair">
        <color indexed="64"/>
      </top>
      <bottom/>
      <diagonal/>
    </border>
    <border>
      <left/>
      <right/>
      <top style="hair">
        <color indexed="64"/>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top/>
      <bottom style="hair">
        <color indexed="64"/>
      </bottom>
      <diagonal/>
    </border>
    <border>
      <left style="medium">
        <color indexed="64"/>
      </left>
      <right style="medium">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medium">
        <color indexed="64"/>
      </bottom>
      <diagonal/>
    </border>
    <border>
      <left style="medium">
        <color indexed="64"/>
      </left>
      <right style="thin">
        <color indexed="64"/>
      </right>
      <top/>
      <bottom style="hair">
        <color indexed="64"/>
      </bottom>
      <diagonal/>
    </border>
    <border>
      <left style="thin">
        <color auto="1"/>
      </left>
      <right style="thin">
        <color auto="1"/>
      </right>
      <top/>
      <bottom style="hair">
        <color indexed="64"/>
      </bottom>
      <diagonal/>
    </border>
    <border>
      <left style="thin">
        <color auto="1"/>
      </left>
      <right/>
      <top/>
      <bottom style="hair">
        <color indexed="64"/>
      </bottom>
      <diagonal/>
    </border>
    <border>
      <left/>
      <right style="thin">
        <color auto="1"/>
      </right>
      <top/>
      <bottom style="hair">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rgb="FF000000"/>
      </bottom>
      <diagonal/>
    </border>
    <border>
      <left/>
      <right style="thin">
        <color rgb="FF000000"/>
      </right>
      <top style="thin">
        <color indexed="64"/>
      </top>
      <bottom style="thin">
        <color indexed="64"/>
      </bottom>
      <diagonal/>
    </border>
    <border>
      <left style="thin">
        <color auto="1"/>
      </left>
      <right style="medium">
        <color indexed="64"/>
      </right>
      <top style="medium">
        <color indexed="64"/>
      </top>
      <bottom style="hair">
        <color indexed="64"/>
      </bottom>
      <diagonal/>
    </border>
    <border>
      <left style="thin">
        <color indexed="64"/>
      </left>
      <right style="medium">
        <color indexed="64"/>
      </right>
      <top style="hair">
        <color indexed="64"/>
      </top>
      <bottom/>
      <diagonal/>
    </border>
    <border>
      <left style="thin">
        <color auto="1"/>
      </left>
      <right style="medium">
        <color indexed="64"/>
      </right>
      <top/>
      <bottom style="hair">
        <color indexed="64"/>
      </bottom>
      <diagonal/>
    </border>
    <border>
      <left style="thin">
        <color indexed="64"/>
      </left>
      <right style="medium">
        <color indexed="64"/>
      </right>
      <top style="hair">
        <color indexed="64"/>
      </top>
      <bottom style="medium">
        <color indexed="64"/>
      </bottom>
      <diagonal/>
    </border>
    <border>
      <left/>
      <right style="medium">
        <color indexed="64"/>
      </right>
      <top/>
      <bottom style="hair">
        <color indexed="64"/>
      </bottom>
      <diagonal/>
    </border>
  </borders>
  <cellStyleXfs count="560">
    <xf numFmtId="0" fontId="0" fillId="0" borderId="0"/>
    <xf numFmtId="0" fontId="36" fillId="0" borderId="0"/>
    <xf numFmtId="168" fontId="38" fillId="0" borderId="0" applyFont="0" applyFill="0" applyBorder="0" applyAlignment="0" applyProtection="0"/>
    <xf numFmtId="169" fontId="37" fillId="0" borderId="0" applyFont="0" applyFill="0" applyBorder="0" applyAlignment="0" applyProtection="0"/>
    <xf numFmtId="168" fontId="36" fillId="0" borderId="0" applyFont="0" applyFill="0" applyBorder="0" applyAlignment="0" applyProtection="0"/>
    <xf numFmtId="0" fontId="34" fillId="0" borderId="0"/>
    <xf numFmtId="0" fontId="33" fillId="0" borderId="0"/>
    <xf numFmtId="0" fontId="37" fillId="0" borderId="0"/>
    <xf numFmtId="9" fontId="54" fillId="0" borderId="0" applyFont="0" applyFill="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4" borderId="0" applyNumberFormat="0" applyBorder="0" applyAlignment="0" applyProtection="0"/>
    <xf numFmtId="0" fontId="56" fillId="7" borderId="0" applyNumberFormat="0" applyBorder="0" applyAlignment="0" applyProtection="0"/>
    <xf numFmtId="0" fontId="56" fillId="5"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7" borderId="0" applyNumberFormat="0" applyBorder="0" applyAlignment="0" applyProtection="0"/>
    <xf numFmtId="0" fontId="55" fillId="5"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2" borderId="0" applyNumberFormat="0" applyBorder="0" applyAlignment="0" applyProtection="0"/>
    <xf numFmtId="0" fontId="56" fillId="15" borderId="0" applyNumberFormat="0" applyBorder="0" applyAlignment="0" applyProtection="0"/>
    <xf numFmtId="0" fontId="56" fillId="5" borderId="0" applyNumberFormat="0" applyBorder="0" applyAlignment="0" applyProtection="0"/>
    <xf numFmtId="0" fontId="55" fillId="15" borderId="0" applyNumberFormat="0" applyBorder="0" applyAlignment="0" applyProtection="0"/>
    <xf numFmtId="0" fontId="55" fillId="13"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5" borderId="0" applyNumberFormat="0" applyBorder="0" applyAlignment="0" applyProtection="0"/>
    <xf numFmtId="0" fontId="55" fillId="17" borderId="0" applyNumberFormat="0" applyBorder="0" applyAlignment="0" applyProtection="0"/>
    <xf numFmtId="0" fontId="57" fillId="18"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2" borderId="0" applyNumberFormat="0" applyBorder="0" applyAlignment="0" applyProtection="0"/>
    <xf numFmtId="0" fontId="57" fillId="18" borderId="0" applyNumberFormat="0" applyBorder="0" applyAlignment="0" applyProtection="0"/>
    <xf numFmtId="0" fontId="57" fillId="5" borderId="0" applyNumberFormat="0" applyBorder="0" applyAlignment="0" applyProtection="0"/>
    <xf numFmtId="0" fontId="58" fillId="19" borderId="0" applyNumberFormat="0" applyBorder="0" applyAlignment="0" applyProtection="0"/>
    <xf numFmtId="0" fontId="58" fillId="13" borderId="0" applyNumberFormat="0" applyBorder="0" applyAlignment="0" applyProtection="0"/>
    <xf numFmtId="0" fontId="58" fillId="16" borderId="0" applyNumberFormat="0" applyBorder="0" applyAlignment="0" applyProtection="0"/>
    <xf numFmtId="0" fontId="58" fillId="20"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7" fillId="18"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18" borderId="0" applyNumberFormat="0" applyBorder="0" applyAlignment="0" applyProtection="0"/>
    <xf numFmtId="0" fontId="57" fillId="24" borderId="0" applyNumberFormat="0" applyBorder="0" applyAlignment="0" applyProtection="0"/>
    <xf numFmtId="0" fontId="59" fillId="9" borderId="0" applyNumberFormat="0" applyBorder="0" applyAlignment="0" applyProtection="0"/>
    <xf numFmtId="0" fontId="60" fillId="4" borderId="11" applyNumberFormat="0" applyAlignment="0" applyProtection="0"/>
    <xf numFmtId="0" fontId="61" fillId="25" borderId="12" applyNumberFormat="0" applyAlignment="0" applyProtection="0"/>
    <xf numFmtId="0" fontId="55" fillId="0" borderId="0"/>
    <xf numFmtId="0" fontId="62" fillId="0" borderId="0" applyNumberFormat="0" applyFill="0" applyBorder="0" applyAlignment="0" applyProtection="0"/>
    <xf numFmtId="0" fontId="63" fillId="10" borderId="0" applyNumberFormat="0" applyBorder="0" applyAlignment="0" applyProtection="0"/>
    <xf numFmtId="0" fontId="64" fillId="0" borderId="13" applyNumberFormat="0" applyFill="0" applyAlignment="0" applyProtection="0"/>
    <xf numFmtId="0" fontId="65" fillId="0" borderId="14" applyNumberFormat="0" applyFill="0" applyAlignment="0" applyProtection="0"/>
    <xf numFmtId="0" fontId="66" fillId="0" borderId="15" applyNumberFormat="0" applyFill="0" applyAlignment="0" applyProtection="0"/>
    <xf numFmtId="0" fontId="66" fillId="0" borderId="0" applyNumberFormat="0" applyFill="0" applyBorder="0" applyAlignment="0" applyProtection="0"/>
    <xf numFmtId="0" fontId="67" fillId="5" borderId="11" applyNumberFormat="0" applyAlignment="0" applyProtection="0"/>
    <xf numFmtId="0" fontId="68" fillId="0" borderId="16" applyNumberFormat="0" applyFill="0" applyAlignment="0" applyProtection="0"/>
    <xf numFmtId="0" fontId="69" fillId="14" borderId="0" applyNumberFormat="0" applyBorder="0" applyAlignment="0" applyProtection="0"/>
    <xf numFmtId="0" fontId="38" fillId="6" borderId="17" applyNumberFormat="0" applyFont="0" applyAlignment="0" applyProtection="0"/>
    <xf numFmtId="0" fontId="70" fillId="4" borderId="18" applyNumberFormat="0" applyAlignment="0" applyProtection="0"/>
    <xf numFmtId="0" fontId="71" fillId="0" borderId="0" applyNumberFormat="0" applyFill="0" applyBorder="0" applyAlignment="0" applyProtection="0"/>
    <xf numFmtId="0" fontId="72" fillId="0" borderId="19" applyNumberFormat="0" applyFill="0" applyAlignment="0" applyProtection="0"/>
    <xf numFmtId="0" fontId="73" fillId="0" borderId="0" applyNumberFormat="0" applyFill="0" applyBorder="0" applyAlignment="0" applyProtection="0"/>
    <xf numFmtId="0" fontId="58" fillId="26" borderId="0" applyNumberFormat="0" applyBorder="0" applyAlignment="0" applyProtection="0"/>
    <xf numFmtId="0" fontId="58" fillId="27" borderId="0" applyNumberFormat="0" applyBorder="0" applyAlignment="0" applyProtection="0"/>
    <xf numFmtId="0" fontId="58" fillId="28" borderId="0" applyNumberFormat="0" applyBorder="0" applyAlignment="0" applyProtection="0"/>
    <xf numFmtId="0" fontId="58" fillId="20" borderId="0" applyNumberFormat="0" applyBorder="0" applyAlignment="0" applyProtection="0"/>
    <xf numFmtId="0" fontId="58" fillId="18" borderId="0" applyNumberFormat="0" applyBorder="0" applyAlignment="0" applyProtection="0"/>
    <xf numFmtId="0" fontId="58" fillId="24" borderId="0" applyNumberFormat="0" applyBorder="0" applyAlignment="0" applyProtection="0"/>
    <xf numFmtId="0" fontId="74" fillId="5" borderId="11" applyNumberFormat="0" applyAlignment="0" applyProtection="0"/>
    <xf numFmtId="9" fontId="75" fillId="0" borderId="0" applyFont="0" applyFill="0" applyBorder="0" applyAlignment="0" applyProtection="0"/>
    <xf numFmtId="0" fontId="76" fillId="12" borderId="18" applyNumberFormat="0" applyAlignment="0" applyProtection="0"/>
    <xf numFmtId="0" fontId="77" fillId="12" borderId="11" applyNumberFormat="0" applyAlignment="0" applyProtection="0"/>
    <xf numFmtId="165" fontId="36" fillId="0" borderId="0" applyFont="0" applyFill="0" applyBorder="0" applyAlignment="0" applyProtection="0"/>
    <xf numFmtId="165" fontId="36" fillId="0" borderId="0" applyFont="0" applyFill="0" applyBorder="0" applyAlignment="0" applyProtection="0"/>
    <xf numFmtId="170" fontId="75" fillId="0" borderId="0" applyFill="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14" applyNumberFormat="0" applyFill="0" applyAlignment="0" applyProtection="0"/>
    <xf numFmtId="0" fontId="79" fillId="0" borderId="14"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75" fillId="0" borderId="0"/>
    <xf numFmtId="0" fontId="37" fillId="0" borderId="0"/>
    <xf numFmtId="0" fontId="37" fillId="0" borderId="0"/>
    <xf numFmtId="0" fontId="54" fillId="0" borderId="0"/>
    <xf numFmtId="0" fontId="55" fillId="0" borderId="0"/>
    <xf numFmtId="0" fontId="36" fillId="0" borderId="0"/>
    <xf numFmtId="0" fontId="37" fillId="0" borderId="0"/>
    <xf numFmtId="0" fontId="37" fillId="0" borderId="0"/>
    <xf numFmtId="0" fontId="32" fillId="0" borderId="0"/>
    <xf numFmtId="0" fontId="32" fillId="0" borderId="0"/>
    <xf numFmtId="0" fontId="32" fillId="0" borderId="0"/>
    <xf numFmtId="0" fontId="32" fillId="0" borderId="0"/>
    <xf numFmtId="0" fontId="37" fillId="0" borderId="0"/>
    <xf numFmtId="0" fontId="56" fillId="0" borderId="0"/>
    <xf numFmtId="0" fontId="81" fillId="0" borderId="22" applyNumberFormat="0" applyFill="0" applyAlignment="0" applyProtection="0"/>
    <xf numFmtId="0" fontId="82" fillId="25" borderId="12" applyNumberFormat="0" applyAlignment="0" applyProtection="0"/>
    <xf numFmtId="0" fontId="83" fillId="0" borderId="0" applyNumberFormat="0" applyFill="0" applyBorder="0" applyAlignment="0" applyProtection="0"/>
    <xf numFmtId="0" fontId="84" fillId="14" borderId="0" applyNumberFormat="0" applyBorder="0" applyAlignment="0" applyProtection="0"/>
    <xf numFmtId="0" fontId="55" fillId="0" borderId="0"/>
    <xf numFmtId="0" fontId="85" fillId="0" borderId="0"/>
    <xf numFmtId="0" fontId="85" fillId="0" borderId="0"/>
    <xf numFmtId="0" fontId="85" fillId="0" borderId="0"/>
    <xf numFmtId="0" fontId="85" fillId="0" borderId="0"/>
    <xf numFmtId="0" fontId="50" fillId="0" borderId="0"/>
    <xf numFmtId="0" fontId="50" fillId="0" borderId="0"/>
    <xf numFmtId="0" fontId="50" fillId="0" borderId="0"/>
    <xf numFmtId="0" fontId="36" fillId="0" borderId="0"/>
    <xf numFmtId="0" fontId="54" fillId="0" borderId="0"/>
    <xf numFmtId="0" fontId="32" fillId="0" borderId="0"/>
    <xf numFmtId="0" fontId="32" fillId="0" borderId="0"/>
    <xf numFmtId="0" fontId="32" fillId="0" borderId="0"/>
    <xf numFmtId="0" fontId="32" fillId="0" borderId="0"/>
    <xf numFmtId="0" fontId="32" fillId="0" borderId="0"/>
    <xf numFmtId="0" fontId="36" fillId="0" borderId="0"/>
    <xf numFmtId="0" fontId="37" fillId="0" borderId="0"/>
    <xf numFmtId="0" fontId="36" fillId="0" borderId="0"/>
    <xf numFmtId="0" fontId="37" fillId="0" borderId="0"/>
    <xf numFmtId="0" fontId="3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6" fillId="0" borderId="0"/>
    <xf numFmtId="0" fontId="54" fillId="0" borderId="0"/>
    <xf numFmtId="0" fontId="36" fillId="0" borderId="0"/>
    <xf numFmtId="0" fontId="36" fillId="0" borderId="0"/>
    <xf numFmtId="0" fontId="36" fillId="0" borderId="0"/>
    <xf numFmtId="0" fontId="36" fillId="0" borderId="0"/>
    <xf numFmtId="0" fontId="36" fillId="0" borderId="0"/>
    <xf numFmtId="0" fontId="32" fillId="0" borderId="0"/>
    <xf numFmtId="0" fontId="54" fillId="0" borderId="0"/>
    <xf numFmtId="0" fontId="38" fillId="0" borderId="0"/>
    <xf numFmtId="0" fontId="32" fillId="0" borderId="0"/>
    <xf numFmtId="0" fontId="36" fillId="0" borderId="0"/>
    <xf numFmtId="0" fontId="37" fillId="0" borderId="0"/>
    <xf numFmtId="0" fontId="36" fillId="0" borderId="0"/>
    <xf numFmtId="0" fontId="37" fillId="0" borderId="0"/>
    <xf numFmtId="0" fontId="75" fillId="0" borderId="0"/>
    <xf numFmtId="0" fontId="32" fillId="0" borderId="0"/>
    <xf numFmtId="0" fontId="32" fillId="0" borderId="0"/>
    <xf numFmtId="0" fontId="32" fillId="0" borderId="0"/>
    <xf numFmtId="0" fontId="32" fillId="0" borderId="0"/>
    <xf numFmtId="0" fontId="37" fillId="0" borderId="0"/>
    <xf numFmtId="0" fontId="37" fillId="0" borderId="0"/>
    <xf numFmtId="0" fontId="55" fillId="0" borderId="0"/>
    <xf numFmtId="0" fontId="37" fillId="0" borderId="0"/>
    <xf numFmtId="0" fontId="37" fillId="0" borderId="0"/>
    <xf numFmtId="0" fontId="55" fillId="0" borderId="0"/>
    <xf numFmtId="0" fontId="37" fillId="0" borderId="0"/>
    <xf numFmtId="0" fontId="37" fillId="0" borderId="0"/>
    <xf numFmtId="0" fontId="55" fillId="0" borderId="0"/>
    <xf numFmtId="0" fontId="37" fillId="0" borderId="0"/>
    <xf numFmtId="0" fontId="55" fillId="0" borderId="0"/>
    <xf numFmtId="0" fontId="55" fillId="0" borderId="0"/>
    <xf numFmtId="0" fontId="55" fillId="0" borderId="0"/>
    <xf numFmtId="0" fontId="37" fillId="0" borderId="0"/>
    <xf numFmtId="0" fontId="56" fillId="0" borderId="0"/>
    <xf numFmtId="0" fontId="36" fillId="0" borderId="0"/>
    <xf numFmtId="0" fontId="32" fillId="0" borderId="0"/>
    <xf numFmtId="0" fontId="32" fillId="0" borderId="0"/>
    <xf numFmtId="0" fontId="32" fillId="0" borderId="0"/>
    <xf numFmtId="0" fontId="32" fillId="0" borderId="0"/>
    <xf numFmtId="0" fontId="36" fillId="0" borderId="0"/>
    <xf numFmtId="0" fontId="32" fillId="0" borderId="0"/>
    <xf numFmtId="0" fontId="32" fillId="0" borderId="0"/>
    <xf numFmtId="0" fontId="56" fillId="0" borderId="0"/>
    <xf numFmtId="0" fontId="32" fillId="0" borderId="0"/>
    <xf numFmtId="0" fontId="38" fillId="0" borderId="0"/>
    <xf numFmtId="0" fontId="56" fillId="0" borderId="0"/>
    <xf numFmtId="0" fontId="85" fillId="0" borderId="0"/>
    <xf numFmtId="0" fontId="56" fillId="0" borderId="0"/>
    <xf numFmtId="0" fontId="54" fillId="0" borderId="0"/>
    <xf numFmtId="0" fontId="37" fillId="0" borderId="0"/>
    <xf numFmtId="0" fontId="37" fillId="0" borderId="0"/>
    <xf numFmtId="0" fontId="37" fillId="0" borderId="0"/>
    <xf numFmtId="0" fontId="56" fillId="0" borderId="0"/>
    <xf numFmtId="0" fontId="75" fillId="0" borderId="0"/>
    <xf numFmtId="0" fontId="86" fillId="9" borderId="0" applyNumberFormat="0" applyBorder="0" applyAlignment="0" applyProtection="0"/>
    <xf numFmtId="0" fontId="87" fillId="0" borderId="0" applyNumberFormat="0" applyFill="0" applyBorder="0" applyAlignment="0" applyProtection="0"/>
    <xf numFmtId="0" fontId="55" fillId="6" borderId="17" applyNumberFormat="0" applyFont="0" applyAlignment="0" applyProtection="0"/>
    <xf numFmtId="9" fontId="37" fillId="0" borderId="0" applyFont="0" applyFill="0" applyBorder="0" applyAlignment="0" applyProtection="0"/>
    <xf numFmtId="9" fontId="55" fillId="0" borderId="0" applyFont="0" applyFill="0" applyBorder="0" applyAlignment="0" applyProtection="0"/>
    <xf numFmtId="9" fontId="75" fillId="0" borderId="0" applyFill="0" applyBorder="0" applyAlignment="0" applyProtection="0"/>
    <xf numFmtId="9" fontId="38" fillId="0" borderId="0" applyFont="0" applyFill="0" applyBorder="0" applyAlignment="0" applyProtection="0"/>
    <xf numFmtId="9" fontId="55" fillId="0" borderId="0" applyFill="0" applyBorder="0" applyAlignment="0" applyProtection="0"/>
    <xf numFmtId="9" fontId="36" fillId="0" borderId="0" applyFont="0" applyFill="0" applyBorder="0" applyAlignment="0" applyProtection="0"/>
    <xf numFmtId="9" fontId="56" fillId="0" borderId="0" applyFont="0" applyFill="0" applyBorder="0" applyAlignment="0" applyProtection="0"/>
    <xf numFmtId="0" fontId="88" fillId="0" borderId="16" applyNumberFormat="0" applyFill="0" applyAlignment="0" applyProtection="0"/>
    <xf numFmtId="0" fontId="89" fillId="0" borderId="0" applyNumberFormat="0" applyFill="0" applyBorder="0" applyAlignment="0" applyProtection="0"/>
    <xf numFmtId="171" fontId="36"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6" fontId="5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72" fontId="37" fillId="0" borderId="0" applyFont="0" applyFill="0" applyBorder="0" applyAlignment="0" applyProtection="0"/>
    <xf numFmtId="172" fontId="37" fillId="0" borderId="0" applyFont="0" applyFill="0" applyBorder="0" applyAlignment="0" applyProtection="0"/>
    <xf numFmtId="172" fontId="37" fillId="0" borderId="0" applyFont="0" applyFill="0" applyBorder="0" applyAlignment="0" applyProtection="0"/>
    <xf numFmtId="166" fontId="36" fillId="0" borderId="0" applyFont="0" applyFill="0" applyBorder="0" applyAlignment="0" applyProtection="0"/>
    <xf numFmtId="166" fontId="56" fillId="0" borderId="0" applyFont="0" applyFill="0" applyBorder="0" applyAlignment="0" applyProtection="0"/>
    <xf numFmtId="0" fontId="90" fillId="10" borderId="0" applyNumberFormat="0" applyBorder="0" applyAlignment="0" applyProtection="0"/>
    <xf numFmtId="0" fontId="56" fillId="0" borderId="0"/>
    <xf numFmtId="0" fontId="60" fillId="4" borderId="11" applyNumberFormat="0" applyAlignment="0" applyProtection="0"/>
    <xf numFmtId="0" fontId="67" fillId="5" borderId="11" applyNumberFormat="0" applyAlignment="0" applyProtection="0"/>
    <xf numFmtId="0" fontId="38" fillId="6" borderId="17" applyNumberFormat="0" applyFont="0" applyAlignment="0" applyProtection="0"/>
    <xf numFmtId="0" fontId="70" fillId="4" borderId="18" applyNumberFormat="0" applyAlignment="0" applyProtection="0"/>
    <xf numFmtId="0" fontId="72" fillId="0" borderId="19" applyNumberFormat="0" applyFill="0" applyAlignment="0" applyProtection="0"/>
    <xf numFmtId="0" fontId="32" fillId="0" borderId="0"/>
    <xf numFmtId="0" fontId="32" fillId="0" borderId="0"/>
    <xf numFmtId="0" fontId="54" fillId="0" borderId="0"/>
    <xf numFmtId="0" fontId="32" fillId="0" borderId="0"/>
    <xf numFmtId="0" fontId="54" fillId="0" borderId="0"/>
    <xf numFmtId="0" fontId="101" fillId="0" borderId="0"/>
    <xf numFmtId="0" fontId="75" fillId="0" borderId="0"/>
    <xf numFmtId="0" fontId="36" fillId="0" borderId="0"/>
    <xf numFmtId="0" fontId="74" fillId="5" borderId="74" applyNumberFormat="0" applyAlignment="0" applyProtection="0"/>
    <xf numFmtId="0" fontId="76" fillId="12" borderId="75" applyNumberFormat="0" applyAlignment="0" applyProtection="0"/>
    <xf numFmtId="0" fontId="77" fillId="12" borderId="74" applyNumberFormat="0" applyAlignment="0" applyProtection="0"/>
    <xf numFmtId="0" fontId="81" fillId="0" borderId="76" applyNumberFormat="0" applyFill="0" applyAlignment="0" applyProtection="0"/>
    <xf numFmtId="0" fontId="36" fillId="0" borderId="0"/>
    <xf numFmtId="0" fontId="55" fillId="0" borderId="0"/>
    <xf numFmtId="0" fontId="55" fillId="0" borderId="0"/>
    <xf numFmtId="0" fontId="36" fillId="6" borderId="17" applyNumberFormat="0" applyFont="0" applyAlignment="0" applyProtection="0"/>
    <xf numFmtId="9" fontId="101" fillId="0" borderId="0"/>
    <xf numFmtId="0" fontId="54" fillId="0" borderId="0"/>
    <xf numFmtId="0" fontId="106" fillId="0" borderId="0"/>
    <xf numFmtId="0" fontId="107" fillId="0" borderId="0" applyNumberFormat="0" applyFill="0" applyBorder="0" applyAlignment="0" applyProtection="0"/>
    <xf numFmtId="0" fontId="27" fillId="0" borderId="0"/>
    <xf numFmtId="0" fontId="26" fillId="0" borderId="0"/>
    <xf numFmtId="0" fontId="55" fillId="36" borderId="0" applyNumberFormat="0" applyBorder="0" applyAlignment="0" applyProtection="0"/>
    <xf numFmtId="0" fontId="55" fillId="8" borderId="0" applyNumberFormat="0" applyBorder="0" applyAlignment="0" applyProtection="0"/>
    <xf numFmtId="0" fontId="55" fillId="15" borderId="0" applyNumberFormat="0" applyBorder="0" applyAlignment="0" applyProtection="0"/>
    <xf numFmtId="0" fontId="55" fillId="37" borderId="0" applyNumberFormat="0" applyBorder="0" applyAlignment="0" applyProtection="0"/>
    <xf numFmtId="0" fontId="55" fillId="9" borderId="0" applyNumberFormat="0" applyBorder="0" applyAlignment="0" applyProtection="0"/>
    <xf numFmtId="0" fontId="55" fillId="13" borderId="0" applyNumberFormat="0" applyBorder="0" applyAlignment="0" applyProtection="0"/>
    <xf numFmtId="0" fontId="55" fillId="38" borderId="0" applyNumberFormat="0" applyBorder="0" applyAlignment="0" applyProtection="0"/>
    <xf numFmtId="0" fontId="55" fillId="10" borderId="0" applyNumberFormat="0" applyBorder="0" applyAlignment="0" applyProtection="0"/>
    <xf numFmtId="0" fontId="55" fillId="6" borderId="0" applyNumberFormat="0" applyBorder="0" applyAlignment="0" applyProtection="0"/>
    <xf numFmtId="0" fontId="55" fillId="39" borderId="0" applyNumberFormat="0" applyBorder="0" applyAlignment="0" applyProtection="0"/>
    <xf numFmtId="0" fontId="55" fillId="11" borderId="0" applyNumberFormat="0" applyBorder="0" applyAlignment="0" applyProtection="0"/>
    <xf numFmtId="0" fontId="55" fillId="5" borderId="0" applyNumberFormat="0" applyBorder="0" applyAlignment="0" applyProtection="0"/>
    <xf numFmtId="0" fontId="55" fillId="40"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41"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55" fillId="40"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15" borderId="0" applyNumberFormat="0" applyBorder="0" applyAlignment="0" applyProtection="0"/>
    <xf numFmtId="0" fontId="55" fillId="7" borderId="0" applyNumberFormat="0" applyBorder="0" applyAlignment="0" applyProtection="0"/>
    <xf numFmtId="0" fontId="55" fillId="4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44" borderId="0" applyNumberFormat="0" applyBorder="0" applyAlignment="0" applyProtection="0"/>
    <xf numFmtId="0" fontId="55" fillId="16" borderId="0" applyNumberFormat="0" applyBorder="0" applyAlignment="0" applyProtection="0"/>
    <xf numFmtId="0" fontId="55" fillId="14" borderId="0" applyNumberFormat="0" applyBorder="0" applyAlignment="0" applyProtection="0"/>
    <xf numFmtId="0" fontId="55" fillId="39" borderId="0" applyNumberFormat="0" applyBorder="0" applyAlignment="0" applyProtection="0"/>
    <xf numFmtId="0" fontId="55" fillId="11" borderId="0" applyNumberFormat="0" applyBorder="0" applyAlignment="0" applyProtection="0"/>
    <xf numFmtId="0" fontId="55" fillId="9" borderId="0" applyNumberFormat="0" applyBorder="0" applyAlignment="0" applyProtection="0"/>
    <xf numFmtId="0" fontId="55" fillId="42" borderId="0" applyNumberFormat="0" applyBorder="0" applyAlignment="0" applyProtection="0"/>
    <xf numFmtId="0" fontId="55" fillId="15" borderId="0" applyNumberFormat="0" applyBorder="0" applyAlignment="0" applyProtection="0"/>
    <xf numFmtId="0" fontId="55" fillId="7" borderId="0" applyNumberFormat="0" applyBorder="0" applyAlignment="0" applyProtection="0"/>
    <xf numFmtId="0" fontId="55" fillId="45" borderId="0" applyNumberFormat="0" applyBorder="0" applyAlignment="0" applyProtection="0"/>
    <xf numFmtId="0" fontId="55" fillId="17" borderId="0" applyNumberFormat="0" applyBorder="0" applyAlignment="0" applyProtection="0"/>
    <xf numFmtId="0" fontId="55" fillId="6"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4"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5" borderId="0" applyNumberFormat="0" applyBorder="0" applyAlignment="0" applyProtection="0"/>
    <xf numFmtId="0" fontId="58" fillId="46" borderId="0" applyNumberFormat="0" applyBorder="0" applyAlignment="0" applyProtection="0"/>
    <xf numFmtId="0" fontId="58" fillId="19" borderId="0" applyNumberFormat="0" applyBorder="0" applyAlignment="0" applyProtection="0"/>
    <xf numFmtId="0" fontId="58" fillId="7" borderId="0" applyNumberFormat="0" applyBorder="0" applyAlignment="0" applyProtection="0"/>
    <xf numFmtId="0" fontId="58" fillId="43" borderId="0" applyNumberFormat="0" applyBorder="0" applyAlignment="0" applyProtection="0"/>
    <xf numFmtId="0" fontId="58" fillId="13" borderId="0" applyNumberFormat="0" applyBorder="0" applyAlignment="0" applyProtection="0"/>
    <xf numFmtId="0" fontId="58" fillId="24" borderId="0" applyNumberFormat="0" applyBorder="0" applyAlignment="0" applyProtection="0"/>
    <xf numFmtId="0" fontId="58" fillId="44"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47" borderId="0" applyNumberFormat="0" applyBorder="0" applyAlignment="0" applyProtection="0"/>
    <xf numFmtId="0" fontId="58" fillId="20" borderId="0" applyNumberFormat="0" applyBorder="0" applyAlignment="0" applyProtection="0"/>
    <xf numFmtId="0" fontId="58" fillId="9" borderId="0" applyNumberFormat="0" applyBorder="0" applyAlignment="0" applyProtection="0"/>
    <xf numFmtId="0" fontId="58" fillId="48" borderId="0" applyNumberFormat="0" applyBorder="0" applyAlignment="0" applyProtection="0"/>
    <xf numFmtId="0" fontId="58" fillId="18" borderId="0" applyNumberFormat="0" applyBorder="0" applyAlignment="0" applyProtection="0"/>
    <xf numFmtId="0" fontId="58" fillId="7" borderId="0" applyNumberFormat="0" applyBorder="0" applyAlignment="0" applyProtection="0"/>
    <xf numFmtId="0" fontId="58" fillId="49" borderId="0" applyNumberFormat="0" applyBorder="0" applyAlignment="0" applyProtection="0"/>
    <xf numFmtId="0" fontId="58" fillId="21" borderId="0" applyNumberFormat="0" applyBorder="0" applyAlignment="0" applyProtection="0"/>
    <xf numFmtId="0" fontId="58" fillId="13" borderId="0" applyNumberFormat="0" applyBorder="0" applyAlignment="0" applyProtection="0"/>
    <xf numFmtId="0" fontId="58" fillId="46"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9" borderId="0" applyNumberFormat="0" applyBorder="0" applyAlignment="0" applyProtection="0"/>
    <xf numFmtId="0" fontId="37" fillId="0" borderId="81"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180" fontId="37" fillId="0" borderId="82"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180" fontId="37" fillId="0" borderId="82"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xf>
    <xf numFmtId="0" fontId="37" fillId="0" borderId="83" applyNumberFormat="0" applyFill="0" applyProtection="0">
      <alignment vertical="top" wrapText="1"/>
    </xf>
    <xf numFmtId="0" fontId="37" fillId="0" borderId="82" applyNumberFormat="0" applyFill="0" applyProtection="0">
      <alignment vertical="top"/>
    </xf>
    <xf numFmtId="0" fontId="37" fillId="0" borderId="83"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180" fontId="37" fillId="0" borderId="82"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180" fontId="37" fillId="0" borderId="82" applyFill="0" applyProtection="0">
      <alignment vertical="top" wrapText="1"/>
    </xf>
    <xf numFmtId="0" fontId="121" fillId="0" borderId="0" applyNumberFormat="0" applyFill="0" applyBorder="0" applyProtection="0">
      <alignment horizontal="center" vertical="top"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180" fontId="122" fillId="0" borderId="77"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180" fontId="122" fillId="0" borderId="77"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180" fontId="122" fillId="0" borderId="77"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180" fontId="122" fillId="0" borderId="77" applyFill="0" applyProtection="0">
      <alignment wrapText="1"/>
    </xf>
    <xf numFmtId="0" fontId="116" fillId="0" borderId="1" applyNumberFormat="0" applyFill="0" applyProtection="0">
      <alignment horizontal="center" vertical="top" wrapText="1"/>
    </xf>
    <xf numFmtId="0" fontId="55" fillId="0" borderId="0"/>
    <xf numFmtId="0" fontId="55" fillId="0" borderId="0"/>
    <xf numFmtId="0" fontId="55" fillId="0" borderId="0"/>
    <xf numFmtId="0" fontId="55" fillId="0" borderId="0"/>
    <xf numFmtId="0" fontId="37" fillId="0" borderId="0"/>
    <xf numFmtId="0" fontId="36" fillId="0" borderId="0"/>
    <xf numFmtId="0" fontId="123" fillId="4" borderId="0">
      <alignment horizontal="center" vertical="center"/>
    </xf>
    <xf numFmtId="0" fontId="124" fillId="4" borderId="0">
      <alignment horizontal="left" vertical="center"/>
    </xf>
    <xf numFmtId="0" fontId="58" fillId="50" borderId="0" applyNumberFormat="0" applyBorder="0" applyAlignment="0" applyProtection="0"/>
    <xf numFmtId="0" fontId="58" fillId="26"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27" borderId="0" applyNumberFormat="0" applyBorder="0" applyAlignment="0" applyProtection="0"/>
    <xf numFmtId="0" fontId="58" fillId="24" borderId="0" applyNumberFormat="0" applyBorder="0" applyAlignment="0" applyProtection="0"/>
    <xf numFmtId="0" fontId="58" fillId="53" borderId="0" applyNumberFormat="0" applyBorder="0" applyAlignment="0" applyProtection="0"/>
    <xf numFmtId="0" fontId="58" fillId="28" borderId="0" applyNumberFormat="0" applyBorder="0" applyAlignment="0" applyProtection="0"/>
    <xf numFmtId="0" fontId="58" fillId="17" borderId="0" applyNumberFormat="0" applyBorder="0" applyAlignment="0" applyProtection="0"/>
    <xf numFmtId="0" fontId="58" fillId="47" borderId="0" applyNumberFormat="0" applyBorder="0" applyAlignment="0" applyProtection="0"/>
    <xf numFmtId="0" fontId="58" fillId="20" borderId="0" applyNumberFormat="0" applyBorder="0" applyAlignment="0" applyProtection="0"/>
    <xf numFmtId="0" fontId="58" fillId="23" borderId="0" applyNumberFormat="0" applyBorder="0" applyAlignment="0" applyProtection="0"/>
    <xf numFmtId="0" fontId="58" fillId="4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54" borderId="0" applyNumberFormat="0" applyBorder="0" applyAlignment="0" applyProtection="0"/>
    <xf numFmtId="0" fontId="58" fillId="24" borderId="0" applyNumberFormat="0" applyBorder="0" applyAlignment="0" applyProtection="0"/>
    <xf numFmtId="0" fontId="58" fillId="27" borderId="0" applyNumberFormat="0" applyBorder="0" applyAlignment="0" applyProtection="0"/>
    <xf numFmtId="0" fontId="58" fillId="50"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54" borderId="0" applyNumberFormat="0" applyBorder="0" applyAlignment="0" applyProtection="0"/>
    <xf numFmtId="0" fontId="74" fillId="41" borderId="74" applyNumberFormat="0" applyAlignment="0" applyProtection="0"/>
    <xf numFmtId="0" fontId="74" fillId="5" borderId="74" applyNumberFormat="0" applyAlignment="0" applyProtection="0"/>
    <xf numFmtId="0" fontId="74" fillId="14" borderId="74" applyNumberFormat="0" applyAlignment="0" applyProtection="0"/>
    <xf numFmtId="0" fontId="76" fillId="12" borderId="75" applyNumberFormat="0" applyAlignment="0" applyProtection="0"/>
    <xf numFmtId="0" fontId="76" fillId="4" borderId="75" applyNumberFormat="0" applyAlignment="0" applyProtection="0"/>
    <xf numFmtId="0" fontId="77" fillId="12" borderId="74" applyNumberFormat="0" applyAlignment="0" applyProtection="0"/>
    <xf numFmtId="0" fontId="125" fillId="4" borderId="74" applyNumberFormat="0" applyAlignment="0" applyProtection="0"/>
    <xf numFmtId="168" fontId="37" fillId="0" borderId="0" applyFont="0" applyFill="0" applyBorder="0" applyAlignment="0" applyProtection="0"/>
    <xf numFmtId="165" fontId="36" fillId="0" borderId="0" applyFont="0" applyFill="0" applyBorder="0" applyAlignment="0" applyProtection="0"/>
    <xf numFmtId="0" fontId="90" fillId="38" borderId="0" applyNumberFormat="0" applyBorder="0" applyAlignment="0" applyProtection="0"/>
    <xf numFmtId="0" fontId="88" fillId="0" borderId="16" applyNumberFormat="0" applyFill="0" applyAlignment="0" applyProtection="0"/>
    <xf numFmtId="0" fontId="81" fillId="0" borderId="84" applyNumberFormat="0" applyFill="0" applyAlignment="0" applyProtection="0"/>
    <xf numFmtId="0" fontId="82" fillId="55" borderId="12" applyNumberFormat="0" applyAlignment="0" applyProtection="0"/>
    <xf numFmtId="0" fontId="82" fillId="55" borderId="12" applyNumberFormat="0" applyAlignment="0" applyProtection="0"/>
    <xf numFmtId="0" fontId="82" fillId="25" borderId="12" applyNumberFormat="0" applyAlignment="0" applyProtection="0"/>
    <xf numFmtId="0" fontId="82" fillId="25" borderId="12" applyNumberFormat="0" applyAlignment="0" applyProtection="0"/>
    <xf numFmtId="0" fontId="83" fillId="0" borderId="0" applyNumberFormat="0" applyFill="0" applyBorder="0" applyAlignment="0" applyProtection="0"/>
    <xf numFmtId="0" fontId="126" fillId="0" borderId="0" applyNumberFormat="0" applyFill="0" applyBorder="0" applyAlignment="0" applyProtection="0"/>
    <xf numFmtId="0" fontId="84" fillId="56" borderId="0" applyNumberFormat="0" applyBorder="0" applyAlignment="0" applyProtection="0"/>
    <xf numFmtId="0" fontId="84" fillId="14" borderId="0" applyNumberFormat="0" applyBorder="0" applyAlignment="0" applyProtection="0"/>
    <xf numFmtId="0" fontId="127" fillId="14" borderId="0" applyNumberFormat="0" applyBorder="0" applyAlignment="0" applyProtection="0"/>
    <xf numFmtId="0" fontId="77" fillId="57" borderId="74" applyNumberFormat="0" applyAlignment="0" applyProtection="0"/>
    <xf numFmtId="0" fontId="55" fillId="0" borderId="0"/>
    <xf numFmtId="0" fontId="55" fillId="0" borderId="0"/>
    <xf numFmtId="0" fontId="55" fillId="0" borderId="0"/>
    <xf numFmtId="0" fontId="56" fillId="0" borderId="0"/>
    <xf numFmtId="0" fontId="56" fillId="0" borderId="0"/>
    <xf numFmtId="0" fontId="54" fillId="0" borderId="0"/>
    <xf numFmtId="0" fontId="55" fillId="0" borderId="0"/>
    <xf numFmtId="0" fontId="81" fillId="0" borderId="76" applyNumberFormat="0" applyFill="0" applyAlignment="0" applyProtection="0"/>
    <xf numFmtId="0" fontId="86" fillId="37" borderId="0" applyNumberFormat="0" applyBorder="0" applyAlignment="0" applyProtection="0"/>
    <xf numFmtId="0" fontId="86" fillId="9" borderId="0" applyNumberFormat="0" applyBorder="0" applyAlignment="0" applyProtection="0"/>
    <xf numFmtId="0" fontId="86" fillId="11" borderId="0" applyNumberFormat="0" applyBorder="0" applyAlignment="0" applyProtection="0"/>
    <xf numFmtId="0" fontId="86" fillId="37" borderId="0" applyNumberFormat="0" applyBorder="0" applyAlignment="0" applyProtection="0"/>
    <xf numFmtId="0" fontId="55" fillId="6" borderId="17" applyNumberFormat="0" applyFont="0" applyAlignment="0" applyProtection="0"/>
    <xf numFmtId="0" fontId="36" fillId="6" borderId="17" applyNumberFormat="0" applyFont="0" applyAlignment="0" applyProtection="0"/>
    <xf numFmtId="0" fontId="56" fillId="58" borderId="17" applyNumberFormat="0" applyAlignment="0" applyProtection="0"/>
    <xf numFmtId="9" fontId="55" fillId="0" borderId="0" applyFont="0" applyFill="0" applyBorder="0" applyAlignment="0" applyProtection="0"/>
    <xf numFmtId="0" fontId="76" fillId="57" borderId="75" applyNumberFormat="0" applyAlignment="0" applyProtection="0"/>
    <xf numFmtId="0" fontId="89" fillId="0" borderId="85" applyNumberFormat="0" applyFill="0" applyAlignment="0" applyProtection="0"/>
    <xf numFmtId="0" fontId="84" fillId="56" borderId="0" applyNumberFormat="0" applyBorder="0" applyAlignment="0" applyProtection="0"/>
    <xf numFmtId="0" fontId="128" fillId="0" borderId="1"/>
    <xf numFmtId="0" fontId="89" fillId="0" borderId="0" applyNumberFormat="0" applyFill="0" applyBorder="0" applyAlignment="0" applyProtection="0"/>
    <xf numFmtId="0" fontId="87" fillId="0" borderId="0" applyNumberFormat="0" applyFill="0" applyBorder="0" applyAlignment="0" applyProtection="0"/>
    <xf numFmtId="173" fontId="38" fillId="0" borderId="0" applyFont="0" applyFill="0" applyBorder="0" applyAlignment="0" applyProtection="0"/>
    <xf numFmtId="174" fontId="38" fillId="0" borderId="0" applyFont="0" applyFill="0" applyBorder="0" applyAlignment="0" applyProtection="0"/>
    <xf numFmtId="166" fontId="55" fillId="0" borderId="0" applyFont="0" applyFill="0" applyBorder="0" applyAlignment="0" applyProtection="0"/>
    <xf numFmtId="0" fontId="90" fillId="38" borderId="0" applyNumberFormat="0" applyBorder="0" applyAlignment="0" applyProtection="0"/>
    <xf numFmtId="0" fontId="90" fillId="10" borderId="0" applyNumberFormat="0" applyBorder="0" applyAlignment="0" applyProtection="0"/>
    <xf numFmtId="0" fontId="90" fillId="7" borderId="0" applyNumberFormat="0" applyBorder="0" applyAlignment="0" applyProtection="0"/>
    <xf numFmtId="0" fontId="25" fillId="0" borderId="0"/>
    <xf numFmtId="0" fontId="37" fillId="0" borderId="0"/>
    <xf numFmtId="0" fontId="36" fillId="0" borderId="0"/>
    <xf numFmtId="0" fontId="55" fillId="8"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101" fillId="0" borderId="0"/>
    <xf numFmtId="0" fontId="138" fillId="0" borderId="0">
      <alignment horizontal="center"/>
    </xf>
    <xf numFmtId="0" fontId="138" fillId="0" borderId="0">
      <alignment horizontal="center" textRotation="90"/>
    </xf>
    <xf numFmtId="184" fontId="139" fillId="0" borderId="0">
      <alignment horizontal="center" textRotation="90"/>
    </xf>
    <xf numFmtId="0" fontId="140" fillId="0" borderId="0"/>
    <xf numFmtId="184" fontId="141" fillId="0" borderId="0"/>
    <xf numFmtId="185" fontId="140" fillId="0" borderId="0"/>
    <xf numFmtId="185" fontId="141" fillId="0" borderId="0"/>
    <xf numFmtId="0" fontId="142" fillId="0" borderId="0">
      <alignment horizontal="centerContinuous"/>
    </xf>
    <xf numFmtId="0" fontId="74" fillId="5" borderId="74"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76" fillId="12" borderId="75" applyNumberFormat="0" applyAlignment="0" applyProtection="0"/>
    <xf numFmtId="0" fontId="77" fillId="12" borderId="74" applyNumberFormat="0" applyAlignment="0" applyProtection="0"/>
    <xf numFmtId="0" fontId="107" fillId="0" borderId="0" applyNumberFormat="0" applyFill="0" applyBorder="0" applyAlignment="0" applyProtection="0"/>
    <xf numFmtId="0" fontId="80" fillId="0" borderId="21" applyNumberFormat="0" applyFill="0" applyAlignment="0" applyProtection="0"/>
    <xf numFmtId="184" fontId="143" fillId="0" borderId="0" applyFont="0" applyBorder="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1" fillId="0" borderId="76" applyNumberFormat="0" applyFill="0" applyAlignment="0" applyProtection="0"/>
    <xf numFmtId="0" fontId="81" fillId="0" borderId="76" applyNumberFormat="0" applyFill="0" applyAlignment="0" applyProtection="0"/>
    <xf numFmtId="0" fontId="81" fillId="0" borderId="76" applyNumberFormat="0" applyFill="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6" fillId="0" borderId="0"/>
    <xf numFmtId="0" fontId="25" fillId="0" borderId="0"/>
    <xf numFmtId="0" fontId="25" fillId="0" borderId="0"/>
    <xf numFmtId="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5" fillId="0" borderId="0"/>
    <xf numFmtId="0" fontId="25" fillId="0" borderId="0"/>
    <xf numFmtId="0" fontId="25" fillId="0" borderId="0"/>
    <xf numFmtId="0" fontId="25" fillId="0" borderId="0"/>
    <xf numFmtId="0" fontId="55" fillId="0" borderId="0"/>
    <xf numFmtId="0" fontId="25" fillId="0" borderId="0"/>
    <xf numFmtId="0" fontId="55" fillId="0" borderId="0"/>
    <xf numFmtId="0" fontId="36" fillId="6" borderId="17"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0" fontId="24" fillId="0" borderId="0"/>
    <xf numFmtId="0" fontId="23" fillId="0" borderId="0"/>
    <xf numFmtId="0" fontId="22" fillId="0" borderId="0"/>
    <xf numFmtId="9" fontId="168" fillId="0" borderId="0" applyFont="0" applyFill="0" applyBorder="0" applyAlignment="0" applyProtection="0"/>
    <xf numFmtId="0" fontId="170" fillId="0" borderId="0"/>
    <xf numFmtId="0" fontId="173" fillId="0" borderId="0"/>
    <xf numFmtId="0" fontId="21" fillId="0" borderId="0"/>
    <xf numFmtId="0" fontId="20" fillId="0" borderId="0"/>
    <xf numFmtId="0" fontId="19" fillId="0" borderId="0"/>
    <xf numFmtId="0" fontId="18" fillId="0" borderId="0"/>
    <xf numFmtId="0" fontId="17" fillId="0" borderId="0"/>
    <xf numFmtId="0" fontId="13" fillId="0" borderId="0"/>
    <xf numFmtId="0" fontId="13" fillId="0" borderId="0"/>
    <xf numFmtId="9" fontId="54" fillId="0" borderId="0" applyFont="0" applyFill="0" applyBorder="0" applyAlignment="0" applyProtection="0"/>
    <xf numFmtId="164" fontId="54" fillId="0" borderId="0" applyFont="0" applyFill="0" applyBorder="0" applyAlignment="0" applyProtection="0"/>
  </cellStyleXfs>
  <cellXfs count="4638">
    <xf numFmtId="0" fontId="0" fillId="0" borderId="0" xfId="0"/>
    <xf numFmtId="49" fontId="34" fillId="0" borderId="0" xfId="5" applyNumberFormat="1"/>
    <xf numFmtId="0" fontId="34" fillId="0" borderId="0" xfId="5"/>
    <xf numFmtId="0" fontId="33" fillId="0" borderId="0" xfId="6" applyAlignment="1">
      <alignment horizontal="center" vertical="center" wrapText="1"/>
    </xf>
    <xf numFmtId="0" fontId="41" fillId="0" borderId="0" xfId="6" applyFont="1" applyAlignment="1">
      <alignment horizontal="justify" vertical="center" wrapText="1"/>
    </xf>
    <xf numFmtId="0" fontId="33" fillId="0" borderId="0" xfId="6"/>
    <xf numFmtId="49" fontId="33" fillId="0" borderId="0" xfId="6" applyNumberFormat="1"/>
    <xf numFmtId="0" fontId="35" fillId="0" borderId="0" xfId="6" applyFont="1"/>
    <xf numFmtId="0" fontId="31" fillId="0" borderId="0" xfId="6" applyFont="1" applyAlignment="1">
      <alignment horizontal="center" vertical="center" wrapText="1"/>
    </xf>
    <xf numFmtId="0" fontId="41" fillId="0" borderId="0" xfId="5" applyFont="1" applyAlignment="1">
      <alignment horizontal="center" vertical="top" wrapText="1"/>
    </xf>
    <xf numFmtId="0" fontId="42" fillId="0" borderId="1" xfId="5" applyFont="1" applyBorder="1" applyAlignment="1">
      <alignment horizontal="center" vertical="center" wrapText="1"/>
    </xf>
    <xf numFmtId="0" fontId="39" fillId="0" borderId="0" xfId="0" applyFont="1"/>
    <xf numFmtId="0" fontId="39" fillId="0" borderId="1" xfId="0" applyFont="1" applyBorder="1" applyAlignment="1">
      <alignment vertical="center" wrapText="1"/>
    </xf>
    <xf numFmtId="0" fontId="40" fillId="0" borderId="1" xfId="0" applyFont="1" applyBorder="1" applyAlignment="1">
      <alignment vertical="center" wrapText="1"/>
    </xf>
    <xf numFmtId="0" fontId="40" fillId="0" borderId="1" xfId="0" applyFont="1" applyBorder="1" applyAlignment="1">
      <alignment horizontal="center" vertical="center" wrapText="1"/>
    </xf>
    <xf numFmtId="0" fontId="43" fillId="0" borderId="1" xfId="0" applyFont="1" applyBorder="1" applyAlignment="1">
      <alignment horizontal="center" vertical="center" wrapText="1"/>
    </xf>
    <xf numFmtId="0" fontId="43" fillId="0" borderId="1" xfId="0" applyFont="1" applyBorder="1" applyAlignment="1">
      <alignment vertical="center" wrapText="1"/>
    </xf>
    <xf numFmtId="0" fontId="42" fillId="0" borderId="1" xfId="0" applyFont="1" applyBorder="1" applyAlignment="1">
      <alignment horizontal="center" vertical="center" wrapText="1"/>
    </xf>
    <xf numFmtId="0" fontId="42" fillId="0" borderId="0" xfId="0" applyFont="1"/>
    <xf numFmtId="0" fontId="42" fillId="0" borderId="1" xfId="0" applyFont="1" applyBorder="1" applyAlignment="1">
      <alignment vertical="center" wrapText="1"/>
    </xf>
    <xf numFmtId="0" fontId="42" fillId="0" borderId="1" xfId="0" applyFont="1" applyBorder="1"/>
    <xf numFmtId="0" fontId="92" fillId="0" borderId="0" xfId="0" applyFont="1" applyAlignment="1">
      <alignment horizontal="left" vertical="center"/>
    </xf>
    <xf numFmtId="0" fontId="92" fillId="0" borderId="0" xfId="0" applyFont="1" applyAlignment="1">
      <alignment vertical="center"/>
    </xf>
    <xf numFmtId="0" fontId="51" fillId="0" borderId="0" xfId="0" applyFont="1"/>
    <xf numFmtId="0" fontId="42" fillId="0" borderId="0" xfId="6" applyFont="1" applyAlignment="1">
      <alignment horizontal="center" vertical="center" wrapText="1"/>
    </xf>
    <xf numFmtId="0" fontId="42" fillId="0" borderId="0" xfId="6" applyFont="1" applyAlignment="1">
      <alignment vertical="top" wrapText="1"/>
    </xf>
    <xf numFmtId="0" fontId="42" fillId="0" borderId="0" xfId="6" applyFont="1"/>
    <xf numFmtId="0" fontId="42" fillId="0" borderId="5" xfId="0" applyFont="1" applyBorder="1"/>
    <xf numFmtId="49" fontId="0" fillId="0" borderId="0" xfId="0" applyNumberFormat="1"/>
    <xf numFmtId="49" fontId="42" fillId="0" borderId="0" xfId="0" applyNumberFormat="1" applyFont="1"/>
    <xf numFmtId="0" fontId="42" fillId="0" borderId="0" xfId="0" applyFont="1" applyAlignment="1">
      <alignment vertical="center" wrapText="1"/>
    </xf>
    <xf numFmtId="0" fontId="42" fillId="0" borderId="0" xfId="0" applyFont="1" applyAlignment="1">
      <alignment horizontal="center" vertical="center" wrapText="1"/>
    </xf>
    <xf numFmtId="49" fontId="43" fillId="0" borderId="1" xfId="0" applyNumberFormat="1" applyFont="1" applyBorder="1" applyAlignment="1">
      <alignment horizontal="center" vertical="center" wrapText="1"/>
    </xf>
    <xf numFmtId="49" fontId="0" fillId="0" borderId="1" xfId="0" applyNumberFormat="1" applyBorder="1"/>
    <xf numFmtId="0" fontId="42" fillId="0" borderId="1" xfId="0" applyFont="1" applyBorder="1" applyAlignment="1">
      <alignment wrapText="1"/>
    </xf>
    <xf numFmtId="0" fontId="0" fillId="0" borderId="1" xfId="0" applyBorder="1"/>
    <xf numFmtId="0" fontId="30" fillId="0" borderId="1" xfId="0" applyFont="1" applyBorder="1" applyAlignment="1">
      <alignment vertical="top" wrapText="1"/>
    </xf>
    <xf numFmtId="0" fontId="51" fillId="0" borderId="0" xfId="6" applyFont="1"/>
    <xf numFmtId="0" fontId="98" fillId="0" borderId="1" xfId="0" applyFont="1" applyBorder="1" applyAlignment="1">
      <alignment horizontal="center" vertical="center" wrapText="1"/>
    </xf>
    <xf numFmtId="0" fontId="98" fillId="0" borderId="1" xfId="0" applyFont="1" applyBorder="1" applyAlignment="1">
      <alignment vertical="center" wrapText="1"/>
    </xf>
    <xf numFmtId="0" fontId="98" fillId="0" borderId="0" xfId="0" applyFont="1" applyAlignment="1">
      <alignment vertical="center" wrapText="1"/>
    </xf>
    <xf numFmtId="0" fontId="98" fillId="0" borderId="0" xfId="0" applyFont="1" applyAlignment="1">
      <alignment vertical="top" wrapText="1"/>
    </xf>
    <xf numFmtId="0" fontId="51" fillId="0" borderId="0" xfId="0" applyFont="1" applyAlignment="1">
      <alignment horizontal="center"/>
    </xf>
    <xf numFmtId="0" fontId="43" fillId="29" borderId="1" xfId="0" applyFont="1" applyFill="1" applyBorder="1" applyAlignment="1">
      <alignment horizontal="center" vertical="center" wrapText="1"/>
    </xf>
    <xf numFmtId="0" fontId="43" fillId="29" borderId="1" xfId="0" applyFont="1" applyFill="1" applyBorder="1" applyAlignment="1">
      <alignment vertical="center" wrapText="1"/>
    </xf>
    <xf numFmtId="0" fontId="43" fillId="29" borderId="1" xfId="0" applyFont="1" applyFill="1" applyBorder="1" applyAlignment="1">
      <alignment horizontal="justify" vertical="center" wrapText="1"/>
    </xf>
    <xf numFmtId="0" fontId="0" fillId="0" borderId="0" xfId="0" applyAlignment="1">
      <alignment vertical="top"/>
    </xf>
    <xf numFmtId="0" fontId="43" fillId="29" borderId="1" xfId="0" applyFont="1" applyFill="1" applyBorder="1" applyAlignment="1">
      <alignment horizontal="center" vertical="top" wrapText="1"/>
    </xf>
    <xf numFmtId="49" fontId="98" fillId="0" borderId="1" xfId="0" applyNumberFormat="1" applyFont="1" applyBorder="1" applyAlignment="1">
      <alignment horizontal="center" vertical="top" wrapText="1"/>
    </xf>
    <xf numFmtId="49" fontId="42" fillId="0" borderId="1" xfId="0" applyNumberFormat="1" applyFont="1" applyBorder="1" applyAlignment="1">
      <alignment horizontal="center" vertical="top" wrapText="1"/>
    </xf>
    <xf numFmtId="0" fontId="42" fillId="0" borderId="0" xfId="0" applyFont="1" applyAlignment="1">
      <alignment vertical="top"/>
    </xf>
    <xf numFmtId="0" fontId="45" fillId="0" borderId="1" xfId="0" applyFont="1" applyBorder="1" applyAlignment="1">
      <alignment vertical="center" wrapText="1"/>
    </xf>
    <xf numFmtId="0" fontId="41" fillId="0" borderId="0" xfId="0" applyFont="1" applyAlignment="1">
      <alignment vertical="center"/>
    </xf>
    <xf numFmtId="0" fontId="43" fillId="0" borderId="0" xfId="0" applyFont="1" applyAlignment="1">
      <alignment horizontal="center" vertical="center"/>
    </xf>
    <xf numFmtId="0" fontId="94" fillId="0" borderId="0" xfId="0" applyFont="1" applyAlignment="1">
      <alignment vertical="center"/>
    </xf>
    <xf numFmtId="0" fontId="41" fillId="0" borderId="0" xfId="0" applyFont="1" applyAlignment="1">
      <alignment horizontal="center" vertical="center"/>
    </xf>
    <xf numFmtId="0" fontId="95" fillId="0" borderId="0" xfId="0" applyFont="1" applyAlignment="1">
      <alignment horizontal="justify" vertical="center"/>
    </xf>
    <xf numFmtId="0" fontId="92" fillId="0" borderId="0" xfId="0" applyFont="1"/>
    <xf numFmtId="0" fontId="43" fillId="0" borderId="0" xfId="0" applyFont="1"/>
    <xf numFmtId="0" fontId="92" fillId="0" borderId="30" xfId="0" applyFont="1" applyBorder="1"/>
    <xf numFmtId="0" fontId="43" fillId="0" borderId="33" xfId="0" applyFont="1" applyBorder="1"/>
    <xf numFmtId="0" fontId="92" fillId="0" borderId="6" xfId="0" applyFont="1" applyBorder="1" applyAlignment="1">
      <alignment horizontal="center" wrapText="1"/>
    </xf>
    <xf numFmtId="0" fontId="92" fillId="0" borderId="31" xfId="0" applyFont="1" applyBorder="1" applyAlignment="1">
      <alignment horizontal="center" wrapText="1"/>
    </xf>
    <xf numFmtId="0" fontId="92" fillId="0" borderId="6" xfId="0" applyFont="1" applyBorder="1" applyAlignment="1">
      <alignment wrapText="1"/>
    </xf>
    <xf numFmtId="0" fontId="43" fillId="0" borderId="32" xfId="0" applyFont="1" applyBorder="1" applyAlignment="1">
      <alignment horizontal="center"/>
    </xf>
    <xf numFmtId="0" fontId="43" fillId="0" borderId="32" xfId="0" applyFont="1" applyBorder="1"/>
    <xf numFmtId="0" fontId="43" fillId="0" borderId="0" xfId="0" applyFont="1" applyAlignment="1">
      <alignment horizontal="center" vertical="center" wrapText="1"/>
    </xf>
    <xf numFmtId="0" fontId="43" fillId="0" borderId="0" xfId="0" applyFont="1" applyAlignment="1">
      <alignment vertical="center" wrapText="1"/>
    </xf>
    <xf numFmtId="0" fontId="43" fillId="0" borderId="28" xfId="0" applyFont="1" applyBorder="1"/>
    <xf numFmtId="0" fontId="92" fillId="0" borderId="28" xfId="0" applyFont="1" applyBorder="1" applyAlignment="1">
      <alignment horizontal="left" wrapText="1"/>
    </xf>
    <xf numFmtId="0" fontId="44" fillId="0" borderId="5" xfId="0" applyFont="1" applyBorder="1" applyAlignment="1">
      <alignment vertical="center" wrapText="1"/>
    </xf>
    <xf numFmtId="0" fontId="42" fillId="32" borderId="0" xfId="0" applyFont="1" applyFill="1" applyAlignment="1">
      <alignment horizontal="left" vertical="top" wrapText="1"/>
    </xf>
    <xf numFmtId="0" fontId="51" fillId="0" borderId="0" xfId="0" applyFont="1" applyAlignment="1">
      <alignment horizontal="right" vertical="top"/>
    </xf>
    <xf numFmtId="0" fontId="42" fillId="30" borderId="0" xfId="0" applyFont="1" applyFill="1"/>
    <xf numFmtId="0" fontId="33" fillId="30" borderId="0" xfId="6" applyFill="1"/>
    <xf numFmtId="0" fontId="43" fillId="0" borderId="28" xfId="0" applyFont="1" applyBorder="1" applyAlignment="1">
      <alignment horizontal="left" indent="1"/>
    </xf>
    <xf numFmtId="0" fontId="43" fillId="0" borderId="24" xfId="0" applyFont="1" applyBorder="1" applyAlignment="1">
      <alignment horizontal="center"/>
    </xf>
    <xf numFmtId="0" fontId="43" fillId="0" borderId="24" xfId="0" applyFont="1" applyBorder="1"/>
    <xf numFmtId="0" fontId="100" fillId="0" borderId="31" xfId="0" applyFont="1" applyBorder="1" applyAlignment="1">
      <alignment horizontal="center" wrapText="1"/>
    </xf>
    <xf numFmtId="0" fontId="43" fillId="0" borderId="27" xfId="0" applyFont="1" applyBorder="1" applyAlignment="1">
      <alignment horizontal="center"/>
    </xf>
    <xf numFmtId="0" fontId="42" fillId="31" borderId="0" xfId="0" applyFont="1" applyFill="1"/>
    <xf numFmtId="0" fontId="104" fillId="0" borderId="33" xfId="0" applyFont="1" applyBorder="1" applyAlignment="1">
      <alignment horizontal="center"/>
    </xf>
    <xf numFmtId="0" fontId="39" fillId="31" borderId="1" xfId="0" applyFont="1" applyFill="1" applyBorder="1" applyAlignment="1">
      <alignment vertical="center" wrapText="1"/>
    </xf>
    <xf numFmtId="0" fontId="92" fillId="0" borderId="33" xfId="0" applyFont="1" applyBorder="1"/>
    <xf numFmtId="0" fontId="43" fillId="0" borderId="32" xfId="0" applyFont="1" applyBorder="1" applyAlignment="1">
      <alignment wrapText="1"/>
    </xf>
    <xf numFmtId="0" fontId="43" fillId="0" borderId="32" xfId="0" applyFont="1" applyBorder="1" applyAlignment="1">
      <alignment horizontal="left" wrapText="1" indent="1"/>
    </xf>
    <xf numFmtId="0" fontId="43" fillId="0" borderId="32" xfId="0" applyFont="1" applyBorder="1" applyAlignment="1">
      <alignment horizontal="left" wrapText="1"/>
    </xf>
    <xf numFmtId="0" fontId="28" fillId="0" borderId="0" xfId="5" applyFont="1"/>
    <xf numFmtId="2" fontId="0" fillId="0" borderId="0" xfId="0" applyNumberFormat="1"/>
    <xf numFmtId="2" fontId="42" fillId="0" borderId="1" xfId="0" applyNumberFormat="1" applyFont="1" applyBorder="1" applyAlignment="1">
      <alignment horizontal="center"/>
    </xf>
    <xf numFmtId="0" fontId="42" fillId="0" borderId="40" xfId="0" applyFont="1" applyBorder="1" applyAlignment="1">
      <alignment horizontal="center"/>
    </xf>
    <xf numFmtId="0" fontId="42" fillId="0" borderId="67" xfId="0" applyFont="1" applyBorder="1"/>
    <xf numFmtId="0" fontId="51" fillId="0" borderId="6" xfId="0" applyFont="1" applyBorder="1" applyAlignment="1">
      <alignment wrapText="1"/>
    </xf>
    <xf numFmtId="0" fontId="92" fillId="0" borderId="32" xfId="0" applyFont="1" applyBorder="1"/>
    <xf numFmtId="0" fontId="43" fillId="0" borderId="32" xfId="0" applyFont="1" applyBorder="1" applyAlignment="1">
      <alignment horizontal="center" wrapText="1"/>
    </xf>
    <xf numFmtId="0" fontId="43" fillId="0" borderId="32" xfId="0" applyFont="1" applyBorder="1" applyAlignment="1">
      <alignment horizontal="left" indent="1"/>
    </xf>
    <xf numFmtId="0" fontId="102" fillId="31" borderId="0" xfId="0" applyFont="1" applyFill="1" applyAlignment="1">
      <alignment horizontal="center"/>
    </xf>
    <xf numFmtId="0" fontId="92" fillId="0" borderId="32" xfId="0" applyFont="1" applyBorder="1" applyAlignment="1">
      <alignment wrapText="1"/>
    </xf>
    <xf numFmtId="2" fontId="92" fillId="0" borderId="32" xfId="0" applyNumberFormat="1" applyFont="1" applyBorder="1" applyAlignment="1">
      <alignment horizontal="center"/>
    </xf>
    <xf numFmtId="2" fontId="43" fillId="0" borderId="32" xfId="0" applyNumberFormat="1" applyFont="1" applyBorder="1" applyAlignment="1">
      <alignment horizontal="center"/>
    </xf>
    <xf numFmtId="0" fontId="98" fillId="0" borderId="78" xfId="0" applyFont="1" applyBorder="1" applyAlignment="1">
      <alignment vertical="center" wrapText="1"/>
    </xf>
    <xf numFmtId="0" fontId="0" fillId="0" borderId="77" xfId="0" applyBorder="1"/>
    <xf numFmtId="0" fontId="43" fillId="0" borderId="1" xfId="0" applyFont="1" applyBorder="1" applyAlignment="1">
      <alignment horizontal="justify" vertical="center" wrapText="1"/>
    </xf>
    <xf numFmtId="0" fontId="51" fillId="0" borderId="0" xfId="0" applyFont="1" applyAlignment="1">
      <alignment horizontal="left" vertical="top" indent="1"/>
    </xf>
    <xf numFmtId="0" fontId="51" fillId="30" borderId="0" xfId="0" applyFont="1" applyFill="1"/>
    <xf numFmtId="0" fontId="51" fillId="0" borderId="33" xfId="0" applyFont="1" applyBorder="1" applyAlignment="1">
      <alignment vertical="center" wrapText="1"/>
    </xf>
    <xf numFmtId="0" fontId="102" fillId="31" borderId="0" xfId="0" applyFont="1" applyFill="1" applyAlignment="1">
      <alignment horizontal="left" vertical="center" wrapText="1"/>
    </xf>
    <xf numFmtId="0" fontId="42" fillId="31" borderId="1" xfId="0" applyFont="1" applyFill="1" applyBorder="1" applyAlignment="1">
      <alignment vertical="center" wrapText="1"/>
    </xf>
    <xf numFmtId="0" fontId="43" fillId="0" borderId="24" xfId="0" applyFont="1" applyBorder="1" applyAlignment="1">
      <alignment horizontal="center" wrapText="1"/>
    </xf>
    <xf numFmtId="0" fontId="41" fillId="0" borderId="1" xfId="6" applyFont="1" applyBorder="1" applyAlignment="1">
      <alignment horizontal="center" vertical="center" wrapText="1"/>
    </xf>
    <xf numFmtId="0" fontId="42" fillId="0" borderId="0" xfId="0" applyFont="1" applyAlignment="1">
      <alignment wrapText="1"/>
    </xf>
    <xf numFmtId="0" fontId="102" fillId="3" borderId="0" xfId="5" applyFont="1" applyFill="1" applyAlignment="1">
      <alignment horizontal="center" vertical="top" wrapText="1"/>
    </xf>
    <xf numFmtId="49" fontId="42" fillId="0" borderId="0" xfId="240" applyNumberFormat="1" applyFont="1"/>
    <xf numFmtId="0" fontId="42" fillId="0" borderId="0" xfId="240" applyFont="1" applyAlignment="1">
      <alignment horizontal="center" vertical="center" wrapText="1"/>
    </xf>
    <xf numFmtId="0" fontId="42" fillId="0" borderId="0" xfId="240" applyFont="1"/>
    <xf numFmtId="0" fontId="51" fillId="0" borderId="0" xfId="240" applyFont="1" applyAlignment="1">
      <alignment horizontal="center"/>
    </xf>
    <xf numFmtId="49" fontId="42" fillId="0" borderId="0" xfId="240" applyNumberFormat="1" applyFont="1" applyAlignment="1">
      <alignment horizontal="right"/>
    </xf>
    <xf numFmtId="0" fontId="42" fillId="0" borderId="0" xfId="240" applyFont="1" applyAlignment="1">
      <alignment horizontal="right"/>
    </xf>
    <xf numFmtId="0" fontId="27" fillId="0" borderId="0" xfId="240"/>
    <xf numFmtId="49" fontId="40" fillId="0" borderId="8" xfId="240" applyNumberFormat="1" applyFont="1" applyBorder="1" applyAlignment="1">
      <alignment vertical="center" wrapText="1"/>
    </xf>
    <xf numFmtId="49" fontId="40" fillId="0" borderId="8" xfId="240" applyNumberFormat="1" applyFont="1" applyBorder="1" applyAlignment="1">
      <alignment horizontal="center" vertical="center" wrapText="1"/>
    </xf>
    <xf numFmtId="49" fontId="44" fillId="0" borderId="8" xfId="240" applyNumberFormat="1" applyFont="1" applyBorder="1" applyAlignment="1">
      <alignment horizontal="right" vertical="center" wrapText="1"/>
    </xf>
    <xf numFmtId="49" fontId="44" fillId="0" borderId="52" xfId="240" applyNumberFormat="1" applyFont="1" applyBorder="1" applyAlignment="1">
      <alignment horizontal="right" vertical="center" wrapText="1"/>
    </xf>
    <xf numFmtId="0" fontId="35" fillId="0" borderId="0" xfId="240" applyFont="1"/>
    <xf numFmtId="49" fontId="40" fillId="0" borderId="8" xfId="240" applyNumberFormat="1" applyFont="1" applyBorder="1" applyAlignment="1">
      <alignment horizontal="right" vertical="center" wrapText="1"/>
    </xf>
    <xf numFmtId="49" fontId="40" fillId="0" borderId="52" xfId="240" applyNumberFormat="1" applyFont="1" applyBorder="1" applyAlignment="1">
      <alignment horizontal="right" vertical="center" wrapText="1"/>
    </xf>
    <xf numFmtId="0" fontId="40" fillId="0" borderId="1" xfId="240" applyFont="1" applyBorder="1" applyAlignment="1">
      <alignment vertical="center" wrapText="1"/>
    </xf>
    <xf numFmtId="0" fontId="40" fillId="0" borderId="1" xfId="240" applyFont="1" applyBorder="1" applyAlignment="1">
      <alignment horizontal="center" vertical="center" wrapText="1"/>
    </xf>
    <xf numFmtId="0" fontId="44" fillId="0" borderId="1" xfId="240" applyFont="1" applyBorder="1" applyAlignment="1">
      <alignment vertical="center" wrapText="1"/>
    </xf>
    <xf numFmtId="0" fontId="44" fillId="0" borderId="1" xfId="240" applyFont="1" applyBorder="1" applyAlignment="1">
      <alignment horizontal="center" vertical="center" wrapText="1"/>
    </xf>
    <xf numFmtId="0" fontId="40" fillId="0" borderId="8" xfId="240" applyFont="1" applyBorder="1" applyAlignment="1">
      <alignment horizontal="center" vertical="center" wrapText="1"/>
    </xf>
    <xf numFmtId="49" fontId="44" fillId="0" borderId="53" xfId="240" applyNumberFormat="1" applyFont="1" applyBorder="1" applyAlignment="1">
      <alignment horizontal="right" vertical="center" wrapText="1"/>
    </xf>
    <xf numFmtId="49" fontId="44" fillId="0" borderId="0" xfId="240" applyNumberFormat="1" applyFont="1" applyAlignment="1">
      <alignment horizontal="right" vertical="center" wrapText="1"/>
    </xf>
    <xf numFmtId="0" fontId="44" fillId="0" borderId="0" xfId="240" applyFont="1" applyAlignment="1">
      <alignment horizontal="center" vertical="center" wrapText="1"/>
    </xf>
    <xf numFmtId="49" fontId="40" fillId="0" borderId="0" xfId="240" applyNumberFormat="1" applyFont="1" applyAlignment="1">
      <alignment horizontal="right" vertical="center" wrapText="1"/>
    </xf>
    <xf numFmtId="49" fontId="27" fillId="0" borderId="0" xfId="240" applyNumberFormat="1"/>
    <xf numFmtId="49" fontId="43" fillId="0" borderId="0" xfId="240" applyNumberFormat="1" applyFont="1"/>
    <xf numFmtId="0" fontId="43" fillId="0" borderId="0" xfId="240" applyFont="1"/>
    <xf numFmtId="0" fontId="27" fillId="0" borderId="0" xfId="240" applyProtection="1">
      <protection locked="0"/>
    </xf>
    <xf numFmtId="4" fontId="44" fillId="0" borderId="1" xfId="240" applyNumberFormat="1" applyFont="1" applyBorder="1" applyAlignment="1">
      <alignment horizontal="center" vertical="center" wrapText="1"/>
    </xf>
    <xf numFmtId="0" fontId="35" fillId="0" borderId="0" xfId="240" applyFont="1" applyProtection="1">
      <protection locked="0"/>
    </xf>
    <xf numFmtId="4" fontId="40" fillId="0" borderId="1" xfId="240" applyNumberFormat="1" applyFont="1" applyBorder="1" applyAlignment="1">
      <alignment horizontal="center" vertical="center" wrapText="1"/>
    </xf>
    <xf numFmtId="4" fontId="40" fillId="0" borderId="1" xfId="240" applyNumberFormat="1" applyFont="1" applyBorder="1" applyAlignment="1" applyProtection="1">
      <alignment horizontal="center" vertical="center" wrapText="1"/>
      <protection locked="0"/>
    </xf>
    <xf numFmtId="4" fontId="44" fillId="0" borderId="1" xfId="240" applyNumberFormat="1" applyFont="1" applyBorder="1" applyAlignment="1" applyProtection="1">
      <alignment horizontal="center" vertical="center" wrapText="1"/>
      <protection locked="0"/>
    </xf>
    <xf numFmtId="0" fontId="40" fillId="0" borderId="1" xfId="240" applyFont="1" applyBorder="1" applyAlignment="1" applyProtection="1">
      <alignment horizontal="center" vertical="center" wrapText="1"/>
      <protection locked="0"/>
    </xf>
    <xf numFmtId="0" fontId="39" fillId="0" borderId="0" xfId="240" applyFont="1"/>
    <xf numFmtId="0" fontId="42" fillId="0" borderId="0" xfId="240" applyFont="1" applyProtection="1">
      <protection locked="0"/>
    </xf>
    <xf numFmtId="49" fontId="27" fillId="0" borderId="0" xfId="240" applyNumberFormat="1" applyProtection="1">
      <protection locked="0"/>
    </xf>
    <xf numFmtId="0" fontId="41" fillId="0" borderId="1" xfId="240" applyFont="1" applyBorder="1" applyAlignment="1">
      <alignment horizontal="center" vertical="center" wrapText="1"/>
    </xf>
    <xf numFmtId="0" fontId="44" fillId="0" borderId="1" xfId="240" applyFont="1" applyBorder="1" applyAlignment="1" applyProtection="1">
      <alignment horizontal="center" vertical="center" wrapText="1"/>
      <protection locked="0"/>
    </xf>
    <xf numFmtId="3" fontId="44" fillId="0" borderId="1" xfId="240" applyNumberFormat="1" applyFont="1" applyBorder="1" applyAlignment="1">
      <alignment horizontal="center" vertical="center" wrapText="1"/>
    </xf>
    <xf numFmtId="0" fontId="40" fillId="0" borderId="0" xfId="240" applyFont="1" applyAlignment="1" applyProtection="1">
      <alignment horizontal="center" vertical="center" wrapText="1"/>
      <protection locked="0"/>
    </xf>
    <xf numFmtId="0" fontId="41" fillId="0" borderId="1" xfId="240" applyFont="1" applyBorder="1" applyAlignment="1">
      <alignment vertical="center" wrapText="1"/>
    </xf>
    <xf numFmtId="0" fontId="27" fillId="0" borderId="0" xfId="240" applyAlignment="1">
      <alignment horizontal="center" vertical="center"/>
    </xf>
    <xf numFmtId="0" fontId="103" fillId="3" borderId="0" xfId="240" applyFont="1" applyFill="1" applyAlignment="1" applyProtection="1">
      <alignment horizontal="center" vertical="center"/>
      <protection locked="0"/>
    </xf>
    <xf numFmtId="0" fontId="107" fillId="0" borderId="0" xfId="239"/>
    <xf numFmtId="0" fontId="113" fillId="0" borderId="0" xfId="240" applyFont="1"/>
    <xf numFmtId="0" fontId="113" fillId="0" borderId="0" xfId="240" applyFont="1" applyProtection="1">
      <protection locked="0"/>
    </xf>
    <xf numFmtId="0" fontId="114" fillId="0" borderId="0" xfId="0" applyFont="1"/>
    <xf numFmtId="0" fontId="113" fillId="0" borderId="0" xfId="240" applyFont="1" applyAlignment="1">
      <alignment wrapText="1"/>
    </xf>
    <xf numFmtId="0" fontId="37" fillId="0" borderId="0" xfId="124"/>
    <xf numFmtId="0" fontId="117" fillId="0" borderId="0" xfId="124" applyFont="1"/>
    <xf numFmtId="0" fontId="117" fillId="34" borderId="0" xfId="124" applyFont="1" applyFill="1"/>
    <xf numFmtId="177" fontId="117" fillId="0" borderId="0" xfId="124" applyNumberFormat="1" applyFont="1"/>
    <xf numFmtId="10" fontId="117" fillId="0" borderId="0" xfId="192" applyNumberFormat="1" applyFont="1"/>
    <xf numFmtId="175" fontId="117" fillId="0" borderId="0" xfId="124" applyNumberFormat="1" applyFont="1"/>
    <xf numFmtId="0" fontId="119" fillId="0" borderId="0" xfId="124" applyFont="1"/>
    <xf numFmtId="2" fontId="119" fillId="0" borderId="0" xfId="124" applyNumberFormat="1" applyFont="1"/>
    <xf numFmtId="2" fontId="120" fillId="0" borderId="0" xfId="124" applyNumberFormat="1" applyFont="1"/>
    <xf numFmtId="0" fontId="43" fillId="0" borderId="31" xfId="0" applyFont="1" applyBorder="1" applyAlignment="1">
      <alignment horizontal="center" wrapText="1"/>
    </xf>
    <xf numFmtId="0" fontId="113" fillId="0" borderId="0" xfId="0" applyFont="1"/>
    <xf numFmtId="0" fontId="132" fillId="0" borderId="0" xfId="0" applyFont="1"/>
    <xf numFmtId="0" fontId="133" fillId="0" borderId="0" xfId="0" applyFont="1"/>
    <xf numFmtId="0" fontId="91" fillId="0" borderId="0" xfId="0" applyFont="1"/>
    <xf numFmtId="2" fontId="91" fillId="0" borderId="0" xfId="0" applyNumberFormat="1" applyFont="1"/>
    <xf numFmtId="177" fontId="0" fillId="0" borderId="0" xfId="0" applyNumberFormat="1"/>
    <xf numFmtId="179" fontId="0" fillId="0" borderId="0" xfId="0" applyNumberFormat="1"/>
    <xf numFmtId="178" fontId="0" fillId="0" borderId="0" xfId="0" applyNumberFormat="1"/>
    <xf numFmtId="0" fontId="51" fillId="0" borderId="67" xfId="0" applyFont="1" applyBorder="1"/>
    <xf numFmtId="2" fontId="91" fillId="30" borderId="0" xfId="0" applyNumberFormat="1" applyFont="1" applyFill="1"/>
    <xf numFmtId="181" fontId="0" fillId="0" borderId="0" xfId="0" applyNumberFormat="1"/>
    <xf numFmtId="2" fontId="51" fillId="0" borderId="67" xfId="0" applyNumberFormat="1" applyFont="1" applyBorder="1" applyAlignment="1">
      <alignment horizontal="center"/>
    </xf>
    <xf numFmtId="175" fontId="0" fillId="0" borderId="0" xfId="0" applyNumberFormat="1"/>
    <xf numFmtId="0" fontId="41" fillId="0" borderId="57" xfId="6" applyFont="1" applyBorder="1" applyAlignment="1">
      <alignment vertical="center" wrapText="1"/>
    </xf>
    <xf numFmtId="0" fontId="41" fillId="0" borderId="39" xfId="6" applyFont="1" applyBorder="1" applyAlignment="1">
      <alignment vertical="center" wrapText="1"/>
    </xf>
    <xf numFmtId="0" fontId="41" fillId="0" borderId="44" xfId="6" applyFont="1" applyBorder="1" applyAlignment="1">
      <alignment vertical="center" wrapText="1"/>
    </xf>
    <xf numFmtId="0" fontId="50" fillId="0" borderId="45" xfId="124" applyFont="1" applyBorder="1" applyAlignment="1">
      <alignment horizontal="center" vertical="center" wrapText="1"/>
    </xf>
    <xf numFmtId="0" fontId="50" fillId="0" borderId="46" xfId="124" applyFont="1" applyBorder="1" applyAlignment="1">
      <alignment horizontal="center" vertical="center" wrapText="1"/>
    </xf>
    <xf numFmtId="2" fontId="41" fillId="0" borderId="1" xfId="6" applyNumberFormat="1" applyFont="1" applyBorder="1"/>
    <xf numFmtId="0" fontId="41" fillId="0" borderId="45" xfId="6" applyFont="1" applyBorder="1"/>
    <xf numFmtId="2" fontId="41" fillId="0" borderId="1" xfId="6" applyNumberFormat="1" applyFont="1" applyBorder="1" applyAlignment="1">
      <alignment horizontal="center" vertical="center"/>
    </xf>
    <xf numFmtId="0" fontId="41" fillId="0" borderId="61" xfId="6" applyFont="1" applyBorder="1" applyAlignment="1">
      <alignment horizontal="center" vertical="center" wrapText="1"/>
    </xf>
    <xf numFmtId="0" fontId="41" fillId="0" borderId="62" xfId="6" applyFont="1" applyBorder="1" applyAlignment="1">
      <alignment horizontal="center" vertical="center" wrapText="1"/>
    </xf>
    <xf numFmtId="2" fontId="33" fillId="0" borderId="0" xfId="6" applyNumberFormat="1"/>
    <xf numFmtId="0" fontId="41" fillId="0" borderId="63" xfId="6" applyFont="1" applyBorder="1" applyAlignment="1">
      <alignment horizontal="center" vertical="center" wrapText="1"/>
    </xf>
    <xf numFmtId="179" fontId="91" fillId="0" borderId="0" xfId="0" applyNumberFormat="1" applyFont="1"/>
    <xf numFmtId="0" fontId="0" fillId="0" borderId="0" xfId="0" applyAlignment="1">
      <alignment horizontal="right" indent="2"/>
    </xf>
    <xf numFmtId="0" fontId="91" fillId="0" borderId="0" xfId="0" applyFont="1" applyAlignment="1">
      <alignment horizontal="right"/>
    </xf>
    <xf numFmtId="0" fontId="25" fillId="0" borderId="0" xfId="6" applyFont="1" applyAlignment="1">
      <alignment horizontal="center" vertical="center" wrapText="1"/>
    </xf>
    <xf numFmtId="0" fontId="42" fillId="0" borderId="0" xfId="0" applyFont="1" applyAlignment="1">
      <alignment horizontal="left" vertical="top" wrapText="1"/>
    </xf>
    <xf numFmtId="2" fontId="53" fillId="0" borderId="1" xfId="6" applyNumberFormat="1" applyFont="1" applyBorder="1" applyAlignment="1">
      <alignment horizontal="center" vertical="center" wrapText="1"/>
    </xf>
    <xf numFmtId="0" fontId="42" fillId="0" borderId="0" xfId="6" applyFont="1" applyAlignment="1">
      <alignment vertical="center" wrapText="1"/>
    </xf>
    <xf numFmtId="0" fontId="42" fillId="0" borderId="26" xfId="6" applyFont="1" applyBorder="1" applyAlignment="1">
      <alignment horizontal="center" vertical="center" wrapText="1"/>
    </xf>
    <xf numFmtId="0" fontId="42" fillId="0" borderId="28" xfId="6" applyFont="1" applyBorder="1" applyAlignment="1">
      <alignment horizontal="center" vertical="center" wrapText="1"/>
    </xf>
    <xf numFmtId="0" fontId="42" fillId="0" borderId="29" xfId="6" applyFont="1" applyBorder="1" applyAlignment="1">
      <alignment horizontal="center" vertical="center" wrapText="1"/>
    </xf>
    <xf numFmtId="0" fontId="42" fillId="0" borderId="30" xfId="6" applyFont="1" applyBorder="1" applyAlignment="1">
      <alignment horizontal="center" vertical="center" wrapText="1"/>
    </xf>
    <xf numFmtId="0" fontId="42" fillId="0" borderId="6" xfId="6" applyFont="1" applyBorder="1" applyAlignment="1">
      <alignment horizontal="center" vertical="center" wrapText="1"/>
    </xf>
    <xf numFmtId="0" fontId="42" fillId="0" borderId="32" xfId="6" applyFont="1" applyBorder="1" applyAlignment="1">
      <alignment horizontal="center" vertical="center" wrapText="1"/>
    </xf>
    <xf numFmtId="0" fontId="42" fillId="0" borderId="23" xfId="6" applyFont="1" applyBorder="1" applyAlignment="1">
      <alignment horizontal="center" vertical="center" wrapText="1"/>
    </xf>
    <xf numFmtId="2" fontId="42" fillId="0" borderId="32" xfId="6" applyNumberFormat="1" applyFont="1" applyBorder="1" applyAlignment="1">
      <alignment horizontal="center" vertical="center" wrapText="1"/>
    </xf>
    <xf numFmtId="0" fontId="51" fillId="0" borderId="6" xfId="6" applyFont="1" applyBorder="1" applyAlignment="1">
      <alignment horizontal="center" vertical="center" wrapText="1"/>
    </xf>
    <xf numFmtId="2" fontId="42" fillId="0" borderId="0" xfId="6" applyNumberFormat="1" applyFont="1" applyAlignment="1">
      <alignment horizontal="center" vertical="center" wrapText="1"/>
    </xf>
    <xf numFmtId="183" fontId="42" fillId="0" borderId="32" xfId="6" applyNumberFormat="1" applyFont="1" applyBorder="1" applyAlignment="1">
      <alignment horizontal="center" vertical="center" wrapText="1"/>
    </xf>
    <xf numFmtId="0" fontId="42" fillId="0" borderId="28" xfId="6" applyFont="1" applyBorder="1" applyAlignment="1">
      <alignment horizontal="left" vertical="center" wrapText="1" indent="1"/>
    </xf>
    <xf numFmtId="0" fontId="42" fillId="3" borderId="32" xfId="6" applyFont="1" applyFill="1" applyBorder="1" applyAlignment="1">
      <alignment horizontal="center" vertical="center" wrapText="1"/>
    </xf>
    <xf numFmtId="0" fontId="42" fillId="3" borderId="0" xfId="6" applyFont="1" applyFill="1" applyAlignment="1">
      <alignment horizontal="center" vertical="center" wrapText="1"/>
    </xf>
    <xf numFmtId="2" fontId="33" fillId="0" borderId="0" xfId="6" applyNumberFormat="1" applyAlignment="1">
      <alignment horizontal="center" vertical="center" wrapText="1"/>
    </xf>
    <xf numFmtId="2" fontId="53" fillId="0" borderId="59" xfId="6" applyNumberFormat="1" applyFont="1" applyBorder="1" applyAlignment="1">
      <alignment horizontal="center" vertical="center" wrapText="1"/>
    </xf>
    <xf numFmtId="2" fontId="53" fillId="0" borderId="40" xfId="6" applyNumberFormat="1" applyFont="1" applyBorder="1" applyAlignment="1">
      <alignment horizontal="center" vertical="center" wrapText="1"/>
    </xf>
    <xf numFmtId="2" fontId="53" fillId="0" borderId="46" xfId="6" applyNumberFormat="1" applyFont="1" applyBorder="1" applyAlignment="1">
      <alignment horizontal="center" vertical="center" wrapText="1"/>
    </xf>
    <xf numFmtId="0" fontId="42" fillId="0" borderId="26" xfId="6" applyFont="1" applyBorder="1" applyAlignment="1">
      <alignment vertical="center" wrapText="1"/>
    </xf>
    <xf numFmtId="0" fontId="42" fillId="0" borderId="28" xfId="6" applyFont="1" applyBorder="1" applyAlignment="1">
      <alignment vertical="center" wrapText="1"/>
    </xf>
    <xf numFmtId="0" fontId="51" fillId="0" borderId="29" xfId="6" applyFont="1" applyBorder="1" applyAlignment="1">
      <alignment horizontal="left" vertical="center" wrapText="1"/>
    </xf>
    <xf numFmtId="181" fontId="42" fillId="0" borderId="32" xfId="6" applyNumberFormat="1" applyFont="1" applyBorder="1" applyAlignment="1">
      <alignment horizontal="center" vertical="center" wrapText="1"/>
    </xf>
    <xf numFmtId="179" fontId="33" fillId="0" borderId="0" xfId="6" applyNumberFormat="1" applyAlignment="1">
      <alignment horizontal="center" vertical="center" wrapText="1"/>
    </xf>
    <xf numFmtId="170" fontId="42" fillId="0" borderId="23" xfId="6" applyNumberFormat="1" applyFont="1" applyBorder="1" applyAlignment="1">
      <alignment horizontal="center" vertical="center" wrapText="1"/>
    </xf>
    <xf numFmtId="0" fontId="113" fillId="0" borderId="0" xfId="6" applyFont="1" applyAlignment="1">
      <alignment horizontal="center" vertical="center" wrapText="1"/>
    </xf>
    <xf numFmtId="0" fontId="42" fillId="0" borderId="28" xfId="6" applyFont="1" applyBorder="1" applyAlignment="1">
      <alignment horizontal="left" vertical="center" wrapText="1" indent="2"/>
    </xf>
    <xf numFmtId="0" fontId="42" fillId="0" borderId="29" xfId="6" applyFont="1" applyBorder="1" applyAlignment="1">
      <alignment horizontal="left" vertical="center" wrapText="1" indent="1"/>
    </xf>
    <xf numFmtId="0" fontId="42" fillId="0" borderId="0" xfId="6" applyFont="1" applyAlignment="1">
      <alignment horizontal="left" vertical="center" wrapText="1" indent="1"/>
    </xf>
    <xf numFmtId="0" fontId="33" fillId="0" borderId="33" xfId="6" applyBorder="1" applyAlignment="1">
      <alignment horizontal="center" vertical="center" wrapText="1"/>
    </xf>
    <xf numFmtId="0" fontId="33" fillId="0" borderId="32" xfId="6" applyBorder="1" applyAlignment="1">
      <alignment horizontal="center" vertical="center" wrapText="1"/>
    </xf>
    <xf numFmtId="0" fontId="51" fillId="0" borderId="26" xfId="6" applyFont="1" applyBorder="1" applyAlignment="1">
      <alignment horizontal="left" vertical="center" wrapText="1"/>
    </xf>
    <xf numFmtId="2" fontId="51" fillId="0" borderId="33" xfId="6" applyNumberFormat="1" applyFont="1" applyBorder="1" applyAlignment="1">
      <alignment horizontal="center" vertical="center" wrapText="1"/>
    </xf>
    <xf numFmtId="0" fontId="42" fillId="3" borderId="33" xfId="6" applyFont="1" applyFill="1" applyBorder="1" applyAlignment="1">
      <alignment horizontal="center" vertical="center" wrapText="1"/>
    </xf>
    <xf numFmtId="2" fontId="114" fillId="0" borderId="0" xfId="0" applyNumberFormat="1" applyFont="1"/>
    <xf numFmtId="175" fontId="114" fillId="0" borderId="0" xfId="0" applyNumberFormat="1" applyFont="1"/>
    <xf numFmtId="0" fontId="42" fillId="30" borderId="0" xfId="6" applyFont="1" applyFill="1" applyAlignment="1">
      <alignment horizontal="center" vertical="center" wrapText="1"/>
    </xf>
    <xf numFmtId="0" fontId="25" fillId="0" borderId="0" xfId="6" applyFont="1"/>
    <xf numFmtId="2" fontId="41" fillId="3" borderId="1" xfId="6" applyNumberFormat="1" applyFont="1" applyFill="1" applyBorder="1" applyAlignment="1">
      <alignment horizontal="center" vertical="center"/>
    </xf>
    <xf numFmtId="0" fontId="43" fillId="0" borderId="0" xfId="6" applyFont="1"/>
    <xf numFmtId="0" fontId="43" fillId="3" borderId="0" xfId="6" applyFont="1" applyFill="1" applyAlignment="1">
      <alignment horizontal="center"/>
    </xf>
    <xf numFmtId="0" fontId="41" fillId="0" borderId="39" xfId="6" applyFont="1" applyBorder="1" applyAlignment="1">
      <alignment horizontal="left" vertical="center" wrapText="1" indent="1"/>
    </xf>
    <xf numFmtId="0" fontId="41" fillId="0" borderId="39" xfId="6" applyFont="1" applyBorder="1" applyAlignment="1">
      <alignment horizontal="left" vertical="center" wrapText="1"/>
    </xf>
    <xf numFmtId="0" fontId="41" fillId="0" borderId="1" xfId="0" applyFont="1" applyBorder="1" applyAlignment="1">
      <alignment vertical="center" wrapText="1"/>
    </xf>
    <xf numFmtId="0" fontId="114" fillId="0" borderId="0" xfId="6" applyFont="1" applyAlignment="1">
      <alignment horizontal="center"/>
    </xf>
    <xf numFmtId="0" fontId="129" fillId="0" borderId="0" xfId="6" applyFont="1" applyAlignment="1">
      <alignment horizontal="center"/>
    </xf>
    <xf numFmtId="0" fontId="114" fillId="30" borderId="0" xfId="6" applyFont="1" applyFill="1" applyAlignment="1">
      <alignment horizontal="center"/>
    </xf>
    <xf numFmtId="2" fontId="114" fillId="0" borderId="0" xfId="6" applyNumberFormat="1" applyFont="1" applyAlignment="1">
      <alignment horizontal="center"/>
    </xf>
    <xf numFmtId="0" fontId="109" fillId="3" borderId="0" xfId="0" applyFont="1" applyFill="1" applyAlignment="1">
      <alignment horizontal="justify" wrapText="1"/>
    </xf>
    <xf numFmtId="0" fontId="50" fillId="34" borderId="0" xfId="448" applyFont="1" applyFill="1"/>
    <xf numFmtId="0" fontId="50" fillId="31" borderId="0" xfId="448" applyFont="1" applyFill="1"/>
    <xf numFmtId="0" fontId="50" fillId="0" borderId="0" xfId="448" applyFont="1"/>
    <xf numFmtId="0" fontId="100" fillId="34" borderId="0" xfId="448" applyFont="1" applyFill="1" applyAlignment="1">
      <alignment vertical="center"/>
    </xf>
    <xf numFmtId="0" fontId="100" fillId="31" borderId="5" xfId="448" applyFont="1" applyFill="1" applyBorder="1" applyAlignment="1">
      <alignment vertical="center"/>
    </xf>
    <xf numFmtId="0" fontId="50" fillId="31" borderId="7" xfId="448" applyFont="1" applyFill="1" applyBorder="1" applyAlignment="1">
      <alignment horizontal="center"/>
    </xf>
    <xf numFmtId="0" fontId="50" fillId="31" borderId="1" xfId="448" applyFont="1" applyFill="1" applyBorder="1" applyAlignment="1">
      <alignment horizontal="center"/>
    </xf>
    <xf numFmtId="0" fontId="50" fillId="31" borderId="1" xfId="448" applyFont="1" applyFill="1" applyBorder="1" applyAlignment="1">
      <alignment horizontal="center" vertical="center"/>
    </xf>
    <xf numFmtId="3" fontId="136" fillId="31" borderId="7" xfId="449" applyNumberFormat="1" applyFont="1" applyFill="1" applyBorder="1" applyAlignment="1">
      <alignment horizontal="center" vertical="center" wrapText="1"/>
    </xf>
    <xf numFmtId="3" fontId="136" fillId="31" borderId="1" xfId="449" applyNumberFormat="1" applyFont="1" applyFill="1" applyBorder="1" applyAlignment="1">
      <alignment horizontal="center" vertical="center" wrapText="1"/>
    </xf>
    <xf numFmtId="2" fontId="50" fillId="31" borderId="7" xfId="448" applyNumberFormat="1" applyFont="1" applyFill="1" applyBorder="1" applyAlignment="1">
      <alignment horizontal="center" vertical="center" wrapText="1"/>
    </xf>
    <xf numFmtId="2" fontId="50" fillId="31" borderId="1" xfId="448" applyNumberFormat="1" applyFont="1" applyFill="1" applyBorder="1" applyAlignment="1">
      <alignment horizontal="center" vertical="center" wrapText="1"/>
    </xf>
    <xf numFmtId="4" fontId="136" fillId="31" borderId="7" xfId="449" applyNumberFormat="1" applyFont="1" applyFill="1" applyBorder="1" applyAlignment="1">
      <alignment horizontal="center" vertical="center" wrapText="1"/>
    </xf>
    <xf numFmtId="4" fontId="136" fillId="31" borderId="1" xfId="449" applyNumberFormat="1" applyFont="1" applyFill="1" applyBorder="1" applyAlignment="1">
      <alignment horizontal="center" vertical="center" wrapText="1"/>
    </xf>
    <xf numFmtId="4" fontId="50" fillId="0" borderId="0" xfId="448" applyNumberFormat="1" applyFont="1"/>
    <xf numFmtId="0" fontId="136" fillId="31" borderId="7" xfId="448" applyFont="1" applyFill="1" applyBorder="1" applyAlignment="1">
      <alignment horizontal="center"/>
    </xf>
    <xf numFmtId="0" fontId="136" fillId="31" borderId="1" xfId="448" applyFont="1" applyFill="1" applyBorder="1" applyAlignment="1">
      <alignment horizontal="center"/>
    </xf>
    <xf numFmtId="0" fontId="136" fillId="0" borderId="0" xfId="448" applyFont="1"/>
    <xf numFmtId="2" fontId="50" fillId="31" borderId="7" xfId="448" applyNumberFormat="1" applyFont="1" applyFill="1" applyBorder="1" applyAlignment="1">
      <alignment horizontal="center"/>
    </xf>
    <xf numFmtId="2" fontId="50" fillId="31" borderId="1" xfId="448" applyNumberFormat="1" applyFont="1" applyFill="1" applyBorder="1" applyAlignment="1">
      <alignment horizontal="center"/>
    </xf>
    <xf numFmtId="2" fontId="50" fillId="0" borderId="1" xfId="448" applyNumberFormat="1" applyFont="1" applyBorder="1" applyAlignment="1">
      <alignment horizontal="center"/>
    </xf>
    <xf numFmtId="2" fontId="50" fillId="0" borderId="7" xfId="448" applyNumberFormat="1" applyFont="1" applyBorder="1" applyAlignment="1">
      <alignment horizontal="center"/>
    </xf>
    <xf numFmtId="2" fontId="136" fillId="31" borderId="7" xfId="448" applyNumberFormat="1" applyFont="1" applyFill="1" applyBorder="1" applyAlignment="1">
      <alignment horizontal="center"/>
    </xf>
    <xf numFmtId="2" fontId="136" fillId="31" borderId="1" xfId="448" applyNumberFormat="1" applyFont="1" applyFill="1" applyBorder="1" applyAlignment="1">
      <alignment horizontal="center"/>
    </xf>
    <xf numFmtId="1" fontId="50" fillId="31" borderId="1" xfId="448" applyNumberFormat="1" applyFont="1" applyFill="1" applyBorder="1" applyAlignment="1">
      <alignment horizontal="center"/>
    </xf>
    <xf numFmtId="2" fontId="136" fillId="31" borderId="0" xfId="448" applyNumberFormat="1" applyFont="1" applyFill="1" applyAlignment="1">
      <alignment horizontal="center"/>
    </xf>
    <xf numFmtId="0" fontId="50" fillId="34" borderId="28" xfId="448" applyFont="1" applyFill="1" applyBorder="1"/>
    <xf numFmtId="4" fontId="136" fillId="31" borderId="7" xfId="448" applyNumberFormat="1" applyFont="1" applyFill="1" applyBorder="1"/>
    <xf numFmtId="4" fontId="136" fillId="31" borderId="1" xfId="448" applyNumberFormat="1" applyFont="1" applyFill="1" applyBorder="1"/>
    <xf numFmtId="0" fontId="136" fillId="0" borderId="0" xfId="448" applyFont="1" applyAlignment="1">
      <alignment horizontal="center" vertical="center" wrapText="1"/>
    </xf>
    <xf numFmtId="4" fontId="136" fillId="0" borderId="0" xfId="448" applyNumberFormat="1" applyFont="1" applyAlignment="1">
      <alignment horizontal="center"/>
    </xf>
    <xf numFmtId="4" fontId="136" fillId="0" borderId="0" xfId="448" applyNumberFormat="1" applyFont="1"/>
    <xf numFmtId="0" fontId="136" fillId="0" borderId="0" xfId="448" applyFont="1" applyAlignment="1">
      <alignment horizontal="center"/>
    </xf>
    <xf numFmtId="176" fontId="136" fillId="0" borderId="0" xfId="448" applyNumberFormat="1" applyFont="1" applyAlignment="1">
      <alignment horizontal="center"/>
    </xf>
    <xf numFmtId="2" fontId="136" fillId="0" borderId="0" xfId="448" applyNumberFormat="1" applyFont="1" applyAlignment="1">
      <alignment horizontal="center"/>
    </xf>
    <xf numFmtId="0" fontId="100" fillId="0" borderId="0" xfId="448" applyFont="1"/>
    <xf numFmtId="0" fontId="50" fillId="34" borderId="32" xfId="448" applyFont="1" applyFill="1" applyBorder="1"/>
    <xf numFmtId="0" fontId="50" fillId="34" borderId="33" xfId="448" applyFont="1" applyFill="1" applyBorder="1"/>
    <xf numFmtId="0" fontId="135" fillId="34" borderId="0" xfId="448" applyFont="1" applyFill="1"/>
    <xf numFmtId="0" fontId="135" fillId="3" borderId="0" xfId="448" applyFont="1" applyFill="1"/>
    <xf numFmtId="0" fontId="100" fillId="0" borderId="27" xfId="0" applyFont="1" applyBorder="1" applyAlignment="1">
      <alignment horizontal="center" wrapText="1"/>
    </xf>
    <xf numFmtId="0" fontId="100" fillId="3" borderId="0" xfId="448" applyFont="1" applyFill="1"/>
    <xf numFmtId="0" fontId="50" fillId="34" borderId="99" xfId="448" applyFont="1" applyFill="1" applyBorder="1"/>
    <xf numFmtId="0" fontId="50" fillId="34" borderId="100" xfId="448" applyFont="1" applyFill="1" applyBorder="1" applyAlignment="1">
      <alignment horizontal="center"/>
    </xf>
    <xf numFmtId="3" fontId="50" fillId="34" borderId="100" xfId="449" applyNumberFormat="1" applyFont="1" applyFill="1" applyBorder="1" applyAlignment="1">
      <alignment horizontal="center" vertical="center" wrapText="1"/>
    </xf>
    <xf numFmtId="0" fontId="50" fillId="34" borderId="101" xfId="448" applyFont="1" applyFill="1" applyBorder="1" applyAlignment="1">
      <alignment horizontal="center"/>
    </xf>
    <xf numFmtId="0" fontId="50" fillId="34" borderId="102" xfId="448" applyFont="1" applyFill="1" applyBorder="1" applyAlignment="1">
      <alignment horizontal="center"/>
    </xf>
    <xf numFmtId="0" fontId="50" fillId="34" borderId="103" xfId="448" applyFont="1" applyFill="1" applyBorder="1"/>
    <xf numFmtId="0" fontId="50" fillId="34" borderId="104" xfId="448" applyFont="1" applyFill="1" applyBorder="1" applyAlignment="1">
      <alignment horizontal="center"/>
    </xf>
    <xf numFmtId="0" fontId="50" fillId="34" borderId="105" xfId="448" applyFont="1" applyFill="1" applyBorder="1" applyAlignment="1">
      <alignment horizontal="center"/>
    </xf>
    <xf numFmtId="0" fontId="50" fillId="34" borderId="106" xfId="448" applyFont="1" applyFill="1" applyBorder="1" applyAlignment="1">
      <alignment horizontal="center"/>
    </xf>
    <xf numFmtId="2" fontId="50" fillId="34" borderId="104" xfId="448" applyNumberFormat="1" applyFont="1" applyFill="1" applyBorder="1" applyAlignment="1">
      <alignment horizontal="center" vertical="center" wrapText="1"/>
    </xf>
    <xf numFmtId="2" fontId="50" fillId="34" borderId="106" xfId="448" applyNumberFormat="1" applyFont="1" applyFill="1" applyBorder="1" applyAlignment="1">
      <alignment horizontal="center" vertical="center" wrapText="1"/>
    </xf>
    <xf numFmtId="0" fontId="50" fillId="34" borderId="112" xfId="448" applyFont="1" applyFill="1" applyBorder="1" applyAlignment="1">
      <alignment horizontal="center"/>
    </xf>
    <xf numFmtId="0" fontId="50" fillId="34" borderId="113" xfId="448" applyFont="1" applyFill="1" applyBorder="1" applyAlignment="1">
      <alignment horizontal="center"/>
    </xf>
    <xf numFmtId="0" fontId="136" fillId="31" borderId="30" xfId="448" applyFont="1" applyFill="1" applyBorder="1" applyAlignment="1">
      <alignment vertical="center"/>
    </xf>
    <xf numFmtId="4" fontId="136" fillId="31" borderId="61" xfId="449" applyNumberFormat="1" applyFont="1" applyFill="1" applyBorder="1" applyAlignment="1">
      <alignment horizontal="center" vertical="center" wrapText="1"/>
    </xf>
    <xf numFmtId="4" fontId="136" fillId="31" borderId="98" xfId="449" applyNumberFormat="1" applyFont="1" applyFill="1" applyBorder="1" applyAlignment="1">
      <alignment horizontal="center" vertical="center" wrapText="1"/>
    </xf>
    <xf numFmtId="4" fontId="136" fillId="31" borderId="6" xfId="449" applyNumberFormat="1" applyFont="1" applyFill="1" applyBorder="1" applyAlignment="1">
      <alignment horizontal="center" vertical="center" wrapText="1"/>
    </xf>
    <xf numFmtId="0" fontId="50" fillId="34" borderId="0" xfId="448" applyFont="1" applyFill="1" applyAlignment="1">
      <alignment horizontal="center"/>
    </xf>
    <xf numFmtId="0" fontId="135" fillId="34" borderId="0" xfId="448" applyFont="1" applyFill="1" applyAlignment="1">
      <alignment horizontal="center"/>
    </xf>
    <xf numFmtId="0" fontId="100" fillId="34" borderId="0" xfId="448" applyFont="1" applyFill="1" applyAlignment="1">
      <alignment horizontal="center" vertical="center"/>
    </xf>
    <xf numFmtId="0" fontId="136" fillId="34" borderId="100" xfId="448" applyFont="1" applyFill="1" applyBorder="1" applyAlignment="1">
      <alignment horizontal="center"/>
    </xf>
    <xf numFmtId="0" fontId="136" fillId="34" borderId="104" xfId="448" applyFont="1" applyFill="1" applyBorder="1" applyAlignment="1">
      <alignment horizontal="center"/>
    </xf>
    <xf numFmtId="0" fontId="136" fillId="34" borderId="112" xfId="448" applyFont="1" applyFill="1" applyBorder="1" applyAlignment="1">
      <alignment horizontal="center"/>
    </xf>
    <xf numFmtId="0" fontId="136" fillId="31" borderId="61" xfId="448" applyFont="1" applyFill="1" applyBorder="1" applyAlignment="1">
      <alignment horizontal="center"/>
    </xf>
    <xf numFmtId="0" fontId="50" fillId="0" borderId="0" xfId="448" applyFont="1" applyAlignment="1">
      <alignment horizontal="center"/>
    </xf>
    <xf numFmtId="0" fontId="100" fillId="0" borderId="0" xfId="448" applyFont="1" applyAlignment="1">
      <alignment horizontal="center"/>
    </xf>
    <xf numFmtId="0" fontId="50" fillId="31" borderId="61" xfId="448" applyFont="1" applyFill="1" applyBorder="1" applyAlignment="1">
      <alignment horizontal="center"/>
    </xf>
    <xf numFmtId="2" fontId="136" fillId="31" borderId="61" xfId="448" applyNumberFormat="1" applyFont="1" applyFill="1" applyBorder="1" applyAlignment="1">
      <alignment horizontal="center"/>
    </xf>
    <xf numFmtId="2" fontId="136" fillId="31" borderId="98" xfId="448" applyNumberFormat="1" applyFont="1" applyFill="1" applyBorder="1" applyAlignment="1">
      <alignment horizontal="center"/>
    </xf>
    <xf numFmtId="2" fontId="136" fillId="31" borderId="6" xfId="448" applyNumberFormat="1" applyFont="1" applyFill="1" applyBorder="1" applyAlignment="1">
      <alignment horizontal="center"/>
    </xf>
    <xf numFmtId="0" fontId="136" fillId="31" borderId="6" xfId="448" applyFont="1" applyFill="1" applyBorder="1" applyAlignment="1">
      <alignment horizontal="center"/>
    </xf>
    <xf numFmtId="2" fontId="50" fillId="34" borderId="4" xfId="448" applyNumberFormat="1" applyFont="1" applyFill="1" applyBorder="1" applyAlignment="1">
      <alignment horizontal="center"/>
    </xf>
    <xf numFmtId="2" fontId="50" fillId="34" borderId="25" xfId="448" applyNumberFormat="1" applyFont="1" applyFill="1" applyBorder="1" applyAlignment="1">
      <alignment horizontal="center"/>
    </xf>
    <xf numFmtId="2" fontId="50" fillId="34" borderId="32" xfId="448" applyNumberFormat="1" applyFont="1" applyFill="1" applyBorder="1" applyAlignment="1">
      <alignment horizontal="center"/>
    </xf>
    <xf numFmtId="0" fontId="50" fillId="34" borderId="115" xfId="448" applyFont="1" applyFill="1" applyBorder="1"/>
    <xf numFmtId="0" fontId="50" fillId="0" borderId="100" xfId="448" applyFont="1" applyBorder="1" applyAlignment="1">
      <alignment horizontal="center"/>
    </xf>
    <xf numFmtId="0" fontId="50" fillId="34" borderId="107" xfId="448" applyFont="1" applyFill="1" applyBorder="1"/>
    <xf numFmtId="0" fontId="50" fillId="34" borderId="109" xfId="448" applyFont="1" applyFill="1" applyBorder="1" applyAlignment="1">
      <alignment horizontal="center"/>
    </xf>
    <xf numFmtId="0" fontId="50" fillId="0" borderId="106" xfId="448" applyFont="1" applyBorder="1" applyAlignment="1">
      <alignment horizontal="center"/>
    </xf>
    <xf numFmtId="2" fontId="50" fillId="34" borderId="104" xfId="448" applyNumberFormat="1" applyFont="1" applyFill="1" applyBorder="1" applyAlignment="1">
      <alignment horizontal="center"/>
    </xf>
    <xf numFmtId="2" fontId="50" fillId="34" borderId="105" xfId="448" applyNumberFormat="1" applyFont="1" applyFill="1" applyBorder="1" applyAlignment="1">
      <alignment horizontal="center"/>
    </xf>
    <xf numFmtId="2" fontId="50" fillId="34" borderId="106" xfId="448" applyNumberFormat="1" applyFont="1" applyFill="1" applyBorder="1" applyAlignment="1">
      <alignment horizontal="center"/>
    </xf>
    <xf numFmtId="1" fontId="50" fillId="34" borderId="106" xfId="448" applyNumberFormat="1" applyFont="1" applyFill="1" applyBorder="1" applyAlignment="1">
      <alignment horizontal="center"/>
    </xf>
    <xf numFmtId="2" fontId="50" fillId="0" borderId="104" xfId="448" applyNumberFormat="1" applyFont="1" applyBorder="1" applyAlignment="1">
      <alignment horizontal="center"/>
    </xf>
    <xf numFmtId="2" fontId="50" fillId="0" borderId="105" xfId="448" applyNumberFormat="1" applyFont="1" applyBorder="1" applyAlignment="1">
      <alignment horizontal="center"/>
    </xf>
    <xf numFmtId="2" fontId="50" fillId="0" borderId="106" xfId="448" applyNumberFormat="1" applyFont="1" applyBorder="1" applyAlignment="1">
      <alignment horizontal="center"/>
    </xf>
    <xf numFmtId="0" fontId="50" fillId="34" borderId="107" xfId="448" applyFont="1" applyFill="1" applyBorder="1" applyAlignment="1">
      <alignment vertical="center"/>
    </xf>
    <xf numFmtId="0" fontId="50" fillId="34" borderId="104" xfId="448" applyFont="1" applyFill="1" applyBorder="1" applyAlignment="1">
      <alignment horizontal="center" vertical="center" wrapText="1"/>
    </xf>
    <xf numFmtId="0" fontId="50" fillId="34" borderId="4" xfId="448" applyFont="1" applyFill="1" applyBorder="1" applyAlignment="1">
      <alignment horizontal="center"/>
    </xf>
    <xf numFmtId="0" fontId="50" fillId="34" borderId="110" xfId="448" applyFont="1" applyFill="1" applyBorder="1" applyAlignment="1">
      <alignment horizontal="center"/>
    </xf>
    <xf numFmtId="2" fontId="136" fillId="31" borderId="31" xfId="448" applyNumberFormat="1" applyFont="1" applyFill="1" applyBorder="1" applyAlignment="1">
      <alignment horizontal="center"/>
    </xf>
    <xf numFmtId="2" fontId="136" fillId="31" borderId="63" xfId="448" applyNumberFormat="1" applyFont="1" applyFill="1" applyBorder="1" applyAlignment="1">
      <alignment horizontal="center"/>
    </xf>
    <xf numFmtId="0" fontId="136" fillId="31" borderId="60" xfId="448" applyFont="1" applyFill="1" applyBorder="1" applyAlignment="1">
      <alignment vertical="center"/>
    </xf>
    <xf numFmtId="0" fontId="50" fillId="34" borderId="105" xfId="448" applyFont="1" applyFill="1" applyBorder="1" applyAlignment="1">
      <alignment horizontal="center" vertical="center" wrapText="1"/>
    </xf>
    <xf numFmtId="0" fontId="50" fillId="34" borderId="101" xfId="448" applyFont="1" applyFill="1" applyBorder="1" applyAlignment="1">
      <alignment horizontal="center" vertical="center" wrapText="1"/>
    </xf>
    <xf numFmtId="0" fontId="50" fillId="34" borderId="25" xfId="448" applyFont="1" applyFill="1" applyBorder="1" applyAlignment="1">
      <alignment horizontal="center"/>
    </xf>
    <xf numFmtId="0" fontId="50" fillId="31" borderId="98" xfId="448" applyFont="1" applyFill="1" applyBorder="1" applyAlignment="1">
      <alignment horizontal="center"/>
    </xf>
    <xf numFmtId="0" fontId="136" fillId="31" borderId="98" xfId="448" applyFont="1" applyFill="1" applyBorder="1" applyAlignment="1">
      <alignment horizontal="center" vertical="center" wrapText="1"/>
    </xf>
    <xf numFmtId="0" fontId="50" fillId="34" borderId="117" xfId="448" applyFont="1" applyFill="1" applyBorder="1" applyAlignment="1">
      <alignment horizontal="center"/>
    </xf>
    <xf numFmtId="0" fontId="50" fillId="34" borderId="118" xfId="448" applyFont="1" applyFill="1" applyBorder="1" applyAlignment="1">
      <alignment horizontal="center"/>
    </xf>
    <xf numFmtId="2" fontId="50" fillId="34" borderId="118" xfId="448" applyNumberFormat="1" applyFont="1" applyFill="1" applyBorder="1" applyAlignment="1">
      <alignment horizontal="center" vertical="center" wrapText="1"/>
    </xf>
    <xf numFmtId="4" fontId="136" fillId="31" borderId="63" xfId="449" applyNumberFormat="1" applyFont="1" applyFill="1" applyBorder="1" applyAlignment="1">
      <alignment horizontal="center" vertical="center" wrapText="1"/>
    </xf>
    <xf numFmtId="2" fontId="50" fillId="34" borderId="87" xfId="448" applyNumberFormat="1" applyFont="1" applyFill="1" applyBorder="1" applyAlignment="1">
      <alignment horizontal="center"/>
    </xf>
    <xf numFmtId="0" fontId="136" fillId="31" borderId="63" xfId="448" applyFont="1" applyFill="1" applyBorder="1" applyAlignment="1">
      <alignment horizontal="center"/>
    </xf>
    <xf numFmtId="2" fontId="50" fillId="0" borderId="118" xfId="448" applyNumberFormat="1" applyFont="1" applyBorder="1" applyAlignment="1">
      <alignment horizontal="center"/>
    </xf>
    <xf numFmtId="2" fontId="50" fillId="34" borderId="118" xfId="448" applyNumberFormat="1" applyFont="1" applyFill="1" applyBorder="1" applyAlignment="1">
      <alignment horizontal="center"/>
    </xf>
    <xf numFmtId="3" fontId="50" fillId="34" borderId="102" xfId="449" applyNumberFormat="1" applyFont="1" applyFill="1" applyBorder="1" applyAlignment="1">
      <alignment horizontal="center" vertical="center" wrapText="1"/>
    </xf>
    <xf numFmtId="0" fontId="50" fillId="0" borderId="102" xfId="448" applyFont="1" applyBorder="1" applyAlignment="1">
      <alignment horizontal="center"/>
    </xf>
    <xf numFmtId="1" fontId="50" fillId="0" borderId="106" xfId="448" applyNumberFormat="1" applyFont="1" applyBorder="1" applyAlignment="1">
      <alignment horizontal="center"/>
    </xf>
    <xf numFmtId="1" fontId="50" fillId="34" borderId="102" xfId="448" applyNumberFormat="1" applyFont="1" applyFill="1" applyBorder="1" applyAlignment="1">
      <alignment horizontal="center"/>
    </xf>
    <xf numFmtId="2" fontId="50" fillId="34" borderId="117" xfId="448" applyNumberFormat="1" applyFont="1" applyFill="1" applyBorder="1" applyAlignment="1">
      <alignment horizontal="center"/>
    </xf>
    <xf numFmtId="2" fontId="50" fillId="34" borderId="100" xfId="448" applyNumberFormat="1" applyFont="1" applyFill="1" applyBorder="1" applyAlignment="1">
      <alignment horizontal="center"/>
    </xf>
    <xf numFmtId="2" fontId="50" fillId="34" borderId="101" xfId="448" applyNumberFormat="1" applyFont="1" applyFill="1" applyBorder="1" applyAlignment="1">
      <alignment horizontal="center"/>
    </xf>
    <xf numFmtId="2" fontId="50" fillId="34" borderId="102" xfId="448" applyNumberFormat="1" applyFont="1" applyFill="1" applyBorder="1" applyAlignment="1">
      <alignment horizontal="center"/>
    </xf>
    <xf numFmtId="1" fontId="50" fillId="34" borderId="118" xfId="448" applyNumberFormat="1" applyFont="1" applyFill="1" applyBorder="1" applyAlignment="1">
      <alignment horizontal="center"/>
    </xf>
    <xf numFmtId="0" fontId="50" fillId="34" borderId="121" xfId="448" applyFont="1" applyFill="1" applyBorder="1" applyAlignment="1">
      <alignment vertical="center"/>
    </xf>
    <xf numFmtId="0" fontId="50" fillId="34" borderId="110" xfId="448" applyFont="1" applyFill="1" applyBorder="1" applyAlignment="1">
      <alignment horizontal="center" vertical="center" wrapText="1"/>
    </xf>
    <xf numFmtId="2" fontId="50" fillId="34" borderId="111" xfId="448" applyNumberFormat="1" applyFont="1" applyFill="1" applyBorder="1" applyAlignment="1">
      <alignment horizontal="center"/>
    </xf>
    <xf numFmtId="2" fontId="50" fillId="34" borderId="120" xfId="448" applyNumberFormat="1" applyFont="1" applyFill="1" applyBorder="1" applyAlignment="1">
      <alignment horizontal="center"/>
    </xf>
    <xf numFmtId="2" fontId="50" fillId="34" borderId="109" xfId="448" applyNumberFormat="1" applyFont="1" applyFill="1" applyBorder="1" applyAlignment="1">
      <alignment horizontal="center"/>
    </xf>
    <xf numFmtId="2" fontId="50" fillId="34" borderId="110" xfId="448" applyNumberFormat="1" applyFont="1" applyFill="1" applyBorder="1" applyAlignment="1">
      <alignment horizontal="center"/>
    </xf>
    <xf numFmtId="0" fontId="136" fillId="34" borderId="51" xfId="448" applyFont="1" applyFill="1" applyBorder="1" applyAlignment="1">
      <alignment vertical="center"/>
    </xf>
    <xf numFmtId="0" fontId="136" fillId="34" borderId="25" xfId="448" applyFont="1" applyFill="1" applyBorder="1" applyAlignment="1">
      <alignment horizontal="center" vertical="center" wrapText="1"/>
    </xf>
    <xf numFmtId="0" fontId="136" fillId="34" borderId="115" xfId="448" applyFont="1" applyFill="1" applyBorder="1" applyAlignment="1">
      <alignment vertical="center"/>
    </xf>
    <xf numFmtId="1" fontId="50" fillId="34" borderId="117" xfId="448" applyNumberFormat="1" applyFont="1" applyFill="1" applyBorder="1" applyAlignment="1">
      <alignment horizontal="center"/>
    </xf>
    <xf numFmtId="0" fontId="136" fillId="31" borderId="60" xfId="448" applyFont="1" applyFill="1" applyBorder="1"/>
    <xf numFmtId="0" fontId="50" fillId="31" borderId="61" xfId="448" applyFont="1" applyFill="1" applyBorder="1"/>
    <xf numFmtId="4" fontId="136" fillId="31" borderId="6" xfId="448" applyNumberFormat="1" applyFont="1" applyFill="1" applyBorder="1" applyAlignment="1">
      <alignment horizontal="center"/>
    </xf>
    <xf numFmtId="4" fontId="136" fillId="31" borderId="63" xfId="448" applyNumberFormat="1" applyFont="1" applyFill="1" applyBorder="1" applyAlignment="1">
      <alignment horizontal="center"/>
    </xf>
    <xf numFmtId="4" fontId="136" fillId="31" borderId="61" xfId="448" applyNumberFormat="1" applyFont="1" applyFill="1" applyBorder="1" applyAlignment="1">
      <alignment horizontal="center"/>
    </xf>
    <xf numFmtId="4" fontId="136" fillId="31" borderId="98" xfId="448" applyNumberFormat="1" applyFont="1" applyFill="1" applyBorder="1" applyAlignment="1">
      <alignment horizontal="center"/>
    </xf>
    <xf numFmtId="0" fontId="50" fillId="31" borderId="103" xfId="448" applyFont="1" applyFill="1" applyBorder="1"/>
    <xf numFmtId="0" fontId="50" fillId="34" borderId="122" xfId="448" applyFont="1" applyFill="1" applyBorder="1"/>
    <xf numFmtId="0" fontId="50" fillId="34" borderId="114" xfId="448" applyFont="1" applyFill="1" applyBorder="1" applyAlignment="1">
      <alignment horizontal="center"/>
    </xf>
    <xf numFmtId="0" fontId="50" fillId="34" borderId="119" xfId="448" applyFont="1" applyFill="1" applyBorder="1" applyAlignment="1">
      <alignment horizontal="center"/>
    </xf>
    <xf numFmtId="3" fontId="50" fillId="34" borderId="114" xfId="449" applyNumberFormat="1" applyFont="1" applyFill="1" applyBorder="1" applyAlignment="1">
      <alignment horizontal="center" vertical="center" wrapText="1"/>
    </xf>
    <xf numFmtId="0" fontId="50" fillId="34" borderId="114" xfId="448" applyFont="1" applyFill="1" applyBorder="1" applyAlignment="1">
      <alignment horizontal="center" vertical="center"/>
    </xf>
    <xf numFmtId="3" fontId="50" fillId="34" borderId="117" xfId="449" applyNumberFormat="1" applyFont="1" applyFill="1" applyBorder="1" applyAlignment="1">
      <alignment horizontal="center" vertical="center" wrapText="1"/>
    </xf>
    <xf numFmtId="0" fontId="50" fillId="34" borderId="109" xfId="448" applyFont="1" applyFill="1" applyBorder="1" applyAlignment="1">
      <alignment horizontal="center" vertical="center" wrapText="1"/>
    </xf>
    <xf numFmtId="4" fontId="50" fillId="34" borderId="111" xfId="449" applyNumberFormat="1" applyFont="1" applyFill="1" applyBorder="1" applyAlignment="1">
      <alignment horizontal="center" vertical="center" wrapText="1"/>
    </xf>
    <xf numFmtId="2" fontId="50" fillId="34" borderId="120" xfId="448" applyNumberFormat="1" applyFont="1" applyFill="1" applyBorder="1" applyAlignment="1">
      <alignment horizontal="center" vertical="center" wrapText="1"/>
    </xf>
    <xf numFmtId="2" fontId="50" fillId="34" borderId="109" xfId="448" applyNumberFormat="1" applyFont="1" applyFill="1" applyBorder="1" applyAlignment="1">
      <alignment horizontal="center" vertical="center" wrapText="1"/>
    </xf>
    <xf numFmtId="2" fontId="50" fillId="34" borderId="111" xfId="448" applyNumberFormat="1" applyFont="1" applyFill="1" applyBorder="1" applyAlignment="1">
      <alignment horizontal="center" vertical="center" wrapText="1"/>
    </xf>
    <xf numFmtId="0" fontId="50" fillId="0" borderId="102" xfId="448" applyFont="1" applyBorder="1" applyAlignment="1">
      <alignment horizontal="center" vertical="center"/>
    </xf>
    <xf numFmtId="0" fontId="50" fillId="0" borderId="114" xfId="448" applyFont="1" applyBorder="1" applyAlignment="1">
      <alignment horizontal="center"/>
    </xf>
    <xf numFmtId="2" fontId="50" fillId="34" borderId="123" xfId="448" applyNumberFormat="1" applyFont="1" applyFill="1" applyBorder="1" applyAlignment="1">
      <alignment horizontal="center"/>
    </xf>
    <xf numFmtId="2" fontId="136" fillId="31" borderId="30" xfId="448" applyNumberFormat="1" applyFont="1" applyFill="1" applyBorder="1" applyAlignment="1">
      <alignment horizontal="center"/>
    </xf>
    <xf numFmtId="0" fontId="144" fillId="31" borderId="6" xfId="448" applyFont="1" applyFill="1" applyBorder="1" applyAlignment="1">
      <alignment horizontal="center" vertical="center" wrapText="1"/>
    </xf>
    <xf numFmtId="0" fontId="144" fillId="31" borderId="31" xfId="448" applyFont="1" applyFill="1" applyBorder="1" applyAlignment="1">
      <alignment horizontal="center" vertical="center" wrapText="1"/>
    </xf>
    <xf numFmtId="0" fontId="42" fillId="0" borderId="0" xfId="506" applyFont="1" applyAlignment="1">
      <alignment horizontal="center" vertical="center" wrapText="1"/>
    </xf>
    <xf numFmtId="0" fontId="145" fillId="0" borderId="1" xfId="506" applyFont="1" applyBorder="1" applyAlignment="1">
      <alignment horizontal="center" vertical="center" wrapText="1"/>
    </xf>
    <xf numFmtId="0" fontId="145" fillId="32" borderId="1" xfId="506" applyFont="1" applyFill="1" applyBorder="1" applyAlignment="1">
      <alignment horizontal="center" vertical="center" wrapText="1"/>
    </xf>
    <xf numFmtId="0" fontId="145" fillId="0" borderId="0" xfId="506" applyFont="1" applyAlignment="1">
      <alignment horizontal="center" vertical="center" wrapText="1"/>
    </xf>
    <xf numFmtId="0" fontId="147" fillId="0" borderId="1" xfId="506" applyFont="1" applyBorder="1" applyAlignment="1">
      <alignment horizontal="center" vertical="center" wrapText="1"/>
    </xf>
    <xf numFmtId="2" fontId="150" fillId="0" borderId="0" xfId="506" applyNumberFormat="1" applyFont="1" applyAlignment="1" applyProtection="1">
      <alignment horizontal="center" vertical="center" wrapText="1"/>
      <protection hidden="1"/>
    </xf>
    <xf numFmtId="0" fontId="151" fillId="0" borderId="0" xfId="506" applyFont="1" applyAlignment="1">
      <alignment horizontal="center" vertical="center"/>
    </xf>
    <xf numFmtId="0" fontId="148" fillId="0" borderId="0" xfId="506" applyFont="1" applyAlignment="1">
      <alignment horizontal="left" vertical="top"/>
    </xf>
    <xf numFmtId="0" fontId="150" fillId="0" borderId="0" xfId="506" applyFont="1" applyAlignment="1" applyProtection="1">
      <alignment horizontal="center" vertical="center" wrapText="1"/>
      <protection hidden="1"/>
    </xf>
    <xf numFmtId="0" fontId="148" fillId="0" borderId="0" xfId="506" applyFont="1" applyAlignment="1">
      <alignment horizontal="center" vertical="top"/>
    </xf>
    <xf numFmtId="0" fontId="148" fillId="0" borderId="0" xfId="506" applyFont="1" applyAlignment="1">
      <alignment horizontal="right" vertical="top"/>
    </xf>
    <xf numFmtId="0" fontId="151" fillId="0" borderId="0" xfId="506" applyFont="1" applyAlignment="1" applyProtection="1">
      <alignment horizontal="left" vertical="top" wrapText="1"/>
      <protection hidden="1"/>
    </xf>
    <xf numFmtId="0" fontId="151" fillId="0" borderId="0" xfId="506" applyFont="1" applyAlignment="1">
      <alignment horizontal="left" vertical="center"/>
    </xf>
    <xf numFmtId="0" fontId="151" fillId="0" borderId="0" xfId="506" applyFont="1" applyAlignment="1" applyProtection="1">
      <alignment horizontal="center" vertical="center" wrapText="1"/>
      <protection hidden="1"/>
    </xf>
    <xf numFmtId="2" fontId="151" fillId="0" borderId="0" xfId="506" applyNumberFormat="1" applyFont="1" applyAlignment="1" applyProtection="1">
      <alignment horizontal="center" vertical="center" wrapText="1"/>
      <protection hidden="1"/>
    </xf>
    <xf numFmtId="0" fontId="149" fillId="0" borderId="0" xfId="506" applyFont="1" applyAlignment="1">
      <alignment horizontal="right"/>
    </xf>
    <xf numFmtId="0" fontId="145" fillId="31" borderId="1" xfId="506" applyFont="1" applyFill="1" applyBorder="1" applyAlignment="1">
      <alignment horizontal="center" vertical="center" wrapText="1"/>
    </xf>
    <xf numFmtId="0" fontId="43" fillId="0" borderId="0" xfId="506" applyFont="1" applyAlignment="1">
      <alignment horizontal="center" vertical="center" wrapText="1"/>
    </xf>
    <xf numFmtId="0" fontId="43" fillId="0" borderId="0" xfId="506" applyFont="1" applyAlignment="1">
      <alignment horizontal="center" vertical="center"/>
    </xf>
    <xf numFmtId="0" fontId="43" fillId="0" borderId="0" xfId="506" applyFont="1" applyAlignment="1">
      <alignment vertical="top" wrapText="1"/>
    </xf>
    <xf numFmtId="0" fontId="43" fillId="0" borderId="0" xfId="506" applyFont="1"/>
    <xf numFmtId="0" fontId="92" fillId="0" borderId="46" xfId="506" applyFont="1" applyBorder="1" applyAlignment="1">
      <alignment horizontal="center" vertical="center"/>
    </xf>
    <xf numFmtId="0" fontId="92" fillId="32" borderId="44" xfId="506" applyFont="1" applyFill="1" applyBorder="1" applyAlignment="1">
      <alignment horizontal="center" vertical="center"/>
    </xf>
    <xf numFmtId="0" fontId="92" fillId="32" borderId="46" xfId="506" applyFont="1" applyFill="1" applyBorder="1" applyAlignment="1">
      <alignment horizontal="center" vertical="center"/>
    </xf>
    <xf numFmtId="0" fontId="153" fillId="0" borderId="0" xfId="506" applyFont="1" applyAlignment="1">
      <alignment horizontal="center" vertical="center" wrapText="1"/>
    </xf>
    <xf numFmtId="0" fontId="43" fillId="0" borderId="60" xfId="506" applyFont="1" applyBorder="1" applyAlignment="1">
      <alignment horizontal="center" vertical="center"/>
    </xf>
    <xf numFmtId="0" fontId="43" fillId="0" borderId="98" xfId="506" applyFont="1" applyBorder="1" applyAlignment="1">
      <alignment horizontal="left" vertical="center" wrapText="1"/>
    </xf>
    <xf numFmtId="0" fontId="43" fillId="0" borderId="63" xfId="506" applyFont="1" applyBorder="1" applyAlignment="1">
      <alignment horizontal="center" vertical="center"/>
    </xf>
    <xf numFmtId="0" fontId="92" fillId="32" borderId="60" xfId="506" applyFont="1" applyFill="1" applyBorder="1" applyAlignment="1">
      <alignment horizontal="center" vertical="center"/>
    </xf>
    <xf numFmtId="0" fontId="100" fillId="0" borderId="0" xfId="506" applyFont="1" applyAlignment="1">
      <alignment horizontal="center" vertical="center" wrapText="1"/>
    </xf>
    <xf numFmtId="0" fontId="43" fillId="0" borderId="36" xfId="506" applyFont="1" applyBorder="1" applyAlignment="1">
      <alignment horizontal="left" vertical="center" wrapText="1"/>
    </xf>
    <xf numFmtId="0" fontId="43" fillId="0" borderId="61" xfId="506" applyFont="1" applyBorder="1" applyAlignment="1">
      <alignment vertical="top" wrapText="1"/>
    </xf>
    <xf numFmtId="0" fontId="92" fillId="0" borderId="0" xfId="506" applyFont="1" applyAlignment="1">
      <alignment horizontal="left" vertical="center" wrapText="1"/>
    </xf>
    <xf numFmtId="0" fontId="92" fillId="0" borderId="0" xfId="506" applyFont="1"/>
    <xf numFmtId="0" fontId="43" fillId="0" borderId="8" xfId="506" applyFont="1" applyBorder="1" applyAlignment="1">
      <alignment horizontal="center" vertical="center"/>
    </xf>
    <xf numFmtId="0" fontId="43" fillId="0" borderId="1" xfId="506" applyFont="1" applyBorder="1" applyAlignment="1">
      <alignment horizontal="right" vertical="center"/>
    </xf>
    <xf numFmtId="0" fontId="109" fillId="0" borderId="0" xfId="506" applyFont="1" applyAlignment="1">
      <alignment horizontal="center" vertical="center" wrapText="1"/>
    </xf>
    <xf numFmtId="0" fontId="43" fillId="0" borderId="7" xfId="506" applyFont="1" applyBorder="1" applyAlignment="1">
      <alignment horizontal="right" vertical="center"/>
    </xf>
    <xf numFmtId="2" fontId="43" fillId="0" borderId="1" xfId="506" applyNumberFormat="1" applyFont="1" applyBorder="1" applyAlignment="1">
      <alignment horizontal="right" vertical="center"/>
    </xf>
    <xf numFmtId="4" fontId="43" fillId="0" borderId="0" xfId="506" applyNumberFormat="1" applyFont="1" applyAlignment="1">
      <alignment horizontal="left" vertical="center" wrapText="1"/>
    </xf>
    <xf numFmtId="0" fontId="43" fillId="0" borderId="3" xfId="506" applyFont="1" applyBorder="1" applyAlignment="1">
      <alignment horizontal="right" vertical="center"/>
    </xf>
    <xf numFmtId="0" fontId="43" fillId="0" borderId="69" xfId="506" applyFont="1" applyBorder="1" applyAlignment="1">
      <alignment horizontal="right" vertical="center"/>
    </xf>
    <xf numFmtId="0" fontId="43" fillId="0" borderId="10" xfId="506" applyFont="1" applyBorder="1" applyAlignment="1">
      <alignment horizontal="right" vertical="center"/>
    </xf>
    <xf numFmtId="0" fontId="43" fillId="0" borderId="1" xfId="506" applyFont="1" applyBorder="1"/>
    <xf numFmtId="0" fontId="149" fillId="0" borderId="0" xfId="506" applyFont="1" applyAlignment="1">
      <alignment horizontal="left" vertical="center"/>
    </xf>
    <xf numFmtId="0" fontId="42" fillId="0" borderId="0" xfId="506" applyFont="1" applyAlignment="1" applyProtection="1">
      <alignment horizontal="center" vertical="center" wrapText="1"/>
      <protection hidden="1"/>
    </xf>
    <xf numFmtId="0" fontId="156" fillId="0" borderId="0" xfId="506" applyFont="1" applyAlignment="1" applyProtection="1">
      <alignment vertical="center" wrapText="1"/>
      <protection locked="0"/>
    </xf>
    <xf numFmtId="0" fontId="156" fillId="0" borderId="5" xfId="506" applyFont="1" applyBorder="1" applyAlignment="1" applyProtection="1">
      <alignment horizontal="center" vertical="center" wrapText="1"/>
      <protection locked="0"/>
    </xf>
    <xf numFmtId="0" fontId="156" fillId="0" borderId="5" xfId="506" applyFont="1" applyBorder="1" applyAlignment="1" applyProtection="1">
      <alignment vertical="center" wrapText="1"/>
      <protection locked="0"/>
    </xf>
    <xf numFmtId="0" fontId="145" fillId="0" borderId="0" xfId="506" applyFont="1" applyAlignment="1" applyProtection="1">
      <alignment horizontal="center" vertical="center" wrapText="1"/>
      <protection hidden="1"/>
    </xf>
    <xf numFmtId="0" fontId="157" fillId="0" borderId="0" xfId="506" applyFont="1" applyAlignment="1" applyProtection="1">
      <alignment horizontal="center" vertical="center" wrapText="1"/>
      <protection hidden="1"/>
    </xf>
    <xf numFmtId="0" fontId="150" fillId="0" borderId="0" xfId="506" applyFont="1" applyAlignment="1" applyProtection="1">
      <alignment horizontal="left" vertical="top" wrapText="1"/>
      <protection hidden="1"/>
    </xf>
    <xf numFmtId="2" fontId="152" fillId="0" borderId="0" xfId="506" applyNumberFormat="1" applyFont="1" applyAlignment="1" applyProtection="1">
      <alignment horizontal="center" vertical="center" wrapText="1"/>
      <protection hidden="1"/>
    </xf>
    <xf numFmtId="0" fontId="42" fillId="0" borderId="5" xfId="506" applyFont="1" applyBorder="1" applyAlignment="1" applyProtection="1">
      <alignment vertical="center" wrapText="1"/>
      <protection locked="0"/>
    </xf>
    <xf numFmtId="0" fontId="51" fillId="0" borderId="0" xfId="506" applyFont="1" applyAlignment="1" applyProtection="1">
      <alignment vertical="center" wrapText="1"/>
      <protection locked="0"/>
    </xf>
    <xf numFmtId="0" fontId="100" fillId="0" borderId="0" xfId="116" applyFont="1"/>
    <xf numFmtId="0" fontId="50" fillId="34" borderId="0" xfId="116" applyFont="1" applyFill="1"/>
    <xf numFmtId="0" fontId="50" fillId="0" borderId="0" xfId="116" applyFont="1"/>
    <xf numFmtId="0" fontId="158" fillId="0" borderId="0" xfId="116" applyFont="1"/>
    <xf numFmtId="0" fontId="132" fillId="0" borderId="0" xfId="116" applyFont="1"/>
    <xf numFmtId="0" fontId="158" fillId="0" borderId="0" xfId="116" applyFont="1" applyAlignment="1">
      <alignment horizontal="left"/>
    </xf>
    <xf numFmtId="4" fontId="158" fillId="0" borderId="0" xfId="116" applyNumberFormat="1" applyFont="1" applyAlignment="1">
      <alignment horizontal="left"/>
    </xf>
    <xf numFmtId="0" fontId="158" fillId="0" borderId="31" xfId="116" applyFont="1" applyBorder="1" applyAlignment="1">
      <alignment vertical="center" wrapText="1"/>
    </xf>
    <xf numFmtId="0" fontId="158" fillId="0" borderId="31" xfId="116" applyFont="1" applyBorder="1" applyAlignment="1">
      <alignment horizontal="center" vertical="center" wrapText="1"/>
    </xf>
    <xf numFmtId="2" fontId="50" fillId="0" borderId="0" xfId="116" applyNumberFormat="1" applyFont="1"/>
    <xf numFmtId="0" fontId="158" fillId="0" borderId="102" xfId="116" applyFont="1" applyBorder="1" applyAlignment="1">
      <alignment vertical="justify" wrapText="1"/>
    </xf>
    <xf numFmtId="2" fontId="158" fillId="0" borderId="102" xfId="116" applyNumberFormat="1" applyFont="1" applyBorder="1"/>
    <xf numFmtId="2" fontId="158" fillId="34" borderId="102" xfId="116" applyNumberFormat="1" applyFont="1" applyFill="1" applyBorder="1"/>
    <xf numFmtId="4" fontId="132" fillId="0" borderId="0" xfId="116" applyNumberFormat="1" applyFont="1" applyAlignment="1">
      <alignment horizontal="right"/>
    </xf>
    <xf numFmtId="0" fontId="158" fillId="0" borderId="106" xfId="116" applyFont="1" applyBorder="1" applyAlignment="1">
      <alignment horizontal="left" vertical="justify" wrapText="1"/>
    </xf>
    <xf numFmtId="2" fontId="158" fillId="0" borderId="106" xfId="116" applyNumberFormat="1" applyFont="1" applyBorder="1" applyAlignment="1">
      <alignment horizontal="right"/>
    </xf>
    <xf numFmtId="0" fontId="154" fillId="0" borderId="106" xfId="116" applyFont="1" applyBorder="1" applyAlignment="1">
      <alignment horizontal="left" wrapText="1" indent="1"/>
    </xf>
    <xf numFmtId="2" fontId="154" fillId="0" borderId="106" xfId="116" applyNumberFormat="1" applyFont="1" applyBorder="1"/>
    <xf numFmtId="2" fontId="154" fillId="34" borderId="106" xfId="116" applyNumberFormat="1" applyFont="1" applyFill="1" applyBorder="1" applyAlignment="1">
      <alignment horizontal="right"/>
    </xf>
    <xf numFmtId="2" fontId="154" fillId="0" borderId="106" xfId="116" applyNumberFormat="1" applyFont="1" applyBorder="1" applyAlignment="1">
      <alignment horizontal="right"/>
    </xf>
    <xf numFmtId="0" fontId="158" fillId="0" borderId="106" xfId="116" applyFont="1" applyBorder="1" applyAlignment="1">
      <alignment horizontal="left" wrapText="1"/>
    </xf>
    <xf numFmtId="0" fontId="136" fillId="0" borderId="0" xfId="116" applyFont="1"/>
    <xf numFmtId="0" fontId="154" fillId="0" borderId="106" xfId="116" applyFont="1" applyBorder="1" applyAlignment="1">
      <alignment horizontal="left" vertical="justify" wrapText="1" indent="2"/>
    </xf>
    <xf numFmtId="2" fontId="158" fillId="0" borderId="106" xfId="116" applyNumberFormat="1" applyFont="1" applyBorder="1"/>
    <xf numFmtId="4" fontId="136" fillId="0" borderId="0" xfId="116" applyNumberFormat="1" applyFont="1"/>
    <xf numFmtId="0" fontId="154" fillId="0" borderId="106" xfId="116" applyFont="1" applyBorder="1" applyAlignment="1">
      <alignment horizontal="left" vertical="center" wrapText="1" indent="1"/>
    </xf>
    <xf numFmtId="0" fontId="154" fillId="0" borderId="106" xfId="116" applyFont="1" applyBorder="1" applyAlignment="1">
      <alignment horizontal="left" vertical="justify" indent="1"/>
    </xf>
    <xf numFmtId="2" fontId="154" fillId="0" borderId="111" xfId="116" applyNumberFormat="1" applyFont="1" applyBorder="1" applyAlignment="1">
      <alignment horizontal="right"/>
    </xf>
    <xf numFmtId="176" fontId="50" fillId="0" borderId="0" xfId="116" applyNumberFormat="1" applyFont="1"/>
    <xf numFmtId="0" fontId="154" fillId="0" borderId="0" xfId="116" applyFont="1"/>
    <xf numFmtId="0" fontId="42" fillId="0" borderId="0" xfId="506" applyFont="1"/>
    <xf numFmtId="4" fontId="42" fillId="0" borderId="0" xfId="506" applyNumberFormat="1" applyFont="1" applyAlignment="1">
      <alignment horizontal="center" vertical="center" wrapText="1"/>
    </xf>
    <xf numFmtId="2" fontId="136" fillId="0" borderId="0" xfId="116" applyNumberFormat="1" applyFont="1"/>
    <xf numFmtId="0" fontId="43" fillId="0" borderId="58" xfId="0" applyFont="1" applyBorder="1" applyAlignment="1">
      <alignment horizontal="right" vertical="center"/>
    </xf>
    <xf numFmtId="0" fontId="43" fillId="0" borderId="59" xfId="0" applyFont="1" applyBorder="1" applyAlignment="1">
      <alignment horizontal="right" vertical="center"/>
    </xf>
    <xf numFmtId="0" fontId="43" fillId="0" borderId="3" xfId="0" applyFont="1" applyBorder="1" applyAlignment="1">
      <alignment horizontal="right" vertical="center"/>
    </xf>
    <xf numFmtId="0" fontId="43" fillId="0" borderId="43" xfId="0" applyFont="1" applyBorder="1" applyAlignment="1">
      <alignment horizontal="right" vertical="center"/>
    </xf>
    <xf numFmtId="0" fontId="43" fillId="0" borderId="1" xfId="0" applyFont="1" applyBorder="1" applyAlignment="1">
      <alignment horizontal="right" vertical="center"/>
    </xf>
    <xf numFmtId="0" fontId="92" fillId="0" borderId="3" xfId="0" applyFont="1" applyBorder="1" applyAlignment="1">
      <alignment horizontal="right" vertical="center"/>
    </xf>
    <xf numFmtId="0" fontId="92" fillId="0" borderId="60" xfId="0" applyFont="1" applyBorder="1" applyAlignment="1">
      <alignment horizontal="center" vertical="center"/>
    </xf>
    <xf numFmtId="182" fontId="158" fillId="0" borderId="0" xfId="116" applyNumberFormat="1" applyFont="1" applyAlignment="1">
      <alignment horizontal="left"/>
    </xf>
    <xf numFmtId="186" fontId="158" fillId="0" borderId="0" xfId="116" applyNumberFormat="1" applyFont="1" applyAlignment="1">
      <alignment horizontal="left"/>
    </xf>
    <xf numFmtId="0" fontId="0" fillId="30" borderId="0" xfId="0" applyFill="1"/>
    <xf numFmtId="0" fontId="164" fillId="0" borderId="0" xfId="0" applyFont="1"/>
    <xf numFmtId="4" fontId="132" fillId="0" borderId="0" xfId="116" applyNumberFormat="1" applyFont="1" applyAlignment="1">
      <alignment horizontal="left"/>
    </xf>
    <xf numFmtId="2" fontId="50" fillId="0" borderId="0" xfId="116" applyNumberFormat="1" applyFont="1" applyAlignment="1">
      <alignment horizontal="left"/>
    </xf>
    <xf numFmtId="0" fontId="50" fillId="0" borderId="0" xfId="116" applyFont="1" applyAlignment="1">
      <alignment horizontal="left"/>
    </xf>
    <xf numFmtId="2" fontId="136" fillId="0" borderId="0" xfId="116" applyNumberFormat="1" applyFont="1" applyAlignment="1">
      <alignment horizontal="left"/>
    </xf>
    <xf numFmtId="4" fontId="132" fillId="0" borderId="0" xfId="116" applyNumberFormat="1" applyFont="1"/>
    <xf numFmtId="2" fontId="43" fillId="0" borderId="98" xfId="506" applyNumberFormat="1" applyFont="1" applyBorder="1" applyAlignment="1">
      <alignment horizontal="center" vertical="center"/>
    </xf>
    <xf numFmtId="2" fontId="43" fillId="0" borderId="62" xfId="506" applyNumberFormat="1" applyFont="1" applyBorder="1" applyAlignment="1">
      <alignment horizontal="center" vertical="center"/>
    </xf>
    <xf numFmtId="2" fontId="92" fillId="32" borderId="6" xfId="506" applyNumberFormat="1" applyFont="1" applyFill="1" applyBorder="1" applyAlignment="1">
      <alignment horizontal="center" vertical="center"/>
    </xf>
    <xf numFmtId="0" fontId="43" fillId="0" borderId="0" xfId="546" applyFont="1"/>
    <xf numFmtId="0" fontId="43" fillId="0" borderId="0" xfId="546" applyFont="1" applyAlignment="1">
      <alignment horizontal="center" vertical="center"/>
    </xf>
    <xf numFmtId="0" fontId="43" fillId="0" borderId="1" xfId="546" applyFont="1" applyBorder="1"/>
    <xf numFmtId="0" fontId="43" fillId="0" borderId="3" xfId="546" applyFont="1" applyBorder="1"/>
    <xf numFmtId="0" fontId="92" fillId="0" borderId="61" xfId="546" applyFont="1" applyBorder="1" applyAlignment="1">
      <alignment horizontal="center" vertical="center" wrapText="1"/>
    </xf>
    <xf numFmtId="0" fontId="92" fillId="0" borderId="30" xfId="546" applyFont="1" applyBorder="1" applyAlignment="1">
      <alignment horizontal="center" vertical="center" wrapText="1"/>
    </xf>
    <xf numFmtId="0" fontId="43" fillId="0" borderId="37" xfId="546" applyFont="1" applyBorder="1"/>
    <xf numFmtId="0" fontId="43" fillId="0" borderId="52" xfId="546" applyFont="1" applyBorder="1"/>
    <xf numFmtId="0" fontId="92" fillId="0" borderId="63" xfId="546" applyFont="1" applyBorder="1" applyAlignment="1">
      <alignment horizontal="center" vertical="center" wrapText="1"/>
    </xf>
    <xf numFmtId="0" fontId="43" fillId="0" borderId="69" xfId="546" applyFont="1" applyBorder="1"/>
    <xf numFmtId="0" fontId="43" fillId="0" borderId="7" xfId="546" applyFont="1" applyBorder="1"/>
    <xf numFmtId="0" fontId="43" fillId="0" borderId="7" xfId="546" applyFont="1" applyBorder="1" applyAlignment="1">
      <alignment horizontal="right"/>
    </xf>
    <xf numFmtId="0" fontId="92" fillId="0" borderId="6" xfId="546" applyFont="1" applyBorder="1" applyAlignment="1">
      <alignment horizontal="center" vertical="center" wrapText="1"/>
    </xf>
    <xf numFmtId="0" fontId="43" fillId="0" borderId="89" xfId="546" applyFont="1" applyBorder="1"/>
    <xf numFmtId="0" fontId="43" fillId="0" borderId="67" xfId="546" applyFont="1" applyBorder="1"/>
    <xf numFmtId="0" fontId="43" fillId="0" borderId="68" xfId="546" applyFont="1" applyBorder="1"/>
    <xf numFmtId="0" fontId="43" fillId="0" borderId="8" xfId="546" applyFont="1" applyBorder="1"/>
    <xf numFmtId="0" fontId="92" fillId="0" borderId="6" xfId="546" applyFont="1" applyBorder="1" applyAlignment="1">
      <alignment horizontal="center" vertical="center"/>
    </xf>
    <xf numFmtId="2" fontId="43" fillId="0" borderId="68" xfId="546" applyNumberFormat="1" applyFont="1" applyBorder="1" applyAlignment="1">
      <alignment horizontal="center"/>
    </xf>
    <xf numFmtId="0" fontId="23" fillId="0" borderId="0" xfId="546"/>
    <xf numFmtId="0" fontId="23" fillId="33" borderId="0" xfId="546" applyFill="1"/>
    <xf numFmtId="0" fontId="23" fillId="61" borderId="0" xfId="546" applyFill="1"/>
    <xf numFmtId="0" fontId="51" fillId="31" borderId="57" xfId="546" applyFont="1" applyFill="1" applyBorder="1"/>
    <xf numFmtId="0" fontId="51" fillId="31" borderId="58" xfId="546" applyFont="1" applyFill="1" applyBorder="1"/>
    <xf numFmtId="0" fontId="51" fillId="31" borderId="59" xfId="546" applyFont="1" applyFill="1" applyBorder="1"/>
    <xf numFmtId="0" fontId="43" fillId="0" borderId="1" xfId="546" applyFont="1" applyBorder="1" applyAlignment="1">
      <alignment horizontal="left" vertical="top"/>
    </xf>
    <xf numFmtId="4" fontId="43" fillId="0" borderId="1" xfId="546" applyNumberFormat="1" applyFont="1" applyBorder="1" applyAlignment="1">
      <alignment horizontal="right" vertical="top"/>
    </xf>
    <xf numFmtId="0" fontId="43" fillId="0" borderId="1" xfId="546" applyFont="1" applyBorder="1" applyAlignment="1">
      <alignment horizontal="left" vertical="top" wrapText="1"/>
    </xf>
    <xf numFmtId="2" fontId="154" fillId="0" borderId="106" xfId="116" applyNumberFormat="1" applyFont="1" applyBorder="1" applyAlignment="1">
      <alignment horizontal="right" wrapText="1"/>
    </xf>
    <xf numFmtId="2" fontId="154" fillId="0" borderId="106" xfId="116" applyNumberFormat="1" applyFont="1" applyBorder="1" applyAlignment="1">
      <alignment wrapText="1"/>
    </xf>
    <xf numFmtId="0" fontId="154" fillId="0" borderId="106" xfId="116" applyFont="1" applyBorder="1" applyAlignment="1">
      <alignment horizontal="left" wrapText="1" indent="2"/>
    </xf>
    <xf numFmtId="0" fontId="154" fillId="0" borderId="106" xfId="116" applyFont="1" applyBorder="1" applyAlignment="1">
      <alignment horizontal="left" vertical="justify" wrapText="1" indent="1"/>
    </xf>
    <xf numFmtId="0" fontId="154" fillId="0" borderId="111" xfId="116" applyFont="1" applyBorder="1" applyAlignment="1">
      <alignment horizontal="left" wrapText="1" indent="1"/>
    </xf>
    <xf numFmtId="2" fontId="154" fillId="0" borderId="111" xfId="116" applyNumberFormat="1" applyFont="1" applyBorder="1"/>
    <xf numFmtId="0" fontId="50" fillId="0" borderId="104" xfId="448" applyFont="1" applyBorder="1" applyAlignment="1">
      <alignment horizontal="center"/>
    </xf>
    <xf numFmtId="0" fontId="50" fillId="0" borderId="109" xfId="448" applyFont="1" applyBorder="1" applyAlignment="1">
      <alignment horizontal="center"/>
    </xf>
    <xf numFmtId="0" fontId="50" fillId="0" borderId="4" xfId="448" applyFont="1" applyBorder="1" applyAlignment="1">
      <alignment horizontal="center"/>
    </xf>
    <xf numFmtId="0" fontId="50" fillId="0" borderId="61" xfId="448" applyFont="1" applyBorder="1" applyAlignment="1">
      <alignment horizontal="center"/>
    </xf>
    <xf numFmtId="0" fontId="136" fillId="0" borderId="100" xfId="448" applyFont="1" applyBorder="1" applyAlignment="1">
      <alignment horizontal="center"/>
    </xf>
    <xf numFmtId="0" fontId="0" fillId="0" borderId="0" xfId="0" applyAlignment="1">
      <alignment horizontal="center"/>
    </xf>
    <xf numFmtId="0" fontId="136" fillId="0" borderId="104" xfId="448" applyFont="1" applyBorder="1" applyAlignment="1">
      <alignment horizontal="center"/>
    </xf>
    <xf numFmtId="4" fontId="132" fillId="0" borderId="28" xfId="116" applyNumberFormat="1" applyFont="1" applyBorder="1" applyAlignment="1">
      <alignment horizontal="left"/>
    </xf>
    <xf numFmtId="0" fontId="43" fillId="0" borderId="0" xfId="547" applyFont="1"/>
    <xf numFmtId="0" fontId="43" fillId="0" borderId="1" xfId="547" applyFont="1" applyBorder="1"/>
    <xf numFmtId="0" fontId="41" fillId="0" borderId="1" xfId="547" applyFont="1" applyBorder="1" applyAlignment="1">
      <alignment horizontal="center" vertical="center" wrapText="1"/>
    </xf>
    <xf numFmtId="0" fontId="41" fillId="0" borderId="1" xfId="547" applyFont="1" applyBorder="1" applyAlignment="1">
      <alignment vertical="top" wrapText="1"/>
    </xf>
    <xf numFmtId="0" fontId="148" fillId="0" borderId="1" xfId="547" applyFont="1" applyBorder="1" applyAlignment="1">
      <alignment horizontal="center" vertical="center" wrapText="1"/>
    </xf>
    <xf numFmtId="0" fontId="148" fillId="0" borderId="8" xfId="547" applyFont="1" applyBorder="1" applyAlignment="1">
      <alignment horizontal="center" vertical="center" wrapText="1"/>
    </xf>
    <xf numFmtId="0" fontId="41" fillId="0" borderId="1" xfId="547" applyFont="1" applyBorder="1"/>
    <xf numFmtId="0" fontId="50" fillId="0" borderId="1" xfId="547" applyFont="1" applyBorder="1" applyAlignment="1">
      <alignment vertical="top" wrapText="1"/>
    </xf>
    <xf numFmtId="1" fontId="148" fillId="0" borderId="1" xfId="547" applyNumberFormat="1" applyFont="1" applyBorder="1" applyAlignment="1">
      <alignment horizontal="center" vertical="center" wrapText="1"/>
    </xf>
    <xf numFmtId="0" fontId="148" fillId="64" borderId="8" xfId="547" applyFont="1" applyFill="1" applyBorder="1" applyAlignment="1">
      <alignment horizontal="center" vertical="center" wrapText="1"/>
    </xf>
    <xf numFmtId="0" fontId="41" fillId="0" borderId="3" xfId="547" applyFont="1" applyBorder="1" applyAlignment="1">
      <alignment horizontal="center" vertical="center" wrapText="1"/>
    </xf>
    <xf numFmtId="0" fontId="41" fillId="0" borderId="3" xfId="547" applyFont="1" applyBorder="1" applyAlignment="1">
      <alignment vertical="top" wrapText="1"/>
    </xf>
    <xf numFmtId="0" fontId="148" fillId="0" borderId="3" xfId="547" applyFont="1" applyBorder="1" applyAlignment="1">
      <alignment horizontal="center" vertical="center" wrapText="1"/>
    </xf>
    <xf numFmtId="0" fontId="148" fillId="0" borderId="10" xfId="547" applyFont="1" applyBorder="1" applyAlignment="1">
      <alignment horizontal="center" vertical="center" wrapText="1"/>
    </xf>
    <xf numFmtId="0" fontId="41" fillId="0" borderId="0" xfId="547" applyFont="1"/>
    <xf numFmtId="0" fontId="43" fillId="0" borderId="0" xfId="547" applyFont="1" applyAlignment="1">
      <alignment horizontal="left" vertical="center"/>
    </xf>
    <xf numFmtId="187" fontId="154" fillId="0" borderId="0" xfId="116" applyNumberFormat="1" applyFont="1" applyAlignment="1">
      <alignment horizontal="right"/>
    </xf>
    <xf numFmtId="0" fontId="154" fillId="0" borderId="0" xfId="116" applyFont="1" applyAlignment="1">
      <alignment horizontal="center"/>
    </xf>
    <xf numFmtId="177" fontId="154" fillId="0" borderId="106" xfId="116" applyNumberFormat="1" applyFont="1" applyBorder="1"/>
    <xf numFmtId="2" fontId="154" fillId="0" borderId="114" xfId="116" applyNumberFormat="1" applyFont="1" applyBorder="1"/>
    <xf numFmtId="2" fontId="154" fillId="0" borderId="114" xfId="116" applyNumberFormat="1" applyFont="1" applyBorder="1" applyAlignment="1">
      <alignment horizontal="right" wrapText="1"/>
    </xf>
    <xf numFmtId="2" fontId="154" fillId="34" borderId="111" xfId="116" applyNumberFormat="1" applyFont="1" applyFill="1" applyBorder="1" applyAlignment="1">
      <alignment horizontal="right"/>
    </xf>
    <xf numFmtId="2" fontId="158" fillId="0" borderId="0" xfId="116" applyNumberFormat="1" applyFont="1"/>
    <xf numFmtId="2" fontId="158" fillId="0" borderId="0" xfId="116" applyNumberFormat="1" applyFont="1" applyAlignment="1">
      <alignment horizontal="right"/>
    </xf>
    <xf numFmtId="2" fontId="154" fillId="0" borderId="0" xfId="116" applyNumberFormat="1" applyFont="1" applyAlignment="1">
      <alignment horizontal="right"/>
    </xf>
    <xf numFmtId="2" fontId="42" fillId="0" borderId="1" xfId="5" applyNumberFormat="1" applyFont="1" applyBorder="1"/>
    <xf numFmtId="0" fontId="158" fillId="0" borderId="0" xfId="116" applyFont="1" applyAlignment="1">
      <alignment horizontal="center" vertical="center" wrapText="1"/>
    </xf>
    <xf numFmtId="0" fontId="160" fillId="0" borderId="0" xfId="116" applyFont="1" applyAlignment="1">
      <alignment horizontal="center" vertical="center" wrapText="1"/>
    </xf>
    <xf numFmtId="0" fontId="135" fillId="0" borderId="0" xfId="116" applyFont="1" applyAlignment="1">
      <alignment horizontal="left"/>
    </xf>
    <xf numFmtId="187" fontId="100" fillId="0" borderId="0" xfId="116" applyNumberFormat="1" applyFont="1" applyAlignment="1">
      <alignment horizontal="right"/>
    </xf>
    <xf numFmtId="0" fontId="135" fillId="0" borderId="0" xfId="116" applyFont="1" applyAlignment="1">
      <alignment horizontal="center" vertical="center" wrapText="1"/>
    </xf>
    <xf numFmtId="2" fontId="135" fillId="0" borderId="0" xfId="116" applyNumberFormat="1" applyFont="1"/>
    <xf numFmtId="2" fontId="135" fillId="0" borderId="0" xfId="116" applyNumberFormat="1" applyFont="1" applyAlignment="1">
      <alignment horizontal="right"/>
    </xf>
    <xf numFmtId="2" fontId="100" fillId="0" borderId="0" xfId="116" applyNumberFormat="1" applyFont="1" applyAlignment="1">
      <alignment horizontal="right"/>
    </xf>
    <xf numFmtId="176" fontId="100" fillId="0" borderId="0" xfId="116" applyNumberFormat="1" applyFont="1"/>
    <xf numFmtId="2" fontId="50" fillId="66" borderId="0" xfId="116" applyNumberFormat="1" applyFont="1" applyFill="1"/>
    <xf numFmtId="2" fontId="50" fillId="31" borderId="0" xfId="116" applyNumberFormat="1" applyFont="1" applyFill="1"/>
    <xf numFmtId="4" fontId="132" fillId="31" borderId="0" xfId="116" applyNumberFormat="1" applyFont="1" applyFill="1" applyAlignment="1">
      <alignment horizontal="left"/>
    </xf>
    <xf numFmtId="0" fontId="158" fillId="32" borderId="6" xfId="116" applyFont="1" applyFill="1" applyBorder="1" applyAlignment="1">
      <alignment horizontal="center" vertical="center" wrapText="1"/>
    </xf>
    <xf numFmtId="0" fontId="158" fillId="32" borderId="33" xfId="116" applyFont="1" applyFill="1" applyBorder="1" applyAlignment="1">
      <alignment horizontal="center" vertical="center" wrapText="1"/>
    </xf>
    <xf numFmtId="0" fontId="159" fillId="32" borderId="33" xfId="116" applyFont="1" applyFill="1" applyBorder="1" applyAlignment="1">
      <alignment horizontal="center" vertical="center" wrapText="1"/>
    </xf>
    <xf numFmtId="0" fontId="160" fillId="32" borderId="6" xfId="116" applyFont="1" applyFill="1" applyBorder="1" applyAlignment="1">
      <alignment horizontal="center" vertical="center" wrapText="1"/>
    </xf>
    <xf numFmtId="0" fontId="158" fillId="32" borderId="31" xfId="116" applyFont="1" applyFill="1" applyBorder="1" applyAlignment="1">
      <alignment vertical="center" wrapText="1"/>
    </xf>
    <xf numFmtId="4" fontId="132" fillId="31" borderId="0" xfId="116" applyNumberFormat="1" applyFont="1" applyFill="1"/>
    <xf numFmtId="4" fontId="132" fillId="0" borderId="28" xfId="116" applyNumberFormat="1" applyFont="1" applyBorder="1"/>
    <xf numFmtId="0" fontId="43" fillId="0" borderId="1" xfId="506" applyFont="1" applyBorder="1" applyAlignment="1">
      <alignment horizontal="center" vertical="center"/>
    </xf>
    <xf numFmtId="0" fontId="43" fillId="0" borderId="0" xfId="546" applyFont="1" applyAlignment="1">
      <alignment horizontal="center" vertical="center" wrapText="1"/>
    </xf>
    <xf numFmtId="0" fontId="43" fillId="0" borderId="0" xfId="547" applyFont="1" applyAlignment="1">
      <alignment horizontal="center" wrapText="1"/>
    </xf>
    <xf numFmtId="0" fontId="159" fillId="32" borderId="6" xfId="116" applyFont="1" applyFill="1" applyBorder="1" applyAlignment="1">
      <alignment horizontal="center" vertical="center" wrapText="1"/>
    </xf>
    <xf numFmtId="0" fontId="145" fillId="66" borderId="1" xfId="506" applyFont="1" applyFill="1" applyBorder="1" applyAlignment="1">
      <alignment horizontal="center" vertical="center" wrapText="1"/>
    </xf>
    <xf numFmtId="0" fontId="146" fillId="66" borderId="1" xfId="506" applyFont="1" applyFill="1" applyBorder="1" applyAlignment="1">
      <alignment horizontal="center" vertical="center" wrapText="1"/>
    </xf>
    <xf numFmtId="2" fontId="145" fillId="66" borderId="1" xfId="506" applyNumberFormat="1" applyFont="1" applyFill="1" applyBorder="1" applyAlignment="1" applyProtection="1">
      <alignment horizontal="center" vertical="center" wrapText="1"/>
      <protection locked="0"/>
    </xf>
    <xf numFmtId="4" fontId="150" fillId="0" borderId="1" xfId="506" applyNumberFormat="1" applyFont="1" applyBorder="1" applyAlignment="1">
      <alignment horizontal="center" vertical="center" wrapText="1"/>
    </xf>
    <xf numFmtId="4" fontId="157" fillId="0" borderId="1" xfId="506" applyNumberFormat="1" applyFont="1" applyBorder="1" applyAlignment="1">
      <alignment horizontal="center" vertical="center" wrapText="1"/>
    </xf>
    <xf numFmtId="4" fontId="157" fillId="32" borderId="1" xfId="506" applyNumberFormat="1" applyFont="1" applyFill="1" applyBorder="1" applyAlignment="1">
      <alignment horizontal="center" vertical="center" wrapText="1"/>
    </xf>
    <xf numFmtId="4" fontId="150" fillId="0" borderId="1" xfId="506" applyNumberFormat="1" applyFont="1" applyBorder="1" applyAlignment="1" applyProtection="1">
      <alignment horizontal="center" vertical="center" wrapText="1"/>
      <protection locked="0"/>
    </xf>
    <xf numFmtId="4" fontId="157" fillId="31" borderId="1" xfId="506" applyNumberFormat="1" applyFont="1" applyFill="1" applyBorder="1" applyAlignment="1">
      <alignment horizontal="center" vertical="center" wrapText="1"/>
    </xf>
    <xf numFmtId="4" fontId="157" fillId="31" borderId="1" xfId="506" applyNumberFormat="1" applyFont="1" applyFill="1" applyBorder="1" applyAlignment="1" applyProtection="1">
      <alignment horizontal="center" vertical="center" wrapText="1"/>
      <protection locked="0"/>
    </xf>
    <xf numFmtId="0" fontId="92" fillId="0" borderId="0" xfId="506" applyFont="1" applyAlignment="1">
      <alignment vertical="center"/>
    </xf>
    <xf numFmtId="0" fontId="43" fillId="0" borderId="40" xfId="506" applyFont="1" applyBorder="1" applyAlignment="1">
      <alignment horizontal="center" vertical="center"/>
    </xf>
    <xf numFmtId="0" fontId="43" fillId="0" borderId="40" xfId="506" applyFont="1" applyBorder="1" applyAlignment="1">
      <alignment horizontal="right" vertical="center"/>
    </xf>
    <xf numFmtId="0" fontId="43" fillId="0" borderId="42" xfId="506" applyFont="1" applyBorder="1" applyAlignment="1">
      <alignment horizontal="center" vertical="center"/>
    </xf>
    <xf numFmtId="0" fontId="43" fillId="0" borderId="28" xfId="506" applyFont="1" applyBorder="1" applyAlignment="1">
      <alignment horizontal="center" vertical="center"/>
    </xf>
    <xf numFmtId="0" fontId="43" fillId="0" borderId="43" xfId="506" applyFont="1" applyBorder="1" applyAlignment="1">
      <alignment horizontal="right" vertical="center"/>
    </xf>
    <xf numFmtId="0" fontId="43" fillId="0" borderId="45" xfId="506" applyFont="1" applyBorder="1" applyAlignment="1">
      <alignment horizontal="center" vertical="center"/>
    </xf>
    <xf numFmtId="0" fontId="43" fillId="0" borderId="55" xfId="506" applyFont="1" applyBorder="1" applyAlignment="1">
      <alignment horizontal="center" vertical="center"/>
    </xf>
    <xf numFmtId="0" fontId="43" fillId="0" borderId="46" xfId="506" applyFont="1" applyBorder="1" applyAlignment="1">
      <alignment horizontal="center" vertical="center"/>
    </xf>
    <xf numFmtId="0" fontId="43" fillId="0" borderId="54" xfId="506" applyFont="1" applyBorder="1" applyAlignment="1">
      <alignment horizontal="center" vertical="center"/>
    </xf>
    <xf numFmtId="0" fontId="43" fillId="0" borderId="38" xfId="506" applyFont="1" applyBorder="1" applyAlignment="1">
      <alignment horizontal="right" vertical="top" wrapText="1"/>
    </xf>
    <xf numFmtId="0" fontId="43" fillId="0" borderId="40" xfId="506" applyFont="1" applyBorder="1" applyAlignment="1">
      <alignment vertical="top" wrapText="1"/>
    </xf>
    <xf numFmtId="0" fontId="43" fillId="0" borderId="43" xfId="506" applyFont="1" applyBorder="1" applyAlignment="1">
      <alignment horizontal="right" vertical="top" wrapText="1"/>
    </xf>
    <xf numFmtId="0" fontId="43" fillId="0" borderId="40" xfId="506" applyFont="1" applyBorder="1" applyAlignment="1">
      <alignment horizontal="left" vertical="top" wrapText="1"/>
    </xf>
    <xf numFmtId="0" fontId="43" fillId="0" borderId="43" xfId="506" applyFont="1" applyBorder="1" applyAlignment="1">
      <alignment vertical="top" wrapText="1"/>
    </xf>
    <xf numFmtId="0" fontId="92" fillId="0" borderId="46" xfId="506" applyFont="1" applyBorder="1" applyAlignment="1">
      <alignment vertical="top" wrapText="1"/>
    </xf>
    <xf numFmtId="0" fontId="100" fillId="0" borderId="51" xfId="506" applyFont="1" applyBorder="1" applyAlignment="1">
      <alignment horizontal="center" vertical="center"/>
    </xf>
    <xf numFmtId="0" fontId="43" fillId="0" borderId="70" xfId="506" applyFont="1" applyBorder="1" applyAlignment="1">
      <alignment horizontal="right" vertical="top" wrapText="1"/>
    </xf>
    <xf numFmtId="0" fontId="92" fillId="0" borderId="60" xfId="506" applyFont="1" applyBorder="1" applyAlignment="1">
      <alignment horizontal="center" vertical="center"/>
    </xf>
    <xf numFmtId="0" fontId="92" fillId="0" borderId="62" xfId="506" applyFont="1" applyBorder="1" applyAlignment="1">
      <alignment vertical="top" wrapText="1"/>
    </xf>
    <xf numFmtId="0" fontId="43" fillId="0" borderId="65" xfId="0" applyFont="1" applyBorder="1" applyAlignment="1">
      <alignment horizontal="right" vertical="center"/>
    </xf>
    <xf numFmtId="0" fontId="43" fillId="0" borderId="69" xfId="0" applyFont="1" applyBorder="1" applyAlignment="1">
      <alignment horizontal="right" vertical="center"/>
    </xf>
    <xf numFmtId="0" fontId="43" fillId="0" borderId="7" xfId="0" applyFont="1" applyBorder="1" applyAlignment="1">
      <alignment horizontal="right" vertical="center"/>
    </xf>
    <xf numFmtId="0" fontId="132" fillId="0" borderId="46" xfId="124" applyFont="1" applyBorder="1" applyAlignment="1">
      <alignment vertical="center" wrapText="1"/>
    </xf>
    <xf numFmtId="0" fontId="132" fillId="0" borderId="59" xfId="124" applyFont="1" applyBorder="1" applyAlignment="1">
      <alignment vertical="center" wrapText="1"/>
    </xf>
    <xf numFmtId="0" fontId="132" fillId="0" borderId="47" xfId="124" applyFont="1" applyBorder="1" applyAlignment="1">
      <alignment vertical="center" wrapText="1"/>
    </xf>
    <xf numFmtId="0" fontId="144" fillId="0" borderId="59" xfId="124" applyFont="1" applyBorder="1" applyAlignment="1">
      <alignment vertical="center" wrapText="1"/>
    </xf>
    <xf numFmtId="0" fontId="144" fillId="0" borderId="40" xfId="124" applyFont="1" applyBorder="1" applyAlignment="1">
      <alignment vertical="center" wrapText="1"/>
    </xf>
    <xf numFmtId="0" fontId="92" fillId="0" borderId="62" xfId="0" applyFont="1" applyBorder="1" applyAlignment="1">
      <alignment vertical="top" wrapText="1"/>
    </xf>
    <xf numFmtId="0" fontId="92" fillId="0" borderId="0" xfId="506" applyFont="1" applyAlignment="1">
      <alignment vertical="center" wrapText="1"/>
    </xf>
    <xf numFmtId="0" fontId="43" fillId="0" borderId="40" xfId="506" applyFont="1" applyBorder="1"/>
    <xf numFmtId="0" fontId="43" fillId="0" borderId="7" xfId="506" applyFont="1" applyBorder="1" applyAlignment="1">
      <alignment horizontal="center" vertical="center"/>
    </xf>
    <xf numFmtId="0" fontId="43" fillId="0" borderId="47" xfId="506" applyFont="1" applyBorder="1" applyAlignment="1">
      <alignment vertical="top" wrapText="1"/>
    </xf>
    <xf numFmtId="0" fontId="43" fillId="0" borderId="24" xfId="506" applyFont="1" applyBorder="1" applyAlignment="1">
      <alignment horizontal="left" vertical="top" wrapText="1"/>
    </xf>
    <xf numFmtId="0" fontId="43" fillId="0" borderId="70" xfId="506" applyFont="1" applyBorder="1" applyAlignment="1">
      <alignment horizontal="left" vertical="top" wrapText="1"/>
    </xf>
    <xf numFmtId="0" fontId="43" fillId="0" borderId="70" xfId="506" applyFont="1" applyBorder="1" applyAlignment="1">
      <alignment vertical="top" wrapText="1"/>
    </xf>
    <xf numFmtId="0" fontId="43" fillId="0" borderId="3" xfId="506" applyFont="1" applyBorder="1"/>
    <xf numFmtId="0" fontId="43" fillId="0" borderId="43" xfId="506" applyFont="1" applyBorder="1"/>
    <xf numFmtId="0" fontId="43" fillId="0" borderId="125" xfId="506" applyFont="1" applyBorder="1" applyAlignment="1">
      <alignment horizontal="right" vertical="top" wrapText="1"/>
    </xf>
    <xf numFmtId="0" fontId="43" fillId="0" borderId="124" xfId="506" applyFont="1" applyBorder="1" applyAlignment="1">
      <alignment horizontal="left" vertical="top" wrapText="1"/>
    </xf>
    <xf numFmtId="0" fontId="43" fillId="0" borderId="65" xfId="506" applyFont="1" applyBorder="1" applyAlignment="1">
      <alignment horizontal="right" vertical="center"/>
    </xf>
    <xf numFmtId="0" fontId="43" fillId="0" borderId="58" xfId="506" applyFont="1" applyBorder="1" applyAlignment="1">
      <alignment horizontal="right" vertical="center"/>
    </xf>
    <xf numFmtId="0" fontId="43" fillId="0" borderId="58" xfId="506" applyFont="1" applyBorder="1"/>
    <xf numFmtId="0" fontId="43" fillId="0" borderId="59" xfId="506" applyFont="1" applyBorder="1"/>
    <xf numFmtId="0" fontId="136" fillId="0" borderId="0" xfId="506" applyFont="1"/>
    <xf numFmtId="4" fontId="42" fillId="0" borderId="0" xfId="506" applyNumberFormat="1" applyFont="1"/>
    <xf numFmtId="0" fontId="161" fillId="0" borderId="1" xfId="134" applyFont="1" applyBorder="1" applyAlignment="1">
      <alignment horizontal="center" wrapText="1"/>
    </xf>
    <xf numFmtId="4" fontId="161" fillId="34" borderId="1" xfId="134" applyNumberFormat="1" applyFont="1" applyFill="1" applyBorder="1" applyAlignment="1">
      <alignment horizontal="right" vertical="center"/>
    </xf>
    <xf numFmtId="4" fontId="161" fillId="34" borderId="1" xfId="134" applyNumberFormat="1" applyFont="1" applyFill="1" applyBorder="1" applyAlignment="1">
      <alignment horizontal="center" vertical="center"/>
    </xf>
    <xf numFmtId="0" fontId="161" fillId="0" borderId="1" xfId="134" applyFont="1" applyBorder="1" applyAlignment="1">
      <alignment horizontal="left" wrapText="1"/>
    </xf>
    <xf numFmtId="0" fontId="161" fillId="64" borderId="1" xfId="134" applyFont="1" applyFill="1" applyBorder="1" applyAlignment="1">
      <alignment wrapText="1"/>
    </xf>
    <xf numFmtId="0" fontId="161" fillId="64" borderId="58" xfId="134" applyFont="1" applyFill="1" applyBorder="1" applyAlignment="1">
      <alignment wrapText="1"/>
    </xf>
    <xf numFmtId="0" fontId="169" fillId="64" borderId="64" xfId="134" applyFont="1" applyFill="1" applyBorder="1" applyAlignment="1">
      <alignment horizontal="center" vertical="center" wrapText="1"/>
    </xf>
    <xf numFmtId="0" fontId="169" fillId="64" borderId="8" xfId="134" applyFont="1" applyFill="1" applyBorder="1" applyAlignment="1">
      <alignment horizontal="center" vertical="center" wrapText="1"/>
    </xf>
    <xf numFmtId="0" fontId="161" fillId="64" borderId="45" xfId="134" applyFont="1" applyFill="1" applyBorder="1" applyAlignment="1">
      <alignment wrapText="1"/>
    </xf>
    <xf numFmtId="0" fontId="169" fillId="64" borderId="55" xfId="134" applyFont="1" applyFill="1" applyBorder="1" applyAlignment="1">
      <alignment horizontal="center" vertical="center" wrapText="1"/>
    </xf>
    <xf numFmtId="4" fontId="161" fillId="34" borderId="40" xfId="134" applyNumberFormat="1" applyFont="1" applyFill="1" applyBorder="1" applyAlignment="1">
      <alignment horizontal="right" vertical="center"/>
    </xf>
    <xf numFmtId="0" fontId="92" fillId="0" borderId="98" xfId="546" applyFont="1" applyBorder="1" applyAlignment="1">
      <alignment horizontal="center" vertical="center" wrapText="1"/>
    </xf>
    <xf numFmtId="0" fontId="43" fillId="0" borderId="10" xfId="546" applyFont="1" applyBorder="1" applyAlignment="1">
      <alignment horizontal="right"/>
    </xf>
    <xf numFmtId="0" fontId="43" fillId="0" borderId="8" xfId="546" applyFont="1" applyBorder="1" applyAlignment="1">
      <alignment horizontal="right"/>
    </xf>
    <xf numFmtId="0" fontId="92" fillId="0" borderId="31" xfId="546" applyFont="1" applyBorder="1" applyAlignment="1">
      <alignment horizontal="center" vertical="center"/>
    </xf>
    <xf numFmtId="0" fontId="109" fillId="0" borderId="73" xfId="546" applyFont="1" applyBorder="1"/>
    <xf numFmtId="0" fontId="43" fillId="0" borderId="73" xfId="546" applyFont="1" applyBorder="1"/>
    <xf numFmtId="0" fontId="109" fillId="0" borderId="67" xfId="546" applyFont="1" applyBorder="1"/>
    <xf numFmtId="0" fontId="43" fillId="0" borderId="71" xfId="546" applyFont="1" applyBorder="1"/>
    <xf numFmtId="0" fontId="109" fillId="0" borderId="126" xfId="546" applyFont="1" applyBorder="1"/>
    <xf numFmtId="0" fontId="92" fillId="0" borderId="6" xfId="546" applyFont="1" applyBorder="1"/>
    <xf numFmtId="0" fontId="43" fillId="0" borderId="53" xfId="546" applyFont="1" applyBorder="1"/>
    <xf numFmtId="0" fontId="43" fillId="0" borderId="54" xfId="546" applyFont="1" applyBorder="1"/>
    <xf numFmtId="0" fontId="43" fillId="0" borderId="45" xfId="546" applyFont="1" applyBorder="1"/>
    <xf numFmtId="0" fontId="43" fillId="0" borderId="55" xfId="546" applyFont="1" applyBorder="1"/>
    <xf numFmtId="2" fontId="92" fillId="0" borderId="31" xfId="546" applyNumberFormat="1" applyFont="1" applyBorder="1"/>
    <xf numFmtId="2" fontId="43" fillId="0" borderId="38" xfId="546" applyNumberFormat="1" applyFont="1" applyBorder="1"/>
    <xf numFmtId="2" fontId="43" fillId="0" borderId="73" xfId="546" applyNumberFormat="1" applyFont="1" applyBorder="1"/>
    <xf numFmtId="2" fontId="43" fillId="0" borderId="3" xfId="546" applyNumberFormat="1" applyFont="1" applyBorder="1"/>
    <xf numFmtId="2" fontId="43" fillId="0" borderId="1" xfId="546" applyNumberFormat="1" applyFont="1" applyBorder="1"/>
    <xf numFmtId="0" fontId="23" fillId="0" borderId="39" xfId="546" applyBorder="1"/>
    <xf numFmtId="0" fontId="23" fillId="0" borderId="1" xfId="546" applyBorder="1"/>
    <xf numFmtId="0" fontId="23" fillId="0" borderId="1" xfId="546" applyBorder="1" applyAlignment="1">
      <alignment horizontal="right"/>
    </xf>
    <xf numFmtId="49" fontId="23" fillId="0" borderId="1" xfId="546" applyNumberFormat="1" applyBorder="1" applyAlignment="1">
      <alignment horizontal="right"/>
    </xf>
    <xf numFmtId="0" fontId="23" fillId="0" borderId="40" xfId="546" applyBorder="1"/>
    <xf numFmtId="0" fontId="23" fillId="31" borderId="39" xfId="546" applyFill="1" applyBorder="1"/>
    <xf numFmtId="0" fontId="23" fillId="31" borderId="1" xfId="546" applyFill="1" applyBorder="1"/>
    <xf numFmtId="0" fontId="23" fillId="31" borderId="1" xfId="546" applyFill="1" applyBorder="1" applyAlignment="1">
      <alignment horizontal="right"/>
    </xf>
    <xf numFmtId="0" fontId="118" fillId="31" borderId="1" xfId="546" applyFont="1" applyFill="1" applyBorder="1" applyAlignment="1">
      <alignment horizontal="right"/>
    </xf>
    <xf numFmtId="49" fontId="23" fillId="31" borderId="1" xfId="546" applyNumberFormat="1" applyFill="1" applyBorder="1" applyAlignment="1">
      <alignment horizontal="right"/>
    </xf>
    <xf numFmtId="0" fontId="23" fillId="31" borderId="40" xfId="546" applyFill="1" applyBorder="1"/>
    <xf numFmtId="0" fontId="23" fillId="2" borderId="1" xfId="546" applyFill="1" applyBorder="1"/>
    <xf numFmtId="49" fontId="118" fillId="31" borderId="1" xfId="546" applyNumberFormat="1" applyFont="1" applyFill="1" applyBorder="1" applyAlignment="1">
      <alignment horizontal="right"/>
    </xf>
    <xf numFmtId="0" fontId="23" fillId="0" borderId="44" xfId="546" applyBorder="1"/>
    <xf numFmtId="0" fontId="23" fillId="0" borderId="45" xfId="546" applyBorder="1"/>
    <xf numFmtId="0" fontId="35" fillId="0" borderId="45" xfId="546" applyFont="1" applyBorder="1"/>
    <xf numFmtId="0" fontId="23" fillId="0" borderId="46" xfId="546" applyBorder="1"/>
    <xf numFmtId="0" fontId="35" fillId="0" borderId="0" xfId="546" applyFont="1"/>
    <xf numFmtId="0" fontId="51" fillId="0" borderId="30" xfId="546" applyFont="1" applyBorder="1" applyAlignment="1">
      <alignment horizontal="center"/>
    </xf>
    <xf numFmtId="0" fontId="51" fillId="0" borderId="6" xfId="546" applyFont="1" applyBorder="1" applyAlignment="1">
      <alignment horizontal="center"/>
    </xf>
    <xf numFmtId="0" fontId="51" fillId="0" borderId="6" xfId="546" applyFont="1" applyBorder="1" applyAlignment="1">
      <alignment horizontal="center" wrapText="1"/>
    </xf>
    <xf numFmtId="0" fontId="42" fillId="0" borderId="0" xfId="546" applyFont="1"/>
    <xf numFmtId="0" fontId="42" fillId="0" borderId="99" xfId="546" applyFont="1" applyBorder="1"/>
    <xf numFmtId="0" fontId="42" fillId="0" borderId="102" xfId="546" applyFont="1" applyBorder="1"/>
    <xf numFmtId="0" fontId="51" fillId="0" borderId="102" xfId="546" applyFont="1" applyBorder="1"/>
    <xf numFmtId="0" fontId="42" fillId="0" borderId="103" xfId="546" applyFont="1" applyBorder="1"/>
    <xf numFmtId="2" fontId="42" fillId="0" borderId="106" xfId="546" applyNumberFormat="1" applyFont="1" applyBorder="1" applyAlignment="1">
      <alignment horizontal="center"/>
    </xf>
    <xf numFmtId="0" fontId="42" fillId="0" borderId="108" xfId="546" applyFont="1" applyBorder="1"/>
    <xf numFmtId="0" fontId="42" fillId="0" borderId="106" xfId="546" applyFont="1" applyBorder="1" applyAlignment="1">
      <alignment horizontal="center"/>
    </xf>
    <xf numFmtId="0" fontId="42" fillId="0" borderId="111" xfId="546" applyFont="1" applyBorder="1" applyAlignment="1">
      <alignment horizontal="center"/>
    </xf>
    <xf numFmtId="0" fontId="51" fillId="31" borderId="29" xfId="546" applyFont="1" applyFill="1" applyBorder="1"/>
    <xf numFmtId="0" fontId="51" fillId="31" borderId="23" xfId="546" applyFont="1" applyFill="1" applyBorder="1" applyAlignment="1">
      <alignment horizontal="center"/>
    </xf>
    <xf numFmtId="0" fontId="22" fillId="33" borderId="0" xfId="546" applyFont="1" applyFill="1"/>
    <xf numFmtId="0" fontId="100" fillId="0" borderId="99" xfId="116" applyFont="1" applyBorder="1"/>
    <xf numFmtId="0" fontId="100" fillId="0" borderId="103" xfId="116" applyFont="1" applyBorder="1"/>
    <xf numFmtId="2" fontId="174" fillId="0" borderId="106" xfId="0" applyNumberFormat="1" applyFont="1" applyBorder="1" applyAlignment="1">
      <alignment horizontal="right" wrapText="1"/>
    </xf>
    <xf numFmtId="0" fontId="100" fillId="0" borderId="122" xfId="116" applyFont="1" applyBorder="1"/>
    <xf numFmtId="0" fontId="100" fillId="0" borderId="108" xfId="116" applyFont="1" applyBorder="1"/>
    <xf numFmtId="0" fontId="100" fillId="0" borderId="127" xfId="116" applyFont="1" applyBorder="1"/>
    <xf numFmtId="0" fontId="100" fillId="0" borderId="102" xfId="116" applyFont="1" applyBorder="1"/>
    <xf numFmtId="0" fontId="100" fillId="0" borderId="103" xfId="116" applyFont="1" applyBorder="1" applyAlignment="1">
      <alignment horizontal="left" indent="1"/>
    </xf>
    <xf numFmtId="2" fontId="100" fillId="0" borderId="106" xfId="116" applyNumberFormat="1" applyFont="1" applyBorder="1"/>
    <xf numFmtId="0" fontId="100" fillId="0" borderId="108" xfId="116" applyFont="1" applyBorder="1" applyAlignment="1">
      <alignment horizontal="left" indent="1"/>
    </xf>
    <xf numFmtId="2" fontId="100" fillId="0" borderId="111" xfId="116" applyNumberFormat="1" applyFont="1" applyBorder="1"/>
    <xf numFmtId="0" fontId="135" fillId="0" borderId="108" xfId="116" applyFont="1" applyBorder="1"/>
    <xf numFmtId="2" fontId="135" fillId="0" borderId="111" xfId="116" applyNumberFormat="1" applyFont="1" applyBorder="1"/>
    <xf numFmtId="0" fontId="43" fillId="0" borderId="0" xfId="546" applyFont="1" applyAlignment="1">
      <alignment vertical="center" wrapText="1"/>
    </xf>
    <xf numFmtId="0" fontId="43" fillId="0" borderId="93" xfId="546" applyFont="1" applyBorder="1" applyAlignment="1">
      <alignment horizontal="center" vertical="center"/>
    </xf>
    <xf numFmtId="0" fontId="43" fillId="0" borderId="90" xfId="546" applyFont="1" applyBorder="1" applyAlignment="1">
      <alignment horizontal="center" vertical="center"/>
    </xf>
    <xf numFmtId="0" fontId="43" fillId="0" borderId="39" xfId="546" applyFont="1" applyBorder="1" applyAlignment="1">
      <alignment horizontal="center" vertical="top"/>
    </xf>
    <xf numFmtId="4" fontId="43" fillId="0" borderId="0" xfId="546" applyNumberFormat="1" applyFont="1" applyAlignment="1">
      <alignment horizontal="right" vertical="top"/>
    </xf>
    <xf numFmtId="0" fontId="92" fillId="0" borderId="44" xfId="546" applyFont="1" applyBorder="1" applyAlignment="1">
      <alignment horizontal="left" vertical="top"/>
    </xf>
    <xf numFmtId="0" fontId="92" fillId="0" borderId="45" xfId="546" applyFont="1" applyBorder="1" applyAlignment="1">
      <alignment horizontal="left" vertical="top"/>
    </xf>
    <xf numFmtId="4" fontId="92" fillId="0" borderId="45" xfId="546" applyNumberFormat="1" applyFont="1" applyBorder="1" applyAlignment="1">
      <alignment horizontal="right" vertical="top"/>
    </xf>
    <xf numFmtId="0" fontId="43" fillId="0" borderId="42" xfId="546" applyFont="1" applyBorder="1" applyAlignment="1">
      <alignment horizontal="center" vertical="top"/>
    </xf>
    <xf numFmtId="0" fontId="43" fillId="0" borderId="3" xfId="546" applyFont="1" applyBorder="1" applyAlignment="1">
      <alignment horizontal="left" vertical="top"/>
    </xf>
    <xf numFmtId="4" fontId="43" fillId="0" borderId="3" xfId="546" applyNumberFormat="1" applyFont="1" applyBorder="1" applyAlignment="1">
      <alignment horizontal="right" vertical="top"/>
    </xf>
    <xf numFmtId="4" fontId="43" fillId="0" borderId="43" xfId="546" applyNumberFormat="1" applyFont="1" applyBorder="1" applyAlignment="1">
      <alignment horizontal="right" vertical="top"/>
    </xf>
    <xf numFmtId="0" fontId="43" fillId="0" borderId="45" xfId="546" applyFont="1" applyBorder="1" applyAlignment="1">
      <alignment horizontal="center" vertical="center" wrapText="1"/>
    </xf>
    <xf numFmtId="0" fontId="43" fillId="0" borderId="46" xfId="546" applyFont="1" applyBorder="1" applyAlignment="1">
      <alignment horizontal="center" vertical="center"/>
    </xf>
    <xf numFmtId="0" fontId="100" fillId="0" borderId="0" xfId="116" applyFont="1" applyAlignment="1">
      <alignment wrapText="1"/>
    </xf>
    <xf numFmtId="0" fontId="100" fillId="0" borderId="0" xfId="116" applyFont="1" applyAlignment="1">
      <alignment horizontal="center" wrapText="1"/>
    </xf>
    <xf numFmtId="177" fontId="43" fillId="0" borderId="32" xfId="0" applyNumberFormat="1" applyFont="1" applyBorder="1" applyAlignment="1">
      <alignment horizontal="center"/>
    </xf>
    <xf numFmtId="0" fontId="42" fillId="0" borderId="32" xfId="0" applyFont="1" applyBorder="1" applyAlignment="1">
      <alignment horizontal="center" wrapText="1"/>
    </xf>
    <xf numFmtId="0" fontId="132" fillId="0" borderId="32" xfId="0" applyFont="1" applyBorder="1" applyAlignment="1">
      <alignment horizontal="left" wrapText="1"/>
    </xf>
    <xf numFmtId="0" fontId="42" fillId="0" borderId="8" xfId="0" applyFont="1" applyBorder="1" applyAlignment="1">
      <alignment horizontal="center"/>
    </xf>
    <xf numFmtId="0" fontId="42" fillId="0" borderId="7" xfId="0" applyFont="1" applyBorder="1" applyAlignment="1">
      <alignment horizontal="center"/>
    </xf>
    <xf numFmtId="0" fontId="51" fillId="31" borderId="6" xfId="0" applyFont="1" applyFill="1" applyBorder="1"/>
    <xf numFmtId="0" fontId="42" fillId="0" borderId="67" xfId="0" applyFont="1" applyBorder="1" applyAlignment="1">
      <alignment horizontal="left"/>
    </xf>
    <xf numFmtId="0" fontId="42" fillId="0" borderId="89" xfId="0" applyFont="1" applyBorder="1" applyAlignment="1">
      <alignment horizontal="left"/>
    </xf>
    <xf numFmtId="0" fontId="42" fillId="0" borderId="43" xfId="0" applyFont="1" applyBorder="1" applyAlignment="1">
      <alignment horizontal="center"/>
    </xf>
    <xf numFmtId="0" fontId="51" fillId="0" borderId="6" xfId="0" applyFont="1" applyBorder="1"/>
    <xf numFmtId="2" fontId="42" fillId="0" borderId="42" xfId="0" applyNumberFormat="1" applyFont="1" applyBorder="1" applyAlignment="1">
      <alignment horizontal="center"/>
    </xf>
    <xf numFmtId="0" fontId="51" fillId="31" borderId="67" xfId="0" applyFont="1" applyFill="1" applyBorder="1"/>
    <xf numFmtId="0" fontId="51" fillId="31" borderId="7" xfId="0" applyFont="1" applyFill="1" applyBorder="1" applyAlignment="1">
      <alignment horizontal="center"/>
    </xf>
    <xf numFmtId="0" fontId="51" fillId="31" borderId="8" xfId="0" applyFont="1" applyFill="1" applyBorder="1" applyAlignment="1">
      <alignment horizontal="center"/>
    </xf>
    <xf numFmtId="0" fontId="51" fillId="31" borderId="39" xfId="0" applyFont="1" applyFill="1" applyBorder="1" applyAlignment="1">
      <alignment horizontal="center"/>
    </xf>
    <xf numFmtId="0" fontId="51" fillId="31" borderId="40" xfId="0" applyFont="1" applyFill="1" applyBorder="1" applyAlignment="1">
      <alignment horizontal="center"/>
    </xf>
    <xf numFmtId="0" fontId="154" fillId="0" borderId="106" xfId="116" applyFont="1" applyBorder="1" applyAlignment="1">
      <alignment horizontal="left" vertical="center" wrapText="1" indent="2"/>
    </xf>
    <xf numFmtId="0" fontId="42" fillId="0" borderId="39" xfId="547" applyFont="1" applyBorder="1" applyAlignment="1">
      <alignment horizontal="center" vertical="center" wrapText="1"/>
    </xf>
    <xf numFmtId="0" fontId="43" fillId="0" borderId="39" xfId="547" applyFont="1" applyBorder="1"/>
    <xf numFmtId="0" fontId="43" fillId="0" borderId="44" xfId="547" applyFont="1" applyBorder="1"/>
    <xf numFmtId="0" fontId="41" fillId="0" borderId="45" xfId="547" applyFont="1" applyBorder="1"/>
    <xf numFmtId="0" fontId="43" fillId="0" borderId="45" xfId="547" applyFont="1" applyBorder="1"/>
    <xf numFmtId="0" fontId="145" fillId="0" borderId="42" xfId="547" applyFont="1" applyBorder="1" applyAlignment="1">
      <alignment horizontal="center" vertical="center" wrapText="1"/>
    </xf>
    <xf numFmtId="0" fontId="145" fillId="0" borderId="3" xfId="547" applyFont="1" applyBorder="1" applyAlignment="1">
      <alignment horizontal="center" vertical="center" wrapText="1"/>
    </xf>
    <xf numFmtId="0" fontId="42" fillId="0" borderId="42" xfId="547" applyFont="1" applyBorder="1" applyAlignment="1">
      <alignment horizontal="center" vertical="center" wrapText="1"/>
    </xf>
    <xf numFmtId="0" fontId="145" fillId="0" borderId="60" xfId="547" applyFont="1" applyBorder="1" applyAlignment="1">
      <alignment horizontal="center" vertical="center" wrapText="1"/>
    </xf>
    <xf numFmtId="2" fontId="42" fillId="0" borderId="3" xfId="547" applyNumberFormat="1" applyFont="1" applyBorder="1" applyAlignment="1">
      <alignment horizontal="center"/>
    </xf>
    <xf numFmtId="2" fontId="42" fillId="0" borderId="1" xfId="547" applyNumberFormat="1" applyFont="1" applyBorder="1" applyAlignment="1">
      <alignment horizontal="center"/>
    </xf>
    <xf numFmtId="2" fontId="42" fillId="0" borderId="45" xfId="547" applyNumberFormat="1" applyFont="1" applyBorder="1" applyAlignment="1">
      <alignment horizontal="center"/>
    </xf>
    <xf numFmtId="0" fontId="43" fillId="0" borderId="3" xfId="551" applyFont="1" applyBorder="1" applyAlignment="1">
      <alignment horizontal="center" vertical="center"/>
    </xf>
    <xf numFmtId="0" fontId="43" fillId="0" borderId="10" xfId="551" applyFont="1" applyBorder="1" applyAlignment="1">
      <alignment horizontal="center" vertical="center"/>
    </xf>
    <xf numFmtId="0" fontId="43" fillId="0" borderId="3" xfId="551" applyFont="1" applyBorder="1" applyAlignment="1">
      <alignment vertical="top" wrapText="1"/>
    </xf>
    <xf numFmtId="0" fontId="43" fillId="32" borderId="1" xfId="551" applyFont="1" applyFill="1" applyBorder="1"/>
    <xf numFmtId="0" fontId="43" fillId="0" borderId="1" xfId="551" applyFont="1" applyBorder="1"/>
    <xf numFmtId="0" fontId="94" fillId="0" borderId="0" xfId="551" applyFont="1"/>
    <xf numFmtId="0" fontId="98" fillId="62" borderId="1" xfId="551" applyFont="1" applyFill="1" applyBorder="1" applyAlignment="1">
      <alignment horizontal="left" vertical="top" wrapText="1"/>
    </xf>
    <xf numFmtId="2" fontId="174" fillId="0" borderId="102" xfId="0" applyNumberFormat="1" applyFont="1" applyBorder="1" applyAlignment="1">
      <alignment horizontal="right" wrapText="1"/>
    </xf>
    <xf numFmtId="2" fontId="174" fillId="0" borderId="114" xfId="0" applyNumberFormat="1" applyFont="1" applyBorder="1" applyAlignment="1">
      <alignment horizontal="right" wrapText="1"/>
    </xf>
    <xf numFmtId="2" fontId="174" fillId="0" borderId="111" xfId="0" applyNumberFormat="1" applyFont="1" applyBorder="1" applyAlignment="1">
      <alignment horizontal="right" wrapText="1"/>
    </xf>
    <xf numFmtId="2" fontId="174" fillId="0" borderId="128" xfId="0" applyNumberFormat="1" applyFont="1" applyBorder="1" applyAlignment="1">
      <alignment horizontal="right" wrapText="1"/>
    </xf>
    <xf numFmtId="0" fontId="100" fillId="0" borderId="0" xfId="116" applyFont="1" applyAlignment="1">
      <alignment horizontal="center"/>
    </xf>
    <xf numFmtId="0" fontId="42" fillId="0" borderId="0" xfId="0" applyFont="1" applyAlignment="1">
      <alignment horizontal="center"/>
    </xf>
    <xf numFmtId="0" fontId="158" fillId="32" borderId="31" xfId="116" applyFont="1" applyFill="1" applyBorder="1" applyAlignment="1">
      <alignment horizontal="center" vertical="center" wrapText="1"/>
    </xf>
    <xf numFmtId="0" fontId="132" fillId="34" borderId="0" xfId="448" applyFont="1" applyFill="1" applyAlignment="1">
      <alignment horizontal="center"/>
    </xf>
    <xf numFmtId="0" fontId="135" fillId="3" borderId="0" xfId="448" applyFont="1" applyFill="1" applyAlignment="1">
      <alignment horizontal="center"/>
    </xf>
    <xf numFmtId="0" fontId="144" fillId="31" borderId="30" xfId="448" applyFont="1" applyFill="1" applyBorder="1" applyAlignment="1">
      <alignment horizontal="center" vertical="center" wrapText="1"/>
    </xf>
    <xf numFmtId="0" fontId="132" fillId="0" borderId="99" xfId="448" applyFont="1" applyBorder="1" applyAlignment="1">
      <alignment wrapText="1"/>
    </xf>
    <xf numFmtId="2" fontId="132" fillId="0" borderId="129" xfId="448" applyNumberFormat="1" applyFont="1" applyBorder="1" applyAlignment="1">
      <alignment horizontal="center"/>
    </xf>
    <xf numFmtId="0" fontId="132" fillId="0" borderId="103" xfId="448" applyFont="1" applyBorder="1" applyAlignment="1">
      <alignment wrapText="1"/>
    </xf>
    <xf numFmtId="2" fontId="132" fillId="0" borderId="106" xfId="448" applyNumberFormat="1" applyFont="1" applyBorder="1" applyAlignment="1">
      <alignment horizontal="center"/>
    </xf>
    <xf numFmtId="0" fontId="144" fillId="31" borderId="108" xfId="448" applyFont="1" applyFill="1" applyBorder="1"/>
    <xf numFmtId="2" fontId="144" fillId="31" borderId="111" xfId="448" applyNumberFormat="1" applyFont="1" applyFill="1" applyBorder="1" applyAlignment="1">
      <alignment horizontal="center"/>
    </xf>
    <xf numFmtId="2" fontId="144" fillId="31" borderId="131" xfId="448" applyNumberFormat="1" applyFont="1" applyFill="1" applyBorder="1" applyAlignment="1">
      <alignment horizontal="center"/>
    </xf>
    <xf numFmtId="0" fontId="145" fillId="0" borderId="61" xfId="547" applyFont="1" applyBorder="1" applyAlignment="1">
      <alignment horizontal="center" vertical="center" wrapText="1"/>
    </xf>
    <xf numFmtId="0" fontId="148" fillId="64" borderId="1" xfId="547" applyFont="1" applyFill="1" applyBorder="1" applyAlignment="1">
      <alignment horizontal="center" vertical="center" wrapText="1"/>
    </xf>
    <xf numFmtId="0" fontId="43" fillId="0" borderId="0" xfId="552" applyFont="1" applyAlignment="1">
      <alignment horizontal="center" vertical="center"/>
    </xf>
    <xf numFmtId="0" fontId="43" fillId="0" borderId="0" xfId="552" applyFont="1"/>
    <xf numFmtId="0" fontId="42" fillId="0" borderId="0" xfId="552" applyFont="1"/>
    <xf numFmtId="0" fontId="42" fillId="0" borderId="1" xfId="552" applyFont="1" applyBorder="1" applyAlignment="1">
      <alignment vertical="center"/>
    </xf>
    <xf numFmtId="4" fontId="42" fillId="0" borderId="1" xfId="552" applyNumberFormat="1" applyFont="1" applyBorder="1" applyAlignment="1">
      <alignment vertical="center"/>
    </xf>
    <xf numFmtId="2" fontId="42" fillId="0" borderId="1" xfId="552" applyNumberFormat="1" applyFont="1" applyBorder="1" applyAlignment="1">
      <alignment vertical="center"/>
    </xf>
    <xf numFmtId="0" fontId="42" fillId="0" borderId="1" xfId="552" applyFont="1" applyBorder="1"/>
    <xf numFmtId="0" fontId="43" fillId="0" borderId="1" xfId="0" applyFont="1" applyBorder="1" applyAlignment="1">
      <alignment wrapText="1"/>
    </xf>
    <xf numFmtId="0" fontId="109" fillId="62" borderId="1" xfId="0" applyFont="1" applyFill="1" applyBorder="1" applyAlignment="1">
      <alignment wrapText="1"/>
    </xf>
    <xf numFmtId="0" fontId="109" fillId="62" borderId="3" xfId="0" applyFont="1" applyFill="1" applyBorder="1" applyAlignment="1">
      <alignment wrapText="1"/>
    </xf>
    <xf numFmtId="2" fontId="42" fillId="0" borderId="1" xfId="552" applyNumberFormat="1" applyFont="1" applyBorder="1"/>
    <xf numFmtId="0" fontId="42" fillId="0" borderId="4" xfId="552" applyFont="1" applyBorder="1"/>
    <xf numFmtId="0" fontId="42" fillId="63" borderId="0" xfId="552" applyFont="1" applyFill="1"/>
    <xf numFmtId="0" fontId="51" fillId="0" borderId="1" xfId="552" applyFont="1" applyBorder="1"/>
    <xf numFmtId="0" fontId="51" fillId="0" borderId="0" xfId="552" applyFont="1"/>
    <xf numFmtId="0" fontId="51" fillId="0" borderId="1" xfId="552" applyFont="1" applyBorder="1" applyAlignment="1">
      <alignment horizontal="center"/>
    </xf>
    <xf numFmtId="0" fontId="51" fillId="0" borderId="36" xfId="552" applyFont="1" applyBorder="1"/>
    <xf numFmtId="0" fontId="51" fillId="0" borderId="63" xfId="552" applyFont="1" applyBorder="1"/>
    <xf numFmtId="0" fontId="51" fillId="0" borderId="98" xfId="552" applyFont="1" applyBorder="1"/>
    <xf numFmtId="0" fontId="42" fillId="0" borderId="89" xfId="552" applyFont="1" applyBorder="1" applyAlignment="1">
      <alignment horizontal="left" indent="1"/>
    </xf>
    <xf numFmtId="0" fontId="154" fillId="0" borderId="114" xfId="116" applyFont="1" applyBorder="1" applyAlignment="1">
      <alignment horizontal="left" wrapText="1" indent="1"/>
    </xf>
    <xf numFmtId="0" fontId="100" fillId="0" borderId="26" xfId="116" applyFont="1" applyBorder="1" applyAlignment="1">
      <alignment horizontal="center"/>
    </xf>
    <xf numFmtId="0" fontId="100" fillId="0" borderId="6" xfId="116" applyFont="1" applyBorder="1" applyAlignment="1">
      <alignment horizontal="center"/>
    </xf>
    <xf numFmtId="0" fontId="132" fillId="0" borderId="0" xfId="116" applyFont="1" applyAlignment="1">
      <alignment horizontal="left"/>
    </xf>
    <xf numFmtId="0" fontId="50" fillId="31" borderId="0" xfId="116" applyFont="1" applyFill="1" applyAlignment="1">
      <alignment horizontal="left"/>
    </xf>
    <xf numFmtId="0" fontId="42" fillId="0" borderId="32" xfId="0" applyFont="1" applyBorder="1" applyAlignment="1">
      <alignment wrapText="1"/>
    </xf>
    <xf numFmtId="4" fontId="42" fillId="0" borderId="0" xfId="0" applyNumberFormat="1" applyFont="1"/>
    <xf numFmtId="2" fontId="42" fillId="0" borderId="0" xfId="0" applyNumberFormat="1" applyFont="1"/>
    <xf numFmtId="0" fontId="42" fillId="0" borderId="102" xfId="0" applyFont="1" applyBorder="1"/>
    <xf numFmtId="0" fontId="42" fillId="0" borderId="132" xfId="0" applyFont="1" applyBorder="1" applyAlignment="1">
      <alignment horizontal="center"/>
    </xf>
    <xf numFmtId="0" fontId="42" fillId="0" borderId="106" xfId="0" applyFont="1" applyBorder="1"/>
    <xf numFmtId="0" fontId="42" fillId="0" borderId="123" xfId="0" applyFont="1" applyBorder="1" applyAlignment="1">
      <alignment horizontal="center"/>
    </xf>
    <xf numFmtId="0" fontId="42" fillId="0" borderId="106" xfId="0" applyFont="1" applyBorder="1" applyAlignment="1">
      <alignment wrapText="1"/>
    </xf>
    <xf numFmtId="0" fontId="42" fillId="0" borderId="111" xfId="0" applyFont="1" applyBorder="1" applyAlignment="1">
      <alignment wrapText="1"/>
    </xf>
    <xf numFmtId="0" fontId="42" fillId="0" borderId="133" xfId="0" applyFont="1" applyBorder="1" applyAlignment="1">
      <alignment horizontal="center"/>
    </xf>
    <xf numFmtId="10" fontId="42" fillId="0" borderId="111" xfId="0" applyNumberFormat="1" applyFont="1" applyBorder="1" applyAlignment="1">
      <alignment horizontal="center"/>
    </xf>
    <xf numFmtId="0" fontId="42" fillId="0" borderId="102" xfId="0" applyFont="1" applyBorder="1" applyAlignment="1">
      <alignment wrapText="1"/>
    </xf>
    <xf numFmtId="0" fontId="42" fillId="0" borderId="128" xfId="0" applyFont="1" applyBorder="1" applyAlignment="1">
      <alignment wrapText="1"/>
    </xf>
    <xf numFmtId="10" fontId="154" fillId="0" borderId="0" xfId="116" applyNumberFormat="1" applyFont="1" applyAlignment="1">
      <alignment horizontal="right"/>
    </xf>
    <xf numFmtId="175" fontId="44" fillId="0" borderId="1" xfId="240" applyNumberFormat="1" applyFont="1" applyBorder="1" applyAlignment="1" applyProtection="1">
      <alignment horizontal="center" vertical="center" wrapText="1"/>
      <protection locked="0"/>
    </xf>
    <xf numFmtId="175" fontId="44" fillId="0" borderId="1" xfId="240" applyNumberFormat="1" applyFont="1" applyBorder="1" applyAlignment="1">
      <alignment horizontal="center" vertical="center" wrapText="1"/>
    </xf>
    <xf numFmtId="175" fontId="40" fillId="0" borderId="1" xfId="240" applyNumberFormat="1" applyFont="1" applyBorder="1" applyAlignment="1">
      <alignment horizontal="center" vertical="center" wrapText="1"/>
    </xf>
    <xf numFmtId="175" fontId="40" fillId="0" borderId="1" xfId="240" applyNumberFormat="1" applyFont="1" applyBorder="1" applyAlignment="1" applyProtection="1">
      <alignment horizontal="center" vertical="center" wrapText="1"/>
      <protection locked="0"/>
    </xf>
    <xf numFmtId="2" fontId="27" fillId="0" borderId="0" xfId="240" applyNumberFormat="1"/>
    <xf numFmtId="2" fontId="27" fillId="0" borderId="0" xfId="240" applyNumberFormat="1" applyAlignment="1">
      <alignment horizontal="center"/>
    </xf>
    <xf numFmtId="0" fontId="43" fillId="0" borderId="3" xfId="551" applyFont="1" applyBorder="1"/>
    <xf numFmtId="0" fontId="42" fillId="0" borderId="0" xfId="551" applyFont="1"/>
    <xf numFmtId="0" fontId="132" fillId="0" borderId="0" xfId="551" applyFont="1"/>
    <xf numFmtId="0" fontId="42" fillId="0" borderId="0" xfId="551" applyFont="1" applyAlignment="1">
      <alignment wrapText="1"/>
    </xf>
    <xf numFmtId="4" fontId="42" fillId="0" borderId="0" xfId="551" applyNumberFormat="1" applyFont="1"/>
    <xf numFmtId="0" fontId="154" fillId="0" borderId="0" xfId="551" applyFont="1"/>
    <xf numFmtId="0" fontId="114" fillId="0" borderId="0" xfId="240" applyFont="1"/>
    <xf numFmtId="0" fontId="176" fillId="0" borderId="0" xfId="240" applyFont="1"/>
    <xf numFmtId="0" fontId="175" fillId="0" borderId="0" xfId="240" applyFont="1"/>
    <xf numFmtId="0" fontId="177" fillId="0" borderId="0" xfId="0" applyFont="1"/>
    <xf numFmtId="175" fontId="176" fillId="0" borderId="0" xfId="240" applyNumberFormat="1" applyFont="1"/>
    <xf numFmtId="175" fontId="113" fillId="0" borderId="0" xfId="240" applyNumberFormat="1" applyFont="1"/>
    <xf numFmtId="176" fontId="176" fillId="0" borderId="0" xfId="240" applyNumberFormat="1" applyFont="1"/>
    <xf numFmtId="0" fontId="178" fillId="0" borderId="0" xfId="240" applyFont="1"/>
    <xf numFmtId="0" fontId="113" fillId="0" borderId="0" xfId="5" applyFont="1"/>
    <xf numFmtId="0" fontId="40" fillId="31" borderId="1" xfId="0" applyFont="1" applyFill="1" applyBorder="1" applyAlignment="1">
      <alignment vertical="center" wrapText="1"/>
    </xf>
    <xf numFmtId="49" fontId="40" fillId="31" borderId="1" xfId="240" applyNumberFormat="1" applyFont="1" applyFill="1" applyBorder="1" applyAlignment="1">
      <alignment horizontal="center" vertical="center" wrapText="1"/>
    </xf>
    <xf numFmtId="0" fontId="40" fillId="31" borderId="1" xfId="240" applyFont="1" applyFill="1" applyBorder="1" applyAlignment="1">
      <alignment vertical="center" wrapText="1"/>
    </xf>
    <xf numFmtId="0" fontId="20" fillId="0" borderId="0" xfId="5" applyFont="1"/>
    <xf numFmtId="0" fontId="44" fillId="0" borderId="1" xfId="5" applyFont="1" applyBorder="1" applyAlignment="1">
      <alignment vertical="center" wrapText="1"/>
    </xf>
    <xf numFmtId="0" fontId="44" fillId="31" borderId="1" xfId="0" applyFont="1" applyFill="1" applyBorder="1" applyAlignment="1">
      <alignment vertical="center" wrapText="1"/>
    </xf>
    <xf numFmtId="0" fontId="44" fillId="0" borderId="8" xfId="240" applyFont="1" applyBorder="1" applyAlignment="1">
      <alignment horizontal="center" vertical="center" wrapText="1"/>
    </xf>
    <xf numFmtId="0" fontId="92" fillId="0" borderId="0" xfId="546" applyFont="1" applyAlignment="1">
      <alignment horizontal="center" vertical="center" wrapText="1"/>
    </xf>
    <xf numFmtId="0" fontId="163" fillId="0" borderId="0" xfId="552" applyFont="1" applyAlignment="1">
      <alignment horizontal="center"/>
    </xf>
    <xf numFmtId="179" fontId="50" fillId="0" borderId="0" xfId="116" applyNumberFormat="1" applyFont="1"/>
    <xf numFmtId="179" fontId="154" fillId="0" borderId="0" xfId="116" applyNumberFormat="1" applyFont="1" applyAlignment="1">
      <alignment horizontal="right"/>
    </xf>
    <xf numFmtId="179" fontId="158" fillId="32" borderId="6" xfId="116" applyNumberFormat="1" applyFont="1" applyFill="1" applyBorder="1" applyAlignment="1">
      <alignment horizontal="center" vertical="center" wrapText="1"/>
    </xf>
    <xf numFmtId="179" fontId="50" fillId="34" borderId="0" xfId="116" applyNumberFormat="1" applyFont="1" applyFill="1"/>
    <xf numFmtId="2" fontId="176" fillId="0" borderId="0" xfId="240" applyNumberFormat="1" applyFont="1"/>
    <xf numFmtId="4" fontId="35" fillId="0" borderId="0" xfId="240" applyNumberFormat="1" applyFont="1"/>
    <xf numFmtId="2" fontId="35" fillId="0" borderId="0" xfId="240" applyNumberFormat="1" applyFont="1"/>
    <xf numFmtId="2" fontId="39" fillId="0" borderId="0" xfId="5" applyNumberFormat="1" applyFont="1" applyAlignment="1" applyProtection="1">
      <alignment horizontal="center" vertical="center"/>
      <protection locked="0"/>
    </xf>
    <xf numFmtId="0" fontId="43" fillId="0" borderId="1" xfId="0" applyFont="1" applyBorder="1"/>
    <xf numFmtId="0" fontId="179" fillId="3" borderId="0" xfId="0" applyFont="1" applyFill="1"/>
    <xf numFmtId="0" fontId="42" fillId="0" borderId="1" xfId="0" applyFont="1" applyBorder="1" applyAlignment="1">
      <alignment horizontal="right" vertical="center"/>
    </xf>
    <xf numFmtId="4" fontId="42" fillId="0" borderId="1" xfId="0" applyNumberFormat="1" applyFont="1" applyBorder="1" applyAlignment="1">
      <alignment horizontal="right" vertical="center"/>
    </xf>
    <xf numFmtId="1" fontId="42" fillId="0" borderId="1" xfId="0" applyNumberFormat="1" applyFont="1" applyBorder="1" applyAlignment="1">
      <alignment horizontal="right" vertical="center"/>
    </xf>
    <xf numFmtId="4" fontId="42" fillId="0" borderId="1" xfId="0" applyNumberFormat="1" applyFont="1" applyBorder="1"/>
    <xf numFmtId="4" fontId="42" fillId="0" borderId="1" xfId="0" applyNumberFormat="1" applyFont="1" applyBorder="1" applyAlignment="1">
      <alignment vertical="center"/>
    </xf>
    <xf numFmtId="4" fontId="42" fillId="0" borderId="8" xfId="0" applyNumberFormat="1" applyFont="1" applyBorder="1" applyAlignment="1">
      <alignment horizontal="right" vertical="center"/>
    </xf>
    <xf numFmtId="0" fontId="163" fillId="0" borderId="0" xfId="552" applyFont="1"/>
    <xf numFmtId="0" fontId="92" fillId="0" borderId="0" xfId="552" applyFont="1"/>
    <xf numFmtId="0" fontId="181" fillId="62" borderId="0" xfId="552" applyFont="1" applyFill="1" applyAlignment="1">
      <alignment wrapText="1"/>
    </xf>
    <xf numFmtId="0" fontId="162" fillId="62" borderId="0" xfId="552" applyFont="1" applyFill="1" applyAlignment="1">
      <alignment wrapText="1"/>
    </xf>
    <xf numFmtId="0" fontId="151" fillId="0" borderId="0" xfId="552" applyFont="1"/>
    <xf numFmtId="0" fontId="109" fillId="62" borderId="39" xfId="0" applyFont="1" applyFill="1" applyBorder="1" applyAlignment="1">
      <alignment horizontal="center" vertical="center"/>
    </xf>
    <xf numFmtId="0" fontId="42" fillId="0" borderId="3" xfId="552" applyFont="1" applyBorder="1" applyAlignment="1">
      <alignment horizontal="right" vertical="center"/>
    </xf>
    <xf numFmtId="4" fontId="42" fillId="0" borderId="3" xfId="552" applyNumberFormat="1" applyFont="1" applyBorder="1" applyAlignment="1">
      <alignment horizontal="right" vertical="center"/>
    </xf>
    <xf numFmtId="0" fontId="42" fillId="0" borderId="3" xfId="552" applyFont="1" applyBorder="1" applyAlignment="1">
      <alignment vertical="center"/>
    </xf>
    <xf numFmtId="0" fontId="42" fillId="0" borderId="45" xfId="552" applyFont="1" applyBorder="1" applyAlignment="1">
      <alignment horizontal="center" vertical="center"/>
    </xf>
    <xf numFmtId="0" fontId="109" fillId="62" borderId="42" xfId="0" applyFont="1" applyFill="1" applyBorder="1" applyAlignment="1">
      <alignment horizontal="center" vertical="center"/>
    </xf>
    <xf numFmtId="0" fontId="42" fillId="0" borderId="3" xfId="0" applyFont="1" applyBorder="1" applyAlignment="1">
      <alignment horizontal="right" vertical="center"/>
    </xf>
    <xf numFmtId="0" fontId="43" fillId="0" borderId="45" xfId="0" applyFont="1" applyBorder="1" applyAlignment="1">
      <alignment horizontal="center" vertical="center"/>
    </xf>
    <xf numFmtId="0" fontId="43" fillId="0" borderId="55" xfId="0" applyFont="1" applyBorder="1" applyAlignment="1">
      <alignment horizontal="center" vertical="center"/>
    </xf>
    <xf numFmtId="0" fontId="135" fillId="0" borderId="66" xfId="0" applyFont="1" applyBorder="1" applyAlignment="1">
      <alignment horizontal="center" vertical="center"/>
    </xf>
    <xf numFmtId="0" fontId="100" fillId="0" borderId="68" xfId="0" applyFont="1" applyBorder="1" applyAlignment="1">
      <alignment horizontal="center" vertical="center"/>
    </xf>
    <xf numFmtId="4" fontId="42" fillId="0" borderId="89" xfId="0" applyNumberFormat="1" applyFont="1" applyBorder="1" applyAlignment="1">
      <alignment horizontal="right" vertical="center"/>
    </xf>
    <xf numFmtId="0" fontId="42" fillId="0" borderId="55" xfId="552" applyFont="1" applyBorder="1" applyAlignment="1">
      <alignment horizontal="center" vertical="center"/>
    </xf>
    <xf numFmtId="0" fontId="42" fillId="0" borderId="10" xfId="552" applyFont="1" applyBorder="1" applyAlignment="1">
      <alignment vertical="center"/>
    </xf>
    <xf numFmtId="0" fontId="42" fillId="0" borderId="8" xfId="552" applyFont="1" applyBorder="1" applyAlignment="1">
      <alignment vertical="center"/>
    </xf>
    <xf numFmtId="0" fontId="132" fillId="0" borderId="66" xfId="552" applyFont="1" applyBorder="1" applyAlignment="1">
      <alignment horizontal="center" vertical="center"/>
    </xf>
    <xf numFmtId="0" fontId="132" fillId="0" borderId="68" xfId="552" applyFont="1" applyBorder="1" applyAlignment="1">
      <alignment horizontal="center" vertical="center"/>
    </xf>
    <xf numFmtId="4" fontId="42" fillId="0" borderId="89" xfId="552" applyNumberFormat="1" applyFont="1" applyBorder="1" applyAlignment="1">
      <alignment vertical="center"/>
    </xf>
    <xf numFmtId="4" fontId="42" fillId="0" borderId="67" xfId="552" applyNumberFormat="1" applyFont="1" applyBorder="1" applyAlignment="1">
      <alignment vertical="center"/>
    </xf>
    <xf numFmtId="0" fontId="162" fillId="62" borderId="30" xfId="0" applyFont="1" applyFill="1" applyBorder="1" applyAlignment="1">
      <alignment horizontal="center" vertical="center"/>
    </xf>
    <xf numFmtId="0" fontId="162" fillId="62" borderId="61" xfId="0" applyFont="1" applyFill="1" applyBorder="1" applyAlignment="1">
      <alignment wrapText="1"/>
    </xf>
    <xf numFmtId="4" fontId="51" fillId="0" borderId="98" xfId="0" applyNumberFormat="1" applyFont="1" applyBorder="1" applyAlignment="1">
      <alignment horizontal="right" vertical="center"/>
    </xf>
    <xf numFmtId="4" fontId="51" fillId="0" borderId="63" xfId="0" applyNumberFormat="1" applyFont="1" applyBorder="1" applyAlignment="1">
      <alignment horizontal="right" vertical="center"/>
    </xf>
    <xf numFmtId="4" fontId="51" fillId="0" borderId="6" xfId="0" applyNumberFormat="1" applyFont="1" applyBorder="1" applyAlignment="1">
      <alignment horizontal="right" vertical="center"/>
    </xf>
    <xf numFmtId="0" fontId="51" fillId="0" borderId="61" xfId="552" applyFont="1" applyBorder="1"/>
    <xf numFmtId="4" fontId="51" fillId="0" borderId="61" xfId="552" applyNumberFormat="1" applyFont="1" applyBorder="1" applyAlignment="1">
      <alignment vertical="center"/>
    </xf>
    <xf numFmtId="4" fontId="51" fillId="0" borderId="6" xfId="552" applyNumberFormat="1" applyFont="1" applyBorder="1" applyAlignment="1">
      <alignment vertical="center"/>
    </xf>
    <xf numFmtId="0" fontId="145" fillId="0" borderId="10" xfId="547" applyFont="1" applyBorder="1" applyAlignment="1">
      <alignment horizontal="center" vertical="center" wrapText="1"/>
    </xf>
    <xf numFmtId="2" fontId="43" fillId="0" borderId="8" xfId="547" applyNumberFormat="1" applyFont="1" applyBorder="1" applyAlignment="1">
      <alignment horizontal="center"/>
    </xf>
    <xf numFmtId="2" fontId="43" fillId="0" borderId="55" xfId="547" applyNumberFormat="1" applyFont="1" applyBorder="1" applyAlignment="1">
      <alignment horizontal="center"/>
    </xf>
    <xf numFmtId="0" fontId="145" fillId="0" borderId="89" xfId="547" applyFont="1" applyBorder="1" applyAlignment="1">
      <alignment horizontal="center" vertical="center" wrapText="1"/>
    </xf>
    <xf numFmtId="2" fontId="41" fillId="0" borderId="67" xfId="547" applyNumberFormat="1" applyFont="1" applyBorder="1" applyAlignment="1">
      <alignment horizontal="center"/>
    </xf>
    <xf numFmtId="2" fontId="41" fillId="0" borderId="68" xfId="547" applyNumberFormat="1" applyFont="1" applyBorder="1" applyAlignment="1">
      <alignment horizontal="center"/>
    </xf>
    <xf numFmtId="0" fontId="41" fillId="0" borderId="79" xfId="547" applyFont="1" applyBorder="1" applyAlignment="1">
      <alignment horizontal="center" vertical="center" wrapText="1"/>
    </xf>
    <xf numFmtId="0" fontId="41" fillId="0" borderId="79" xfId="547" applyFont="1" applyBorder="1" applyAlignment="1">
      <alignment vertical="top" wrapText="1"/>
    </xf>
    <xf numFmtId="0" fontId="148" fillId="0" borderId="79" xfId="547" applyFont="1" applyBorder="1" applyAlignment="1">
      <alignment horizontal="center" vertical="center" wrapText="1"/>
    </xf>
    <xf numFmtId="0" fontId="43" fillId="0" borderId="42" xfId="547" applyFont="1" applyBorder="1"/>
    <xf numFmtId="0" fontId="41" fillId="0" borderId="3" xfId="547" applyFont="1" applyBorder="1"/>
    <xf numFmtId="0" fontId="43" fillId="0" borderId="3" xfId="547" applyFont="1" applyBorder="1"/>
    <xf numFmtId="2" fontId="43" fillId="0" borderId="10" xfId="547" applyNumberFormat="1" applyFont="1" applyBorder="1" applyAlignment="1">
      <alignment horizontal="center"/>
    </xf>
    <xf numFmtId="2" fontId="41" fillId="0" borderId="89" xfId="547" applyNumberFormat="1" applyFont="1" applyBorder="1" applyAlignment="1">
      <alignment horizontal="center"/>
    </xf>
    <xf numFmtId="0" fontId="42" fillId="0" borderId="60" xfId="547" applyFont="1" applyBorder="1" applyAlignment="1">
      <alignment horizontal="center" vertical="center" wrapText="1"/>
    </xf>
    <xf numFmtId="0" fontId="41" fillId="0" borderId="61" xfId="547" applyFont="1" applyBorder="1" applyAlignment="1">
      <alignment horizontal="center" vertical="center" wrapText="1"/>
    </xf>
    <xf numFmtId="0" fontId="46" fillId="0" borderId="61" xfId="547" applyFont="1" applyBorder="1" applyAlignment="1">
      <alignment horizontal="center" vertical="center" wrapText="1"/>
    </xf>
    <xf numFmtId="0" fontId="146" fillId="0" borderId="61" xfId="547" applyFont="1" applyBorder="1" applyAlignment="1">
      <alignment horizontal="center" vertical="center" wrapText="1"/>
    </xf>
    <xf numFmtId="0" fontId="146" fillId="64" borderId="98" xfId="547" applyFont="1" applyFill="1" applyBorder="1" applyAlignment="1">
      <alignment horizontal="center" vertical="center" wrapText="1"/>
    </xf>
    <xf numFmtId="2" fontId="43" fillId="0" borderId="98" xfId="547" applyNumberFormat="1" applyFont="1" applyBorder="1" applyAlignment="1">
      <alignment horizontal="center"/>
    </xf>
    <xf numFmtId="2" fontId="46" fillId="0" borderId="6" xfId="547" applyNumberFormat="1" applyFont="1" applyBorder="1" applyAlignment="1">
      <alignment horizontal="center"/>
    </xf>
    <xf numFmtId="0" fontId="92" fillId="63" borderId="44" xfId="551" applyFont="1" applyFill="1" applyBorder="1" applyAlignment="1">
      <alignment horizontal="center" vertical="center"/>
    </xf>
    <xf numFmtId="0" fontId="92" fillId="63" borderId="45" xfId="551" applyFont="1" applyFill="1" applyBorder="1" applyAlignment="1">
      <alignment vertical="top" wrapText="1"/>
    </xf>
    <xf numFmtId="0" fontId="43" fillId="0" borderId="45" xfId="551" applyFont="1" applyBorder="1" applyAlignment="1">
      <alignment horizontal="center" vertical="center"/>
    </xf>
    <xf numFmtId="0" fontId="43" fillId="0" borderId="55" xfId="551" applyFont="1" applyBorder="1" applyAlignment="1">
      <alignment horizontal="center" vertical="center"/>
    </xf>
    <xf numFmtId="0" fontId="43" fillId="32" borderId="8" xfId="551" applyFont="1" applyFill="1" applyBorder="1"/>
    <xf numFmtId="0" fontId="100" fillId="0" borderId="89" xfId="551" applyFont="1" applyBorder="1" applyAlignment="1">
      <alignment horizontal="center" vertical="center"/>
    </xf>
    <xf numFmtId="0" fontId="100" fillId="0" borderId="67" xfId="551" applyFont="1" applyBorder="1" applyAlignment="1">
      <alignment horizontal="center" vertical="center"/>
    </xf>
    <xf numFmtId="4" fontId="100" fillId="0" borderId="67" xfId="551" applyNumberFormat="1" applyFont="1" applyBorder="1" applyAlignment="1">
      <alignment horizontal="right" vertical="center"/>
    </xf>
    <xf numFmtId="4" fontId="135" fillId="63" borderId="68" xfId="551" applyNumberFormat="1" applyFont="1" applyFill="1" applyBorder="1" applyAlignment="1">
      <alignment horizontal="right" vertical="center"/>
    </xf>
    <xf numFmtId="0" fontId="43" fillId="0" borderId="10" xfId="551" applyFont="1" applyBorder="1"/>
    <xf numFmtId="0" fontId="100" fillId="0" borderId="0" xfId="551" applyFont="1"/>
    <xf numFmtId="4" fontId="43" fillId="0" borderId="10" xfId="546" applyNumberFormat="1" applyFont="1" applyBorder="1" applyAlignment="1">
      <alignment horizontal="right" vertical="top"/>
    </xf>
    <xf numFmtId="4" fontId="43" fillId="0" borderId="8" xfId="546" applyNumberFormat="1" applyFont="1" applyBorder="1" applyAlignment="1">
      <alignment horizontal="right" vertical="top"/>
    </xf>
    <xf numFmtId="0" fontId="43" fillId="0" borderId="88" xfId="546" applyFont="1" applyBorder="1" applyAlignment="1">
      <alignment horizontal="center" vertical="center"/>
    </xf>
    <xf numFmtId="0" fontId="43" fillId="0" borderId="44" xfId="546" applyFont="1" applyBorder="1" applyAlignment="1">
      <alignment horizontal="center" vertical="center" wrapText="1"/>
    </xf>
    <xf numFmtId="4" fontId="43" fillId="0" borderId="42" xfId="546" applyNumberFormat="1" applyFont="1" applyBorder="1" applyAlignment="1">
      <alignment horizontal="right" vertical="top"/>
    </xf>
    <xf numFmtId="4" fontId="43" fillId="0" borderId="39" xfId="546" applyNumberFormat="1" applyFont="1" applyBorder="1" applyAlignment="1">
      <alignment horizontal="right" vertical="top"/>
    </xf>
    <xf numFmtId="0" fontId="51" fillId="0" borderId="0" xfId="546" applyFont="1"/>
    <xf numFmtId="0" fontId="43" fillId="0" borderId="92" xfId="546" applyFont="1" applyBorder="1"/>
    <xf numFmtId="0" fontId="43" fillId="0" borderId="78" xfId="546" applyFont="1" applyBorder="1"/>
    <xf numFmtId="0" fontId="43" fillId="0" borderId="79" xfId="546" applyFont="1" applyBorder="1"/>
    <xf numFmtId="2" fontId="43" fillId="0" borderId="79" xfId="546" applyNumberFormat="1" applyFont="1" applyBorder="1"/>
    <xf numFmtId="0" fontId="43" fillId="0" borderId="97" xfId="546" applyFont="1" applyBorder="1" applyAlignment="1">
      <alignment horizontal="right"/>
    </xf>
    <xf numFmtId="0" fontId="43" fillId="0" borderId="30" xfId="546" applyFont="1" applyBorder="1"/>
    <xf numFmtId="0" fontId="43" fillId="0" borderId="6" xfId="546" applyFont="1" applyBorder="1"/>
    <xf numFmtId="0" fontId="43" fillId="0" borderId="63" xfId="546" applyFont="1" applyBorder="1" applyAlignment="1">
      <alignment horizontal="right"/>
    </xf>
    <xf numFmtId="0" fontId="43" fillId="0" borderId="61" xfId="546" applyFont="1" applyBorder="1"/>
    <xf numFmtId="0" fontId="43" fillId="0" borderId="98" xfId="546" applyFont="1" applyBorder="1" applyAlignment="1">
      <alignment horizontal="right"/>
    </xf>
    <xf numFmtId="0" fontId="109" fillId="0" borderId="68" xfId="546" applyFont="1" applyBorder="1"/>
    <xf numFmtId="2" fontId="43" fillId="0" borderId="72" xfId="546" applyNumberFormat="1" applyFont="1" applyBorder="1"/>
    <xf numFmtId="2" fontId="92" fillId="0" borderId="68" xfId="546" applyNumberFormat="1" applyFont="1" applyBorder="1" applyAlignment="1">
      <alignment horizontal="center"/>
    </xf>
    <xf numFmtId="2" fontId="43" fillId="0" borderId="89" xfId="546" applyNumberFormat="1" applyFont="1" applyBorder="1" applyAlignment="1">
      <alignment horizontal="center"/>
    </xf>
    <xf numFmtId="2" fontId="92" fillId="0" borderId="89" xfId="546" applyNumberFormat="1" applyFont="1" applyBorder="1" applyAlignment="1">
      <alignment horizontal="center"/>
    </xf>
    <xf numFmtId="0" fontId="43" fillId="0" borderId="6" xfId="546" applyFont="1" applyBorder="1" applyAlignment="1">
      <alignment horizontal="center" wrapText="1"/>
    </xf>
    <xf numFmtId="0" fontId="109" fillId="0" borderId="6" xfId="546" applyFont="1" applyBorder="1" applyAlignment="1">
      <alignment horizontal="center"/>
    </xf>
    <xf numFmtId="0" fontId="92" fillId="0" borderId="6" xfId="546" applyFont="1" applyBorder="1" applyAlignment="1">
      <alignment horizontal="center" wrapText="1"/>
    </xf>
    <xf numFmtId="0" fontId="43" fillId="0" borderId="6" xfId="546" applyFont="1" applyBorder="1" applyAlignment="1">
      <alignment horizontal="center"/>
    </xf>
    <xf numFmtId="0" fontId="43" fillId="0" borderId="68" xfId="546" applyFont="1" applyBorder="1" applyAlignment="1">
      <alignment horizontal="center"/>
    </xf>
    <xf numFmtId="0" fontId="163" fillId="3" borderId="0" xfId="552" applyFont="1" applyFill="1"/>
    <xf numFmtId="0" fontId="92" fillId="3" borderId="0" xfId="552" applyFont="1" applyFill="1"/>
    <xf numFmtId="0" fontId="162" fillId="72" borderId="0" xfId="552" applyFont="1" applyFill="1" applyAlignment="1">
      <alignment wrapText="1"/>
    </xf>
    <xf numFmtId="0" fontId="151" fillId="3" borderId="0" xfId="552" applyFont="1" applyFill="1"/>
    <xf numFmtId="0" fontId="43" fillId="3" borderId="0" xfId="552" applyFont="1" applyFill="1"/>
    <xf numFmtId="0" fontId="43" fillId="3" borderId="0" xfId="547" applyFont="1" applyFill="1" applyAlignment="1">
      <alignment horizontal="center" wrapText="1"/>
    </xf>
    <xf numFmtId="0" fontId="148" fillId="64" borderId="79" xfId="547" applyFont="1" applyFill="1" applyBorder="1" applyAlignment="1">
      <alignment horizontal="center" vertical="center" wrapText="1"/>
    </xf>
    <xf numFmtId="2" fontId="42" fillId="0" borderId="79" xfId="547" applyNumberFormat="1" applyFont="1" applyBorder="1" applyAlignment="1">
      <alignment horizontal="center"/>
    </xf>
    <xf numFmtId="0" fontId="51" fillId="0" borderId="60" xfId="547" applyFont="1" applyBorder="1" applyAlignment="1">
      <alignment horizontal="center" vertical="center" wrapText="1"/>
    </xf>
    <xf numFmtId="0" fontId="146" fillId="64" borderId="61" xfId="547" applyFont="1" applyFill="1" applyBorder="1" applyAlignment="1">
      <alignment horizontal="center" vertical="center" wrapText="1"/>
    </xf>
    <xf numFmtId="2" fontId="51" fillId="0" borderId="61" xfId="547" applyNumberFormat="1" applyFont="1" applyBorder="1" applyAlignment="1">
      <alignment horizontal="center"/>
    </xf>
    <xf numFmtId="0" fontId="94" fillId="3" borderId="0" xfId="551" applyFont="1" applyFill="1"/>
    <xf numFmtId="0" fontId="43" fillId="0" borderId="0" xfId="546" applyFont="1" applyAlignment="1">
      <alignment horizontal="right" vertical="center" wrapText="1"/>
    </xf>
    <xf numFmtId="0" fontId="43" fillId="3" borderId="0" xfId="546" applyFont="1" applyFill="1" applyAlignment="1">
      <alignment horizontal="center" vertical="center" wrapText="1"/>
    </xf>
    <xf numFmtId="0" fontId="51" fillId="3" borderId="0" xfId="546" applyFont="1" applyFill="1" applyAlignment="1">
      <alignment horizontal="left"/>
    </xf>
    <xf numFmtId="0" fontId="42" fillId="3" borderId="0" xfId="546" applyFont="1" applyFill="1" applyAlignment="1">
      <alignment horizontal="left"/>
    </xf>
    <xf numFmtId="0" fontId="51" fillId="3" borderId="0" xfId="546" applyFont="1" applyFill="1"/>
    <xf numFmtId="0" fontId="92" fillId="3" borderId="0" xfId="546" applyFont="1" applyFill="1" applyAlignment="1">
      <alignment horizontal="center" vertical="center" wrapText="1"/>
    </xf>
    <xf numFmtId="14" fontId="43" fillId="0" borderId="1" xfId="506" applyNumberFormat="1" applyFont="1" applyBorder="1" applyAlignment="1" applyProtection="1">
      <alignment horizontal="center" vertical="center" textRotation="90" wrapText="1"/>
      <protection hidden="1"/>
    </xf>
    <xf numFmtId="0" fontId="163" fillId="0" borderId="1" xfId="506" applyFont="1" applyBorder="1" applyAlignment="1" applyProtection="1">
      <alignment horizontal="center" vertical="center" wrapText="1"/>
      <protection hidden="1"/>
    </xf>
    <xf numFmtId="0" fontId="151" fillId="0" borderId="1" xfId="506" applyFont="1" applyBorder="1" applyAlignment="1" applyProtection="1">
      <alignment horizontal="left" vertical="center" wrapText="1"/>
      <protection hidden="1"/>
    </xf>
    <xf numFmtId="0" fontId="163" fillId="31" borderId="1" xfId="506" applyFont="1" applyFill="1" applyBorder="1" applyAlignment="1" applyProtection="1">
      <alignment horizontal="center" vertical="center" wrapText="1"/>
      <protection hidden="1"/>
    </xf>
    <xf numFmtId="0" fontId="163" fillId="3" borderId="0" xfId="506" applyFont="1" applyFill="1" applyAlignment="1" applyProtection="1">
      <alignment vertical="center" wrapText="1"/>
      <protection locked="0"/>
    </xf>
    <xf numFmtId="0" fontId="163" fillId="0" borderId="0" xfId="506" applyFont="1" applyAlignment="1" applyProtection="1">
      <alignment vertical="center" wrapText="1"/>
      <protection locked="0"/>
    </xf>
    <xf numFmtId="2" fontId="151" fillId="0" borderId="0" xfId="506" applyNumberFormat="1" applyFont="1" applyAlignment="1" applyProtection="1">
      <alignment horizontal="left" vertical="center" wrapText="1"/>
      <protection hidden="1"/>
    </xf>
    <xf numFmtId="0" fontId="42" fillId="0" borderId="71" xfId="552" applyFont="1" applyBorder="1" applyAlignment="1">
      <alignment horizontal="left" indent="1"/>
    </xf>
    <xf numFmtId="0" fontId="51" fillId="0" borderId="6" xfId="552" applyFont="1" applyBorder="1" applyAlignment="1">
      <alignment horizontal="left" indent="1"/>
    </xf>
    <xf numFmtId="0" fontId="51" fillId="0" borderId="6" xfId="552" applyFont="1" applyBorder="1"/>
    <xf numFmtId="0" fontId="42" fillId="0" borderId="1" xfId="552" applyFont="1" applyBorder="1" applyAlignment="1">
      <alignment wrapText="1"/>
    </xf>
    <xf numFmtId="0" fontId="42" fillId="0" borderId="5" xfId="552" applyFont="1" applyBorder="1"/>
    <xf numFmtId="0" fontId="42" fillId="0" borderId="69" xfId="552" applyFont="1" applyBorder="1"/>
    <xf numFmtId="0" fontId="42" fillId="0" borderId="38" xfId="552" applyFont="1" applyBorder="1"/>
    <xf numFmtId="2" fontId="42" fillId="0" borderId="77" xfId="552" applyNumberFormat="1" applyFont="1" applyBorder="1"/>
    <xf numFmtId="2" fontId="42" fillId="0" borderId="78" xfId="552" applyNumberFormat="1" applyFont="1" applyBorder="1"/>
    <xf numFmtId="2" fontId="42" fillId="0" borderId="97" xfId="552" applyNumberFormat="1" applyFont="1" applyBorder="1"/>
    <xf numFmtId="2" fontId="42" fillId="0" borderId="92" xfId="552" applyNumberFormat="1" applyFont="1" applyBorder="1"/>
    <xf numFmtId="2" fontId="42" fillId="0" borderId="126" xfId="552" applyNumberFormat="1" applyFont="1" applyBorder="1"/>
    <xf numFmtId="0" fontId="42" fillId="3" borderId="0" xfId="552" applyFont="1" applyFill="1"/>
    <xf numFmtId="0" fontId="92" fillId="3" borderId="0" xfId="506" applyFont="1" applyFill="1" applyAlignment="1">
      <alignment vertical="center"/>
    </xf>
    <xf numFmtId="0" fontId="92" fillId="3" borderId="0" xfId="506" applyFont="1" applyFill="1" applyAlignment="1">
      <alignment horizontal="center" vertical="center"/>
    </xf>
    <xf numFmtId="0" fontId="43" fillId="3" borderId="0" xfId="506" applyFont="1" applyFill="1"/>
    <xf numFmtId="175" fontId="43" fillId="0" borderId="5" xfId="506" applyNumberFormat="1" applyFont="1" applyBorder="1" applyAlignment="1">
      <alignment horizontal="center"/>
    </xf>
    <xf numFmtId="175" fontId="43" fillId="0" borderId="9" xfId="506" applyNumberFormat="1" applyFont="1" applyBorder="1" applyAlignment="1">
      <alignment horizontal="center"/>
    </xf>
    <xf numFmtId="175" fontId="43" fillId="31" borderId="9" xfId="506" applyNumberFormat="1" applyFont="1" applyFill="1" applyBorder="1" applyAlignment="1">
      <alignment horizontal="center"/>
    </xf>
    <xf numFmtId="0" fontId="51" fillId="0" borderId="63" xfId="0" applyFont="1" applyBorder="1" applyAlignment="1">
      <alignment horizontal="center"/>
    </xf>
    <xf numFmtId="0" fontId="51" fillId="0" borderId="98" xfId="0" applyFont="1" applyBorder="1" applyAlignment="1">
      <alignment horizontal="center"/>
    </xf>
    <xf numFmtId="0" fontId="51" fillId="0" borderId="60" xfId="0" applyFont="1" applyBorder="1" applyAlignment="1">
      <alignment horizontal="center"/>
    </xf>
    <xf numFmtId="0" fontId="92" fillId="0" borderId="36" xfId="506" applyFont="1" applyBorder="1" applyAlignment="1">
      <alignment horizontal="center"/>
    </xf>
    <xf numFmtId="0" fontId="51" fillId="0" borderId="68" xfId="0" applyFont="1" applyBorder="1"/>
    <xf numFmtId="0" fontId="51" fillId="0" borderId="54" xfId="0" applyFont="1" applyBorder="1" applyAlignment="1">
      <alignment horizontal="center"/>
    </xf>
    <xf numFmtId="2" fontId="51" fillId="0" borderId="55" xfId="0" applyNumberFormat="1" applyFont="1" applyBorder="1" applyAlignment="1">
      <alignment horizontal="center"/>
    </xf>
    <xf numFmtId="0" fontId="51" fillId="0" borderId="44" xfId="0" applyFont="1" applyBorder="1" applyAlignment="1">
      <alignment horizontal="center"/>
    </xf>
    <xf numFmtId="0" fontId="43" fillId="0" borderId="35" xfId="506" applyFont="1" applyBorder="1"/>
    <xf numFmtId="0" fontId="51" fillId="0" borderId="62" xfId="0" applyFont="1" applyBorder="1" applyAlignment="1">
      <alignment horizontal="center"/>
    </xf>
    <xf numFmtId="0" fontId="51" fillId="3" borderId="0" xfId="506" applyFont="1" applyFill="1" applyAlignment="1" applyProtection="1">
      <alignment vertical="center" wrapText="1"/>
      <protection locked="0"/>
    </xf>
    <xf numFmtId="0" fontId="100" fillId="34" borderId="0" xfId="448" applyFont="1" applyFill="1"/>
    <xf numFmtId="0" fontId="100" fillId="34" borderId="0" xfId="448" applyFont="1" applyFill="1" applyAlignment="1">
      <alignment horizontal="center"/>
    </xf>
    <xf numFmtId="2" fontId="152" fillId="3" borderId="5" xfId="506" applyNumberFormat="1" applyFont="1" applyFill="1" applyBorder="1" applyAlignment="1" applyProtection="1">
      <alignment vertical="center" wrapText="1"/>
      <protection hidden="1"/>
    </xf>
    <xf numFmtId="0" fontId="148" fillId="0" borderId="0" xfId="506" applyFont="1" applyAlignment="1">
      <alignment vertical="top"/>
    </xf>
    <xf numFmtId="179" fontId="154" fillId="0" borderId="0" xfId="116" applyNumberFormat="1" applyFont="1"/>
    <xf numFmtId="0" fontId="51" fillId="0" borderId="31" xfId="552" applyFont="1" applyBorder="1"/>
    <xf numFmtId="0" fontId="42" fillId="0" borderId="56" xfId="552" applyFont="1" applyBorder="1"/>
    <xf numFmtId="0" fontId="42" fillId="0" borderId="90" xfId="552" applyFont="1" applyBorder="1"/>
    <xf numFmtId="2" fontId="42" fillId="0" borderId="29" xfId="552" applyNumberFormat="1" applyFont="1" applyBorder="1"/>
    <xf numFmtId="2" fontId="34" fillId="0" borderId="0" xfId="5" applyNumberFormat="1"/>
    <xf numFmtId="0" fontId="50" fillId="31" borderId="30" xfId="448" applyFont="1" applyFill="1" applyBorder="1" applyAlignment="1">
      <alignment horizontal="center"/>
    </xf>
    <xf numFmtId="0" fontId="50" fillId="31" borderId="6" xfId="448" applyFont="1" applyFill="1" applyBorder="1" applyAlignment="1">
      <alignment horizontal="center" wrapText="1"/>
    </xf>
    <xf numFmtId="0" fontId="132" fillId="0" borderId="99" xfId="448" applyFont="1" applyBorder="1"/>
    <xf numFmtId="0" fontId="132" fillId="0" borderId="102" xfId="448" applyFont="1" applyBorder="1"/>
    <xf numFmtId="0" fontId="132" fillId="0" borderId="103" xfId="448" applyFont="1" applyBorder="1"/>
    <xf numFmtId="0" fontId="132" fillId="0" borderId="106" xfId="448" applyFont="1" applyBorder="1"/>
    <xf numFmtId="177" fontId="144" fillId="31" borderId="108" xfId="448" applyNumberFormat="1" applyFont="1" applyFill="1" applyBorder="1" applyAlignment="1">
      <alignment horizontal="center"/>
    </xf>
    <xf numFmtId="177" fontId="144" fillId="31" borderId="111" xfId="448" applyNumberFormat="1" applyFont="1" applyFill="1" applyBorder="1" applyAlignment="1">
      <alignment horizontal="center"/>
    </xf>
    <xf numFmtId="0" fontId="50" fillId="34" borderId="134" xfId="448" applyFont="1" applyFill="1" applyBorder="1" applyAlignment="1">
      <alignment vertical="center"/>
    </xf>
    <xf numFmtId="0" fontId="50" fillId="34" borderId="135" xfId="448" applyFont="1" applyFill="1" applyBorder="1" applyAlignment="1">
      <alignment horizontal="center"/>
    </xf>
    <xf numFmtId="0" fontId="50" fillId="34" borderId="136" xfId="448" applyFont="1" applyFill="1" applyBorder="1" applyAlignment="1">
      <alignment horizontal="center" vertical="center" wrapText="1"/>
    </xf>
    <xf numFmtId="2" fontId="50" fillId="0" borderId="128" xfId="448" applyNumberFormat="1" applyFont="1" applyBorder="1" applyAlignment="1">
      <alignment horizontal="center"/>
    </xf>
    <xf numFmtId="2" fontId="50" fillId="0" borderId="137" xfId="448" applyNumberFormat="1" applyFont="1" applyBorder="1" applyAlignment="1">
      <alignment horizontal="center"/>
    </xf>
    <xf numFmtId="191" fontId="35" fillId="0" borderId="0" xfId="240" applyNumberFormat="1" applyFont="1"/>
    <xf numFmtId="0" fontId="41" fillId="0" borderId="0" xfId="240" applyFont="1" applyProtection="1">
      <protection locked="0"/>
    </xf>
    <xf numFmtId="0" fontId="46" fillId="0" borderId="0" xfId="240" applyFont="1" applyProtection="1">
      <protection locked="0"/>
    </xf>
    <xf numFmtId="0" fontId="186" fillId="0" borderId="0" xfId="240" applyFont="1" applyProtection="1">
      <protection locked="0"/>
    </xf>
    <xf numFmtId="0" fontId="186" fillId="0" borderId="0" xfId="240" applyFont="1"/>
    <xf numFmtId="2" fontId="46" fillId="0" borderId="0" xfId="240" applyNumberFormat="1" applyFont="1" applyProtection="1">
      <protection locked="0"/>
    </xf>
    <xf numFmtId="4" fontId="46" fillId="0" borderId="0" xfId="240" applyNumberFormat="1" applyFont="1" applyProtection="1">
      <protection locked="0"/>
    </xf>
    <xf numFmtId="2" fontId="27" fillId="0" borderId="0" xfId="240" applyNumberFormat="1" applyProtection="1">
      <protection locked="0"/>
    </xf>
    <xf numFmtId="4" fontId="27" fillId="0" borderId="0" xfId="240" applyNumberFormat="1" applyProtection="1">
      <protection locked="0"/>
    </xf>
    <xf numFmtId="0" fontId="0" fillId="0" borderId="28" xfId="0" applyBorder="1" applyAlignment="1">
      <alignment horizontal="left" indent="8"/>
    </xf>
    <xf numFmtId="0" fontId="0" fillId="0" borderId="29" xfId="0" applyBorder="1" applyAlignment="1">
      <alignment horizontal="left" indent="8"/>
    </xf>
    <xf numFmtId="0" fontId="42" fillId="0" borderId="4" xfId="552" applyFont="1" applyBorder="1" applyAlignment="1">
      <alignment vertical="center"/>
    </xf>
    <xf numFmtId="4" fontId="42" fillId="0" borderId="4" xfId="552" applyNumberFormat="1" applyFont="1" applyBorder="1" applyAlignment="1">
      <alignment vertical="center"/>
    </xf>
    <xf numFmtId="0" fontId="98" fillId="62" borderId="69" xfId="552" applyFont="1" applyFill="1" applyBorder="1" applyAlignment="1">
      <alignment wrapText="1"/>
    </xf>
    <xf numFmtId="0" fontId="98" fillId="62" borderId="7" xfId="552" applyFont="1" applyFill="1" applyBorder="1" applyAlignment="1">
      <alignment wrapText="1"/>
    </xf>
    <xf numFmtId="0" fontId="180" fillId="62" borderId="86" xfId="552" applyFont="1" applyFill="1" applyBorder="1" applyAlignment="1">
      <alignment wrapText="1"/>
    </xf>
    <xf numFmtId="0" fontId="98" fillId="62" borderId="89" xfId="552" applyFont="1" applyFill="1" applyBorder="1" applyAlignment="1">
      <alignment horizontal="center" vertical="center"/>
    </xf>
    <xf numFmtId="0" fontId="98" fillId="62" borderId="67" xfId="552" applyFont="1" applyFill="1" applyBorder="1" applyAlignment="1">
      <alignment horizontal="center" vertical="center"/>
    </xf>
    <xf numFmtId="0" fontId="180" fillId="62" borderId="68" xfId="552" applyFont="1" applyFill="1" applyBorder="1" applyAlignment="1">
      <alignment horizontal="center" vertical="center"/>
    </xf>
    <xf numFmtId="0" fontId="18" fillId="0" borderId="0" xfId="240" applyFont="1"/>
    <xf numFmtId="4" fontId="27" fillId="0" borderId="0" xfId="240" applyNumberFormat="1"/>
    <xf numFmtId="10" fontId="27" fillId="0" borderId="0" xfId="240" applyNumberFormat="1"/>
    <xf numFmtId="2" fontId="41" fillId="0" borderId="0" xfId="240" applyNumberFormat="1" applyFont="1" applyProtection="1">
      <protection locked="0"/>
    </xf>
    <xf numFmtId="0" fontId="42" fillId="30" borderId="1" xfId="0" applyFont="1" applyFill="1" applyBorder="1" applyAlignment="1">
      <alignment horizontal="right" vertical="center"/>
    </xf>
    <xf numFmtId="0" fontId="17" fillId="0" borderId="0" xfId="6" applyFont="1"/>
    <xf numFmtId="0" fontId="118" fillId="0" borderId="0" xfId="6" applyFont="1"/>
    <xf numFmtId="0" fontId="16" fillId="0" borderId="0" xfId="6" applyFont="1"/>
    <xf numFmtId="0" fontId="29" fillId="0" borderId="0" xfId="6" applyFont="1"/>
    <xf numFmtId="179" fontId="43" fillId="0" borderId="0" xfId="0" applyNumberFormat="1" applyFont="1"/>
    <xf numFmtId="177" fontId="43" fillId="0" borderId="0" xfId="0" applyNumberFormat="1" applyFont="1"/>
    <xf numFmtId="2" fontId="43" fillId="0" borderId="1" xfId="0" applyNumberFormat="1" applyFont="1" applyBorder="1" applyAlignment="1">
      <alignment horizontal="right" vertical="center"/>
    </xf>
    <xf numFmtId="2" fontId="50" fillId="2" borderId="0" xfId="116" applyNumberFormat="1" applyFont="1" applyFill="1"/>
    <xf numFmtId="0" fontId="50" fillId="2" borderId="0" xfId="116" applyFont="1" applyFill="1"/>
    <xf numFmtId="2" fontId="132" fillId="2" borderId="0" xfId="116" applyNumberFormat="1" applyFont="1" applyFill="1"/>
    <xf numFmtId="2" fontId="50" fillId="2" borderId="0" xfId="116" applyNumberFormat="1" applyFont="1" applyFill="1" applyAlignment="1">
      <alignment horizontal="left"/>
    </xf>
    <xf numFmtId="2" fontId="132" fillId="2" borderId="0" xfId="116" applyNumberFormat="1" applyFont="1" applyFill="1" applyAlignment="1">
      <alignment horizontal="left"/>
    </xf>
    <xf numFmtId="0" fontId="15" fillId="0" borderId="0" xfId="240" applyFont="1"/>
    <xf numFmtId="2" fontId="14" fillId="0" borderId="0" xfId="6" applyNumberFormat="1" applyFont="1" applyAlignment="1">
      <alignment horizontal="center" vertical="center" wrapText="1"/>
    </xf>
    <xf numFmtId="49" fontId="100" fillId="0" borderId="0" xfId="556" applyNumberFormat="1" applyFont="1" applyAlignment="1">
      <alignment horizontal="center" vertical="center"/>
    </xf>
    <xf numFmtId="0" fontId="118" fillId="0" borderId="0" xfId="556" applyFont="1"/>
    <xf numFmtId="0" fontId="42" fillId="0" borderId="0" xfId="557" applyFont="1" applyAlignment="1">
      <alignment vertical="top" wrapText="1"/>
    </xf>
    <xf numFmtId="0" fontId="13" fillId="0" borderId="0" xfId="556"/>
    <xf numFmtId="0" fontId="118" fillId="34" borderId="0" xfId="556" applyFont="1" applyFill="1"/>
    <xf numFmtId="0" fontId="50" fillId="0" borderId="1" xfId="556" applyFont="1" applyBorder="1" applyAlignment="1">
      <alignment horizontal="center" vertical="center" wrapText="1"/>
    </xf>
    <xf numFmtId="0" fontId="50" fillId="34" borderId="1" xfId="556" applyFont="1" applyFill="1" applyBorder="1" applyAlignment="1">
      <alignment horizontal="center" vertical="center" wrapText="1"/>
    </xf>
    <xf numFmtId="49" fontId="135" fillId="0" borderId="1" xfId="556" applyNumberFormat="1" applyFont="1" applyBorder="1" applyAlignment="1">
      <alignment horizontal="center" vertical="center"/>
    </xf>
    <xf numFmtId="0" fontId="135" fillId="0" borderId="1" xfId="556" applyFont="1" applyBorder="1" applyAlignment="1">
      <alignment vertical="center" wrapText="1"/>
    </xf>
    <xf numFmtId="0" fontId="100" fillId="0" borderId="1" xfId="556" applyFont="1" applyBorder="1" applyAlignment="1">
      <alignment horizontal="center" vertical="center" wrapText="1"/>
    </xf>
    <xf numFmtId="0" fontId="100" fillId="0" borderId="1" xfId="556" applyFont="1" applyBorder="1" applyAlignment="1">
      <alignment horizontal="left" vertical="center" wrapText="1"/>
    </xf>
    <xf numFmtId="2" fontId="100" fillId="34" borderId="1" xfId="556" applyNumberFormat="1" applyFont="1" applyFill="1" applyBorder="1" applyAlignment="1">
      <alignment horizontal="center" vertical="center" wrapText="1"/>
    </xf>
    <xf numFmtId="0" fontId="43" fillId="0" borderId="0" xfId="556" applyFont="1" applyAlignment="1">
      <alignment vertical="center" wrapText="1"/>
    </xf>
    <xf numFmtId="0" fontId="43" fillId="0" borderId="0" xfId="556" applyFont="1" applyAlignment="1">
      <alignment horizontal="center" vertical="center" wrapText="1"/>
    </xf>
    <xf numFmtId="0" fontId="100" fillId="34" borderId="1" xfId="556" applyFont="1" applyFill="1" applyBorder="1" applyAlignment="1">
      <alignment horizontal="center" vertical="center" wrapText="1"/>
    </xf>
    <xf numFmtId="0" fontId="135" fillId="34" borderId="1" xfId="556" applyFont="1" applyFill="1" applyBorder="1" applyAlignment="1">
      <alignment vertical="center" wrapText="1"/>
    </xf>
    <xf numFmtId="0" fontId="100" fillId="34" borderId="1" xfId="556" applyFont="1" applyFill="1" applyBorder="1" applyAlignment="1">
      <alignment vertical="center" wrapText="1"/>
    </xf>
    <xf numFmtId="0" fontId="100" fillId="0" borderId="1" xfId="556" applyFont="1" applyBorder="1" applyAlignment="1">
      <alignment vertical="center" wrapText="1"/>
    </xf>
    <xf numFmtId="0" fontId="135" fillId="0" borderId="79" xfId="556" applyFont="1" applyBorder="1" applyAlignment="1">
      <alignment vertical="center" wrapText="1"/>
    </xf>
    <xf numFmtId="0" fontId="13" fillId="34" borderId="0" xfId="556" applyFill="1"/>
    <xf numFmtId="0" fontId="135" fillId="0" borderId="1" xfId="556" applyFont="1" applyBorder="1" applyAlignment="1">
      <alignment horizontal="left" vertical="center" wrapText="1"/>
    </xf>
    <xf numFmtId="0" fontId="100" fillId="0" borderId="0" xfId="556" applyFont="1" applyAlignment="1">
      <alignment vertical="center" wrapText="1"/>
    </xf>
    <xf numFmtId="0" fontId="100" fillId="0" borderId="0" xfId="556" applyFont="1" applyAlignment="1">
      <alignment horizontal="center" vertical="center" wrapText="1"/>
    </xf>
    <xf numFmtId="0" fontId="100" fillId="34" borderId="0" xfId="556" applyFont="1" applyFill="1" applyAlignment="1">
      <alignment horizontal="center" vertical="center" wrapText="1"/>
    </xf>
    <xf numFmtId="0" fontId="100" fillId="34" borderId="0" xfId="556" applyFont="1" applyFill="1" applyAlignment="1">
      <alignment vertical="center"/>
    </xf>
    <xf numFmtId="0" fontId="50" fillId="0" borderId="0" xfId="556" applyFont="1" applyAlignment="1">
      <alignment vertical="center"/>
    </xf>
    <xf numFmtId="0" fontId="53" fillId="0" borderId="0" xfId="556" applyFont="1" applyAlignment="1">
      <alignment vertical="center"/>
    </xf>
    <xf numFmtId="0" fontId="100" fillId="0" borderId="0" xfId="556" applyFont="1" applyAlignment="1">
      <alignment vertical="center"/>
    </xf>
    <xf numFmtId="0" fontId="136" fillId="34" borderId="0" xfId="556" applyFont="1" applyFill="1" applyAlignment="1">
      <alignment vertical="center"/>
    </xf>
    <xf numFmtId="0" fontId="135" fillId="34" borderId="0" xfId="556" applyFont="1" applyFill="1" applyAlignment="1">
      <alignment vertical="center"/>
    </xf>
    <xf numFmtId="0" fontId="100" fillId="0" borderId="0" xfId="556" applyFont="1" applyAlignment="1">
      <alignment horizontal="left" vertical="center"/>
    </xf>
    <xf numFmtId="0" fontId="100" fillId="34" borderId="0" xfId="556" applyFont="1" applyFill="1" applyAlignment="1">
      <alignment horizontal="left" vertical="center"/>
    </xf>
    <xf numFmtId="0" fontId="192" fillId="0" borderId="0" xfId="556" applyFont="1" applyAlignment="1">
      <alignment vertical="center"/>
    </xf>
    <xf numFmtId="0" fontId="135" fillId="0" borderId="0" xfId="556" applyFont="1" applyAlignment="1">
      <alignment vertical="center"/>
    </xf>
    <xf numFmtId="49" fontId="43" fillId="0" borderId="0" xfId="556" applyNumberFormat="1" applyFont="1" applyAlignment="1">
      <alignment horizontal="center" vertical="center"/>
    </xf>
    <xf numFmtId="2" fontId="13" fillId="0" borderId="0" xfId="556" applyNumberFormat="1"/>
    <xf numFmtId="1" fontId="100" fillId="0" borderId="1" xfId="556" applyNumberFormat="1" applyFont="1" applyBorder="1" applyAlignment="1">
      <alignment horizontal="center" vertical="center" wrapText="1"/>
    </xf>
    <xf numFmtId="0" fontId="100" fillId="30" borderId="1" xfId="556" applyFont="1" applyFill="1" applyBorder="1" applyAlignment="1">
      <alignment horizontal="center" vertical="center" wrapText="1"/>
    </xf>
    <xf numFmtId="1" fontId="100" fillId="34" borderId="1" xfId="556" applyNumberFormat="1" applyFont="1" applyFill="1" applyBorder="1" applyAlignment="1">
      <alignment horizontal="center" vertical="center" wrapText="1"/>
    </xf>
    <xf numFmtId="0" fontId="100" fillId="0" borderId="45" xfId="556" applyFont="1" applyBorder="1" applyAlignment="1">
      <alignment horizontal="center" vertical="center" wrapText="1"/>
    </xf>
    <xf numFmtId="177" fontId="100" fillId="0" borderId="1" xfId="556" applyNumberFormat="1" applyFont="1" applyBorder="1" applyAlignment="1">
      <alignment horizontal="center" vertical="center" wrapText="1"/>
    </xf>
    <xf numFmtId="177" fontId="100" fillId="34" borderId="1" xfId="556" applyNumberFormat="1" applyFont="1" applyFill="1" applyBorder="1" applyAlignment="1">
      <alignment horizontal="center" vertical="center" wrapText="1"/>
    </xf>
    <xf numFmtId="0" fontId="100" fillId="0" borderId="3" xfId="556" applyFont="1" applyBorder="1" applyAlignment="1">
      <alignment horizontal="center" vertical="center" wrapText="1"/>
    </xf>
    <xf numFmtId="177" fontId="100" fillId="0" borderId="40" xfId="556" applyNumberFormat="1" applyFont="1" applyBorder="1" applyAlignment="1">
      <alignment horizontal="center" vertical="center" wrapText="1"/>
    </xf>
    <xf numFmtId="2" fontId="100" fillId="0" borderId="40" xfId="556" applyNumberFormat="1" applyFont="1" applyBorder="1" applyAlignment="1">
      <alignment horizontal="center" vertical="center" wrapText="1"/>
    </xf>
    <xf numFmtId="187" fontId="42" fillId="0" borderId="1" xfId="5" applyNumberFormat="1" applyFont="1" applyBorder="1"/>
    <xf numFmtId="2" fontId="100" fillId="0" borderId="1" xfId="556" applyNumberFormat="1" applyFont="1" applyBorder="1" applyAlignment="1">
      <alignment horizontal="center" vertical="center" wrapText="1"/>
    </xf>
    <xf numFmtId="192" fontId="132" fillId="0" borderId="0" xfId="116" applyNumberFormat="1" applyFont="1" applyAlignment="1">
      <alignment horizontal="left"/>
    </xf>
    <xf numFmtId="0" fontId="100" fillId="34" borderId="40" xfId="556" applyFont="1" applyFill="1" applyBorder="1" applyAlignment="1">
      <alignment horizontal="center" vertical="center" wrapText="1"/>
    </xf>
    <xf numFmtId="0" fontId="100" fillId="34" borderId="46" xfId="556" applyFont="1" applyFill="1" applyBorder="1" applyAlignment="1">
      <alignment horizontal="center" vertical="center" wrapText="1"/>
    </xf>
    <xf numFmtId="2" fontId="113" fillId="0" borderId="0" xfId="240" applyNumberFormat="1" applyFont="1"/>
    <xf numFmtId="4" fontId="176" fillId="0" borderId="0" xfId="240" applyNumberFormat="1" applyFont="1"/>
    <xf numFmtId="177" fontId="13" fillId="0" borderId="0" xfId="556" applyNumberFormat="1"/>
    <xf numFmtId="0" fontId="43" fillId="0" borderId="36" xfId="0" applyFont="1" applyBorder="1"/>
    <xf numFmtId="0" fontId="100" fillId="0" borderId="6" xfId="0" applyFont="1" applyBorder="1" applyAlignment="1">
      <alignment horizontal="center" wrapText="1"/>
    </xf>
    <xf numFmtId="0" fontId="92" fillId="0" borderId="26" xfId="0" applyFont="1" applyBorder="1"/>
    <xf numFmtId="0" fontId="43" fillId="0" borderId="34" xfId="0" applyFont="1" applyBorder="1"/>
    <xf numFmtId="0" fontId="43" fillId="0" borderId="26" xfId="0" applyFont="1" applyBorder="1"/>
    <xf numFmtId="0" fontId="43" fillId="0" borderId="33" xfId="0" applyFont="1" applyBorder="1" applyAlignment="1">
      <alignment horizontal="center"/>
    </xf>
    <xf numFmtId="0" fontId="43" fillId="0" borderId="28" xfId="0" applyFont="1" applyBorder="1" applyAlignment="1">
      <alignment wrapText="1"/>
    </xf>
    <xf numFmtId="0" fontId="43" fillId="0" borderId="30" xfId="0" applyFont="1" applyBorder="1" applyAlignment="1">
      <alignment wrapText="1"/>
    </xf>
    <xf numFmtId="0" fontId="43" fillId="0" borderId="6" xfId="0" applyFont="1" applyBorder="1" applyAlignment="1">
      <alignment horizontal="center" wrapText="1"/>
    </xf>
    <xf numFmtId="0" fontId="43" fillId="0" borderId="26" xfId="0" applyFont="1" applyBorder="1" applyAlignment="1">
      <alignment wrapText="1"/>
    </xf>
    <xf numFmtId="0" fontId="43" fillId="0" borderId="34" xfId="0" applyFont="1" applyBorder="1" applyAlignment="1">
      <alignment horizontal="center" wrapText="1"/>
    </xf>
    <xf numFmtId="0" fontId="43" fillId="0" borderId="33" xfId="0" applyFont="1" applyBorder="1" applyAlignment="1">
      <alignment horizontal="center" wrapText="1"/>
    </xf>
    <xf numFmtId="0" fontId="42" fillId="0" borderId="32" xfId="0" applyFont="1" applyBorder="1"/>
    <xf numFmtId="0" fontId="41" fillId="0" borderId="32" xfId="0" applyFont="1" applyBorder="1" applyAlignment="1">
      <alignment horizontal="center" wrapText="1"/>
    </xf>
    <xf numFmtId="179" fontId="43" fillId="0" borderId="32" xfId="0" applyNumberFormat="1" applyFont="1" applyBorder="1" applyAlignment="1">
      <alignment horizontal="center"/>
    </xf>
    <xf numFmtId="10" fontId="43" fillId="0" borderId="32" xfId="0" applyNumberFormat="1" applyFont="1" applyBorder="1" applyAlignment="1">
      <alignment horizontal="center"/>
    </xf>
    <xf numFmtId="0" fontId="43" fillId="0" borderId="23" xfId="0" applyFont="1" applyBorder="1" applyAlignment="1">
      <alignment horizontal="left" indent="1"/>
    </xf>
    <xf numFmtId="9" fontId="43" fillId="0" borderId="23" xfId="0" applyNumberFormat="1" applyFont="1" applyBorder="1" applyAlignment="1">
      <alignment horizontal="center"/>
    </xf>
    <xf numFmtId="0" fontId="43" fillId="0" borderId="23" xfId="0" applyFont="1" applyBorder="1"/>
    <xf numFmtId="170" fontId="43" fillId="0" borderId="32" xfId="0" applyNumberFormat="1" applyFont="1" applyBorder="1" applyAlignment="1">
      <alignment horizontal="center" wrapText="1"/>
    </xf>
    <xf numFmtId="10" fontId="43" fillId="0" borderId="6" xfId="0" applyNumberFormat="1" applyFont="1" applyBorder="1" applyAlignment="1">
      <alignment horizontal="center"/>
    </xf>
    <xf numFmtId="0" fontId="43" fillId="0" borderId="6" xfId="0" applyFont="1" applyBorder="1"/>
    <xf numFmtId="4" fontId="41" fillId="0" borderId="0" xfId="240" applyNumberFormat="1" applyFont="1" applyProtection="1">
      <protection locked="0"/>
    </xf>
    <xf numFmtId="0" fontId="135" fillId="0" borderId="1" xfId="556" applyFont="1" applyBorder="1" applyAlignment="1">
      <alignment horizontal="center" vertical="center" wrapText="1"/>
    </xf>
    <xf numFmtId="0" fontId="100" fillId="0" borderId="40" xfId="556" applyFont="1" applyBorder="1" applyAlignment="1">
      <alignment horizontal="center" vertical="center" wrapText="1"/>
    </xf>
    <xf numFmtId="4" fontId="41" fillId="30" borderId="0" xfId="240" applyNumberFormat="1" applyFont="1" applyFill="1" applyProtection="1">
      <protection locked="0"/>
    </xf>
    <xf numFmtId="0" fontId="41" fillId="30" borderId="0" xfId="240" applyFont="1" applyFill="1" applyProtection="1">
      <protection locked="0"/>
    </xf>
    <xf numFmtId="2" fontId="51" fillId="0" borderId="1" xfId="5" applyNumberFormat="1" applyFont="1" applyBorder="1"/>
    <xf numFmtId="187" fontId="51" fillId="0" borderId="1" xfId="5" applyNumberFormat="1" applyFont="1" applyBorder="1"/>
    <xf numFmtId="0" fontId="51" fillId="0" borderId="28" xfId="6" applyFont="1" applyBorder="1" applyAlignment="1">
      <alignment horizontal="left" vertical="center" wrapText="1"/>
    </xf>
    <xf numFmtId="0" fontId="135" fillId="0" borderId="44" xfId="556" applyFont="1" applyBorder="1" applyAlignment="1">
      <alignment horizontal="left" vertical="center" wrapText="1"/>
    </xf>
    <xf numFmtId="0" fontId="41" fillId="0" borderId="39" xfId="0" applyFont="1" applyBorder="1" applyAlignment="1">
      <alignment vertical="center" wrapText="1"/>
    </xf>
    <xf numFmtId="0" fontId="41" fillId="0" borderId="7" xfId="240" applyFont="1" applyBorder="1" applyAlignment="1">
      <alignment vertical="center" wrapText="1"/>
    </xf>
    <xf numFmtId="0" fontId="12" fillId="0" borderId="0" xfId="556" applyFont="1"/>
    <xf numFmtId="4" fontId="100" fillId="34" borderId="1" xfId="556" applyNumberFormat="1" applyFont="1" applyFill="1" applyBorder="1" applyAlignment="1">
      <alignment horizontal="center" vertical="center" wrapText="1"/>
    </xf>
    <xf numFmtId="49" fontId="135" fillId="0" borderId="3" xfId="556" applyNumberFormat="1" applyFont="1" applyBorder="1" applyAlignment="1">
      <alignment horizontal="center" vertical="center"/>
    </xf>
    <xf numFmtId="0" fontId="135" fillId="0" borderId="3" xfId="556" applyFont="1" applyBorder="1" applyAlignment="1">
      <alignment vertical="center" wrapText="1"/>
    </xf>
    <xf numFmtId="0" fontId="100" fillId="34" borderId="3" xfId="556" applyFont="1" applyFill="1" applyBorder="1" applyAlignment="1">
      <alignment horizontal="center" vertical="center" wrapText="1"/>
    </xf>
    <xf numFmtId="0" fontId="135" fillId="0" borderId="40" xfId="556" applyFont="1" applyBorder="1" applyAlignment="1">
      <alignment horizontal="center" vertical="center" wrapText="1"/>
    </xf>
    <xf numFmtId="49" fontId="100" fillId="0" borderId="39" xfId="556" applyNumberFormat="1" applyFont="1" applyBorder="1" applyAlignment="1">
      <alignment horizontal="center" vertical="center" wrapText="1"/>
    </xf>
    <xf numFmtId="0" fontId="50" fillId="0" borderId="40" xfId="556" applyFont="1" applyBorder="1" applyAlignment="1">
      <alignment horizontal="center" vertical="center" wrapText="1"/>
    </xf>
    <xf numFmtId="49" fontId="135" fillId="0" borderId="39" xfId="556" applyNumberFormat="1" applyFont="1" applyBorder="1" applyAlignment="1">
      <alignment horizontal="center" vertical="center"/>
    </xf>
    <xf numFmtId="49" fontId="100" fillId="0" borderId="39" xfId="556" applyNumberFormat="1" applyFont="1" applyBorder="1" applyAlignment="1">
      <alignment horizontal="center" vertical="center"/>
    </xf>
    <xf numFmtId="2" fontId="100" fillId="34" borderId="40" xfId="556" applyNumberFormat="1" applyFont="1" applyFill="1" applyBorder="1" applyAlignment="1">
      <alignment horizontal="center" vertical="center" wrapText="1"/>
    </xf>
    <xf numFmtId="49" fontId="135" fillId="34" borderId="39" xfId="556" applyNumberFormat="1" applyFont="1" applyFill="1" applyBorder="1" applyAlignment="1">
      <alignment horizontal="center" vertical="center"/>
    </xf>
    <xf numFmtId="1" fontId="100" fillId="0" borderId="40" xfId="556" applyNumberFormat="1" applyFont="1" applyBorder="1" applyAlignment="1">
      <alignment horizontal="center" vertical="center" wrapText="1"/>
    </xf>
    <xf numFmtId="1" fontId="100" fillId="34" borderId="40" xfId="556" applyNumberFormat="1" applyFont="1" applyFill="1" applyBorder="1" applyAlignment="1">
      <alignment horizontal="center" vertical="center" wrapText="1"/>
    </xf>
    <xf numFmtId="49" fontId="135" fillId="0" borderId="44" xfId="556" applyNumberFormat="1" applyFont="1" applyBorder="1" applyAlignment="1">
      <alignment horizontal="center" vertical="center"/>
    </xf>
    <xf numFmtId="0" fontId="135" fillId="0" borderId="45" xfId="556" applyFont="1" applyBorder="1" applyAlignment="1">
      <alignment horizontal="left" vertical="center" wrapText="1"/>
    </xf>
    <xf numFmtId="2" fontId="100" fillId="34" borderId="45" xfId="556" applyNumberFormat="1" applyFont="1" applyFill="1" applyBorder="1" applyAlignment="1">
      <alignment horizontal="center" vertical="center" wrapText="1"/>
    </xf>
    <xf numFmtId="0" fontId="100" fillId="34" borderId="45" xfId="556" applyFont="1" applyFill="1" applyBorder="1" applyAlignment="1">
      <alignment horizontal="center" vertical="center" wrapText="1"/>
    </xf>
    <xf numFmtId="0" fontId="41" fillId="0" borderId="0" xfId="0" applyFont="1" applyAlignment="1">
      <alignment horizontal="center" vertical="center" wrapText="1"/>
    </xf>
    <xf numFmtId="0" fontId="41" fillId="0" borderId="0" xfId="0" applyFont="1"/>
    <xf numFmtId="0" fontId="118" fillId="0" borderId="0" xfId="240" applyFont="1"/>
    <xf numFmtId="0" fontId="193" fillId="0" borderId="0" xfId="240" applyFont="1"/>
    <xf numFmtId="0" fontId="193" fillId="0" borderId="0" xfId="240" applyFont="1" applyAlignment="1">
      <alignment wrapText="1"/>
    </xf>
    <xf numFmtId="0" fontId="91" fillId="0" borderId="0" xfId="0" applyFont="1" applyAlignment="1">
      <alignment horizontal="center"/>
    </xf>
    <xf numFmtId="0" fontId="41" fillId="0" borderId="60" xfId="6" applyFont="1" applyBorder="1" applyAlignment="1">
      <alignment horizontal="center" vertical="center" wrapText="1"/>
    </xf>
    <xf numFmtId="0" fontId="41" fillId="0" borderId="57" xfId="6" applyFont="1" applyBorder="1" applyAlignment="1">
      <alignment horizontal="left" vertical="center" wrapText="1"/>
    </xf>
    <xf numFmtId="0" fontId="41" fillId="0" borderId="44" xfId="6" applyFont="1" applyBorder="1" applyAlignment="1">
      <alignment horizontal="left" vertical="center" wrapText="1"/>
    </xf>
    <xf numFmtId="0" fontId="41" fillId="0" borderId="42" xfId="6" applyFont="1" applyBorder="1" applyAlignment="1">
      <alignment horizontal="left" vertical="center" wrapText="1"/>
    </xf>
    <xf numFmtId="0" fontId="41" fillId="0" borderId="41" xfId="6" applyFont="1" applyBorder="1" applyAlignment="1">
      <alignment horizontal="left" vertical="center" wrapText="1"/>
    </xf>
    <xf numFmtId="0" fontId="46" fillId="0" borderId="57" xfId="6" applyFont="1" applyBorder="1" applyAlignment="1">
      <alignment horizontal="left" vertical="center" wrapText="1"/>
    </xf>
    <xf numFmtId="0" fontId="197" fillId="0" borderId="0" xfId="0" applyFont="1"/>
    <xf numFmtId="0" fontId="197" fillId="0" borderId="0" xfId="0" applyFont="1" applyAlignment="1">
      <alignment wrapText="1"/>
    </xf>
    <xf numFmtId="49" fontId="100" fillId="0" borderId="0" xfId="0" applyNumberFormat="1" applyFont="1"/>
    <xf numFmtId="0" fontId="100" fillId="0" borderId="0" xfId="0" applyFont="1"/>
    <xf numFmtId="2" fontId="100" fillId="0" borderId="0" xfId="0" applyNumberFormat="1" applyFont="1"/>
    <xf numFmtId="0" fontId="135" fillId="0" borderId="45" xfId="0" applyFont="1" applyBorder="1" applyAlignment="1">
      <alignment horizontal="center" vertical="center" wrapText="1"/>
    </xf>
    <xf numFmtId="1" fontId="100" fillId="0" borderId="57" xfId="0" applyNumberFormat="1" applyFont="1" applyBorder="1" applyAlignment="1">
      <alignment horizontal="center" vertical="top" wrapText="1"/>
    </xf>
    <xf numFmtId="1" fontId="100" fillId="0" borderId="58" xfId="0" applyNumberFormat="1" applyFont="1" applyBorder="1" applyAlignment="1">
      <alignment horizontal="center" vertical="top" wrapText="1"/>
    </xf>
    <xf numFmtId="49" fontId="135" fillId="0" borderId="39" xfId="0" applyNumberFormat="1" applyFont="1" applyBorder="1" applyAlignment="1">
      <alignment horizontal="center" vertical="top" wrapText="1"/>
    </xf>
    <xf numFmtId="0" fontId="135" fillId="0" borderId="1" xfId="0" applyFont="1" applyBorder="1" applyAlignment="1">
      <alignment horizontal="left" vertical="top" wrapText="1" indent="1"/>
    </xf>
    <xf numFmtId="0" fontId="135" fillId="0" borderId="1" xfId="0" applyFont="1" applyBorder="1" applyAlignment="1">
      <alignment horizontal="center" vertical="top" wrapText="1"/>
    </xf>
    <xf numFmtId="2" fontId="135" fillId="0" borderId="1" xfId="0" applyNumberFormat="1" applyFont="1" applyBorder="1" applyAlignment="1">
      <alignment horizontal="center" vertical="top" wrapText="1"/>
    </xf>
    <xf numFmtId="49" fontId="100" fillId="0" borderId="39" xfId="0" applyNumberFormat="1" applyFont="1" applyBorder="1" applyAlignment="1">
      <alignment horizontal="center" vertical="top" wrapText="1"/>
    </xf>
    <xf numFmtId="0" fontId="100" fillId="0" borderId="1" xfId="0" applyFont="1" applyBorder="1" applyAlignment="1">
      <alignment horizontal="left" vertical="top" wrapText="1" indent="1"/>
    </xf>
    <xf numFmtId="0" fontId="100" fillId="0" borderId="1" xfId="0" applyFont="1" applyBorder="1" applyAlignment="1">
      <alignment horizontal="center" vertical="top" wrapText="1"/>
    </xf>
    <xf numFmtId="2" fontId="100" fillId="0" borderId="1" xfId="0" applyNumberFormat="1" applyFont="1" applyBorder="1" applyAlignment="1">
      <alignment horizontal="center" vertical="top" wrapText="1"/>
    </xf>
    <xf numFmtId="0" fontId="100" fillId="0" borderId="79" xfId="0" applyFont="1" applyBorder="1" applyAlignment="1">
      <alignment horizontal="left" vertical="top" wrapText="1" indent="1"/>
    </xf>
    <xf numFmtId="10" fontId="100" fillId="0" borderId="1" xfId="0" applyNumberFormat="1" applyFont="1" applyBorder="1" applyAlignment="1">
      <alignment horizontal="center" vertical="top" wrapText="1"/>
    </xf>
    <xf numFmtId="49" fontId="100" fillId="0" borderId="41" xfId="0" applyNumberFormat="1" applyFont="1" applyBorder="1" applyAlignment="1">
      <alignment horizontal="center" vertical="top" wrapText="1"/>
    </xf>
    <xf numFmtId="2" fontId="100" fillId="0" borderId="79" xfId="0" applyNumberFormat="1" applyFont="1" applyBorder="1" applyAlignment="1">
      <alignment horizontal="center" vertical="top" wrapText="1"/>
    </xf>
    <xf numFmtId="0" fontId="100" fillId="0" borderId="58" xfId="0" applyFont="1" applyBorder="1" applyAlignment="1">
      <alignment horizontal="center" vertical="top" wrapText="1"/>
    </xf>
    <xf numFmtId="2" fontId="100" fillId="0" borderId="58" xfId="0" applyNumberFormat="1" applyFont="1" applyBorder="1" applyAlignment="1">
      <alignment horizontal="center" vertical="top" wrapText="1"/>
    </xf>
    <xf numFmtId="0" fontId="100" fillId="0" borderId="45" xfId="0" applyFont="1" applyBorder="1" applyAlignment="1">
      <alignment horizontal="center" vertical="top" wrapText="1"/>
    </xf>
    <xf numFmtId="2" fontId="100" fillId="0" borderId="45" xfId="0" applyNumberFormat="1" applyFont="1" applyBorder="1" applyAlignment="1">
      <alignment horizontal="center" vertical="top" wrapText="1"/>
    </xf>
    <xf numFmtId="0" fontId="100" fillId="0" borderId="3" xfId="0" applyFont="1" applyBorder="1" applyAlignment="1">
      <alignment horizontal="center" vertical="top" wrapText="1"/>
    </xf>
    <xf numFmtId="2" fontId="100" fillId="0" borderId="3" xfId="0" applyNumberFormat="1" applyFont="1" applyBorder="1" applyAlignment="1">
      <alignment horizontal="center" vertical="top" wrapText="1"/>
    </xf>
    <xf numFmtId="0" fontId="100" fillId="0" borderId="79" xfId="0" applyFont="1" applyBorder="1" applyAlignment="1">
      <alignment horizontal="center" vertical="top" wrapText="1"/>
    </xf>
    <xf numFmtId="2" fontId="100" fillId="0" borderId="1" xfId="0" applyNumberFormat="1" applyFont="1" applyBorder="1"/>
    <xf numFmtId="0" fontId="100" fillId="0" borderId="0" xfId="0" applyFont="1" applyAlignment="1">
      <alignment horizontal="center" vertical="top" wrapText="1"/>
    </xf>
    <xf numFmtId="0" fontId="100" fillId="0" borderId="5" xfId="0" applyFont="1" applyBorder="1" applyAlignment="1">
      <alignment horizontal="center" vertical="top" wrapText="1"/>
    </xf>
    <xf numFmtId="0" fontId="100" fillId="0" borderId="5" xfId="0" applyFont="1" applyBorder="1"/>
    <xf numFmtId="49" fontId="100" fillId="0" borderId="0" xfId="0" applyNumberFormat="1" applyFont="1" applyAlignment="1">
      <alignment vertical="top" wrapText="1"/>
    </xf>
    <xf numFmtId="0" fontId="100" fillId="0" borderId="0" xfId="0" applyFont="1" applyAlignment="1">
      <alignment horizontal="center" vertical="top"/>
    </xf>
    <xf numFmtId="0" fontId="100" fillId="0" borderId="0" xfId="0" applyFont="1" applyAlignment="1">
      <alignment vertical="top" wrapText="1"/>
    </xf>
    <xf numFmtId="2" fontId="135" fillId="0" borderId="58" xfId="0" applyNumberFormat="1" applyFont="1" applyBorder="1" applyAlignment="1">
      <alignment horizontal="center" vertical="top" wrapText="1"/>
    </xf>
    <xf numFmtId="0" fontId="100" fillId="0" borderId="39" xfId="0" applyFont="1" applyBorder="1" applyAlignment="1">
      <alignment horizontal="left" vertical="top" wrapText="1" indent="1"/>
    </xf>
    <xf numFmtId="2" fontId="104" fillId="0" borderId="0" xfId="0" applyNumberFormat="1" applyFont="1"/>
    <xf numFmtId="10" fontId="43" fillId="0" borderId="1" xfId="558" applyNumberFormat="1" applyFont="1" applyBorder="1"/>
    <xf numFmtId="2" fontId="132" fillId="0" borderId="0" xfId="0" applyNumberFormat="1" applyFont="1"/>
    <xf numFmtId="0" fontId="92" fillId="0" borderId="1" xfId="0" applyFont="1" applyBorder="1"/>
    <xf numFmtId="9" fontId="92" fillId="0" borderId="1" xfId="0" applyNumberFormat="1" applyFont="1" applyBorder="1"/>
    <xf numFmtId="176" fontId="100" fillId="0" borderId="0" xfId="558" applyNumberFormat="1" applyFont="1" applyFill="1"/>
    <xf numFmtId="0" fontId="100" fillId="0" borderId="0" xfId="0" applyFont="1" applyAlignment="1">
      <alignment horizontal="center" wrapText="1"/>
    </xf>
    <xf numFmtId="2" fontId="135" fillId="0" borderId="59" xfId="0" applyNumberFormat="1" applyFont="1" applyBorder="1" applyAlignment="1">
      <alignment horizontal="center" vertical="top" wrapText="1"/>
    </xf>
    <xf numFmtId="2" fontId="135" fillId="0" borderId="40" xfId="0" applyNumberFormat="1" applyFont="1" applyBorder="1" applyAlignment="1">
      <alignment horizontal="center" vertical="top" wrapText="1"/>
    </xf>
    <xf numFmtId="2" fontId="135" fillId="0" borderId="45" xfId="0" applyNumberFormat="1" applyFont="1" applyBorder="1" applyAlignment="1">
      <alignment horizontal="center" vertical="top" wrapText="1"/>
    </xf>
    <xf numFmtId="2" fontId="135" fillId="0" borderId="46" xfId="0" applyNumberFormat="1" applyFont="1" applyBorder="1" applyAlignment="1">
      <alignment horizontal="center" vertical="top" wrapText="1"/>
    </xf>
    <xf numFmtId="0" fontId="198" fillId="0" borderId="1" xfId="0" applyFont="1" applyBorder="1" applyAlignment="1">
      <alignment horizontal="right" vertical="top" wrapText="1" indent="1"/>
    </xf>
    <xf numFmtId="2" fontId="100" fillId="63" borderId="1" xfId="0" applyNumberFormat="1" applyFont="1" applyFill="1" applyBorder="1" applyAlignment="1">
      <alignment horizontal="center" vertical="top" wrapText="1"/>
    </xf>
    <xf numFmtId="0" fontId="100" fillId="0" borderId="106" xfId="116" applyFont="1" applyBorder="1" applyAlignment="1">
      <alignment horizontal="left" wrapText="1" indent="1"/>
    </xf>
    <xf numFmtId="49" fontId="100" fillId="0" borderId="88" xfId="0" applyNumberFormat="1" applyFont="1" applyBorder="1" applyAlignment="1">
      <alignment horizontal="center" vertical="top" wrapText="1"/>
    </xf>
    <xf numFmtId="49" fontId="100" fillId="0" borderId="52" xfId="0" applyNumberFormat="1" applyFont="1" applyBorder="1" applyAlignment="1">
      <alignment horizontal="center" vertical="top" wrapText="1"/>
    </xf>
    <xf numFmtId="49" fontId="100" fillId="0" borderId="37" xfId="0" applyNumberFormat="1" applyFont="1" applyBorder="1" applyAlignment="1">
      <alignment horizontal="center" vertical="top" wrapText="1"/>
    </xf>
    <xf numFmtId="49" fontId="135" fillId="0" borderId="52" xfId="0" applyNumberFormat="1" applyFont="1" applyBorder="1" applyAlignment="1">
      <alignment horizontal="center" vertical="top" wrapText="1"/>
    </xf>
    <xf numFmtId="49" fontId="100" fillId="0" borderId="53" xfId="0" applyNumberFormat="1" applyFont="1" applyBorder="1" applyAlignment="1">
      <alignment horizontal="center" vertical="top" wrapText="1"/>
    </xf>
    <xf numFmtId="0" fontId="100" fillId="0" borderId="57" xfId="0" applyFont="1" applyBorder="1" applyAlignment="1">
      <alignment horizontal="left" vertical="top" wrapText="1" indent="1"/>
    </xf>
    <xf numFmtId="0" fontId="100" fillId="0" borderId="42" xfId="0" applyFont="1" applyBorder="1" applyAlignment="1">
      <alignment horizontal="left" vertical="top" wrapText="1" indent="1"/>
    </xf>
    <xf numFmtId="2" fontId="100" fillId="0" borderId="43" xfId="0" applyNumberFormat="1" applyFont="1" applyBorder="1" applyAlignment="1">
      <alignment horizontal="center" vertical="top" wrapText="1"/>
    </xf>
    <xf numFmtId="0" fontId="135" fillId="0" borderId="39" xfId="0" applyFont="1" applyBorder="1" applyAlignment="1">
      <alignment horizontal="left" vertical="top" wrapText="1" indent="1"/>
    </xf>
    <xf numFmtId="0" fontId="100" fillId="0" borderId="44" xfId="0" applyFont="1" applyBorder="1" applyAlignment="1">
      <alignment horizontal="left" vertical="top" wrapText="1" indent="1"/>
    </xf>
    <xf numFmtId="2" fontId="135" fillId="59" borderId="1" xfId="0" applyNumberFormat="1" applyFont="1" applyFill="1" applyBorder="1" applyAlignment="1">
      <alignment horizontal="center" vertical="top" wrapText="1"/>
    </xf>
    <xf numFmtId="10" fontId="132" fillId="0" borderId="1" xfId="558" applyNumberFormat="1" applyFont="1" applyFill="1" applyBorder="1"/>
    <xf numFmtId="0" fontId="100" fillId="0" borderId="1" xfId="0" applyFont="1" applyBorder="1" applyAlignment="1">
      <alignment horizontal="center"/>
    </xf>
    <xf numFmtId="9" fontId="100" fillId="0" borderId="0" xfId="558" applyFont="1" applyFill="1"/>
    <xf numFmtId="10" fontId="100" fillId="0" borderId="1" xfId="558" applyNumberFormat="1" applyFont="1" applyFill="1" applyBorder="1"/>
    <xf numFmtId="2" fontId="100" fillId="70" borderId="58" xfId="0" applyNumberFormat="1" applyFont="1" applyFill="1" applyBorder="1" applyAlignment="1">
      <alignment horizontal="center" vertical="top" wrapText="1"/>
    </xf>
    <xf numFmtId="0" fontId="199" fillId="0" borderId="0" xfId="0" applyFont="1"/>
    <xf numFmtId="0" fontId="98" fillId="0" borderId="3" xfId="0" applyFont="1" applyBorder="1" applyAlignment="1">
      <alignment vertical="center" wrapText="1"/>
    </xf>
    <xf numFmtId="0" fontId="109" fillId="0" borderId="69" xfId="0" applyFont="1" applyBorder="1" applyAlignment="1">
      <alignment vertical="center" wrapText="1"/>
    </xf>
    <xf numFmtId="0" fontId="98" fillId="0" borderId="3" xfId="0" applyFont="1" applyBorder="1"/>
    <xf numFmtId="0" fontId="98" fillId="0" borderId="69" xfId="0" applyFont="1" applyBorder="1"/>
    <xf numFmtId="0" fontId="197" fillId="0" borderId="69" xfId="0" applyFont="1" applyBorder="1" applyAlignment="1">
      <alignment horizontal="center" vertical="center" wrapText="1"/>
    </xf>
    <xf numFmtId="0" fontId="200" fillId="0" borderId="1" xfId="0" applyFont="1" applyBorder="1" applyAlignment="1">
      <alignment horizontal="center" vertical="center" wrapText="1"/>
    </xf>
    <xf numFmtId="0" fontId="200" fillId="0" borderId="69" xfId="0" applyFont="1" applyBorder="1" applyAlignment="1">
      <alignment horizontal="center" vertical="center" wrapText="1"/>
    </xf>
    <xf numFmtId="0" fontId="197" fillId="0" borderId="69" xfId="0" applyFont="1" applyBorder="1" applyAlignment="1">
      <alignment vertical="center" wrapText="1"/>
    </xf>
    <xf numFmtId="0" fontId="201" fillId="0" borderId="0" xfId="0" applyFont="1" applyAlignment="1">
      <alignment horizontal="left" vertical="center"/>
    </xf>
    <xf numFmtId="0" fontId="187" fillId="0" borderId="0" xfId="0" applyFont="1"/>
    <xf numFmtId="0" fontId="201" fillId="0" borderId="0" xfId="0" applyFont="1" applyAlignment="1">
      <alignment vertical="center"/>
    </xf>
    <xf numFmtId="0" fontId="197" fillId="0" borderId="1" xfId="0" applyFont="1" applyBorder="1" applyAlignment="1">
      <alignment horizontal="center" vertical="center" wrapText="1"/>
    </xf>
    <xf numFmtId="0" fontId="197" fillId="0" borderId="7" xfId="0" applyFont="1" applyBorder="1" applyAlignment="1">
      <alignment horizontal="center" vertical="center" wrapText="1"/>
    </xf>
    <xf numFmtId="0" fontId="104" fillId="0" borderId="7" xfId="0" applyFont="1" applyBorder="1" applyAlignment="1">
      <alignment horizontal="center" vertical="center" wrapText="1"/>
    </xf>
    <xf numFmtId="0" fontId="104" fillId="0" borderId="3" xfId="0" applyFont="1" applyBorder="1" applyAlignment="1">
      <alignment horizontal="center" vertical="center" wrapText="1"/>
    </xf>
    <xf numFmtId="0" fontId="104" fillId="0" borderId="69" xfId="0" applyFont="1" applyBorder="1" applyAlignment="1">
      <alignment horizontal="center" vertical="center" wrapText="1"/>
    </xf>
    <xf numFmtId="0" fontId="197" fillId="0" borderId="1" xfId="0" applyFont="1" applyBorder="1" applyAlignment="1">
      <alignment vertical="center" wrapText="1"/>
    </xf>
    <xf numFmtId="0" fontId="197" fillId="0" borderId="1" xfId="0" applyFont="1" applyBorder="1" applyAlignment="1">
      <alignment horizontal="left" wrapText="1" indent="1"/>
    </xf>
    <xf numFmtId="0" fontId="104" fillId="0" borderId="1" xfId="0" applyFont="1" applyBorder="1" applyAlignment="1">
      <alignment vertical="center" wrapText="1"/>
    </xf>
    <xf numFmtId="0" fontId="132" fillId="0" borderId="1" xfId="116" applyFont="1" applyBorder="1" applyAlignment="1">
      <alignment horizontal="left" wrapText="1" indent="1"/>
    </xf>
    <xf numFmtId="0" fontId="41" fillId="0" borderId="0" xfId="240" applyFont="1" applyAlignment="1">
      <alignment vertical="center" wrapText="1"/>
    </xf>
    <xf numFmtId="0" fontId="132" fillId="0" borderId="1" xfId="0" applyFont="1" applyBorder="1" applyAlignment="1">
      <alignment horizontal="left" wrapText="1" indent="1"/>
    </xf>
    <xf numFmtId="0" fontId="109" fillId="0" borderId="7" xfId="0" applyFont="1" applyBorder="1" applyAlignment="1">
      <alignment vertical="center" wrapText="1"/>
    </xf>
    <xf numFmtId="0" fontId="49" fillId="0" borderId="3" xfId="0" applyFont="1" applyBorder="1" applyAlignment="1">
      <alignment vertical="center" wrapText="1"/>
    </xf>
    <xf numFmtId="0" fontId="197" fillId="0" borderId="1" xfId="0" applyFont="1" applyBorder="1"/>
    <xf numFmtId="176" fontId="43" fillId="0" borderId="32" xfId="0" applyNumberFormat="1" applyFont="1" applyBorder="1" applyAlignment="1">
      <alignment horizontal="center"/>
    </xf>
    <xf numFmtId="2" fontId="42" fillId="0" borderId="0" xfId="6" applyNumberFormat="1" applyFont="1"/>
    <xf numFmtId="10" fontId="42" fillId="0" borderId="0" xfId="558" applyNumberFormat="1" applyFont="1"/>
    <xf numFmtId="0" fontId="39" fillId="0" borderId="1" xfId="0" applyFont="1" applyBorder="1" applyAlignment="1">
      <alignment horizontal="center" vertical="center" wrapText="1"/>
    </xf>
    <xf numFmtId="2" fontId="197" fillId="0" borderId="0" xfId="0" applyNumberFormat="1" applyFont="1"/>
    <xf numFmtId="0" fontId="109" fillId="0" borderId="33" xfId="0" applyFont="1" applyBorder="1" applyAlignment="1">
      <alignment horizontal="center" vertical="center" wrapText="1"/>
    </xf>
    <xf numFmtId="4" fontId="43" fillId="0" borderId="1" xfId="0" applyNumberFormat="1" applyFont="1" applyBorder="1" applyAlignment="1">
      <alignment horizontal="right" wrapText="1"/>
    </xf>
    <xf numFmtId="10" fontId="109" fillId="0" borderId="1" xfId="0" applyNumberFormat="1" applyFont="1" applyBorder="1" applyAlignment="1">
      <alignment horizontal="right" wrapText="1"/>
    </xf>
    <xf numFmtId="0" fontId="43" fillId="0" borderId="27" xfId="0" applyFont="1" applyBorder="1" applyAlignment="1">
      <alignment horizontal="center" vertical="center" wrapText="1"/>
    </xf>
    <xf numFmtId="0" fontId="109" fillId="0" borderId="1" xfId="0" applyFont="1" applyBorder="1" applyAlignment="1">
      <alignment horizontal="left" wrapText="1"/>
    </xf>
    <xf numFmtId="0" fontId="162" fillId="0" borderId="1" xfId="0" applyFont="1" applyBorder="1" applyAlignment="1">
      <alignment horizontal="center" wrapText="1"/>
    </xf>
    <xf numFmtId="0" fontId="109" fillId="0" borderId="1" xfId="0" applyFont="1" applyBorder="1" applyAlignment="1">
      <alignment horizontal="center" vertical="center" wrapText="1"/>
    </xf>
    <xf numFmtId="2" fontId="43" fillId="0" borderId="1" xfId="0" applyNumberFormat="1" applyFont="1" applyBorder="1" applyAlignment="1">
      <alignment horizontal="right" wrapText="1"/>
    </xf>
    <xf numFmtId="4" fontId="92" fillId="0" borderId="1" xfId="0" applyNumberFormat="1" applyFont="1" applyBorder="1" applyAlignment="1">
      <alignment horizontal="right" wrapText="1"/>
    </xf>
    <xf numFmtId="10" fontId="43" fillId="0" borderId="1" xfId="558" applyNumberFormat="1" applyFont="1" applyFill="1" applyBorder="1" applyAlignment="1">
      <alignment horizontal="right" wrapText="1"/>
    </xf>
    <xf numFmtId="10" fontId="43" fillId="0" borderId="1" xfId="558" applyNumberFormat="1" applyFont="1" applyFill="1" applyBorder="1" applyAlignment="1">
      <alignment horizontal="right"/>
    </xf>
    <xf numFmtId="4" fontId="109" fillId="0" borderId="1" xfId="0" applyNumberFormat="1" applyFont="1" applyBorder="1" applyAlignment="1">
      <alignment horizontal="right" wrapText="1"/>
    </xf>
    <xf numFmtId="0" fontId="43" fillId="0" borderId="0" xfId="240" applyFont="1" applyAlignment="1">
      <alignment horizontal="center"/>
    </xf>
    <xf numFmtId="0" fontId="40" fillId="0" borderId="0" xfId="240" applyFont="1" applyAlignment="1">
      <alignment horizontal="left" vertical="top" wrapText="1"/>
    </xf>
    <xf numFmtId="2" fontId="186" fillId="0" borderId="0" xfId="240" applyNumberFormat="1" applyFont="1"/>
    <xf numFmtId="4" fontId="186" fillId="0" borderId="0" xfId="240" applyNumberFormat="1" applyFont="1"/>
    <xf numFmtId="0" fontId="51" fillId="0" borderId="1" xfId="0" applyFont="1" applyBorder="1"/>
    <xf numFmtId="0" fontId="42" fillId="0" borderId="1" xfId="0" applyFont="1" applyBorder="1" applyAlignment="1">
      <alignment horizontal="right"/>
    </xf>
    <xf numFmtId="2" fontId="42" fillId="0" borderId="1" xfId="0" applyNumberFormat="1" applyFont="1" applyBorder="1"/>
    <xf numFmtId="0" fontId="51" fillId="0" borderId="1" xfId="0" applyFont="1" applyBorder="1" applyAlignment="1">
      <alignment horizontal="center" vertical="center"/>
    </xf>
    <xf numFmtId="2" fontId="51" fillId="0" borderId="1" xfId="0" applyNumberFormat="1" applyFont="1" applyBorder="1"/>
    <xf numFmtId="0" fontId="10" fillId="0" borderId="0" xfId="240" applyFont="1"/>
    <xf numFmtId="0" fontId="41" fillId="34" borderId="1" xfId="240" applyFont="1" applyFill="1" applyBorder="1" applyAlignment="1">
      <alignment horizontal="center" vertical="center" wrapText="1"/>
    </xf>
    <xf numFmtId="0" fontId="10" fillId="34" borderId="0" xfId="240" applyFont="1" applyFill="1"/>
    <xf numFmtId="49" fontId="40" fillId="0" borderId="10" xfId="240" applyNumberFormat="1" applyFont="1" applyBorder="1" applyAlignment="1">
      <alignment horizontal="center" vertical="center" wrapText="1"/>
    </xf>
    <xf numFmtId="4" fontId="0" fillId="0" borderId="1" xfId="0" applyNumberFormat="1" applyBorder="1"/>
    <xf numFmtId="49" fontId="10" fillId="0" borderId="0" xfId="240" applyNumberFormat="1" applyFont="1"/>
    <xf numFmtId="0" fontId="42" fillId="2" borderId="1" xfId="0" applyFont="1" applyFill="1" applyBorder="1"/>
    <xf numFmtId="0" fontId="42" fillId="2" borderId="8" xfId="0" applyFont="1" applyFill="1" applyBorder="1"/>
    <xf numFmtId="49" fontId="44" fillId="0" borderId="1" xfId="240" applyNumberFormat="1" applyFont="1" applyBorder="1" applyAlignment="1">
      <alignment horizontal="right" vertical="center" wrapText="1"/>
    </xf>
    <xf numFmtId="4" fontId="51" fillId="0" borderId="1" xfId="240" applyNumberFormat="1" applyFont="1" applyBorder="1" applyAlignment="1">
      <alignment horizontal="right" vertical="center" wrapText="1"/>
    </xf>
    <xf numFmtId="4" fontId="51" fillId="0" borderId="1" xfId="0" applyNumberFormat="1" applyFont="1" applyBorder="1" applyAlignment="1">
      <alignment horizontal="right" vertical="center"/>
    </xf>
    <xf numFmtId="49" fontId="40" fillId="0" borderId="1" xfId="240" applyNumberFormat="1" applyFont="1" applyBorder="1" applyAlignment="1">
      <alignment horizontal="right" vertical="center" wrapText="1"/>
    </xf>
    <xf numFmtId="0" fontId="129" fillId="0" borderId="0" xfId="0" applyFont="1" applyAlignment="1">
      <alignment horizontal="left"/>
    </xf>
    <xf numFmtId="0" fontId="129" fillId="0" borderId="9" xfId="0" applyFont="1" applyBorder="1" applyAlignment="1">
      <alignment horizontal="left" vertical="center"/>
    </xf>
    <xf numFmtId="0" fontId="129" fillId="0" borderId="7" xfId="0" applyFont="1" applyBorder="1" applyAlignment="1">
      <alignment horizontal="left" vertical="center"/>
    </xf>
    <xf numFmtId="4" fontId="187" fillId="0" borderId="1" xfId="0" applyNumberFormat="1" applyFont="1" applyBorder="1" applyAlignment="1">
      <alignment horizontal="right" vertical="center"/>
    </xf>
    <xf numFmtId="4" fontId="187" fillId="0" borderId="1" xfId="240" applyNumberFormat="1" applyFont="1" applyBorder="1" applyAlignment="1">
      <alignment horizontal="right" vertical="center" wrapText="1"/>
    </xf>
    <xf numFmtId="0" fontId="44" fillId="0" borderId="1" xfId="0" applyFont="1" applyBorder="1" applyAlignment="1">
      <alignment vertical="center" wrapText="1"/>
    </xf>
    <xf numFmtId="0" fontId="43" fillId="0" borderId="32" xfId="0" applyFont="1" applyBorder="1" applyAlignment="1">
      <alignment horizontal="center" vertical="center" wrapText="1"/>
    </xf>
    <xf numFmtId="0" fontId="92" fillId="0" borderId="30" xfId="0" applyFont="1" applyBorder="1" applyAlignment="1">
      <alignment vertical="center"/>
    </xf>
    <xf numFmtId="2" fontId="0" fillId="0" borderId="1" xfId="0" applyNumberFormat="1" applyBorder="1"/>
    <xf numFmtId="0" fontId="0" fillId="0" borderId="39" xfId="0" applyBorder="1"/>
    <xf numFmtId="2" fontId="0" fillId="0" borderId="40" xfId="0" applyNumberFormat="1" applyBorder="1"/>
    <xf numFmtId="0" fontId="35" fillId="0" borderId="44" xfId="0" applyFont="1" applyBorder="1"/>
    <xf numFmtId="2" fontId="35" fillId="0" borderId="45" xfId="0" applyNumberFormat="1" applyFont="1" applyBorder="1"/>
    <xf numFmtId="2" fontId="35" fillId="0" borderId="46" xfId="0" applyNumberFormat="1" applyFont="1" applyBorder="1"/>
    <xf numFmtId="0" fontId="145" fillId="0" borderId="98" xfId="547" applyFont="1" applyBorder="1" applyAlignment="1">
      <alignment horizontal="center" vertical="center" wrapText="1"/>
    </xf>
    <xf numFmtId="2" fontId="42" fillId="0" borderId="10" xfId="547" applyNumberFormat="1" applyFont="1" applyBorder="1" applyAlignment="1">
      <alignment horizontal="center"/>
    </xf>
    <xf numFmtId="2" fontId="42" fillId="0" borderId="8" xfId="547" applyNumberFormat="1" applyFont="1" applyBorder="1" applyAlignment="1">
      <alignment horizontal="center"/>
    </xf>
    <xf numFmtId="2" fontId="42" fillId="0" borderId="97" xfId="547" applyNumberFormat="1" applyFont="1" applyBorder="1" applyAlignment="1">
      <alignment horizontal="center"/>
    </xf>
    <xf numFmtId="2" fontId="51" fillId="0" borderId="98" xfId="547" applyNumberFormat="1" applyFont="1" applyBorder="1" applyAlignment="1">
      <alignment horizontal="center"/>
    </xf>
    <xf numFmtId="0" fontId="42" fillId="0" borderId="1" xfId="506" applyFont="1" applyBorder="1" applyAlignment="1">
      <alignment horizontal="center" vertical="center"/>
    </xf>
    <xf numFmtId="2" fontId="50" fillId="73" borderId="128" xfId="448" applyNumberFormat="1" applyFont="1" applyFill="1" applyBorder="1" applyAlignment="1">
      <alignment horizontal="center"/>
    </xf>
    <xf numFmtId="2" fontId="50" fillId="73" borderId="106" xfId="448" applyNumberFormat="1" applyFont="1" applyFill="1" applyBorder="1" applyAlignment="1">
      <alignment horizontal="center"/>
    </xf>
    <xf numFmtId="2" fontId="50" fillId="73" borderId="118" xfId="448" applyNumberFormat="1" applyFont="1" applyFill="1" applyBorder="1" applyAlignment="1">
      <alignment horizontal="center"/>
    </xf>
    <xf numFmtId="2" fontId="50" fillId="73" borderId="104" xfId="448" applyNumberFormat="1" applyFont="1" applyFill="1" applyBorder="1" applyAlignment="1">
      <alignment horizontal="center"/>
    </xf>
    <xf numFmtId="2" fontId="50" fillId="73" borderId="105" xfId="448" applyNumberFormat="1" applyFont="1" applyFill="1" applyBorder="1" applyAlignment="1">
      <alignment horizontal="center"/>
    </xf>
    <xf numFmtId="2" fontId="50" fillId="73" borderId="111" xfId="448" applyNumberFormat="1" applyFont="1" applyFill="1" applyBorder="1" applyAlignment="1">
      <alignment horizontal="center"/>
    </xf>
    <xf numFmtId="2" fontId="50" fillId="73" borderId="32" xfId="448" applyNumberFormat="1" applyFont="1" applyFill="1" applyBorder="1" applyAlignment="1">
      <alignment horizontal="center"/>
    </xf>
    <xf numFmtId="4" fontId="50" fillId="73" borderId="106" xfId="449" applyNumberFormat="1" applyFont="1" applyFill="1" applyBorder="1" applyAlignment="1">
      <alignment horizontal="center" vertical="center" wrapText="1"/>
    </xf>
    <xf numFmtId="2" fontId="132" fillId="73" borderId="102" xfId="448" applyNumberFormat="1" applyFont="1" applyFill="1" applyBorder="1" applyAlignment="1">
      <alignment horizontal="center"/>
    </xf>
    <xf numFmtId="2" fontId="132" fillId="73" borderId="130" xfId="448" applyNumberFormat="1" applyFont="1" applyFill="1" applyBorder="1" applyAlignment="1">
      <alignment horizontal="center"/>
    </xf>
    <xf numFmtId="0" fontId="0" fillId="77" borderId="1" xfId="0" applyFill="1" applyBorder="1" applyAlignment="1">
      <alignment horizontal="center" vertical="center" wrapText="1"/>
    </xf>
    <xf numFmtId="0" fontId="0" fillId="74" borderId="1" xfId="0" applyFill="1" applyBorder="1" applyAlignment="1">
      <alignment horizontal="center" vertical="center" wrapText="1"/>
    </xf>
    <xf numFmtId="0" fontId="109" fillId="0" borderId="0" xfId="0" applyFont="1"/>
    <xf numFmtId="0" fontId="109" fillId="0" borderId="0" xfId="0" applyFont="1" applyAlignment="1">
      <alignment horizontal="center" vertical="center" wrapText="1"/>
    </xf>
    <xf numFmtId="0" fontId="109" fillId="0" borderId="0" xfId="0" applyFont="1" applyAlignment="1">
      <alignment horizontal="left" vertical="center" wrapText="1"/>
    </xf>
    <xf numFmtId="1" fontId="41" fillId="0" borderId="8" xfId="547" applyNumberFormat="1" applyFont="1" applyBorder="1" applyAlignment="1">
      <alignment horizontal="center"/>
    </xf>
    <xf numFmtId="1" fontId="43" fillId="0" borderId="8" xfId="547" applyNumberFormat="1" applyFont="1" applyBorder="1" applyAlignment="1">
      <alignment horizontal="center"/>
    </xf>
    <xf numFmtId="0" fontId="43" fillId="0" borderId="1" xfId="546" applyFont="1" applyBorder="1" applyAlignment="1">
      <alignment horizontal="center" wrapText="1"/>
    </xf>
    <xf numFmtId="0" fontId="43" fillId="0" borderId="1" xfId="546" applyFont="1" applyBorder="1" applyAlignment="1">
      <alignment horizontal="center"/>
    </xf>
    <xf numFmtId="0" fontId="92" fillId="0" borderId="1" xfId="546" applyFont="1" applyBorder="1"/>
    <xf numFmtId="0" fontId="43" fillId="0" borderId="1" xfId="546" applyFont="1" applyBorder="1" applyAlignment="1">
      <alignment horizontal="center" vertical="center"/>
    </xf>
    <xf numFmtId="0" fontId="132" fillId="0" borderId="1" xfId="0" applyFont="1" applyBorder="1" applyAlignment="1">
      <alignment horizontal="left" wrapText="1"/>
    </xf>
    <xf numFmtId="2" fontId="43" fillId="0" borderId="1" xfId="0" applyNumberFormat="1" applyFont="1" applyBorder="1" applyAlignment="1">
      <alignment vertical="center"/>
    </xf>
    <xf numFmtId="0" fontId="100" fillId="0" borderId="1" xfId="0" applyFont="1" applyBorder="1" applyAlignment="1">
      <alignment horizontal="left" wrapText="1"/>
    </xf>
    <xf numFmtId="2" fontId="43" fillId="0" borderId="8" xfId="0" applyNumberFormat="1" applyFont="1" applyBorder="1" applyAlignment="1">
      <alignment vertical="center"/>
    </xf>
    <xf numFmtId="0" fontId="100" fillId="0" borderId="1" xfId="0" applyFont="1" applyBorder="1" applyAlignment="1">
      <alignment horizontal="left" vertical="top" wrapText="1"/>
    </xf>
    <xf numFmtId="0" fontId="100" fillId="0" borderId="7" xfId="0" applyFont="1" applyBorder="1" applyAlignment="1">
      <alignment horizontal="left" vertical="top" wrapText="1"/>
    </xf>
    <xf numFmtId="2" fontId="43" fillId="0" borderId="8" xfId="0" applyNumberFormat="1" applyFont="1" applyBorder="1" applyAlignment="1">
      <alignment vertical="top"/>
    </xf>
    <xf numFmtId="0" fontId="43" fillId="0" borderId="0" xfId="546" applyFont="1" applyAlignment="1">
      <alignment vertical="top"/>
    </xf>
    <xf numFmtId="0" fontId="43" fillId="0" borderId="1" xfId="546" applyFont="1" applyBorder="1" applyAlignment="1">
      <alignment vertical="top"/>
    </xf>
    <xf numFmtId="0" fontId="43" fillId="0" borderId="7" xfId="546" applyFont="1" applyBorder="1" applyAlignment="1">
      <alignment horizontal="left" vertical="top"/>
    </xf>
    <xf numFmtId="4" fontId="50" fillId="0" borderId="0" xfId="116" applyNumberFormat="1" applyFont="1"/>
    <xf numFmtId="0" fontId="92" fillId="0" borderId="44" xfId="506" applyFont="1" applyBorder="1" applyAlignment="1">
      <alignment horizontal="center" vertical="center"/>
    </xf>
    <xf numFmtId="0" fontId="92" fillId="0" borderId="0" xfId="506" applyFont="1" applyAlignment="1">
      <alignment horizontal="center" vertical="center"/>
    </xf>
    <xf numFmtId="0" fontId="43" fillId="0" borderId="41" xfId="506" applyFont="1" applyBorder="1" applyAlignment="1">
      <alignment horizontal="center" vertical="center"/>
    </xf>
    <xf numFmtId="0" fontId="43" fillId="0" borderId="51" xfId="506" applyFont="1" applyBorder="1" applyAlignment="1">
      <alignment horizontal="center" vertical="center"/>
    </xf>
    <xf numFmtId="0" fontId="43" fillId="0" borderId="0" xfId="506" applyFont="1" applyAlignment="1">
      <alignment horizontal="left" vertical="center" wrapText="1"/>
    </xf>
    <xf numFmtId="0" fontId="92" fillId="0" borderId="0" xfId="506" applyFont="1" applyAlignment="1">
      <alignment horizontal="center" vertical="center" wrapText="1"/>
    </xf>
    <xf numFmtId="0" fontId="43" fillId="0" borderId="0" xfId="506" applyFont="1" applyAlignment="1">
      <alignment horizontal="center" vertical="top" wrapText="1"/>
    </xf>
    <xf numFmtId="0" fontId="9" fillId="0" borderId="0" xfId="506" applyFont="1"/>
    <xf numFmtId="0" fontId="43" fillId="0" borderId="48" xfId="506" applyFont="1" applyBorder="1" applyAlignment="1">
      <alignment horizontal="center" vertical="center"/>
    </xf>
    <xf numFmtId="0" fontId="43" fillId="0" borderId="27" xfId="0" applyFont="1" applyBorder="1" applyAlignment="1">
      <alignment horizontal="left" vertical="top" wrapText="1"/>
    </xf>
    <xf numFmtId="0" fontId="43" fillId="0" borderId="95" xfId="506" applyFont="1" applyBorder="1" applyAlignment="1">
      <alignment horizontal="center" vertical="center"/>
    </xf>
    <xf numFmtId="0" fontId="43" fillId="0" borderId="56" xfId="506" applyFont="1" applyBorder="1" applyAlignment="1">
      <alignment horizontal="right" vertical="top" wrapText="1"/>
    </xf>
    <xf numFmtId="0" fontId="43" fillId="0" borderId="91" xfId="0" applyFont="1" applyBorder="1" applyAlignment="1">
      <alignment horizontal="center"/>
    </xf>
    <xf numFmtId="0" fontId="43" fillId="0" borderId="124" xfId="0" applyFont="1" applyBorder="1" applyAlignment="1">
      <alignment horizontal="center"/>
    </xf>
    <xf numFmtId="0" fontId="144" fillId="0" borderId="43" xfId="124" applyFont="1" applyBorder="1" applyAlignment="1">
      <alignment vertical="center" wrapText="1"/>
    </xf>
    <xf numFmtId="0" fontId="144" fillId="0" borderId="58" xfId="124" applyFont="1" applyBorder="1" applyAlignment="1">
      <alignment vertical="center" wrapText="1"/>
    </xf>
    <xf numFmtId="1" fontId="43" fillId="0" borderId="58" xfId="0" applyNumberFormat="1" applyFont="1" applyBorder="1" applyAlignment="1">
      <alignment horizontal="right" vertical="center"/>
    </xf>
    <xf numFmtId="2" fontId="43" fillId="0" borderId="58" xfId="0" applyNumberFormat="1" applyFont="1" applyBorder="1" applyAlignment="1">
      <alignment horizontal="right" vertical="center"/>
    </xf>
    <xf numFmtId="0" fontId="132" fillId="0" borderId="45" xfId="124" applyFont="1" applyBorder="1" applyAlignment="1">
      <alignment vertical="center" wrapText="1"/>
    </xf>
    <xf numFmtId="0" fontId="43" fillId="2" borderId="69" xfId="0" applyFont="1" applyFill="1" applyBorder="1" applyAlignment="1">
      <alignment horizontal="right" vertical="center"/>
    </xf>
    <xf numFmtId="0" fontId="43" fillId="2" borderId="3" xfId="0" applyFont="1" applyFill="1" applyBorder="1" applyAlignment="1">
      <alignment horizontal="right" vertical="center"/>
    </xf>
    <xf numFmtId="2" fontId="115" fillId="0" borderId="0" xfId="506" applyNumberFormat="1" applyFont="1"/>
    <xf numFmtId="0" fontId="42" fillId="0" borderId="42" xfId="552" applyFont="1" applyBorder="1"/>
    <xf numFmtId="0" fontId="42" fillId="0" borderId="3" xfId="552" applyFont="1" applyBorder="1" applyAlignment="1">
      <alignment horizontal="center" vertical="center"/>
    </xf>
    <xf numFmtId="0" fontId="42" fillId="0" borderId="10" xfId="552" applyFont="1" applyBorder="1" applyAlignment="1">
      <alignment horizontal="center" vertical="center"/>
    </xf>
    <xf numFmtId="2" fontId="42" fillId="0" borderId="42" xfId="552" applyNumberFormat="1" applyFont="1" applyBorder="1" applyAlignment="1">
      <alignment horizontal="center" vertical="center"/>
    </xf>
    <xf numFmtId="2" fontId="42" fillId="0" borderId="43" xfId="552" applyNumberFormat="1" applyFont="1" applyBorder="1" applyAlignment="1">
      <alignment horizontal="center" vertical="center"/>
    </xf>
    <xf numFmtId="0" fontId="42" fillId="0" borderId="39" xfId="552" applyFont="1" applyBorder="1"/>
    <xf numFmtId="0" fontId="42" fillId="0" borderId="1" xfId="552" applyFont="1" applyBorder="1" applyAlignment="1">
      <alignment horizontal="center" vertical="center"/>
    </xf>
    <xf numFmtId="0" fontId="42" fillId="0" borderId="8" xfId="552" applyFont="1" applyBorder="1" applyAlignment="1">
      <alignment horizontal="center" vertical="center"/>
    </xf>
    <xf numFmtId="2" fontId="42" fillId="0" borderId="39" xfId="552" applyNumberFormat="1" applyFont="1" applyBorder="1" applyAlignment="1">
      <alignment horizontal="center" vertical="center"/>
    </xf>
    <xf numFmtId="2" fontId="42" fillId="0" borderId="40" xfId="552" applyNumberFormat="1" applyFont="1" applyBorder="1" applyAlignment="1">
      <alignment horizontal="center" vertical="center"/>
    </xf>
    <xf numFmtId="0" fontId="42" fillId="0" borderId="41" xfId="552" applyFont="1" applyBorder="1"/>
    <xf numFmtId="0" fontId="42" fillId="0" borderId="79" xfId="552" applyFont="1" applyBorder="1" applyAlignment="1">
      <alignment horizontal="center" vertical="center"/>
    </xf>
    <xf numFmtId="0" fontId="42" fillId="0" borderId="97" xfId="552" applyFont="1" applyBorder="1" applyAlignment="1">
      <alignment horizontal="center" vertical="center"/>
    </xf>
    <xf numFmtId="2" fontId="42" fillId="0" borderId="41" xfId="552" applyNumberFormat="1" applyFont="1" applyBorder="1" applyAlignment="1">
      <alignment horizontal="center" vertical="center"/>
    </xf>
    <xf numFmtId="2" fontId="42" fillId="0" borderId="47" xfId="552" applyNumberFormat="1" applyFont="1" applyBorder="1" applyAlignment="1">
      <alignment horizontal="center" vertical="center"/>
    </xf>
    <xf numFmtId="2" fontId="42" fillId="0" borderId="5" xfId="552" applyNumberFormat="1" applyFont="1" applyBorder="1"/>
    <xf numFmtId="2" fontId="42" fillId="0" borderId="10" xfId="552" applyNumberFormat="1" applyFont="1" applyBorder="1"/>
    <xf numFmtId="2" fontId="42" fillId="0" borderId="88" xfId="552" applyNumberFormat="1" applyFont="1" applyBorder="1"/>
    <xf numFmtId="2" fontId="42" fillId="0" borderId="37" xfId="552" applyNumberFormat="1" applyFont="1" applyBorder="1"/>
    <xf numFmtId="0" fontId="51" fillId="0" borderId="30" xfId="552" applyFont="1" applyBorder="1"/>
    <xf numFmtId="0" fontId="51" fillId="0" borderId="30" xfId="552" applyFont="1" applyBorder="1" applyAlignment="1">
      <alignment horizontal="right"/>
    </xf>
    <xf numFmtId="0" fontId="50" fillId="0" borderId="52" xfId="0" applyFont="1" applyBorder="1"/>
    <xf numFmtId="2" fontId="50" fillId="0" borderId="32" xfId="448" applyNumberFormat="1" applyFont="1" applyBorder="1" applyAlignment="1">
      <alignment horizontal="center"/>
    </xf>
    <xf numFmtId="0" fontId="50" fillId="34" borderId="94" xfId="448" applyFont="1" applyFill="1" applyBorder="1" applyAlignment="1">
      <alignment horizontal="center"/>
    </xf>
    <xf numFmtId="0" fontId="50" fillId="34" borderId="116" xfId="448" applyFont="1" applyFill="1" applyBorder="1" applyAlignment="1">
      <alignment horizontal="center"/>
    </xf>
    <xf numFmtId="0" fontId="50" fillId="0" borderId="23" xfId="448" applyFont="1" applyBorder="1" applyAlignment="1">
      <alignment horizontal="center"/>
    </xf>
    <xf numFmtId="0" fontId="50" fillId="34" borderId="86" xfId="448" applyFont="1" applyFill="1" applyBorder="1" applyAlignment="1">
      <alignment horizontal="center"/>
    </xf>
    <xf numFmtId="0" fontId="50" fillId="34" borderId="23" xfId="448" applyFont="1" applyFill="1" applyBorder="1" applyAlignment="1">
      <alignment horizontal="center"/>
    </xf>
    <xf numFmtId="0" fontId="50" fillId="34" borderId="134" xfId="448" applyFont="1" applyFill="1" applyBorder="1"/>
    <xf numFmtId="0" fontId="136" fillId="34" borderId="135" xfId="448" applyFont="1" applyFill="1" applyBorder="1" applyAlignment="1">
      <alignment horizontal="center"/>
    </xf>
    <xf numFmtId="0" fontId="50" fillId="34" borderId="136" xfId="448" applyFont="1" applyFill="1" applyBorder="1" applyAlignment="1">
      <alignment horizontal="center"/>
    </xf>
    <xf numFmtId="0" fontId="50" fillId="0" borderId="128" xfId="448" applyFont="1" applyBorder="1" applyAlignment="1">
      <alignment horizontal="center"/>
    </xf>
    <xf numFmtId="0" fontId="50" fillId="34" borderId="137" xfId="448" applyFont="1" applyFill="1" applyBorder="1" applyAlignment="1">
      <alignment horizontal="center"/>
    </xf>
    <xf numFmtId="0" fontId="50" fillId="34" borderId="128" xfId="448" applyFont="1" applyFill="1" applyBorder="1" applyAlignment="1">
      <alignment horizontal="center"/>
    </xf>
    <xf numFmtId="0" fontId="136" fillId="34" borderId="1" xfId="448" applyFont="1" applyFill="1" applyBorder="1" applyAlignment="1">
      <alignment horizontal="center"/>
    </xf>
    <xf numFmtId="0" fontId="50" fillId="34" borderId="1" xfId="448" applyFont="1" applyFill="1" applyBorder="1" applyAlignment="1">
      <alignment horizontal="center"/>
    </xf>
    <xf numFmtId="0" fontId="50" fillId="34" borderId="8" xfId="448" applyFont="1" applyFill="1" applyBorder="1" applyAlignment="1">
      <alignment horizontal="center"/>
    </xf>
    <xf numFmtId="0" fontId="50" fillId="0" borderId="67" xfId="448" applyFont="1" applyBorder="1" applyAlignment="1">
      <alignment horizontal="center"/>
    </xf>
    <xf numFmtId="0" fontId="50" fillId="34" borderId="7" xfId="448" applyFont="1" applyFill="1" applyBorder="1" applyAlignment="1">
      <alignment horizontal="center"/>
    </xf>
    <xf numFmtId="0" fontId="50" fillId="34" borderId="67" xfId="448" applyFont="1" applyFill="1" applyBorder="1" applyAlignment="1">
      <alignment horizontal="center"/>
    </xf>
    <xf numFmtId="0" fontId="50" fillId="34" borderId="142" xfId="448" applyFont="1" applyFill="1" applyBorder="1" applyAlignment="1">
      <alignment horizontal="center"/>
    </xf>
    <xf numFmtId="0" fontId="50" fillId="34" borderId="143" xfId="448" applyFont="1" applyFill="1" applyBorder="1" applyAlignment="1">
      <alignment horizontal="center"/>
    </xf>
    <xf numFmtId="0" fontId="50" fillId="34" borderId="52" xfId="448" applyFont="1" applyFill="1" applyBorder="1"/>
    <xf numFmtId="0" fontId="50" fillId="34" borderId="40" xfId="448" applyFont="1" applyFill="1" applyBorder="1" applyAlignment="1">
      <alignment horizontal="center"/>
    </xf>
    <xf numFmtId="0" fontId="50" fillId="34" borderId="144" xfId="448" applyFont="1" applyFill="1" applyBorder="1" applyAlignment="1">
      <alignment horizontal="center"/>
    </xf>
    <xf numFmtId="0" fontId="50" fillId="34" borderId="145" xfId="448" applyFont="1" applyFill="1" applyBorder="1" applyAlignment="1">
      <alignment horizontal="center"/>
    </xf>
    <xf numFmtId="0" fontId="50" fillId="34" borderId="125" xfId="448" applyFont="1" applyFill="1" applyBorder="1" applyAlignment="1">
      <alignment horizontal="center"/>
    </xf>
    <xf numFmtId="0" fontId="136" fillId="0" borderId="111" xfId="448" applyFont="1" applyBorder="1" applyAlignment="1">
      <alignment horizontal="center"/>
    </xf>
    <xf numFmtId="0" fontId="136" fillId="34" borderId="120" xfId="448" applyFont="1" applyFill="1" applyBorder="1" applyAlignment="1">
      <alignment horizontal="center"/>
    </xf>
    <xf numFmtId="0" fontId="136" fillId="34" borderId="109" xfId="448" applyFont="1" applyFill="1" applyBorder="1" applyAlignment="1">
      <alignment horizontal="center"/>
    </xf>
    <xf numFmtId="0" fontId="136" fillId="34" borderId="110" xfId="448" applyFont="1" applyFill="1" applyBorder="1" applyAlignment="1">
      <alignment horizontal="center"/>
    </xf>
    <xf numFmtId="0" fontId="136" fillId="34" borderId="111" xfId="448" applyFont="1" applyFill="1" applyBorder="1" applyAlignment="1">
      <alignment horizontal="center"/>
    </xf>
    <xf numFmtId="2" fontId="50" fillId="0" borderId="87" xfId="448" applyNumberFormat="1" applyFont="1" applyBorder="1" applyAlignment="1">
      <alignment horizontal="center"/>
    </xf>
    <xf numFmtId="2" fontId="50" fillId="0" borderId="4" xfId="448" applyNumberFormat="1" applyFont="1" applyBorder="1" applyAlignment="1">
      <alignment horizontal="center"/>
    </xf>
    <xf numFmtId="2" fontId="50" fillId="0" borderId="25" xfId="448" applyNumberFormat="1" applyFont="1" applyBorder="1" applyAlignment="1">
      <alignment horizontal="center"/>
    </xf>
    <xf numFmtId="0" fontId="136" fillId="34" borderId="106" xfId="448" applyFont="1" applyFill="1" applyBorder="1" applyAlignment="1">
      <alignment horizontal="center"/>
    </xf>
    <xf numFmtId="0" fontId="136" fillId="34" borderId="118" xfId="448" applyFont="1" applyFill="1" applyBorder="1" applyAlignment="1">
      <alignment horizontal="center"/>
    </xf>
    <xf numFmtId="0" fontId="136" fillId="34" borderId="105" xfId="448" applyFont="1" applyFill="1" applyBorder="1" applyAlignment="1">
      <alignment horizontal="center"/>
    </xf>
    <xf numFmtId="0" fontId="95" fillId="34" borderId="0" xfId="448" applyFont="1" applyFill="1"/>
    <xf numFmtId="0" fontId="42" fillId="0" borderId="1" xfId="506" applyFont="1" applyBorder="1" applyAlignment="1">
      <alignment horizontal="center" vertical="center" wrapText="1"/>
    </xf>
    <xf numFmtId="4" fontId="51" fillId="0" borderId="1" xfId="0" applyNumberFormat="1" applyFont="1" applyBorder="1"/>
    <xf numFmtId="191" fontId="42" fillId="0" borderId="1" xfId="0" applyNumberFormat="1" applyFont="1" applyBorder="1"/>
    <xf numFmtId="2" fontId="158" fillId="34" borderId="106" xfId="116" applyNumberFormat="1" applyFont="1" applyFill="1" applyBorder="1" applyAlignment="1">
      <alignment horizontal="right"/>
    </xf>
    <xf numFmtId="0" fontId="41" fillId="0" borderId="58" xfId="6" applyFont="1" applyBorder="1" applyAlignment="1">
      <alignment horizontal="center" vertical="center" wrapText="1"/>
    </xf>
    <xf numFmtId="2" fontId="53" fillId="0" borderId="0" xfId="6" applyNumberFormat="1" applyFont="1" applyAlignment="1">
      <alignment horizontal="center" vertical="center" wrapText="1"/>
    </xf>
    <xf numFmtId="2" fontId="40" fillId="0" borderId="0" xfId="6" applyNumberFormat="1" applyFont="1" applyAlignment="1">
      <alignment horizontal="center" vertical="center" wrapText="1"/>
    </xf>
    <xf numFmtId="0" fontId="200" fillId="0" borderId="0" xfId="6" applyFont="1" applyAlignment="1">
      <alignment horizontal="center" vertical="center" wrapText="1"/>
    </xf>
    <xf numFmtId="0" fontId="43" fillId="0" borderId="1" xfId="0" applyFont="1" applyBorder="1" applyAlignment="1">
      <alignment horizontal="center"/>
    </xf>
    <xf numFmtId="0" fontId="43" fillId="0" borderId="1" xfId="0" applyFont="1" applyBorder="1" applyAlignment="1">
      <alignment horizontal="center" vertical="center"/>
    </xf>
    <xf numFmtId="4" fontId="43" fillId="0" borderId="1" xfId="0" applyNumberFormat="1" applyFont="1" applyBorder="1"/>
    <xf numFmtId="0" fontId="41" fillId="0" borderId="1" xfId="6" applyFont="1" applyBorder="1"/>
    <xf numFmtId="2" fontId="41" fillId="0" borderId="58" xfId="6" applyNumberFormat="1" applyFont="1" applyBorder="1"/>
    <xf numFmtId="2" fontId="41" fillId="0" borderId="59" xfId="6" applyNumberFormat="1" applyFont="1" applyBorder="1"/>
    <xf numFmtId="2" fontId="41" fillId="0" borderId="1" xfId="6" applyNumberFormat="1" applyFont="1" applyBorder="1" applyAlignment="1">
      <alignment horizontal="center"/>
    </xf>
    <xf numFmtId="2" fontId="41" fillId="0" borderId="40" xfId="6" applyNumberFormat="1" applyFont="1" applyBorder="1"/>
    <xf numFmtId="179" fontId="41" fillId="0" borderId="1" xfId="6" applyNumberFormat="1" applyFont="1" applyBorder="1" applyAlignment="1">
      <alignment horizontal="center"/>
    </xf>
    <xf numFmtId="179" fontId="41" fillId="0" borderId="45" xfId="6" applyNumberFormat="1" applyFont="1" applyBorder="1" applyAlignment="1">
      <alignment horizontal="center"/>
    </xf>
    <xf numFmtId="2" fontId="41" fillId="0" borderId="49" xfId="6" applyNumberFormat="1" applyFont="1" applyBorder="1" applyAlignment="1">
      <alignment horizontal="center"/>
    </xf>
    <xf numFmtId="2" fontId="41" fillId="0" borderId="3" xfId="6" applyNumberFormat="1" applyFont="1" applyBorder="1" applyAlignment="1">
      <alignment horizontal="center"/>
    </xf>
    <xf numFmtId="0" fontId="92" fillId="0" borderId="1" xfId="0" applyFont="1" applyBorder="1" applyAlignment="1">
      <alignment horizontal="center" vertical="center" wrapText="1"/>
    </xf>
    <xf numFmtId="0" fontId="162" fillId="0" borderId="1" xfId="0" applyFont="1" applyBorder="1" applyAlignment="1">
      <alignment horizontal="center" vertical="center" wrapText="1"/>
    </xf>
    <xf numFmtId="0" fontId="43" fillId="0" borderId="8" xfId="0" applyFont="1" applyBorder="1"/>
    <xf numFmtId="181" fontId="109" fillId="0" borderId="1" xfId="0" applyNumberFormat="1" applyFont="1" applyBorder="1"/>
    <xf numFmtId="2" fontId="43" fillId="0" borderId="0" xfId="0" applyNumberFormat="1" applyFont="1" applyAlignment="1">
      <alignment horizontal="right" vertical="center" wrapText="1"/>
    </xf>
    <xf numFmtId="2" fontId="43" fillId="0" borderId="0" xfId="0" applyNumberFormat="1" applyFont="1"/>
    <xf numFmtId="4" fontId="43" fillId="0" borderId="8" xfId="0" applyNumberFormat="1" applyFont="1" applyBorder="1"/>
    <xf numFmtId="4" fontId="109" fillId="0" borderId="1" xfId="0" applyNumberFormat="1" applyFont="1" applyBorder="1"/>
    <xf numFmtId="4" fontId="92" fillId="0" borderId="1" xfId="0" applyNumberFormat="1" applyFont="1" applyBorder="1"/>
    <xf numFmtId="0" fontId="42" fillId="0" borderId="1" xfId="6" applyFont="1" applyBorder="1" applyAlignment="1">
      <alignment horizontal="center" vertical="center"/>
    </xf>
    <xf numFmtId="0" fontId="197" fillId="0" borderId="0" xfId="6" applyFont="1"/>
    <xf numFmtId="0" fontId="42" fillId="31" borderId="0" xfId="6" applyFont="1" applyFill="1"/>
    <xf numFmtId="2" fontId="197" fillId="0" borderId="0" xfId="6" applyNumberFormat="1" applyFont="1"/>
    <xf numFmtId="2" fontId="51" fillId="0" borderId="0" xfId="6" applyNumberFormat="1" applyFont="1"/>
    <xf numFmtId="0" fontId="51" fillId="2" borderId="0" xfId="6" applyFont="1" applyFill="1"/>
    <xf numFmtId="0" fontId="114" fillId="0" borderId="0" xfId="6" applyFont="1"/>
    <xf numFmtId="2" fontId="114" fillId="0" borderId="0" xfId="6" applyNumberFormat="1" applyFont="1"/>
    <xf numFmtId="179" fontId="41" fillId="0" borderId="1" xfId="6" applyNumberFormat="1" applyFont="1" applyBorder="1"/>
    <xf numFmtId="2" fontId="42" fillId="30" borderId="0" xfId="6" applyNumberFormat="1" applyFont="1" applyFill="1"/>
    <xf numFmtId="0" fontId="94" fillId="0" borderId="0" xfId="6" applyFont="1"/>
    <xf numFmtId="2" fontId="94" fillId="30" borderId="0" xfId="6" applyNumberFormat="1" applyFont="1" applyFill="1"/>
    <xf numFmtId="2" fontId="94" fillId="0" borderId="0" xfId="6" applyNumberFormat="1" applyFont="1"/>
    <xf numFmtId="0" fontId="94" fillId="0" borderId="1" xfId="6" applyFont="1" applyBorder="1" applyAlignment="1">
      <alignment horizontal="center" vertical="center"/>
    </xf>
    <xf numFmtId="2" fontId="183" fillId="0" borderId="0" xfId="6" applyNumberFormat="1" applyFont="1"/>
    <xf numFmtId="2" fontId="211" fillId="0" borderId="0" xfId="6" applyNumberFormat="1" applyFont="1"/>
    <xf numFmtId="2" fontId="42" fillId="59" borderId="0" xfId="6" applyNumberFormat="1" applyFont="1" applyFill="1"/>
    <xf numFmtId="181" fontId="42" fillId="0" borderId="0" xfId="6" applyNumberFormat="1" applyFont="1"/>
    <xf numFmtId="177" fontId="42" fillId="0" borderId="0" xfId="6" applyNumberFormat="1" applyFont="1"/>
    <xf numFmtId="0" fontId="42" fillId="30" borderId="0" xfId="6" applyFont="1" applyFill="1"/>
    <xf numFmtId="2" fontId="42" fillId="0" borderId="0" xfId="6" applyNumberFormat="1" applyFont="1" applyAlignment="1">
      <alignment horizontal="center"/>
    </xf>
    <xf numFmtId="0" fontId="161" fillId="79" borderId="7" xfId="124" applyFont="1" applyFill="1" applyBorder="1" applyAlignment="1">
      <alignment vertical="center" wrapText="1"/>
    </xf>
    <xf numFmtId="0" fontId="161" fillId="79" borderId="1" xfId="124" applyFont="1" applyFill="1" applyBorder="1" applyAlignment="1">
      <alignment horizontal="center" vertical="center" wrapText="1"/>
    </xf>
    <xf numFmtId="0" fontId="172" fillId="79" borderId="1" xfId="124" applyFont="1" applyFill="1" applyBorder="1" applyAlignment="1">
      <alignment horizontal="center" vertical="center" wrapText="1"/>
    </xf>
    <xf numFmtId="0" fontId="172" fillId="79" borderId="8" xfId="124" applyFont="1" applyFill="1" applyBorder="1" applyAlignment="1">
      <alignment horizontal="center" vertical="center" wrapText="1"/>
    </xf>
    <xf numFmtId="0" fontId="161" fillId="79" borderId="40" xfId="124" applyFont="1" applyFill="1" applyBorder="1" applyAlignment="1">
      <alignment horizontal="center" vertical="center" wrapText="1"/>
    </xf>
    <xf numFmtId="179" fontId="41" fillId="0" borderId="45" xfId="6" applyNumberFormat="1" applyFont="1" applyBorder="1"/>
    <xf numFmtId="4" fontId="161" fillId="34" borderId="60" xfId="134" applyNumberFormat="1" applyFont="1" applyFill="1" applyBorder="1" applyAlignment="1">
      <alignment horizontal="center" vertical="center"/>
    </xf>
    <xf numFmtId="4" fontId="161" fillId="34" borderId="61" xfId="134" applyNumberFormat="1" applyFont="1" applyFill="1" applyBorder="1" applyAlignment="1">
      <alignment horizontal="right" vertical="center"/>
    </xf>
    <xf numFmtId="4" fontId="161" fillId="34" borderId="69" xfId="134" applyNumberFormat="1" applyFont="1" applyFill="1" applyBorder="1" applyAlignment="1">
      <alignment horizontal="right" vertical="center"/>
    </xf>
    <xf numFmtId="4" fontId="161" fillId="34" borderId="3" xfId="134" applyNumberFormat="1" applyFont="1" applyFill="1" applyBorder="1" applyAlignment="1">
      <alignment horizontal="right" vertical="center"/>
    </xf>
    <xf numFmtId="4" fontId="161" fillId="34" borderId="10" xfId="134" applyNumberFormat="1" applyFont="1" applyFill="1" applyBorder="1" applyAlignment="1">
      <alignment horizontal="right" vertical="center"/>
    </xf>
    <xf numFmtId="4" fontId="161" fillId="34" borderId="39" xfId="134" applyNumberFormat="1" applyFont="1" applyFill="1" applyBorder="1" applyAlignment="1">
      <alignment horizontal="right"/>
    </xf>
    <xf numFmtId="4" fontId="161" fillId="34" borderId="7" xfId="134" applyNumberFormat="1" applyFont="1" applyFill="1" applyBorder="1" applyAlignment="1">
      <alignment horizontal="right" vertical="center"/>
    </xf>
    <xf numFmtId="4" fontId="161" fillId="34" borderId="8" xfId="134" applyNumberFormat="1" applyFont="1" applyFill="1" applyBorder="1" applyAlignment="1">
      <alignment horizontal="center" vertical="center"/>
    </xf>
    <xf numFmtId="4" fontId="161" fillId="34" borderId="41" xfId="134" applyNumberFormat="1" applyFont="1" applyFill="1" applyBorder="1" applyAlignment="1">
      <alignment horizontal="right" vertical="center"/>
    </xf>
    <xf numFmtId="4" fontId="161" fillId="34" borderId="97" xfId="134" applyNumberFormat="1" applyFont="1" applyFill="1" applyBorder="1" applyAlignment="1">
      <alignment horizontal="right" vertical="center"/>
    </xf>
    <xf numFmtId="4" fontId="161" fillId="34" borderId="44" xfId="134" applyNumberFormat="1" applyFont="1" applyFill="1" applyBorder="1" applyAlignment="1">
      <alignment horizontal="right" vertical="center"/>
    </xf>
    <xf numFmtId="4" fontId="161" fillId="34" borderId="79" xfId="134" applyNumberFormat="1" applyFont="1" applyFill="1" applyBorder="1" applyAlignment="1">
      <alignment horizontal="right" vertical="center"/>
    </xf>
    <xf numFmtId="4" fontId="161" fillId="34" borderId="60" xfId="134" applyNumberFormat="1" applyFont="1" applyFill="1" applyBorder="1" applyAlignment="1">
      <alignment horizontal="right" vertical="center"/>
    </xf>
    <xf numFmtId="4" fontId="161" fillId="34" borderId="62" xfId="134" applyNumberFormat="1" applyFont="1" applyFill="1" applyBorder="1" applyAlignment="1">
      <alignment horizontal="center" vertical="center"/>
    </xf>
    <xf numFmtId="4" fontId="161" fillId="34" borderId="63" xfId="134" applyNumberFormat="1" applyFont="1" applyFill="1" applyBorder="1" applyAlignment="1">
      <alignment horizontal="right" vertical="center"/>
    </xf>
    <xf numFmtId="4" fontId="161" fillId="34" borderId="98" xfId="134" applyNumberFormat="1" applyFont="1" applyFill="1" applyBorder="1" applyAlignment="1">
      <alignment horizontal="center" vertical="center"/>
    </xf>
    <xf numFmtId="4" fontId="161" fillId="34" borderId="61" xfId="134" applyNumberFormat="1" applyFont="1" applyFill="1" applyBorder="1" applyAlignment="1">
      <alignment horizontal="center" vertical="center"/>
    </xf>
    <xf numFmtId="0" fontId="169" fillId="34" borderId="43" xfId="134" applyFont="1" applyFill="1" applyBorder="1" applyAlignment="1">
      <alignment horizontal="center" wrapText="1"/>
    </xf>
    <xf numFmtId="188" fontId="161" fillId="34" borderId="42" xfId="444" applyNumberFormat="1" applyFont="1" applyFill="1" applyBorder="1" applyAlignment="1">
      <alignment horizontal="right" vertical="center"/>
    </xf>
    <xf numFmtId="0" fontId="169" fillId="34" borderId="46" xfId="134" applyFont="1" applyFill="1" applyBorder="1" applyAlignment="1">
      <alignment horizontal="center" wrapText="1"/>
    </xf>
    <xf numFmtId="188" fontId="53" fillId="34" borderId="54" xfId="444" applyNumberFormat="1" applyFont="1" applyFill="1" applyBorder="1" applyAlignment="1">
      <alignment horizontal="right" vertical="center"/>
    </xf>
    <xf numFmtId="188" fontId="53" fillId="34" borderId="44" xfId="444" applyNumberFormat="1" applyFont="1" applyFill="1" applyBorder="1" applyAlignment="1">
      <alignment horizontal="right" vertical="center"/>
    </xf>
    <xf numFmtId="4" fontId="161" fillId="34" borderId="57" xfId="444" applyNumberFormat="1" applyFont="1" applyFill="1" applyBorder="1" applyAlignment="1">
      <alignment horizontal="right" vertical="center"/>
    </xf>
    <xf numFmtId="4" fontId="161" fillId="34" borderId="59" xfId="444" applyNumberFormat="1" applyFont="1" applyFill="1" applyBorder="1" applyAlignment="1">
      <alignment horizontal="right" vertical="center"/>
    </xf>
    <xf numFmtId="4" fontId="161" fillId="34" borderId="40" xfId="444" applyNumberFormat="1" applyFont="1" applyFill="1" applyBorder="1" applyAlignment="1">
      <alignment horizontal="right" vertical="center"/>
    </xf>
    <xf numFmtId="4" fontId="161" fillId="34" borderId="39" xfId="444" applyNumberFormat="1" applyFont="1" applyFill="1" applyBorder="1" applyAlignment="1">
      <alignment horizontal="right" vertical="center"/>
    </xf>
    <xf numFmtId="4" fontId="161" fillId="34" borderId="52" xfId="444" applyNumberFormat="1" applyFont="1" applyFill="1" applyBorder="1" applyAlignment="1">
      <alignment horizontal="right" vertical="center"/>
    </xf>
    <xf numFmtId="4" fontId="161" fillId="71" borderId="40" xfId="444" applyNumberFormat="1" applyFont="1" applyFill="1" applyBorder="1" applyAlignment="1">
      <alignment horizontal="right" vertical="center"/>
    </xf>
    <xf numFmtId="4" fontId="161" fillId="68" borderId="40" xfId="444" applyNumberFormat="1" applyFont="1" applyFill="1" applyBorder="1" applyAlignment="1">
      <alignment horizontal="right" vertical="center"/>
    </xf>
    <xf numFmtId="4" fontId="161" fillId="34" borderId="41" xfId="444" applyNumberFormat="1" applyFont="1" applyFill="1" applyBorder="1" applyAlignment="1">
      <alignment horizontal="right" vertical="center"/>
    </xf>
    <xf numFmtId="4" fontId="161" fillId="34" borderId="47" xfId="444" applyNumberFormat="1" applyFont="1" applyFill="1" applyBorder="1" applyAlignment="1">
      <alignment horizontal="right" vertical="center"/>
    </xf>
    <xf numFmtId="4" fontId="161" fillId="34" borderId="57" xfId="134" applyNumberFormat="1" applyFont="1" applyFill="1" applyBorder="1" applyAlignment="1">
      <alignment vertical="center"/>
    </xf>
    <xf numFmtId="4" fontId="161" fillId="34" borderId="69" xfId="134" applyNumberFormat="1" applyFont="1" applyFill="1" applyBorder="1" applyAlignment="1">
      <alignment vertical="center"/>
    </xf>
    <xf numFmtId="4" fontId="161" fillId="34" borderId="8" xfId="134" applyNumberFormat="1" applyFont="1" applyFill="1" applyBorder="1" applyAlignment="1">
      <alignment vertical="center"/>
    </xf>
    <xf numFmtId="0" fontId="169" fillId="64" borderId="98" xfId="134" applyFont="1" applyFill="1" applyBorder="1" applyAlignment="1">
      <alignment horizontal="right" wrapText="1"/>
    </xf>
    <xf numFmtId="3" fontId="161" fillId="34" borderId="60" xfId="134" applyNumberFormat="1" applyFont="1" applyFill="1" applyBorder="1" applyAlignment="1">
      <alignment horizontal="right" vertical="center"/>
    </xf>
    <xf numFmtId="0" fontId="169" fillId="64" borderId="10" xfId="134" applyFont="1" applyFill="1" applyBorder="1" applyAlignment="1">
      <alignment horizontal="right" wrapText="1"/>
    </xf>
    <xf numFmtId="0" fontId="169" fillId="0" borderId="8" xfId="134" applyFont="1" applyBorder="1" applyAlignment="1">
      <alignment horizontal="right" wrapText="1"/>
    </xf>
    <xf numFmtId="4" fontId="161" fillId="34" borderId="8" xfId="134" applyNumberFormat="1" applyFont="1" applyFill="1" applyBorder="1" applyAlignment="1">
      <alignment horizontal="right" vertical="center"/>
    </xf>
    <xf numFmtId="0" fontId="169" fillId="0" borderId="97" xfId="134" applyFont="1" applyBorder="1" applyAlignment="1">
      <alignment horizontal="right" wrapText="1"/>
    </xf>
    <xf numFmtId="0" fontId="169" fillId="0" borderId="98" xfId="134" applyFont="1" applyBorder="1" applyAlignment="1">
      <alignment horizontal="right" wrapText="1"/>
    </xf>
    <xf numFmtId="4" fontId="161" fillId="34" borderId="62" xfId="134" applyNumberFormat="1" applyFont="1" applyFill="1" applyBorder="1" applyAlignment="1">
      <alignment horizontal="right" vertical="center"/>
    </xf>
    <xf numFmtId="0" fontId="169" fillId="0" borderId="59" xfId="134" applyFont="1" applyBorder="1" applyAlignment="1">
      <alignment horizontal="right" wrapText="1"/>
    </xf>
    <xf numFmtId="0" fontId="169" fillId="0" borderId="40" xfId="134" applyFont="1" applyBorder="1" applyAlignment="1">
      <alignment horizontal="right" wrapText="1"/>
    </xf>
    <xf numFmtId="0" fontId="169" fillId="64" borderId="40" xfId="134" applyFont="1" applyFill="1" applyBorder="1" applyAlignment="1">
      <alignment horizontal="right" wrapText="1"/>
    </xf>
    <xf numFmtId="0" fontId="169" fillId="64" borderId="47" xfId="134" applyFont="1" applyFill="1" applyBorder="1" applyAlignment="1">
      <alignment horizontal="right" wrapText="1"/>
    </xf>
    <xf numFmtId="4" fontId="161" fillId="34" borderId="61" xfId="134" applyNumberFormat="1" applyFont="1" applyFill="1" applyBorder="1" applyAlignment="1">
      <alignment horizontal="right"/>
    </xf>
    <xf numFmtId="4" fontId="161" fillId="34" borderId="98" xfId="134" applyNumberFormat="1" applyFont="1" applyFill="1" applyBorder="1" applyAlignment="1">
      <alignment horizontal="right"/>
    </xf>
    <xf numFmtId="4" fontId="161" fillId="34" borderId="59" xfId="444" applyNumberFormat="1" applyFont="1" applyFill="1" applyBorder="1" applyAlignment="1">
      <alignment horizontal="right"/>
    </xf>
    <xf numFmtId="4" fontId="161" fillId="34" borderId="65" xfId="444" applyNumberFormat="1" applyFont="1" applyFill="1" applyBorder="1" applyAlignment="1">
      <alignment horizontal="right"/>
    </xf>
    <xf numFmtId="4" fontId="161" fillId="34" borderId="39" xfId="444" applyNumberFormat="1" applyFont="1" applyFill="1" applyBorder="1" applyAlignment="1">
      <alignment horizontal="right"/>
    </xf>
    <xf numFmtId="4" fontId="161" fillId="34" borderId="40" xfId="444" applyNumberFormat="1" applyFont="1" applyFill="1" applyBorder="1" applyAlignment="1">
      <alignment horizontal="right"/>
    </xf>
    <xf numFmtId="4" fontId="161" fillId="34" borderId="7" xfId="444" applyNumberFormat="1" applyFont="1" applyFill="1" applyBorder="1" applyAlignment="1">
      <alignment horizontal="right"/>
    </xf>
    <xf numFmtId="4" fontId="161" fillId="65" borderId="7" xfId="444" applyNumberFormat="1" applyFont="1" applyFill="1" applyBorder="1" applyAlignment="1">
      <alignment horizontal="right"/>
    </xf>
    <xf numFmtId="4" fontId="161" fillId="65" borderId="39" xfId="444" applyNumberFormat="1" applyFont="1" applyFill="1" applyBorder="1" applyAlignment="1">
      <alignment horizontal="right"/>
    </xf>
    <xf numFmtId="4" fontId="161" fillId="65" borderId="40" xfId="444" applyNumberFormat="1" applyFont="1" applyFill="1" applyBorder="1" applyAlignment="1">
      <alignment horizontal="right"/>
    </xf>
    <xf numFmtId="4" fontId="161" fillId="71" borderId="40" xfId="444" applyNumberFormat="1" applyFont="1" applyFill="1" applyBorder="1" applyAlignment="1">
      <alignment horizontal="right"/>
    </xf>
    <xf numFmtId="4" fontId="161" fillId="68" borderId="40" xfId="444" applyNumberFormat="1" applyFont="1" applyFill="1" applyBorder="1" applyAlignment="1">
      <alignment horizontal="right"/>
    </xf>
    <xf numFmtId="4" fontId="161" fillId="34" borderId="78" xfId="444" applyNumberFormat="1" applyFont="1" applyFill="1" applyBorder="1" applyAlignment="1">
      <alignment horizontal="right"/>
    </xf>
    <xf numFmtId="4" fontId="161" fillId="64" borderId="47" xfId="444" applyNumberFormat="1" applyFont="1" applyFill="1" applyBorder="1" applyAlignment="1">
      <alignment horizontal="right"/>
    </xf>
    <xf numFmtId="4" fontId="161" fillId="71" borderId="39" xfId="444" applyNumberFormat="1" applyFont="1" applyFill="1" applyBorder="1" applyAlignment="1">
      <alignment horizontal="right"/>
    </xf>
    <xf numFmtId="4" fontId="161" fillId="34" borderId="39" xfId="134" applyNumberFormat="1" applyFont="1" applyFill="1" applyBorder="1" applyAlignment="1">
      <alignment vertical="center"/>
    </xf>
    <xf numFmtId="4" fontId="137" fillId="34" borderId="40" xfId="444" applyNumberFormat="1" applyFont="1" applyFill="1" applyBorder="1" applyAlignment="1">
      <alignment horizontal="right"/>
    </xf>
    <xf numFmtId="4" fontId="154" fillId="0" borderId="28" xfId="134" applyNumberFormat="1" applyFont="1" applyBorder="1" applyAlignment="1">
      <alignment vertical="center"/>
    </xf>
    <xf numFmtId="0" fontId="154" fillId="0" borderId="0" xfId="134" applyFont="1" applyAlignment="1">
      <alignment vertical="center"/>
    </xf>
    <xf numFmtId="0" fontId="154" fillId="0" borderId="28" xfId="134" applyFont="1" applyBorder="1" applyAlignment="1">
      <alignment vertical="center"/>
    </xf>
    <xf numFmtId="2" fontId="154" fillId="0" borderId="28" xfId="134" applyNumberFormat="1" applyFont="1" applyBorder="1" applyAlignment="1">
      <alignment vertical="center"/>
    </xf>
    <xf numFmtId="2" fontId="154" fillId="0" borderId="0" xfId="134" applyNumberFormat="1" applyFont="1" applyAlignment="1">
      <alignment vertical="center"/>
    </xf>
    <xf numFmtId="0" fontId="50" fillId="0" borderId="0" xfId="134" applyFont="1"/>
    <xf numFmtId="0" fontId="169" fillId="0" borderId="0" xfId="134" applyFont="1"/>
    <xf numFmtId="0" fontId="136" fillId="0" borderId="0" xfId="134" applyFont="1"/>
    <xf numFmtId="188" fontId="136" fillId="0" borderId="0" xfId="134" applyNumberFormat="1" applyFont="1"/>
    <xf numFmtId="189" fontId="50" fillId="0" borderId="0" xfId="134" applyNumberFormat="1" applyFont="1"/>
    <xf numFmtId="4" fontId="53" fillId="0" borderId="0" xfId="134" applyNumberFormat="1" applyFont="1"/>
    <xf numFmtId="189" fontId="136" fillId="0" borderId="0" xfId="134" applyNumberFormat="1" applyFont="1"/>
    <xf numFmtId="4" fontId="50" fillId="0" borderId="0" xfId="134" applyNumberFormat="1" applyFont="1"/>
    <xf numFmtId="190" fontId="136" fillId="0" borderId="0" xfId="134" applyNumberFormat="1" applyFont="1"/>
    <xf numFmtId="0" fontId="50" fillId="0" borderId="26" xfId="134" applyFont="1" applyBorder="1"/>
    <xf numFmtId="0" fontId="50" fillId="0" borderId="34" xfId="134" applyFont="1" applyBorder="1"/>
    <xf numFmtId="0" fontId="50" fillId="0" borderId="34" xfId="134" applyFont="1" applyBorder="1" applyAlignment="1">
      <alignment horizontal="right"/>
    </xf>
    <xf numFmtId="0" fontId="50" fillId="0" borderId="27" xfId="134" applyFont="1" applyBorder="1"/>
    <xf numFmtId="0" fontId="136" fillId="3" borderId="0" xfId="134" applyFont="1" applyFill="1"/>
    <xf numFmtId="0" fontId="50" fillId="0" borderId="28" xfId="134" applyFont="1" applyBorder="1"/>
    <xf numFmtId="0" fontId="50" fillId="0" borderId="24" xfId="134" applyFont="1" applyBorder="1"/>
    <xf numFmtId="0" fontId="53" fillId="0" borderId="0" xfId="134" applyFont="1"/>
    <xf numFmtId="10" fontId="50" fillId="0" borderId="28" xfId="548" applyNumberFormat="1" applyFont="1" applyBorder="1"/>
    <xf numFmtId="10" fontId="50" fillId="0" borderId="0" xfId="548" applyNumberFormat="1" applyFont="1" applyBorder="1"/>
    <xf numFmtId="10" fontId="50" fillId="0" borderId="29" xfId="548" applyNumberFormat="1" applyFont="1" applyBorder="1"/>
    <xf numFmtId="0" fontId="50" fillId="0" borderId="35" xfId="134" applyFont="1" applyBorder="1"/>
    <xf numFmtId="10" fontId="50" fillId="0" borderId="35" xfId="548" applyNumberFormat="1" applyFont="1" applyBorder="1"/>
    <xf numFmtId="0" fontId="50" fillId="0" borderId="56" xfId="134" applyFont="1" applyBorder="1"/>
    <xf numFmtId="0" fontId="50" fillId="64" borderId="3" xfId="549" applyFont="1" applyFill="1" applyBorder="1" applyAlignment="1">
      <alignment horizontal="center" wrapText="1"/>
    </xf>
    <xf numFmtId="0" fontId="50" fillId="0" borderId="1" xfId="134" applyFont="1" applyBorder="1"/>
    <xf numFmtId="2" fontId="50" fillId="0" borderId="1" xfId="134" applyNumberFormat="1" applyFont="1" applyBorder="1" applyAlignment="1">
      <alignment horizontal="right" vertical="center"/>
    </xf>
    <xf numFmtId="10" fontId="50" fillId="0" borderId="1" xfId="193" applyNumberFormat="1" applyFont="1" applyBorder="1"/>
    <xf numFmtId="2" fontId="50" fillId="0" borderId="1" xfId="134" applyNumberFormat="1" applyFont="1" applyBorder="1" applyAlignment="1">
      <alignment horizontal="right"/>
    </xf>
    <xf numFmtId="2" fontId="50" fillId="0" borderId="1" xfId="134" applyNumberFormat="1" applyFont="1" applyBorder="1"/>
    <xf numFmtId="4" fontId="50" fillId="0" borderId="1" xfId="134" applyNumberFormat="1" applyFont="1" applyBorder="1"/>
    <xf numFmtId="0" fontId="50" fillId="34" borderId="0" xfId="134" applyFont="1" applyFill="1"/>
    <xf numFmtId="0" fontId="50" fillId="0" borderId="1" xfId="134" applyFont="1" applyBorder="1" applyAlignment="1">
      <alignment horizontal="right"/>
    </xf>
    <xf numFmtId="4" fontId="50" fillId="0" borderId="1" xfId="134" applyNumberFormat="1" applyFont="1" applyBorder="1" applyAlignment="1">
      <alignment horizontal="right"/>
    </xf>
    <xf numFmtId="0" fontId="50" fillId="64" borderId="0" xfId="134" applyFont="1" applyFill="1"/>
    <xf numFmtId="4" fontId="50" fillId="34" borderId="1" xfId="134" applyNumberFormat="1" applyFont="1" applyFill="1" applyBorder="1" applyAlignment="1">
      <alignment horizontal="right"/>
    </xf>
    <xf numFmtId="0" fontId="50" fillId="34" borderId="1" xfId="134" applyFont="1" applyFill="1" applyBorder="1"/>
    <xf numFmtId="4" fontId="136" fillId="34" borderId="1" xfId="134" applyNumberFormat="1" applyFont="1" applyFill="1" applyBorder="1" applyAlignment="1">
      <alignment horizontal="right"/>
    </xf>
    <xf numFmtId="0" fontId="136" fillId="64" borderId="0" xfId="134" applyFont="1" applyFill="1"/>
    <xf numFmtId="0" fontId="136" fillId="0" borderId="1" xfId="134" applyFont="1" applyBorder="1"/>
    <xf numFmtId="0" fontId="136" fillId="34" borderId="1" xfId="134" applyFont="1" applyFill="1" applyBorder="1"/>
    <xf numFmtId="4" fontId="144" fillId="64" borderId="0" xfId="134" applyNumberFormat="1" applyFont="1" applyFill="1" applyAlignment="1">
      <alignment wrapText="1"/>
    </xf>
    <xf numFmtId="0" fontId="144" fillId="64" borderId="0" xfId="134" applyFont="1" applyFill="1" applyAlignment="1">
      <alignment wrapText="1"/>
    </xf>
    <xf numFmtId="0" fontId="144" fillId="64" borderId="87" xfId="134" applyFont="1" applyFill="1" applyBorder="1" applyAlignment="1">
      <alignment wrapText="1"/>
    </xf>
    <xf numFmtId="0" fontId="169" fillId="64" borderId="0" xfId="134" applyFont="1" applyFill="1"/>
    <xf numFmtId="4" fontId="100" fillId="0" borderId="0" xfId="134" applyNumberFormat="1" applyFont="1"/>
    <xf numFmtId="0" fontId="100" fillId="0" borderId="0" xfId="134" applyFont="1"/>
    <xf numFmtId="0" fontId="213" fillId="0" borderId="0" xfId="134" applyFont="1"/>
    <xf numFmtId="0" fontId="214" fillId="0" borderId="0" xfId="134" applyFont="1"/>
    <xf numFmtId="4" fontId="161" fillId="34" borderId="49" xfId="134" applyNumberFormat="1" applyFont="1" applyFill="1" applyBorder="1" applyAlignment="1">
      <alignment horizontal="right" vertical="center"/>
    </xf>
    <xf numFmtId="2" fontId="50" fillId="0" borderId="79" xfId="134" applyNumberFormat="1" applyFont="1" applyBorder="1" applyAlignment="1">
      <alignment horizontal="right" vertical="center"/>
    </xf>
    <xf numFmtId="4" fontId="161" fillId="34" borderId="94" xfId="134" applyNumberFormat="1" applyFont="1" applyFill="1" applyBorder="1" applyAlignment="1">
      <alignment horizontal="right" vertical="center"/>
    </xf>
    <xf numFmtId="2" fontId="50" fillId="0" borderId="3" xfId="134" applyNumberFormat="1" applyFont="1" applyBorder="1" applyAlignment="1">
      <alignment horizontal="right" vertical="center"/>
    </xf>
    <xf numFmtId="190" fontId="50" fillId="0" borderId="0" xfId="134" applyNumberFormat="1" applyFont="1" applyAlignment="1">
      <alignment vertical="center"/>
    </xf>
    <xf numFmtId="4" fontId="137" fillId="34" borderId="7" xfId="444" applyNumberFormat="1" applyFont="1" applyFill="1" applyBorder="1" applyAlignment="1">
      <alignment horizontal="right"/>
    </xf>
    <xf numFmtId="190" fontId="161" fillId="34" borderId="69" xfId="444" applyNumberFormat="1" applyFont="1" applyFill="1" applyBorder="1" applyAlignment="1">
      <alignment horizontal="right" vertical="center"/>
    </xf>
    <xf numFmtId="0" fontId="50" fillId="64" borderId="7" xfId="549" applyFont="1" applyFill="1" applyBorder="1" applyAlignment="1">
      <alignment horizontal="center" wrapText="1"/>
    </xf>
    <xf numFmtId="0" fontId="161" fillId="0" borderId="7" xfId="134" applyFont="1" applyBorder="1" applyAlignment="1">
      <alignment horizontal="center" wrapText="1"/>
    </xf>
    <xf numFmtId="0" fontId="50" fillId="0" borderId="7" xfId="134" applyFont="1" applyBorder="1"/>
    <xf numFmtId="0" fontId="161" fillId="0" borderId="39" xfId="134" applyFont="1" applyBorder="1" applyAlignment="1">
      <alignment horizontal="center" wrapText="1"/>
    </xf>
    <xf numFmtId="0" fontId="161" fillId="0" borderId="40" xfId="134" applyFont="1" applyBorder="1" applyAlignment="1">
      <alignment horizontal="center" wrapText="1"/>
    </xf>
    <xf numFmtId="0" fontId="50" fillId="0" borderId="44" xfId="134" applyFont="1" applyBorder="1" applyAlignment="1">
      <alignment horizontal="center" vertical="center"/>
    </xf>
    <xf numFmtId="0" fontId="50" fillId="0" borderId="46" xfId="134" applyFont="1" applyBorder="1" applyAlignment="1">
      <alignment horizontal="center" vertical="center"/>
    </xf>
    <xf numFmtId="0" fontId="132" fillId="0" borderId="44" xfId="134" applyFont="1" applyBorder="1" applyAlignment="1">
      <alignment horizontal="center" vertical="center"/>
    </xf>
    <xf numFmtId="3" fontId="161" fillId="34" borderId="30" xfId="134" applyNumberFormat="1" applyFont="1" applyFill="1" applyBorder="1" applyAlignment="1">
      <alignment horizontal="right" vertical="center"/>
    </xf>
    <xf numFmtId="4" fontId="161" fillId="34" borderId="5" xfId="134" applyNumberFormat="1" applyFont="1" applyFill="1" applyBorder="1" applyAlignment="1">
      <alignment vertical="center"/>
    </xf>
    <xf numFmtId="4" fontId="161" fillId="34" borderId="42" xfId="134" applyNumberFormat="1" applyFont="1" applyFill="1" applyBorder="1" applyAlignment="1">
      <alignment horizontal="right" vertical="center"/>
    </xf>
    <xf numFmtId="4" fontId="161" fillId="34" borderId="38" xfId="134" applyNumberFormat="1" applyFont="1" applyFill="1" applyBorder="1" applyAlignment="1">
      <alignment horizontal="right" vertical="center"/>
    </xf>
    <xf numFmtId="4" fontId="161" fillId="34" borderId="39" xfId="134" applyNumberFormat="1" applyFont="1" applyFill="1" applyBorder="1" applyAlignment="1">
      <alignment horizontal="right" vertical="center"/>
    </xf>
    <xf numFmtId="4" fontId="161" fillId="34" borderId="40" xfId="134" applyNumberFormat="1" applyFont="1" applyFill="1" applyBorder="1" applyAlignment="1">
      <alignment horizontal="right"/>
    </xf>
    <xf numFmtId="4" fontId="161" fillId="34" borderId="47" xfId="134" applyNumberFormat="1" applyFont="1" applyFill="1" applyBorder="1" applyAlignment="1">
      <alignment horizontal="right" vertical="center"/>
    </xf>
    <xf numFmtId="4" fontId="161" fillId="34" borderId="67" xfId="444" applyNumberFormat="1" applyFont="1" applyFill="1" applyBorder="1" applyAlignment="1">
      <alignment horizontal="right" vertical="center"/>
    </xf>
    <xf numFmtId="4" fontId="161" fillId="34" borderId="92" xfId="444" applyNumberFormat="1" applyFont="1" applyFill="1" applyBorder="1" applyAlignment="1">
      <alignment horizontal="right" vertical="center"/>
    </xf>
    <xf numFmtId="4" fontId="161" fillId="64" borderId="40" xfId="444" applyNumberFormat="1" applyFont="1" applyFill="1" applyBorder="1" applyAlignment="1">
      <alignment horizontal="right" vertical="center"/>
    </xf>
    <xf numFmtId="4" fontId="161" fillId="34" borderId="42" xfId="444" applyNumberFormat="1" applyFont="1" applyFill="1" applyBorder="1" applyAlignment="1">
      <alignment horizontal="right" vertical="center"/>
    </xf>
    <xf numFmtId="4" fontId="161" fillId="34" borderId="89" xfId="444" applyNumberFormat="1" applyFont="1" applyFill="1" applyBorder="1" applyAlignment="1">
      <alignment horizontal="right" vertical="center"/>
    </xf>
    <xf numFmtId="4" fontId="161" fillId="34" borderId="37" xfId="444" applyNumberFormat="1" applyFont="1" applyFill="1" applyBorder="1" applyAlignment="1">
      <alignment horizontal="right" vertical="center"/>
    </xf>
    <xf numFmtId="4" fontId="53" fillId="34" borderId="44" xfId="444" applyNumberFormat="1" applyFont="1" applyFill="1" applyBorder="1" applyAlignment="1">
      <alignment horizontal="right" vertical="center"/>
    </xf>
    <xf numFmtId="4" fontId="53" fillId="34" borderId="68" xfId="444" applyNumberFormat="1" applyFont="1" applyFill="1" applyBorder="1" applyAlignment="1">
      <alignment horizontal="right" vertical="center"/>
    </xf>
    <xf numFmtId="4" fontId="53" fillId="34" borderId="46" xfId="444" applyNumberFormat="1" applyFont="1" applyFill="1" applyBorder="1" applyAlignment="1">
      <alignment horizontal="right" vertical="center"/>
    </xf>
    <xf numFmtId="4" fontId="53" fillId="34" borderId="53" xfId="444" applyNumberFormat="1" applyFont="1" applyFill="1" applyBorder="1" applyAlignment="1">
      <alignment horizontal="right" vertical="center"/>
    </xf>
    <xf numFmtId="0" fontId="161" fillId="64" borderId="61" xfId="134" applyFont="1" applyFill="1" applyBorder="1" applyAlignment="1">
      <alignment horizontal="left" vertical="center" wrapText="1"/>
    </xf>
    <xf numFmtId="0" fontId="161" fillId="64" borderId="3" xfId="134" applyFont="1" applyFill="1" applyBorder="1" applyAlignment="1">
      <alignment horizontal="left" vertical="center" wrapText="1"/>
    </xf>
    <xf numFmtId="0" fontId="161" fillId="0" borderId="1" xfId="134" applyFont="1" applyBorder="1" applyAlignment="1">
      <alignment horizontal="left" vertical="center" wrapText="1"/>
    </xf>
    <xf numFmtId="0" fontId="161" fillId="0" borderId="79" xfId="134" applyFont="1" applyBorder="1" applyAlignment="1">
      <alignment horizontal="left" vertical="center" wrapText="1"/>
    </xf>
    <xf numFmtId="0" fontId="161" fillId="0" borderId="61" xfId="134" applyFont="1" applyBorder="1" applyAlignment="1">
      <alignment horizontal="left" vertical="center" wrapText="1"/>
    </xf>
    <xf numFmtId="0" fontId="161" fillId="0" borderId="58" xfId="134" applyFont="1" applyBorder="1" applyAlignment="1">
      <alignment horizontal="left" wrapText="1"/>
    </xf>
    <xf numFmtId="0" fontId="161" fillId="64" borderId="1" xfId="134" applyFont="1" applyFill="1" applyBorder="1" applyAlignment="1">
      <alignment horizontal="left" wrapText="1"/>
    </xf>
    <xf numFmtId="0" fontId="161" fillId="69" borderId="39" xfId="134" applyFont="1" applyFill="1" applyBorder="1" applyAlignment="1">
      <alignment horizontal="left" wrapText="1"/>
    </xf>
    <xf numFmtId="0" fontId="161" fillId="0" borderId="39" xfId="134" applyFont="1" applyBorder="1" applyAlignment="1">
      <alignment horizontal="left" wrapText="1"/>
    </xf>
    <xf numFmtId="0" fontId="172" fillId="64" borderId="39" xfId="134" applyFont="1" applyFill="1" applyBorder="1" applyAlignment="1">
      <alignment horizontal="left" wrapText="1"/>
    </xf>
    <xf numFmtId="0" fontId="161" fillId="70" borderId="39" xfId="134" applyFont="1" applyFill="1" applyBorder="1" applyAlignment="1">
      <alignment horizontal="left" wrapText="1"/>
    </xf>
    <xf numFmtId="0" fontId="161" fillId="64" borderId="39" xfId="134" applyFont="1" applyFill="1" applyBorder="1" applyAlignment="1">
      <alignment horizontal="left" wrapText="1"/>
    </xf>
    <xf numFmtId="0" fontId="161" fillId="64" borderId="41" xfId="134" applyFont="1" applyFill="1" applyBorder="1" applyAlignment="1">
      <alignment horizontal="left" wrapText="1"/>
    </xf>
    <xf numFmtId="0" fontId="137" fillId="64" borderId="1" xfId="134" applyFont="1" applyFill="1" applyBorder="1" applyAlignment="1">
      <alignment horizontal="left" wrapText="1"/>
    </xf>
    <xf numFmtId="0" fontId="161" fillId="34" borderId="3" xfId="134" applyFont="1" applyFill="1" applyBorder="1" applyAlignment="1">
      <alignment horizontal="left" wrapText="1"/>
    </xf>
    <xf numFmtId="0" fontId="161" fillId="34" borderId="45" xfId="134" applyFont="1" applyFill="1" applyBorder="1" applyAlignment="1">
      <alignment horizontal="left" wrapText="1"/>
    </xf>
    <xf numFmtId="0" fontId="50" fillId="0" borderId="0" xfId="134" applyFont="1" applyAlignment="1">
      <alignment horizontal="center" vertical="center"/>
    </xf>
    <xf numFmtId="0" fontId="136" fillId="0" borderId="0" xfId="134" applyFont="1" applyAlignment="1">
      <alignment horizontal="center" vertical="center"/>
    </xf>
    <xf numFmtId="0" fontId="161" fillId="64" borderId="60" xfId="134" applyFont="1" applyFill="1" applyBorder="1" applyAlignment="1">
      <alignment horizontal="center" vertical="center" wrapText="1"/>
    </xf>
    <xf numFmtId="0" fontId="161" fillId="68" borderId="42" xfId="134" applyFont="1" applyFill="1" applyBorder="1" applyAlignment="1">
      <alignment horizontal="center" vertical="center" wrapText="1"/>
    </xf>
    <xf numFmtId="0" fontId="161" fillId="0" borderId="39" xfId="134" applyFont="1" applyBorder="1" applyAlignment="1">
      <alignment horizontal="center" vertical="center" wrapText="1"/>
    </xf>
    <xf numFmtId="0" fontId="161" fillId="0" borderId="41" xfId="134" applyFont="1" applyBorder="1" applyAlignment="1">
      <alignment horizontal="center" vertical="center" wrapText="1"/>
    </xf>
    <xf numFmtId="0" fontId="161" fillId="68" borderId="41" xfId="134" applyFont="1" applyFill="1" applyBorder="1" applyAlignment="1">
      <alignment horizontal="center" vertical="center" wrapText="1"/>
    </xf>
    <xf numFmtId="0" fontId="161" fillId="0" borderId="60" xfId="134" applyFont="1" applyBorder="1" applyAlignment="1">
      <alignment horizontal="center" vertical="center" wrapText="1"/>
    </xf>
    <xf numFmtId="0" fontId="161" fillId="0" borderId="57" xfId="134" applyFont="1" applyBorder="1" applyAlignment="1">
      <alignment horizontal="center" vertical="center" wrapText="1"/>
    </xf>
    <xf numFmtId="16" fontId="161" fillId="64" borderId="39" xfId="134" applyNumberFormat="1" applyFont="1" applyFill="1" applyBorder="1" applyAlignment="1">
      <alignment horizontal="center" vertical="center" wrapText="1"/>
    </xf>
    <xf numFmtId="0" fontId="137" fillId="64" borderId="39" xfId="134" applyFont="1" applyFill="1" applyBorder="1" applyAlignment="1">
      <alignment horizontal="center" vertical="center" wrapText="1"/>
    </xf>
    <xf numFmtId="0" fontId="161" fillId="34" borderId="42" xfId="134" applyFont="1" applyFill="1" applyBorder="1" applyAlignment="1">
      <alignment horizontal="center" vertical="center" wrapText="1"/>
    </xf>
    <xf numFmtId="0" fontId="161" fillId="34" borderId="44" xfId="134" applyFont="1" applyFill="1" applyBorder="1" applyAlignment="1">
      <alignment horizontal="center" vertical="center" wrapText="1"/>
    </xf>
    <xf numFmtId="0" fontId="161" fillId="64" borderId="57" xfId="134" applyFont="1" applyFill="1" applyBorder="1" applyAlignment="1">
      <alignment horizontal="center" vertical="center" wrapText="1"/>
    </xf>
    <xf numFmtId="0" fontId="161" fillId="64" borderId="39" xfId="134" applyFont="1" applyFill="1" applyBorder="1" applyAlignment="1">
      <alignment horizontal="center" vertical="center" wrapText="1"/>
    </xf>
    <xf numFmtId="0" fontId="53" fillId="64" borderId="44" xfId="134" applyFont="1" applyFill="1" applyBorder="1" applyAlignment="1">
      <alignment horizontal="center" vertical="center"/>
    </xf>
    <xf numFmtId="0" fontId="50" fillId="64" borderId="0" xfId="134" applyFont="1" applyFill="1" applyAlignment="1">
      <alignment horizontal="center" vertical="center"/>
    </xf>
    <xf numFmtId="0" fontId="0" fillId="0" borderId="37" xfId="0" applyBorder="1"/>
    <xf numFmtId="0" fontId="0" fillId="0" borderId="52" xfId="0" applyBorder="1"/>
    <xf numFmtId="0" fontId="35" fillId="0" borderId="53" xfId="0" applyFont="1" applyBorder="1"/>
    <xf numFmtId="0" fontId="0" fillId="0" borderId="1" xfId="0" applyBorder="1" applyAlignment="1">
      <alignment horizontal="center" vertical="center"/>
    </xf>
    <xf numFmtId="2" fontId="215" fillId="0" borderId="1" xfId="0" applyNumberFormat="1" applyFont="1" applyBorder="1"/>
    <xf numFmtId="0" fontId="175" fillId="0" borderId="0" xfId="0" applyFont="1" applyAlignment="1">
      <alignment horizontal="center" vertical="center"/>
    </xf>
    <xf numFmtId="0" fontId="135" fillId="0" borderId="8" xfId="0" applyFont="1" applyBorder="1" applyAlignment="1">
      <alignment horizontal="center" vertical="top" wrapText="1"/>
    </xf>
    <xf numFmtId="4" fontId="92" fillId="0" borderId="1" xfId="0" applyNumberFormat="1" applyFont="1" applyBorder="1" applyAlignment="1">
      <alignment horizontal="center" vertical="center"/>
    </xf>
    <xf numFmtId="4" fontId="43" fillId="0" borderId="1" xfId="0" applyNumberFormat="1" applyFont="1" applyBorder="1" applyAlignment="1">
      <alignment horizontal="center" vertical="center"/>
    </xf>
    <xf numFmtId="0" fontId="100" fillId="0" borderId="8" xfId="0" applyFont="1" applyBorder="1" applyAlignment="1">
      <alignment horizontal="center" vertical="top" wrapText="1"/>
    </xf>
    <xf numFmtId="49" fontId="135" fillId="0" borderId="1" xfId="0" applyNumberFormat="1" applyFont="1" applyBorder="1" applyAlignment="1">
      <alignment horizontal="center" vertical="top" wrapText="1"/>
    </xf>
    <xf numFmtId="49" fontId="100" fillId="0" borderId="1" xfId="0" applyNumberFormat="1" applyFont="1" applyBorder="1" applyAlignment="1">
      <alignment horizontal="center" vertical="top" wrapText="1"/>
    </xf>
    <xf numFmtId="3" fontId="43" fillId="0" borderId="1" xfId="0" applyNumberFormat="1" applyFont="1" applyBorder="1" applyAlignment="1">
      <alignment horizontal="center" vertical="center"/>
    </xf>
    <xf numFmtId="0" fontId="135" fillId="0" borderId="97" xfId="0" applyFont="1" applyBorder="1" applyAlignment="1">
      <alignment horizontal="center" vertical="top" wrapText="1"/>
    </xf>
    <xf numFmtId="4" fontId="205" fillId="0" borderId="1" xfId="0" applyNumberFormat="1" applyFont="1" applyBorder="1" applyAlignment="1">
      <alignment horizontal="center" vertical="center"/>
    </xf>
    <xf numFmtId="49" fontId="135" fillId="0" borderId="41" xfId="0" applyNumberFormat="1" applyFont="1" applyBorder="1" applyAlignment="1">
      <alignment horizontal="center" vertical="top" wrapText="1"/>
    </xf>
    <xf numFmtId="0" fontId="135" fillId="0" borderId="10" xfId="0" applyFont="1" applyBorder="1" applyAlignment="1">
      <alignment horizontal="center" vertical="top" wrapText="1"/>
    </xf>
    <xf numFmtId="49" fontId="135" fillId="0" borderId="77" xfId="0" applyNumberFormat="1" applyFont="1" applyBorder="1" applyAlignment="1">
      <alignment horizontal="right" vertical="top" wrapText="1"/>
    </xf>
    <xf numFmtId="0" fontId="135" fillId="0" borderId="0" xfId="0" applyFont="1" applyAlignment="1">
      <alignment vertical="top" wrapText="1"/>
    </xf>
    <xf numFmtId="0" fontId="135" fillId="0" borderId="1" xfId="0" applyFont="1" applyBorder="1" applyAlignment="1">
      <alignment vertical="top" wrapText="1"/>
    </xf>
    <xf numFmtId="0" fontId="100" fillId="0" borderId="1" xfId="0" applyFont="1" applyBorder="1" applyAlignment="1">
      <alignment vertical="top" wrapText="1"/>
    </xf>
    <xf numFmtId="0" fontId="198" fillId="0" borderId="1" xfId="0" applyFont="1" applyBorder="1" applyAlignment="1">
      <alignment vertical="top" wrapText="1"/>
    </xf>
    <xf numFmtId="3" fontId="104" fillId="0" borderId="1" xfId="0" applyNumberFormat="1" applyFont="1" applyBorder="1" applyAlignment="1">
      <alignment horizontal="center" vertical="center"/>
    </xf>
    <xf numFmtId="1" fontId="161" fillId="0" borderId="57" xfId="0" applyNumberFormat="1" applyFont="1" applyBorder="1" applyAlignment="1">
      <alignment horizontal="center" vertical="center" wrapText="1"/>
    </xf>
    <xf numFmtId="1" fontId="161" fillId="0" borderId="58" xfId="0" applyNumberFormat="1" applyFont="1" applyBorder="1" applyAlignment="1">
      <alignment horizontal="center" vertical="center" wrapText="1"/>
    </xf>
    <xf numFmtId="0" fontId="42" fillId="0" borderId="0" xfId="0" applyFont="1" applyAlignment="1">
      <alignment horizontal="center" vertical="center"/>
    </xf>
    <xf numFmtId="0" fontId="216" fillId="0" borderId="0" xfId="0" applyFont="1"/>
    <xf numFmtId="0" fontId="135" fillId="0" borderId="1" xfId="116" applyFont="1" applyBorder="1" applyAlignment="1">
      <alignment horizontal="center" vertical="center" wrapText="1"/>
    </xf>
    <xf numFmtId="0" fontId="135" fillId="0" borderId="1" xfId="116" applyFont="1" applyBorder="1" applyAlignment="1">
      <alignment vertical="justify" wrapText="1"/>
    </xf>
    <xf numFmtId="2" fontId="135" fillId="0" borderId="1" xfId="116" applyNumberFormat="1" applyFont="1" applyBorder="1"/>
    <xf numFmtId="0" fontId="135" fillId="0" borderId="1" xfId="116" applyFont="1" applyBorder="1" applyAlignment="1">
      <alignment horizontal="left" vertical="justify" wrapText="1"/>
    </xf>
    <xf numFmtId="2" fontId="135" fillId="0" borderId="1" xfId="116" applyNumberFormat="1" applyFont="1" applyBorder="1" applyAlignment="1">
      <alignment horizontal="right"/>
    </xf>
    <xf numFmtId="0" fontId="100" fillId="0" borderId="1" xfId="116" applyFont="1" applyBorder="1" applyAlignment="1">
      <alignment horizontal="left" wrapText="1" indent="1"/>
    </xf>
    <xf numFmtId="2" fontId="100" fillId="0" borderId="1" xfId="116" applyNumberFormat="1" applyFont="1" applyBorder="1" applyAlignment="1">
      <alignment horizontal="right"/>
    </xf>
    <xf numFmtId="0" fontId="135" fillId="0" borderId="1" xfId="116" applyFont="1" applyBorder="1" applyAlignment="1">
      <alignment horizontal="left" wrapText="1"/>
    </xf>
    <xf numFmtId="0" fontId="100" fillId="0" borderId="1" xfId="116" applyFont="1" applyBorder="1" applyAlignment="1">
      <alignment horizontal="right" wrapText="1" indent="2"/>
    </xf>
    <xf numFmtId="2" fontId="100" fillId="0" borderId="1" xfId="116" applyNumberFormat="1" applyFont="1" applyBorder="1"/>
    <xf numFmtId="0" fontId="100" fillId="0" borderId="1" xfId="116" applyFont="1" applyBorder="1" applyAlignment="1">
      <alignment horizontal="left" vertical="justify" wrapText="1" indent="1"/>
    </xf>
    <xf numFmtId="0" fontId="100" fillId="0" borderId="1" xfId="116" applyFont="1" applyBorder="1" applyAlignment="1">
      <alignment horizontal="left" vertical="center" wrapText="1" indent="1"/>
    </xf>
    <xf numFmtId="0" fontId="100" fillId="0" borderId="1" xfId="116" applyFont="1" applyBorder="1" applyAlignment="1">
      <alignment horizontal="left" wrapText="1" indent="2"/>
    </xf>
    <xf numFmtId="0" fontId="100" fillId="0" borderId="1" xfId="116" applyFont="1" applyBorder="1" applyAlignment="1">
      <alignment horizontal="left" vertical="justify" indent="1"/>
    </xf>
    <xf numFmtId="0" fontId="135" fillId="0" borderId="1" xfId="116" applyFont="1" applyBorder="1" applyAlignment="1">
      <alignment horizontal="left" vertical="center" wrapText="1"/>
    </xf>
    <xf numFmtId="0" fontId="42" fillId="0" borderId="0" xfId="0" applyFont="1" applyAlignment="1">
      <alignment horizontal="left" vertical="center"/>
    </xf>
    <xf numFmtId="2" fontId="135" fillId="0" borderId="1" xfId="116" applyNumberFormat="1" applyFont="1" applyBorder="1" applyAlignment="1">
      <alignment horizontal="center" vertical="center"/>
    </xf>
    <xf numFmtId="0" fontId="92" fillId="0" borderId="1" xfId="0" applyFont="1" applyBorder="1" applyAlignment="1">
      <alignment horizontal="center" vertical="center"/>
    </xf>
    <xf numFmtId="2" fontId="92" fillId="0" borderId="1" xfId="0" applyNumberFormat="1" applyFont="1" applyBorder="1" applyAlignment="1">
      <alignment horizontal="center" vertical="center"/>
    </xf>
    <xf numFmtId="2" fontId="43" fillId="0" borderId="1" xfId="0" applyNumberFormat="1" applyFont="1" applyBorder="1"/>
    <xf numFmtId="0" fontId="135" fillId="0" borderId="79" xfId="116" applyFont="1" applyBorder="1" applyAlignment="1">
      <alignment horizontal="center" vertical="center" wrapText="1"/>
    </xf>
    <xf numFmtId="0" fontId="135" fillId="0" borderId="3" xfId="116" applyFont="1" applyBorder="1" applyAlignment="1">
      <alignment horizontal="center" vertical="center" wrapText="1"/>
    </xf>
    <xf numFmtId="0" fontId="98" fillId="0" borderId="0" xfId="0" applyFont="1"/>
    <xf numFmtId="1" fontId="136" fillId="0" borderId="1" xfId="506" applyNumberFormat="1" applyFont="1" applyBorder="1" applyAlignment="1">
      <alignment horizontal="center"/>
    </xf>
    <xf numFmtId="0" fontId="197" fillId="0" borderId="0" xfId="506" applyFont="1"/>
    <xf numFmtId="4" fontId="197" fillId="0" borderId="0" xfId="506" applyNumberFormat="1" applyFont="1"/>
    <xf numFmtId="49" fontId="35" fillId="0" borderId="0" xfId="5" applyNumberFormat="1" applyFont="1"/>
    <xf numFmtId="0" fontId="35" fillId="0" borderId="0" xfId="5" applyFont="1"/>
    <xf numFmtId="0" fontId="35" fillId="0" borderId="0" xfId="0" applyFont="1"/>
    <xf numFmtId="49" fontId="217" fillId="0" borderId="0" xfId="5" applyNumberFormat="1" applyFont="1"/>
    <xf numFmtId="0" fontId="217" fillId="0" borderId="0" xfId="0" applyFont="1"/>
    <xf numFmtId="49" fontId="115" fillId="0" borderId="0" xfId="5" applyNumberFormat="1" applyFont="1"/>
    <xf numFmtId="0" fontId="115" fillId="0" borderId="0" xfId="0" applyFont="1"/>
    <xf numFmtId="0" fontId="217" fillId="0" borderId="1" xfId="5" applyFont="1" applyBorder="1"/>
    <xf numFmtId="2" fontId="217" fillId="0" borderId="1" xfId="5" applyNumberFormat="1" applyFont="1" applyBorder="1"/>
    <xf numFmtId="0" fontId="115" fillId="0" borderId="1" xfId="5" applyFont="1" applyBorder="1"/>
    <xf numFmtId="2" fontId="115" fillId="0" borderId="1" xfId="5" applyNumberFormat="1" applyFont="1" applyBorder="1"/>
    <xf numFmtId="2" fontId="35" fillId="0" borderId="0" xfId="5" applyNumberFormat="1" applyFont="1"/>
    <xf numFmtId="2" fontId="8" fillId="0" borderId="0" xfId="5" applyNumberFormat="1" applyFont="1"/>
    <xf numFmtId="2" fontId="115" fillId="2" borderId="1" xfId="5" applyNumberFormat="1" applyFont="1" applyFill="1" applyBorder="1"/>
    <xf numFmtId="2" fontId="34" fillId="2" borderId="1" xfId="5" applyNumberFormat="1" applyFill="1" applyBorder="1"/>
    <xf numFmtId="2" fontId="42" fillId="0" borderId="69" xfId="0" applyNumberFormat="1" applyFont="1" applyBorder="1" applyAlignment="1">
      <alignment horizontal="center"/>
    </xf>
    <xf numFmtId="2" fontId="42" fillId="0" borderId="7" xfId="0" applyNumberFormat="1" applyFont="1" applyBorder="1" applyAlignment="1">
      <alignment horizontal="center"/>
    </xf>
    <xf numFmtId="2" fontId="42" fillId="0" borderId="10" xfId="0" applyNumberFormat="1" applyFont="1" applyBorder="1" applyAlignment="1">
      <alignment horizontal="center"/>
    </xf>
    <xf numFmtId="2" fontId="42" fillId="0" borderId="8" xfId="0" applyNumberFormat="1" applyFont="1" applyBorder="1" applyAlignment="1">
      <alignment horizontal="center"/>
    </xf>
    <xf numFmtId="0" fontId="43" fillId="0" borderId="0" xfId="0" applyFont="1" applyAlignment="1">
      <alignment wrapText="1"/>
    </xf>
    <xf numFmtId="0" fontId="43" fillId="0" borderId="1" xfId="552" applyFont="1" applyBorder="1" applyAlignment="1">
      <alignment wrapText="1"/>
    </xf>
    <xf numFmtId="0" fontId="43" fillId="0" borderId="1" xfId="0" applyFont="1" applyBorder="1" applyAlignment="1">
      <alignment vertical="top" wrapText="1"/>
    </xf>
    <xf numFmtId="0" fontId="186" fillId="0" borderId="0" xfId="0" applyFont="1"/>
    <xf numFmtId="0" fontId="43" fillId="2" borderId="1" xfId="0" applyFont="1" applyFill="1" applyBorder="1"/>
    <xf numFmtId="0" fontId="43" fillId="30" borderId="1" xfId="0" applyFont="1" applyFill="1" applyBorder="1"/>
    <xf numFmtId="0" fontId="43" fillId="0" borderId="8" xfId="0" applyFont="1" applyBorder="1" applyAlignment="1">
      <alignment wrapText="1"/>
    </xf>
    <xf numFmtId="0" fontId="186" fillId="0" borderId="0" xfId="0" applyFont="1" applyAlignment="1">
      <alignment wrapText="1"/>
    </xf>
    <xf numFmtId="0" fontId="43" fillId="0" borderId="8" xfId="0" applyFont="1" applyBorder="1" applyAlignment="1">
      <alignment horizontal="center" vertical="center" wrapText="1"/>
    </xf>
    <xf numFmtId="0" fontId="186" fillId="0" borderId="0" xfId="0" applyFont="1" applyAlignment="1">
      <alignment horizontal="center" vertical="center" wrapText="1"/>
    </xf>
    <xf numFmtId="0" fontId="186" fillId="0" borderId="0" xfId="0" applyFont="1" applyAlignment="1">
      <alignment horizontal="center" vertical="center"/>
    </xf>
    <xf numFmtId="0" fontId="41" fillId="0" borderId="1" xfId="0" applyFont="1" applyBorder="1" applyAlignment="1">
      <alignment horizontal="center" vertical="center" wrapText="1"/>
    </xf>
    <xf numFmtId="0" fontId="92" fillId="0" borderId="1" xfId="0" applyFont="1" applyBorder="1" applyAlignment="1">
      <alignment wrapText="1"/>
    </xf>
    <xf numFmtId="0" fontId="186" fillId="0" borderId="0" xfId="547" applyFont="1"/>
    <xf numFmtId="0" fontId="186" fillId="0" borderId="0" xfId="552" applyFont="1"/>
    <xf numFmtId="0" fontId="98" fillId="62" borderId="1" xfId="552" applyFont="1" applyFill="1" applyBorder="1" applyAlignment="1">
      <alignment wrapText="1"/>
    </xf>
    <xf numFmtId="0" fontId="43" fillId="80" borderId="1" xfId="0" applyFont="1" applyFill="1" applyBorder="1" applyAlignment="1">
      <alignment wrapText="1"/>
    </xf>
    <xf numFmtId="0" fontId="43" fillId="30" borderId="0" xfId="547" applyFont="1" applyFill="1"/>
    <xf numFmtId="0" fontId="175" fillId="30" borderId="0" xfId="547" applyFont="1" applyFill="1"/>
    <xf numFmtId="0" fontId="42" fillId="0" borderId="1" xfId="0" applyFont="1" applyBorder="1" applyAlignment="1">
      <alignment vertical="center"/>
    </xf>
    <xf numFmtId="0" fontId="92" fillId="0" borderId="0" xfId="552" applyFont="1" applyAlignment="1">
      <alignment horizontal="center"/>
    </xf>
    <xf numFmtId="2" fontId="50" fillId="34" borderId="94" xfId="448" applyNumberFormat="1" applyFont="1" applyFill="1" applyBorder="1" applyAlignment="1">
      <alignment horizontal="center"/>
    </xf>
    <xf numFmtId="0" fontId="41" fillId="0" borderId="45" xfId="547" applyFont="1" applyBorder="1" applyAlignment="1">
      <alignment horizontal="center" vertical="center" wrapText="1"/>
    </xf>
    <xf numFmtId="0" fontId="41" fillId="0" borderId="45" xfId="547" applyFont="1" applyBorder="1" applyAlignment="1">
      <alignment vertical="top" wrapText="1"/>
    </xf>
    <xf numFmtId="0" fontId="148" fillId="0" borderId="45" xfId="547" applyFont="1" applyBorder="1" applyAlignment="1">
      <alignment horizontal="center" vertical="center" wrapText="1"/>
    </xf>
    <xf numFmtId="0" fontId="148" fillId="64" borderId="55" xfId="547" applyFont="1" applyFill="1" applyBorder="1" applyAlignment="1">
      <alignment horizontal="center" vertical="center" wrapText="1"/>
    </xf>
    <xf numFmtId="0" fontId="175" fillId="0" borderId="0" xfId="547" applyFont="1"/>
    <xf numFmtId="4" fontId="100" fillId="0" borderId="1" xfId="0" applyNumberFormat="1" applyFont="1" applyBorder="1"/>
    <xf numFmtId="4" fontId="43" fillId="0" borderId="1" xfId="0" applyNumberFormat="1" applyFont="1" applyBorder="1" applyAlignment="1">
      <alignment vertical="center"/>
    </xf>
    <xf numFmtId="0" fontId="186" fillId="0" borderId="0" xfId="0" applyFont="1" applyAlignment="1">
      <alignment vertical="center"/>
    </xf>
    <xf numFmtId="0" fontId="43" fillId="0" borderId="0" xfId="0" applyFont="1" applyAlignment="1">
      <alignment vertical="center"/>
    </xf>
    <xf numFmtId="0" fontId="42" fillId="0" borderId="48" xfId="0" applyFont="1" applyBorder="1" applyAlignment="1">
      <alignment horizontal="center" vertical="center" wrapText="1"/>
    </xf>
    <xf numFmtId="0" fontId="43" fillId="0" borderId="49" xfId="0" applyFont="1" applyBorder="1" applyAlignment="1">
      <alignment horizontal="center" vertical="center" wrapText="1"/>
    </xf>
    <xf numFmtId="0" fontId="43" fillId="0" borderId="50" xfId="0" applyFont="1" applyBorder="1" applyAlignment="1">
      <alignment horizontal="center" vertical="center" wrapText="1"/>
    </xf>
    <xf numFmtId="0" fontId="51" fillId="32" borderId="33" xfId="0" applyFont="1" applyFill="1" applyBorder="1" applyAlignment="1">
      <alignment horizontal="center" vertical="center" wrapText="1"/>
    </xf>
    <xf numFmtId="0" fontId="51" fillId="32" borderId="60" xfId="0" applyFont="1" applyFill="1" applyBorder="1" applyAlignment="1">
      <alignment horizontal="left" vertical="center" wrapText="1"/>
    </xf>
    <xf numFmtId="0" fontId="51" fillId="32" borderId="61" xfId="0" applyFont="1" applyFill="1" applyBorder="1" applyAlignment="1">
      <alignment horizontal="center" vertical="center" wrapText="1"/>
    </xf>
    <xf numFmtId="0" fontId="51" fillId="32" borderId="98" xfId="0" applyFont="1" applyFill="1" applyBorder="1" applyAlignment="1">
      <alignment horizontal="center" vertical="center" wrapText="1"/>
    </xf>
    <xf numFmtId="0" fontId="51" fillId="0" borderId="0" xfId="0" applyFont="1" applyAlignment="1">
      <alignment wrapText="1"/>
    </xf>
    <xf numFmtId="0" fontId="42" fillId="0" borderId="42" xfId="0" applyFont="1" applyBorder="1" applyAlignment="1">
      <alignment horizontal="left" vertical="center" wrapText="1"/>
    </xf>
    <xf numFmtId="0" fontId="42" fillId="0" borderId="3" xfId="0" applyFont="1" applyBorder="1" applyAlignment="1">
      <alignment horizontal="center" vertical="center"/>
    </xf>
    <xf numFmtId="0" fontId="42" fillId="0" borderId="10" xfId="0" applyFont="1" applyBorder="1" applyAlignment="1">
      <alignment horizontal="center" vertical="center"/>
    </xf>
    <xf numFmtId="0" fontId="51" fillId="32" borderId="89" xfId="0" applyFont="1" applyFill="1" applyBorder="1" applyAlignment="1">
      <alignment horizontal="center" vertical="center"/>
    </xf>
    <xf numFmtId="0" fontId="42" fillId="0" borderId="39" xfId="0" applyFont="1" applyBorder="1" applyAlignment="1">
      <alignment horizontal="left" vertical="center" wrapText="1"/>
    </xf>
    <xf numFmtId="0" fontId="42" fillId="0" borderId="1" xfId="0" applyFont="1" applyBorder="1" applyAlignment="1">
      <alignment horizontal="center" vertical="center"/>
    </xf>
    <xf numFmtId="0" fontId="42" fillId="0" borderId="8" xfId="0" applyFont="1" applyBorder="1" applyAlignment="1">
      <alignment horizontal="center" vertical="center"/>
    </xf>
    <xf numFmtId="0" fontId="51" fillId="32" borderId="67" xfId="0" applyFont="1" applyFill="1" applyBorder="1" applyAlignment="1">
      <alignment horizontal="center" vertical="center"/>
    </xf>
    <xf numFmtId="0" fontId="42" fillId="0" borderId="48" xfId="0" applyFont="1" applyBorder="1" applyAlignment="1">
      <alignment horizontal="left" vertical="center" wrapText="1"/>
    </xf>
    <xf numFmtId="0" fontId="42" fillId="0" borderId="79" xfId="0" applyFont="1" applyBorder="1" applyAlignment="1">
      <alignment horizontal="center" vertical="center"/>
    </xf>
    <xf numFmtId="0" fontId="42" fillId="0" borderId="97" xfId="0" applyFont="1" applyBorder="1" applyAlignment="1">
      <alignment horizontal="center" vertical="center"/>
    </xf>
    <xf numFmtId="0" fontId="42" fillId="0" borderId="44" xfId="0" applyFont="1" applyBorder="1" applyAlignment="1">
      <alignment horizontal="left" vertical="center" wrapText="1"/>
    </xf>
    <xf numFmtId="0" fontId="42" fillId="0" borderId="45" xfId="0" applyFont="1" applyBorder="1" applyAlignment="1">
      <alignment horizontal="center" vertical="center"/>
    </xf>
    <xf numFmtId="0" fontId="42" fillId="0" borderId="55" xfId="0" applyFont="1" applyBorder="1" applyAlignment="1">
      <alignment horizontal="center" vertical="center"/>
    </xf>
    <xf numFmtId="0" fontId="42" fillId="0" borderId="0" xfId="0" applyFont="1" applyAlignment="1">
      <alignment horizontal="left"/>
    </xf>
    <xf numFmtId="0" fontId="0" fillId="0" borderId="0" xfId="0" applyAlignment="1">
      <alignment horizontal="center" vertical="center"/>
    </xf>
    <xf numFmtId="16" fontId="0" fillId="0" borderId="0" xfId="0" applyNumberFormat="1" applyAlignment="1">
      <alignment horizontal="center" vertical="center"/>
    </xf>
    <xf numFmtId="0" fontId="35" fillId="0" borderId="0" xfId="0" applyFont="1" applyAlignment="1">
      <alignment horizontal="center" vertical="center"/>
    </xf>
    <xf numFmtId="0" fontId="104" fillId="0" borderId="1" xfId="0" applyFont="1" applyBorder="1" applyAlignment="1">
      <alignment vertical="top" wrapText="1"/>
    </xf>
    <xf numFmtId="4" fontId="104" fillId="0" borderId="1" xfId="0" applyNumberFormat="1" applyFont="1" applyBorder="1"/>
    <xf numFmtId="0" fontId="206" fillId="0" borderId="0" xfId="0" applyFont="1"/>
    <xf numFmtId="0" fontId="104" fillId="0" borderId="0" xfId="0" applyFont="1"/>
    <xf numFmtId="0" fontId="206" fillId="0" borderId="0" xfId="0" applyFont="1" applyAlignment="1">
      <alignment horizontal="right"/>
    </xf>
    <xf numFmtId="2" fontId="51" fillId="32" borderId="68" xfId="0" applyNumberFormat="1" applyFont="1" applyFill="1" applyBorder="1" applyAlignment="1">
      <alignment horizontal="center" vertical="center"/>
    </xf>
    <xf numFmtId="2" fontId="42" fillId="0" borderId="1" xfId="0" applyNumberFormat="1" applyFont="1" applyBorder="1" applyAlignment="1">
      <alignment horizontal="center" vertical="center"/>
    </xf>
    <xf numFmtId="2" fontId="42" fillId="0" borderId="45" xfId="0" applyNumberFormat="1" applyFont="1" applyBorder="1" applyAlignment="1">
      <alignment horizontal="center" vertical="center"/>
    </xf>
    <xf numFmtId="2" fontId="51" fillId="32" borderId="6" xfId="0" applyNumberFormat="1" applyFont="1" applyFill="1" applyBorder="1" applyAlignment="1">
      <alignment horizontal="center" vertical="center" wrapText="1"/>
    </xf>
    <xf numFmtId="2" fontId="51" fillId="32" borderId="61" xfId="0" applyNumberFormat="1" applyFont="1" applyFill="1" applyBorder="1" applyAlignment="1">
      <alignment horizontal="center" vertical="center" wrapText="1"/>
    </xf>
    <xf numFmtId="0" fontId="218" fillId="0" borderId="0" xfId="0" applyFont="1"/>
    <xf numFmtId="0" fontId="0" fillId="0" borderId="0" xfId="0" applyAlignment="1">
      <alignment wrapText="1"/>
    </xf>
    <xf numFmtId="0" fontId="43" fillId="2" borderId="1" xfId="0" applyFont="1" applyFill="1" applyBorder="1" applyAlignment="1">
      <alignment wrapText="1"/>
    </xf>
    <xf numFmtId="2" fontId="43" fillId="2" borderId="1" xfId="0" applyNumberFormat="1" applyFont="1" applyFill="1" applyBorder="1"/>
    <xf numFmtId="0" fontId="41" fillId="2" borderId="1" xfId="0" applyFont="1" applyFill="1" applyBorder="1" applyAlignment="1">
      <alignment wrapText="1"/>
    </xf>
    <xf numFmtId="2" fontId="43" fillId="80" borderId="1" xfId="0" applyNumberFormat="1" applyFont="1" applyFill="1" applyBorder="1"/>
    <xf numFmtId="0" fontId="43" fillId="80" borderId="1" xfId="0" applyFont="1" applyFill="1" applyBorder="1"/>
    <xf numFmtId="0" fontId="100" fillId="0" borderId="0" xfId="116" applyFont="1" applyAlignment="1">
      <alignment horizontal="left"/>
    </xf>
    <xf numFmtId="0" fontId="43" fillId="0" borderId="5" xfId="0" applyFont="1" applyBorder="1" applyAlignment="1">
      <alignment horizontal="center" wrapText="1"/>
    </xf>
    <xf numFmtId="0" fontId="219" fillId="0" borderId="0" xfId="506" applyFont="1" applyAlignment="1" applyProtection="1">
      <alignment horizontal="center" vertical="center" wrapText="1"/>
      <protection hidden="1"/>
    </xf>
    <xf numFmtId="4" fontId="150" fillId="0" borderId="0" xfId="506" applyNumberFormat="1" applyFont="1" applyAlignment="1" applyProtection="1">
      <alignment horizontal="center" vertical="center" wrapText="1"/>
      <protection hidden="1"/>
    </xf>
    <xf numFmtId="4" fontId="150" fillId="0" borderId="0" xfId="506" applyNumberFormat="1" applyFont="1" applyAlignment="1" applyProtection="1">
      <alignment horizontal="right" vertical="center" wrapText="1"/>
      <protection hidden="1"/>
    </xf>
    <xf numFmtId="4" fontId="150" fillId="2" borderId="0" xfId="506" applyNumberFormat="1" applyFont="1" applyFill="1" applyAlignment="1" applyProtection="1">
      <alignment horizontal="right" vertical="center" wrapText="1"/>
      <protection hidden="1"/>
    </xf>
    <xf numFmtId="4" fontId="172" fillId="0" borderId="0" xfId="506" applyNumberFormat="1" applyFont="1" applyAlignment="1" applyProtection="1">
      <alignment horizontal="right" vertical="center" wrapText="1"/>
      <protection hidden="1"/>
    </xf>
    <xf numFmtId="4" fontId="172" fillId="0" borderId="0" xfId="506" applyNumberFormat="1" applyFont="1" applyAlignment="1" applyProtection="1">
      <alignment horizontal="center" vertical="center" wrapText="1"/>
      <protection hidden="1"/>
    </xf>
    <xf numFmtId="4" fontId="39" fillId="0" borderId="0" xfId="506" applyNumberFormat="1" applyFont="1" applyAlignment="1" applyProtection="1">
      <alignment horizontal="right" vertical="center" wrapText="1"/>
      <protection hidden="1"/>
    </xf>
    <xf numFmtId="4" fontId="151" fillId="0" borderId="1" xfId="506" applyNumberFormat="1" applyFont="1" applyBorder="1" applyAlignment="1" applyProtection="1">
      <alignment horizontal="right" vertical="center" wrapText="1"/>
      <protection hidden="1"/>
    </xf>
    <xf numFmtId="4" fontId="163" fillId="0" borderId="1" xfId="506" applyNumberFormat="1" applyFont="1" applyBorder="1" applyAlignment="1" applyProtection="1">
      <alignment horizontal="right" vertical="center" wrapText="1"/>
      <protection hidden="1"/>
    </xf>
    <xf numFmtId="4" fontId="163" fillId="31" borderId="1" xfId="506" applyNumberFormat="1" applyFont="1" applyFill="1" applyBorder="1" applyAlignment="1" applyProtection="1">
      <alignment horizontal="right" vertical="center" wrapText="1"/>
      <protection hidden="1"/>
    </xf>
    <xf numFmtId="2" fontId="100" fillId="2" borderId="1" xfId="0" applyNumberFormat="1" applyFont="1" applyFill="1" applyBorder="1" applyAlignment="1">
      <alignment horizontal="center" vertical="top" wrapText="1"/>
    </xf>
    <xf numFmtId="0" fontId="135" fillId="0" borderId="79" xfId="0" applyFont="1" applyBorder="1" applyAlignment="1">
      <alignment horizontal="left" vertical="top" wrapText="1" indent="1"/>
    </xf>
    <xf numFmtId="0" fontId="41" fillId="0" borderId="1" xfId="0" applyFont="1" applyBorder="1" applyAlignment="1">
      <alignment wrapText="1"/>
    </xf>
    <xf numFmtId="0" fontId="109" fillId="0" borderId="30" xfId="0" applyFont="1" applyBorder="1" applyAlignment="1">
      <alignment vertical="center" wrapText="1"/>
    </xf>
    <xf numFmtId="0" fontId="43" fillId="0" borderId="6" xfId="0" applyFont="1" applyBorder="1" applyAlignment="1">
      <alignment horizontal="center" vertical="center" wrapText="1"/>
    </xf>
    <xf numFmtId="0" fontId="43" fillId="0" borderId="6" xfId="0" applyFont="1" applyBorder="1" applyAlignment="1">
      <alignment vertical="center"/>
    </xf>
    <xf numFmtId="0" fontId="43" fillId="0" borderId="31" xfId="0" applyFont="1" applyBorder="1" applyAlignment="1">
      <alignment vertical="center" wrapText="1"/>
    </xf>
    <xf numFmtId="0" fontId="43" fillId="0" borderId="6" xfId="0" applyFont="1" applyBorder="1" applyAlignment="1">
      <alignment horizontal="center" vertical="center"/>
    </xf>
    <xf numFmtId="0" fontId="41" fillId="0" borderId="0" xfId="506" applyFont="1" applyAlignment="1">
      <alignment vertical="center" wrapText="1"/>
    </xf>
    <xf numFmtId="0" fontId="151" fillId="0" borderId="0" xfId="506" applyFont="1" applyAlignment="1">
      <alignment vertical="center"/>
    </xf>
    <xf numFmtId="0" fontId="215" fillId="0" borderId="0" xfId="0" applyFont="1"/>
    <xf numFmtId="9" fontId="43" fillId="0" borderId="0" xfId="558" applyFont="1"/>
    <xf numFmtId="4" fontId="137" fillId="34" borderId="67" xfId="444" applyNumberFormat="1" applyFont="1" applyFill="1" applyBorder="1" applyAlignment="1">
      <alignment horizontal="right" vertical="center"/>
    </xf>
    <xf numFmtId="4" fontId="137" fillId="34" borderId="52" xfId="444" applyNumberFormat="1" applyFont="1" applyFill="1" applyBorder="1" applyAlignment="1">
      <alignment horizontal="right" vertical="center"/>
    </xf>
    <xf numFmtId="4" fontId="137" fillId="34" borderId="40" xfId="444" applyNumberFormat="1" applyFont="1" applyFill="1" applyBorder="1" applyAlignment="1">
      <alignment horizontal="right" vertical="center"/>
    </xf>
    <xf numFmtId="4" fontId="137" fillId="34" borderId="39" xfId="444" applyNumberFormat="1" applyFont="1" applyFill="1" applyBorder="1" applyAlignment="1">
      <alignment horizontal="right" vertical="center"/>
    </xf>
    <xf numFmtId="3" fontId="161" fillId="34" borderId="63" xfId="134" applyNumberFormat="1" applyFont="1" applyFill="1" applyBorder="1" applyAlignment="1">
      <alignment horizontal="right" vertical="center"/>
    </xf>
    <xf numFmtId="4" fontId="161" fillId="34" borderId="7" xfId="134" applyNumberFormat="1" applyFont="1" applyFill="1" applyBorder="1" applyAlignment="1">
      <alignment vertical="center"/>
    </xf>
    <xf numFmtId="180" fontId="161" fillId="34" borderId="7" xfId="134" applyNumberFormat="1" applyFont="1" applyFill="1" applyBorder="1" applyAlignment="1">
      <alignment vertical="center"/>
    </xf>
    <xf numFmtId="3" fontId="161" fillId="34" borderId="6" xfId="134" applyNumberFormat="1" applyFont="1" applyFill="1" applyBorder="1" applyAlignment="1">
      <alignment horizontal="right" vertical="center"/>
    </xf>
    <xf numFmtId="4" fontId="161" fillId="34" borderId="66" xfId="134" applyNumberFormat="1" applyFont="1" applyFill="1" applyBorder="1" applyAlignment="1">
      <alignment vertical="center"/>
    </xf>
    <xf numFmtId="4" fontId="161" fillId="34" borderId="40" xfId="134" applyNumberFormat="1" applyFont="1" applyFill="1" applyBorder="1" applyAlignment="1">
      <alignment vertical="center"/>
    </xf>
    <xf numFmtId="4" fontId="161" fillId="34" borderId="46" xfId="134" applyNumberFormat="1" applyFont="1" applyFill="1" applyBorder="1" applyAlignment="1">
      <alignment horizontal="right" vertical="center"/>
    </xf>
    <xf numFmtId="4" fontId="161" fillId="34" borderId="7" xfId="134" applyNumberFormat="1" applyFont="1" applyFill="1" applyBorder="1" applyAlignment="1">
      <alignment horizontal="center" vertical="center"/>
    </xf>
    <xf numFmtId="0" fontId="50" fillId="0" borderId="3" xfId="134" applyFont="1" applyBorder="1" applyAlignment="1">
      <alignment horizontal="center" vertical="center"/>
    </xf>
    <xf numFmtId="0" fontId="132" fillId="0" borderId="3" xfId="134" applyFont="1" applyBorder="1" applyAlignment="1">
      <alignment horizontal="center" vertical="center"/>
    </xf>
    <xf numFmtId="0" fontId="50" fillId="0" borderId="10" xfId="134" applyFont="1" applyBorder="1" applyAlignment="1">
      <alignment horizontal="center" vertical="center"/>
    </xf>
    <xf numFmtId="4" fontId="161" fillId="34" borderId="43" xfId="134" applyNumberFormat="1" applyFont="1" applyFill="1" applyBorder="1" applyAlignment="1">
      <alignment horizontal="right" vertical="center"/>
    </xf>
    <xf numFmtId="4" fontId="161" fillId="34" borderId="78" xfId="134" applyNumberFormat="1" applyFont="1" applyFill="1" applyBorder="1" applyAlignment="1">
      <alignment horizontal="right" vertical="center"/>
    </xf>
    <xf numFmtId="4" fontId="161" fillId="34" borderId="63" xfId="134" applyNumberFormat="1" applyFont="1" applyFill="1" applyBorder="1" applyAlignment="1">
      <alignment horizontal="center" vertical="center"/>
    </xf>
    <xf numFmtId="4" fontId="161" fillId="34" borderId="39" xfId="134" applyNumberFormat="1" applyFont="1" applyFill="1" applyBorder="1" applyAlignment="1">
      <alignment horizontal="center" vertical="center"/>
    </xf>
    <xf numFmtId="4" fontId="161" fillId="34" borderId="40" xfId="134" applyNumberFormat="1" applyFont="1" applyFill="1" applyBorder="1" applyAlignment="1">
      <alignment horizontal="center" vertical="center"/>
    </xf>
    <xf numFmtId="0" fontId="186" fillId="0" borderId="0" xfId="552" applyFont="1" applyAlignment="1">
      <alignment vertical="center"/>
    </xf>
    <xf numFmtId="0" fontId="132" fillId="0" borderId="0" xfId="552" applyFont="1"/>
    <xf numFmtId="0" fontId="42" fillId="0" borderId="0" xfId="552" applyFont="1" applyAlignment="1">
      <alignment vertical="center"/>
    </xf>
    <xf numFmtId="0" fontId="42" fillId="59" borderId="0" xfId="552" applyFont="1" applyFill="1"/>
    <xf numFmtId="0" fontId="186" fillId="59" borderId="0" xfId="552" applyFont="1" applyFill="1"/>
    <xf numFmtId="0" fontId="163" fillId="81" borderId="0" xfId="552" applyFont="1" applyFill="1"/>
    <xf numFmtId="0" fontId="135" fillId="64" borderId="0" xfId="552" applyFont="1" applyFill="1"/>
    <xf numFmtId="0" fontId="100" fillId="64" borderId="0" xfId="552" applyFont="1" applyFill="1"/>
    <xf numFmtId="0" fontId="151" fillId="0" borderId="39" xfId="552" applyFont="1" applyBorder="1" applyAlignment="1">
      <alignment horizontal="center"/>
    </xf>
    <xf numFmtId="0" fontId="151" fillId="0" borderId="1" xfId="552" applyFont="1" applyBorder="1" applyAlignment="1">
      <alignment horizontal="center"/>
    </xf>
    <xf numFmtId="0" fontId="151" fillId="0" borderId="1" xfId="552" applyFont="1" applyBorder="1"/>
    <xf numFmtId="0" fontId="151" fillId="0" borderId="8" xfId="552" applyFont="1" applyBorder="1"/>
    <xf numFmtId="2" fontId="151" fillId="0" borderId="67" xfId="552" applyNumberFormat="1" applyFont="1" applyBorder="1"/>
    <xf numFmtId="0" fontId="220" fillId="0" borderId="1" xfId="552" applyFont="1" applyBorder="1" applyAlignment="1">
      <alignment horizontal="center"/>
    </xf>
    <xf numFmtId="2" fontId="163" fillId="0" borderId="67" xfId="552" applyNumberFormat="1" applyFont="1" applyBorder="1"/>
    <xf numFmtId="0" fontId="163" fillId="0" borderId="1" xfId="552" applyFont="1" applyBorder="1" applyAlignment="1">
      <alignment horizontal="center"/>
    </xf>
    <xf numFmtId="0" fontId="151" fillId="0" borderId="67" xfId="552" applyFont="1" applyBorder="1"/>
    <xf numFmtId="0" fontId="151" fillId="0" borderId="44" xfId="552" applyFont="1" applyBorder="1" applyAlignment="1">
      <alignment horizontal="center"/>
    </xf>
    <xf numFmtId="0" fontId="163" fillId="0" borderId="45" xfId="552" applyFont="1" applyBorder="1"/>
    <xf numFmtId="0" fontId="163" fillId="0" borderId="55" xfId="552" applyFont="1" applyBorder="1"/>
    <xf numFmtId="2" fontId="163" fillId="82" borderId="68" xfId="552" applyNumberFormat="1" applyFont="1" applyFill="1" applyBorder="1"/>
    <xf numFmtId="0" fontId="151" fillId="0" borderId="3" xfId="552" applyFont="1" applyBorder="1" applyAlignment="1">
      <alignment horizontal="center"/>
    </xf>
    <xf numFmtId="0" fontId="151" fillId="0" borderId="3" xfId="552" applyFont="1" applyBorder="1"/>
    <xf numFmtId="0" fontId="221" fillId="0" borderId="26" xfId="0" applyFont="1" applyBorder="1"/>
    <xf numFmtId="0" fontId="221" fillId="0" borderId="34" xfId="0" applyFont="1" applyBorder="1"/>
    <xf numFmtId="2" fontId="221" fillId="82" borderId="27" xfId="0" applyNumberFormat="1" applyFont="1" applyFill="1" applyBorder="1" applyAlignment="1">
      <alignment horizontal="center"/>
    </xf>
    <xf numFmtId="0" fontId="151" fillId="0" borderId="0" xfId="0" applyFont="1"/>
    <xf numFmtId="0" fontId="223" fillId="0" borderId="28" xfId="0" applyFont="1" applyBorder="1" applyAlignment="1">
      <alignment horizontal="left" indent="8"/>
    </xf>
    <xf numFmtId="0" fontId="220" fillId="0" borderId="0" xfId="0" applyFont="1"/>
    <xf numFmtId="0" fontId="151" fillId="0" borderId="24" xfId="0" applyFont="1" applyBorder="1"/>
    <xf numFmtId="0" fontId="151" fillId="0" borderId="35" xfId="0" applyFont="1" applyBorder="1"/>
    <xf numFmtId="0" fontId="151" fillId="0" borderId="56" xfId="0" applyFont="1" applyBorder="1"/>
    <xf numFmtId="0" fontId="151" fillId="0" borderId="26" xfId="552" applyFont="1" applyBorder="1"/>
    <xf numFmtId="0" fontId="151" fillId="0" borderId="34" xfId="552" applyFont="1" applyBorder="1"/>
    <xf numFmtId="0" fontId="151" fillId="0" borderId="27" xfId="552" applyFont="1" applyBorder="1"/>
    <xf numFmtId="0" fontId="151" fillId="0" borderId="29" xfId="552" applyFont="1" applyBorder="1"/>
    <xf numFmtId="0" fontId="163" fillId="0" borderId="35" xfId="552" applyFont="1" applyBorder="1"/>
    <xf numFmtId="2" fontId="163" fillId="0" borderId="56" xfId="552" applyNumberFormat="1" applyFont="1" applyBorder="1"/>
    <xf numFmtId="0" fontId="151" fillId="0" borderId="26" xfId="0" applyFont="1" applyBorder="1" applyAlignment="1">
      <alignment horizontal="center"/>
    </xf>
    <xf numFmtId="0" fontId="151" fillId="0" borderId="34" xfId="0" applyFont="1" applyBorder="1"/>
    <xf numFmtId="0" fontId="151" fillId="82" borderId="27" xfId="0" applyFont="1" applyFill="1" applyBorder="1"/>
    <xf numFmtId="0" fontId="151" fillId="0" borderId="28" xfId="0" applyFont="1" applyBorder="1" applyAlignment="1">
      <alignment horizontal="left"/>
    </xf>
    <xf numFmtId="0" fontId="151" fillId="0" borderId="28" xfId="0" applyFont="1" applyBorder="1"/>
    <xf numFmtId="0" fontId="151" fillId="0" borderId="28" xfId="0" applyFont="1" applyBorder="1" applyAlignment="1">
      <alignment horizontal="left" indent="5"/>
    </xf>
    <xf numFmtId="0" fontId="151" fillId="0" borderId="29" xfId="0" applyFont="1" applyBorder="1" applyAlignment="1">
      <alignment horizontal="left" indent="5"/>
    </xf>
    <xf numFmtId="2" fontId="151" fillId="82" borderId="56" xfId="0" applyNumberFormat="1" applyFont="1" applyFill="1" applyBorder="1"/>
    <xf numFmtId="0" fontId="151" fillId="0" borderId="28" xfId="552" applyFont="1" applyBorder="1"/>
    <xf numFmtId="0" fontId="151" fillId="0" borderId="24" xfId="552" applyFont="1" applyBorder="1"/>
    <xf numFmtId="0" fontId="163" fillId="0" borderId="45" xfId="552" applyFont="1" applyBorder="1" applyAlignment="1">
      <alignment horizontal="center"/>
    </xf>
    <xf numFmtId="0" fontId="153" fillId="0" borderId="0" xfId="552" applyFont="1"/>
    <xf numFmtId="0" fontId="225" fillId="0" borderId="0" xfId="0" applyFont="1"/>
    <xf numFmtId="0" fontId="226" fillId="0" borderId="0" xfId="0" applyFont="1" applyAlignment="1">
      <alignment wrapText="1"/>
    </xf>
    <xf numFmtId="0" fontId="98" fillId="62" borderId="87" xfId="552" applyFont="1" applyFill="1" applyBorder="1" applyAlignment="1">
      <alignment wrapText="1"/>
    </xf>
    <xf numFmtId="0" fontId="109" fillId="83" borderId="1" xfId="0" applyFont="1" applyFill="1" applyBorder="1" applyAlignment="1">
      <alignment wrapText="1"/>
    </xf>
    <xf numFmtId="1" fontId="42" fillId="31" borderId="1" xfId="0" applyNumberFormat="1" applyFont="1" applyFill="1" applyBorder="1" applyAlignment="1">
      <alignment horizontal="right" vertical="center"/>
    </xf>
    <xf numFmtId="4" fontId="42" fillId="31" borderId="1" xfId="0" applyNumberFormat="1" applyFont="1" applyFill="1" applyBorder="1" applyAlignment="1">
      <alignment horizontal="right" vertical="center"/>
    </xf>
    <xf numFmtId="4" fontId="42" fillId="31" borderId="8" xfId="0" applyNumberFormat="1" applyFont="1" applyFill="1" applyBorder="1" applyAlignment="1">
      <alignment horizontal="right" vertical="center"/>
    </xf>
    <xf numFmtId="0" fontId="42" fillId="31" borderId="1" xfId="552" applyFont="1" applyFill="1" applyBorder="1" applyAlignment="1">
      <alignment vertical="center"/>
    </xf>
    <xf numFmtId="0" fontId="42" fillId="31" borderId="40" xfId="552" applyFont="1" applyFill="1" applyBorder="1" applyAlignment="1">
      <alignment vertical="center"/>
    </xf>
    <xf numFmtId="0" fontId="42" fillId="31" borderId="4" xfId="552" applyFont="1" applyFill="1" applyBorder="1" applyAlignment="1">
      <alignment vertical="center"/>
    </xf>
    <xf numFmtId="0" fontId="42" fillId="31" borderId="25" xfId="552" applyFont="1" applyFill="1" applyBorder="1" applyAlignment="1">
      <alignment vertical="center"/>
    </xf>
    <xf numFmtId="1" fontId="42" fillId="31" borderId="3" xfId="0" applyNumberFormat="1" applyFont="1" applyFill="1" applyBorder="1" applyAlignment="1">
      <alignment horizontal="right" vertical="center"/>
    </xf>
    <xf numFmtId="4" fontId="42" fillId="31" borderId="3" xfId="0" applyNumberFormat="1" applyFont="1" applyFill="1" applyBorder="1" applyAlignment="1">
      <alignment horizontal="right" vertical="center"/>
    </xf>
    <xf numFmtId="4" fontId="42" fillId="31" borderId="10" xfId="0" applyNumberFormat="1" applyFont="1" applyFill="1" applyBorder="1" applyAlignment="1">
      <alignment horizontal="right" vertical="center"/>
    </xf>
    <xf numFmtId="4" fontId="42" fillId="31" borderId="40" xfId="0" applyNumberFormat="1" applyFont="1" applyFill="1" applyBorder="1" applyAlignment="1">
      <alignment horizontal="right" vertical="center"/>
    </xf>
    <xf numFmtId="1" fontId="42" fillId="34" borderId="1" xfId="0" applyNumberFormat="1" applyFont="1" applyFill="1" applyBorder="1" applyAlignment="1">
      <alignment horizontal="right" vertical="center"/>
    </xf>
    <xf numFmtId="4" fontId="42" fillId="34" borderId="1" xfId="0" applyNumberFormat="1" applyFont="1" applyFill="1" applyBorder="1" applyAlignment="1">
      <alignment horizontal="right" vertical="center"/>
    </xf>
    <xf numFmtId="4" fontId="42" fillId="34" borderId="8" xfId="0" applyNumberFormat="1" applyFont="1" applyFill="1" applyBorder="1" applyAlignment="1">
      <alignment horizontal="right" vertical="center"/>
    </xf>
    <xf numFmtId="0" fontId="186" fillId="0" borderId="0" xfId="546" applyFont="1"/>
    <xf numFmtId="4" fontId="41" fillId="59" borderId="0" xfId="240" applyNumberFormat="1" applyFont="1" applyFill="1" applyProtection="1">
      <protection locked="0"/>
    </xf>
    <xf numFmtId="4" fontId="42" fillId="30" borderId="1" xfId="0" applyNumberFormat="1" applyFont="1" applyFill="1" applyBorder="1" applyAlignment="1">
      <alignment horizontal="right" vertical="center"/>
    </xf>
    <xf numFmtId="0" fontId="109" fillId="84" borderId="1" xfId="0" applyFont="1" applyFill="1" applyBorder="1" applyAlignment="1">
      <alignment wrapText="1"/>
    </xf>
    <xf numFmtId="0" fontId="42" fillId="73" borderId="1" xfId="0" applyFont="1" applyFill="1" applyBorder="1" applyAlignment="1">
      <alignment horizontal="right" vertical="center"/>
    </xf>
    <xf numFmtId="1" fontId="186" fillId="0" borderId="0" xfId="552" applyNumberFormat="1" applyFont="1"/>
    <xf numFmtId="0" fontId="172" fillId="0" borderId="0" xfId="506" applyFont="1" applyAlignment="1" applyProtection="1">
      <alignment horizontal="center" vertical="center" wrapText="1"/>
      <protection hidden="1"/>
    </xf>
    <xf numFmtId="2" fontId="172" fillId="0" borderId="0" xfId="506" applyNumberFormat="1" applyFont="1" applyAlignment="1" applyProtection="1">
      <alignment horizontal="center" vertical="center" wrapText="1"/>
      <protection hidden="1"/>
    </xf>
    <xf numFmtId="4" fontId="227" fillId="2" borderId="0" xfId="506" applyNumberFormat="1" applyFont="1" applyFill="1" applyAlignment="1" applyProtection="1">
      <alignment horizontal="center" vertical="center" wrapText="1"/>
      <protection hidden="1"/>
    </xf>
    <xf numFmtId="0" fontId="150" fillId="0" borderId="1" xfId="506" applyFont="1" applyBorder="1" applyAlignment="1" applyProtection="1">
      <alignment horizontal="center" vertical="center" wrapText="1"/>
      <protection hidden="1"/>
    </xf>
    <xf numFmtId="2" fontId="157" fillId="0" borderId="0" xfId="506" applyNumberFormat="1" applyFont="1" applyAlignment="1" applyProtection="1">
      <alignment horizontal="center" vertical="center" wrapText="1"/>
      <protection hidden="1"/>
    </xf>
    <xf numFmtId="0" fontId="109" fillId="0" borderId="1" xfId="0" applyFont="1" applyBorder="1" applyAlignment="1" applyProtection="1">
      <alignment horizontal="left" vertical="center" wrapText="1"/>
      <protection hidden="1"/>
    </xf>
    <xf numFmtId="0" fontId="157" fillId="31" borderId="1" xfId="506" applyFont="1" applyFill="1" applyBorder="1" applyAlignment="1" applyProtection="1">
      <alignment horizontal="center" vertical="center" wrapText="1"/>
      <protection hidden="1"/>
    </xf>
    <xf numFmtId="0" fontId="100" fillId="0" borderId="1" xfId="546" applyFont="1" applyBorder="1" applyAlignment="1">
      <alignment horizontal="left" vertical="top" wrapText="1"/>
    </xf>
    <xf numFmtId="0" fontId="100" fillId="0" borderId="1" xfId="546" applyFont="1" applyBorder="1" applyAlignment="1">
      <alignment horizontal="left" vertical="top"/>
    </xf>
    <xf numFmtId="4" fontId="100" fillId="0" borderId="8" xfId="546" applyNumberFormat="1" applyFont="1" applyBorder="1" applyAlignment="1">
      <alignment horizontal="right" vertical="top"/>
    </xf>
    <xf numFmtId="4" fontId="100" fillId="0" borderId="39" xfId="546" applyNumberFormat="1" applyFont="1" applyBorder="1" applyAlignment="1">
      <alignment horizontal="right" vertical="top"/>
    </xf>
    <xf numFmtId="4" fontId="43" fillId="73" borderId="1" xfId="0" applyNumberFormat="1" applyFont="1" applyFill="1" applyBorder="1"/>
    <xf numFmtId="0" fontId="43" fillId="73" borderId="1" xfId="0" applyFont="1" applyFill="1" applyBorder="1" applyAlignment="1">
      <alignment vertical="top" wrapText="1"/>
    </xf>
    <xf numFmtId="2" fontId="42" fillId="0" borderId="114" xfId="546" applyNumberFormat="1" applyFont="1" applyBorder="1" applyAlignment="1">
      <alignment horizontal="center"/>
    </xf>
    <xf numFmtId="2" fontId="51" fillId="31" borderId="6" xfId="546" applyNumberFormat="1" applyFont="1" applyFill="1" applyBorder="1" applyAlignment="1">
      <alignment horizontal="center"/>
    </xf>
    <xf numFmtId="0" fontId="175" fillId="0" borderId="0" xfId="0" applyFont="1" applyAlignment="1">
      <alignment vertical="center"/>
    </xf>
    <xf numFmtId="49" fontId="135" fillId="0" borderId="39" xfId="0" applyNumberFormat="1" applyFont="1" applyBorder="1" applyAlignment="1">
      <alignment vertical="top" wrapText="1"/>
    </xf>
    <xf numFmtId="0" fontId="135" fillId="0" borderId="8" xfId="0" applyFont="1" applyBorder="1" applyAlignment="1">
      <alignment vertical="top" wrapText="1"/>
    </xf>
    <xf numFmtId="4" fontId="92" fillId="0" borderId="1" xfId="0" applyNumberFormat="1" applyFont="1" applyBorder="1" applyAlignment="1">
      <alignment vertical="center"/>
    </xf>
    <xf numFmtId="4" fontId="43" fillId="73" borderId="1" xfId="0" applyNumberFormat="1" applyFont="1" applyFill="1" applyBorder="1" applyAlignment="1">
      <alignment vertical="center"/>
    </xf>
    <xf numFmtId="49" fontId="100" fillId="0" borderId="39" xfId="0" applyNumberFormat="1" applyFont="1" applyBorder="1" applyAlignment="1">
      <alignment vertical="top" wrapText="1"/>
    </xf>
    <xf numFmtId="0" fontId="100" fillId="0" borderId="8" xfId="0" applyFont="1" applyBorder="1" applyAlignment="1">
      <alignment vertical="top" wrapText="1"/>
    </xf>
    <xf numFmtId="3" fontId="43" fillId="0" borderId="1" xfId="0" applyNumberFormat="1" applyFont="1" applyBorder="1" applyAlignment="1">
      <alignment vertical="center"/>
    </xf>
    <xf numFmtId="0" fontId="135" fillId="0" borderId="97" xfId="0" applyFont="1" applyBorder="1" applyAlignment="1">
      <alignment vertical="top" wrapText="1"/>
    </xf>
    <xf numFmtId="4" fontId="205" fillId="0" borderId="1" xfId="0" applyNumberFormat="1" applyFont="1" applyBorder="1" applyAlignment="1">
      <alignment vertical="center"/>
    </xf>
    <xf numFmtId="0" fontId="0" fillId="0" borderId="5" xfId="0" applyBorder="1"/>
    <xf numFmtId="0" fontId="43" fillId="0" borderId="0" xfId="0" applyFont="1" applyAlignment="1">
      <alignment horizontal="left"/>
    </xf>
    <xf numFmtId="0" fontId="109" fillId="0" borderId="0" xfId="0" applyFont="1" applyAlignment="1">
      <alignment horizontal="left"/>
    </xf>
    <xf numFmtId="0" fontId="205" fillId="2" borderId="0" xfId="0" applyFont="1" applyFill="1" applyAlignment="1">
      <alignment horizontal="center" vertical="center"/>
    </xf>
    <xf numFmtId="4" fontId="0" fillId="0" borderId="0" xfId="0" applyNumberFormat="1"/>
    <xf numFmtId="0" fontId="0" fillId="0" borderId="0" xfId="0" applyAlignment="1">
      <alignment horizontal="right"/>
    </xf>
    <xf numFmtId="2" fontId="0" fillId="0" borderId="0" xfId="0" applyNumberFormat="1" applyAlignment="1">
      <alignment horizontal="right"/>
    </xf>
    <xf numFmtId="0" fontId="0" fillId="0" borderId="0" xfId="0" applyAlignment="1">
      <alignment horizontal="left"/>
    </xf>
    <xf numFmtId="4" fontId="104" fillId="0" borderId="1" xfId="0" applyNumberFormat="1" applyFont="1" applyBorder="1" applyAlignment="1">
      <alignment vertical="center"/>
    </xf>
    <xf numFmtId="0" fontId="109" fillId="0" borderId="0" xfId="0" applyFont="1" applyAlignment="1">
      <alignment vertical="top" wrapText="1"/>
    </xf>
    <xf numFmtId="0" fontId="109" fillId="0" borderId="0" xfId="0" applyFont="1" applyAlignment="1">
      <alignment wrapText="1"/>
    </xf>
    <xf numFmtId="1" fontId="161" fillId="0" borderId="60" xfId="0" applyNumberFormat="1" applyFont="1" applyBorder="1" applyAlignment="1">
      <alignment horizontal="center" vertical="center" wrapText="1"/>
    </xf>
    <xf numFmtId="1" fontId="161" fillId="0" borderId="61" xfId="0" applyNumberFormat="1" applyFont="1" applyBorder="1" applyAlignment="1">
      <alignment horizontal="center" vertical="center" wrapText="1"/>
    </xf>
    <xf numFmtId="1" fontId="161" fillId="0" borderId="98" xfId="0" applyNumberFormat="1" applyFont="1" applyBorder="1" applyAlignment="1">
      <alignment horizontal="center" vertical="center" wrapText="1"/>
    </xf>
    <xf numFmtId="1" fontId="161" fillId="0" borderId="62" xfId="0" applyNumberFormat="1" applyFont="1" applyBorder="1" applyAlignment="1">
      <alignment horizontal="center" vertical="center" wrapText="1"/>
    </xf>
    <xf numFmtId="49" fontId="135" fillId="0" borderId="0" xfId="0" applyNumberFormat="1" applyFont="1" applyAlignment="1">
      <alignment vertical="top" wrapText="1"/>
    </xf>
    <xf numFmtId="49" fontId="135" fillId="0" borderId="57" xfId="0" applyNumberFormat="1" applyFont="1" applyBorder="1" applyAlignment="1">
      <alignment vertical="top" wrapText="1"/>
    </xf>
    <xf numFmtId="0" fontId="135" fillId="0" borderId="58" xfId="0" applyFont="1" applyBorder="1" applyAlignment="1">
      <alignment vertical="top" wrapText="1"/>
    </xf>
    <xf numFmtId="0" fontId="135" fillId="0" borderId="64" xfId="0" applyFont="1" applyBorder="1" applyAlignment="1">
      <alignment vertical="top" wrapText="1"/>
    </xf>
    <xf numFmtId="4" fontId="92" fillId="0" borderId="58" xfId="0" applyNumberFormat="1" applyFont="1" applyBorder="1" applyAlignment="1">
      <alignment vertical="center"/>
    </xf>
    <xf numFmtId="4" fontId="92" fillId="0" borderId="59" xfId="0" applyNumberFormat="1" applyFont="1" applyBorder="1" applyAlignment="1">
      <alignment vertical="center"/>
    </xf>
    <xf numFmtId="4" fontId="43" fillId="0" borderId="40" xfId="0" applyNumberFormat="1" applyFont="1" applyBorder="1" applyAlignment="1">
      <alignment vertical="center"/>
    </xf>
    <xf numFmtId="4" fontId="92" fillId="0" borderId="40" xfId="0" applyNumberFormat="1" applyFont="1" applyBorder="1" applyAlignment="1">
      <alignment vertical="center"/>
    </xf>
    <xf numFmtId="0" fontId="43" fillId="0" borderId="40" xfId="0" applyFont="1" applyBorder="1" applyAlignment="1">
      <alignment vertical="center"/>
    </xf>
    <xf numFmtId="49" fontId="135" fillId="0" borderId="44" xfId="0" applyNumberFormat="1" applyFont="1" applyBorder="1" applyAlignment="1">
      <alignment vertical="top" wrapText="1"/>
    </xf>
    <xf numFmtId="0" fontId="135" fillId="0" borderId="45" xfId="0" applyFont="1" applyBorder="1" applyAlignment="1">
      <alignment vertical="top" wrapText="1"/>
    </xf>
    <xf numFmtId="0" fontId="135" fillId="0" borderId="116" xfId="0" applyFont="1" applyBorder="1" applyAlignment="1">
      <alignment vertical="top" wrapText="1"/>
    </xf>
    <xf numFmtId="4" fontId="92" fillId="0" borderId="45" xfId="0" applyNumberFormat="1" applyFont="1" applyBorder="1" applyAlignment="1">
      <alignment vertical="center"/>
    </xf>
    <xf numFmtId="0" fontId="43" fillId="0" borderId="46" xfId="0" applyFont="1" applyBorder="1" applyAlignment="1">
      <alignment vertical="center"/>
    </xf>
    <xf numFmtId="9" fontId="231" fillId="0" borderId="0" xfId="558" applyFont="1" applyFill="1" applyAlignment="1">
      <alignment horizontal="center" vertical="center"/>
    </xf>
    <xf numFmtId="170" fontId="132" fillId="0" borderId="0" xfId="116" applyNumberFormat="1" applyFont="1"/>
    <xf numFmtId="0" fontId="42" fillId="0" borderId="23" xfId="0" applyFont="1" applyBorder="1" applyAlignment="1">
      <alignment horizontal="center" vertical="center"/>
    </xf>
    <xf numFmtId="0" fontId="42" fillId="0" borderId="23" xfId="0" applyFont="1" applyBorder="1" applyAlignment="1">
      <alignment horizontal="center" vertical="center" wrapText="1"/>
    </xf>
    <xf numFmtId="0" fontId="215" fillId="77" borderId="4" xfId="0" applyFont="1" applyFill="1" applyBorder="1" applyAlignment="1">
      <alignment horizontal="center" vertical="center" wrapText="1"/>
    </xf>
    <xf numFmtId="2" fontId="215" fillId="0" borderId="0" xfId="0" applyNumberFormat="1" applyFont="1"/>
    <xf numFmtId="2" fontId="217" fillId="0" borderId="0" xfId="0" applyNumberFormat="1" applyFont="1"/>
    <xf numFmtId="4" fontId="136" fillId="0" borderId="0" xfId="134" applyNumberFormat="1" applyFont="1"/>
    <xf numFmtId="0" fontId="41" fillId="0" borderId="1" xfId="0" applyFont="1" applyBorder="1" applyAlignment="1">
      <alignment horizontal="center" vertical="center"/>
    </xf>
    <xf numFmtId="191" fontId="42" fillId="0" borderId="0" xfId="240" applyNumberFormat="1" applyFont="1"/>
    <xf numFmtId="191" fontId="42" fillId="0" borderId="0" xfId="240" applyNumberFormat="1" applyFont="1" applyAlignment="1">
      <alignment horizontal="right"/>
    </xf>
    <xf numFmtId="191" fontId="27" fillId="0" borderId="0" xfId="240" applyNumberFormat="1"/>
    <xf numFmtId="191" fontId="43" fillId="0" borderId="0" xfId="240" applyNumberFormat="1" applyFont="1"/>
    <xf numFmtId="0" fontId="215" fillId="0" borderId="0" xfId="0" applyFont="1" applyAlignment="1">
      <alignment horizontal="center" vertical="center"/>
    </xf>
    <xf numFmtId="2" fontId="7" fillId="0" borderId="1" xfId="0" applyNumberFormat="1" applyFont="1" applyBorder="1"/>
    <xf numFmtId="2" fontId="7" fillId="0" borderId="40" xfId="0" applyNumberFormat="1" applyFont="1" applyBorder="1"/>
    <xf numFmtId="0" fontId="7" fillId="0" borderId="0" xfId="0" applyFont="1"/>
    <xf numFmtId="4" fontId="91" fillId="0" borderId="1" xfId="0" applyNumberFormat="1" applyFont="1" applyBorder="1"/>
    <xf numFmtId="0" fontId="7" fillId="0" borderId="1" xfId="0" applyFont="1" applyBorder="1"/>
    <xf numFmtId="177" fontId="34" fillId="0" borderId="0" xfId="5" applyNumberFormat="1"/>
    <xf numFmtId="2" fontId="0" fillId="0" borderId="0" xfId="0" applyNumberFormat="1" applyAlignment="1">
      <alignment vertical="top" wrapText="1"/>
    </xf>
    <xf numFmtId="2" fontId="0" fillId="0" borderId="0" xfId="0" applyNumberFormat="1" applyAlignment="1">
      <alignment vertical="top"/>
    </xf>
    <xf numFmtId="2" fontId="215" fillId="0" borderId="0" xfId="0" applyNumberFormat="1" applyFont="1" applyAlignment="1">
      <alignment horizontal="center" vertical="top"/>
    </xf>
    <xf numFmtId="2" fontId="50" fillId="34" borderId="0" xfId="116" applyNumberFormat="1" applyFont="1" applyFill="1"/>
    <xf numFmtId="0" fontId="197" fillId="0" borderId="0" xfId="240" applyFont="1"/>
    <xf numFmtId="0" fontId="197" fillId="0" borderId="0" xfId="240" applyFont="1" applyAlignment="1">
      <alignment horizontal="right"/>
    </xf>
    <xf numFmtId="0" fontId="115" fillId="0" borderId="0" xfId="240" applyFont="1"/>
    <xf numFmtId="0" fontId="217" fillId="0" borderId="0" xfId="240" applyFont="1"/>
    <xf numFmtId="0" fontId="104" fillId="0" borderId="0" xfId="240" applyFont="1"/>
    <xf numFmtId="191" fontId="217" fillId="0" borderId="0" xfId="240" applyNumberFormat="1" applyFont="1"/>
    <xf numFmtId="10" fontId="42" fillId="0" borderId="0" xfId="0" applyNumberFormat="1" applyFont="1"/>
    <xf numFmtId="0" fontId="6" fillId="0" borderId="0" xfId="6" applyFont="1" applyAlignment="1">
      <alignment horizontal="center" vertical="center" wrapText="1"/>
    </xf>
    <xf numFmtId="2" fontId="33" fillId="0" borderId="24" xfId="6" applyNumberFormat="1" applyBorder="1" applyAlignment="1">
      <alignment horizontal="center" vertical="center" wrapText="1"/>
    </xf>
    <xf numFmtId="2" fontId="132" fillId="0" borderId="32" xfId="6" applyNumberFormat="1" applyFont="1" applyBorder="1" applyAlignment="1">
      <alignment horizontal="center" vertical="center" wrapText="1"/>
    </xf>
    <xf numFmtId="0" fontId="42" fillId="0" borderId="31" xfId="6" applyFont="1" applyBorder="1" applyAlignment="1">
      <alignment horizontal="center" vertical="center" wrapText="1"/>
    </xf>
    <xf numFmtId="2" fontId="42" fillId="0" borderId="24" xfId="6" applyNumberFormat="1" applyFont="1" applyBorder="1" applyAlignment="1">
      <alignment horizontal="center" vertical="center" wrapText="1"/>
    </xf>
    <xf numFmtId="183" fontId="42" fillId="0" borderId="23" xfId="6" applyNumberFormat="1" applyFont="1" applyBorder="1" applyAlignment="1">
      <alignment horizontal="center" vertical="center" wrapText="1"/>
    </xf>
    <xf numFmtId="0" fontId="42" fillId="2" borderId="0" xfId="6" applyFont="1" applyFill="1" applyAlignment="1">
      <alignment horizontal="center" vertical="center" wrapText="1"/>
    </xf>
    <xf numFmtId="2" fontId="42" fillId="59" borderId="0" xfId="6" applyNumberFormat="1" applyFont="1" applyFill="1" applyAlignment="1">
      <alignment horizontal="center" vertical="center" wrapText="1"/>
    </xf>
    <xf numFmtId="183" fontId="42" fillId="59" borderId="0" xfId="558" applyNumberFormat="1" applyFont="1" applyFill="1" applyAlignment="1">
      <alignment horizontal="center" vertical="center" wrapText="1"/>
    </xf>
    <xf numFmtId="177" fontId="42" fillId="0" borderId="32" xfId="6" applyNumberFormat="1" applyFont="1" applyBorder="1" applyAlignment="1">
      <alignment horizontal="center" vertical="center" wrapText="1"/>
    </xf>
    <xf numFmtId="187" fontId="33" fillId="0" borderId="0" xfId="558" applyNumberFormat="1" applyFont="1" applyAlignment="1">
      <alignment horizontal="center" vertical="center" wrapText="1"/>
    </xf>
    <xf numFmtId="0" fontId="232" fillId="0" borderId="0" xfId="6" applyFont="1" applyAlignment="1">
      <alignment horizontal="center" vertical="center" wrapText="1"/>
    </xf>
    <xf numFmtId="0" fontId="233" fillId="0" borderId="0" xfId="6" applyFont="1" applyAlignment="1">
      <alignment horizontal="center" vertical="center" wrapText="1"/>
    </xf>
    <xf numFmtId="49" fontId="234" fillId="0" borderId="0" xfId="5" applyNumberFormat="1" applyFont="1"/>
    <xf numFmtId="0" fontId="234" fillId="0" borderId="0" xfId="5" applyFont="1"/>
    <xf numFmtId="0" fontId="234" fillId="0" borderId="0" xfId="0" applyFont="1"/>
    <xf numFmtId="49" fontId="235" fillId="0" borderId="0" xfId="5" applyNumberFormat="1" applyFont="1"/>
    <xf numFmtId="0" fontId="235" fillId="0" borderId="0" xfId="5" applyFont="1"/>
    <xf numFmtId="0" fontId="235" fillId="0" borderId="0" xfId="0" applyFont="1"/>
    <xf numFmtId="0" fontId="236" fillId="0" borderId="0" xfId="5" applyFont="1"/>
    <xf numFmtId="2" fontId="235" fillId="0" borderId="0" xfId="5" applyNumberFormat="1" applyFont="1"/>
    <xf numFmtId="0" fontId="235" fillId="0" borderId="0" xfId="6" applyFont="1" applyAlignment="1">
      <alignment horizontal="center" vertical="center" wrapText="1"/>
    </xf>
    <xf numFmtId="187" fontId="235" fillId="0" borderId="0" xfId="558" applyNumberFormat="1" applyFont="1" applyAlignment="1">
      <alignment horizontal="center" vertical="center" wrapText="1"/>
    </xf>
    <xf numFmtId="183" fontId="235" fillId="0" borderId="0" xfId="6" applyNumberFormat="1" applyFont="1" applyAlignment="1">
      <alignment horizontal="center" vertical="center" wrapText="1"/>
    </xf>
    <xf numFmtId="0" fontId="217" fillId="0" borderId="0" xfId="6" applyFont="1" applyAlignment="1">
      <alignment horizontal="center" vertical="center" wrapText="1"/>
    </xf>
    <xf numFmtId="183" fontId="217" fillId="0" borderId="0" xfId="6" applyNumberFormat="1" applyFont="1" applyAlignment="1">
      <alignment horizontal="center" vertical="center" wrapText="1"/>
    </xf>
    <xf numFmtId="2" fontId="42" fillId="0" borderId="33" xfId="6" applyNumberFormat="1" applyFont="1" applyBorder="1" applyAlignment="1">
      <alignment horizontal="center" vertical="center" wrapText="1"/>
    </xf>
    <xf numFmtId="0" fontId="237" fillId="0" borderId="0" xfId="5" applyFont="1"/>
    <xf numFmtId="0" fontId="237" fillId="0" borderId="0" xfId="5" applyFont="1" applyAlignment="1">
      <alignment horizontal="center"/>
    </xf>
    <xf numFmtId="2" fontId="237" fillId="0" borderId="0" xfId="5" applyNumberFormat="1" applyFont="1"/>
    <xf numFmtId="177" fontId="237" fillId="0" borderId="0" xfId="5" applyNumberFormat="1" applyFont="1"/>
    <xf numFmtId="183" fontId="237" fillId="0" borderId="0" xfId="558" applyNumberFormat="1" applyFont="1"/>
    <xf numFmtId="179" fontId="34" fillId="0" borderId="0" xfId="5" applyNumberFormat="1"/>
    <xf numFmtId="181" fontId="34" fillId="0" borderId="0" xfId="5" applyNumberFormat="1"/>
    <xf numFmtId="179" fontId="237" fillId="0" borderId="0" xfId="5" applyNumberFormat="1" applyFont="1"/>
    <xf numFmtId="0" fontId="114" fillId="0" borderId="0" xfId="6" applyFont="1" applyAlignment="1">
      <alignment horizontal="left"/>
    </xf>
    <xf numFmtId="0" fontId="42" fillId="0" borderId="5" xfId="0" applyFont="1" applyBorder="1" applyAlignment="1">
      <alignment horizontal="center" wrapText="1"/>
    </xf>
    <xf numFmtId="0" fontId="178" fillId="0" borderId="0" xfId="0" applyFont="1" applyAlignment="1">
      <alignment horizontal="center" vertical="top"/>
    </xf>
    <xf numFmtId="2" fontId="51" fillId="0" borderId="0" xfId="0" applyNumberFormat="1" applyFont="1"/>
    <xf numFmtId="4" fontId="197" fillId="0" borderId="1" xfId="0" applyNumberFormat="1" applyFont="1" applyBorder="1" applyAlignment="1">
      <alignment horizontal="right" vertical="center"/>
    </xf>
    <xf numFmtId="0" fontId="104" fillId="62" borderId="1" xfId="0" applyFont="1" applyFill="1" applyBorder="1" applyAlignment="1">
      <alignment wrapText="1"/>
    </xf>
    <xf numFmtId="176" fontId="43" fillId="0" borderId="1" xfId="558" applyNumberFormat="1" applyFont="1" applyBorder="1"/>
    <xf numFmtId="0" fontId="230" fillId="0" borderId="1" xfId="0" applyFont="1" applyBorder="1" applyAlignment="1">
      <alignment horizontal="right" wrapText="1"/>
    </xf>
    <xf numFmtId="10" fontId="175" fillId="0" borderId="1" xfId="558" applyNumberFormat="1" applyFont="1" applyFill="1" applyBorder="1" applyAlignment="1">
      <alignment horizontal="right"/>
    </xf>
    <xf numFmtId="10" fontId="175" fillId="0" borderId="1" xfId="558" applyNumberFormat="1" applyFont="1" applyFill="1" applyBorder="1" applyAlignment="1">
      <alignment horizontal="right" wrapText="1"/>
    </xf>
    <xf numFmtId="10" fontId="230" fillId="0" borderId="1" xfId="0" applyNumberFormat="1" applyFont="1" applyBorder="1" applyAlignment="1">
      <alignment horizontal="right" wrapText="1"/>
    </xf>
    <xf numFmtId="0" fontId="175" fillId="0" borderId="1" xfId="0" applyFont="1" applyBorder="1" applyAlignment="1">
      <alignment horizontal="right" wrapText="1"/>
    </xf>
    <xf numFmtId="4" fontId="175" fillId="0" borderId="1" xfId="0" applyNumberFormat="1" applyFont="1" applyBorder="1" applyAlignment="1">
      <alignment horizontal="right" wrapText="1"/>
    </xf>
    <xf numFmtId="4" fontId="230" fillId="0" borderId="1" xfId="0" applyNumberFormat="1" applyFont="1" applyBorder="1" applyAlignment="1">
      <alignment horizontal="right" wrapText="1"/>
    </xf>
    <xf numFmtId="191" fontId="41" fillId="59" borderId="0" xfId="240" applyNumberFormat="1" applyFont="1" applyFill="1" applyProtection="1">
      <protection locked="0"/>
    </xf>
    <xf numFmtId="177" fontId="46" fillId="0" borderId="0" xfId="240" applyNumberFormat="1" applyFont="1" applyProtection="1">
      <protection locked="0"/>
    </xf>
    <xf numFmtId="9" fontId="42" fillId="0" borderId="1" xfId="558" applyFont="1" applyBorder="1"/>
    <xf numFmtId="9" fontId="42" fillId="0" borderId="0" xfId="558" applyFont="1"/>
    <xf numFmtId="10" fontId="42" fillId="0" borderId="1" xfId="558" applyNumberFormat="1" applyFont="1" applyBorder="1"/>
    <xf numFmtId="186" fontId="113" fillId="0" borderId="0" xfId="240" applyNumberFormat="1" applyFont="1"/>
    <xf numFmtId="0" fontId="5" fillId="0" borderId="0" xfId="6" applyFont="1" applyAlignment="1">
      <alignment horizontal="center" vertical="center" wrapText="1"/>
    </xf>
    <xf numFmtId="0" fontId="42" fillId="0" borderId="36" xfId="0" applyFont="1" applyBorder="1" applyAlignment="1">
      <alignment horizontal="center"/>
    </xf>
    <xf numFmtId="0" fontId="42" fillId="0" borderId="31" xfId="0" applyFont="1" applyBorder="1" applyAlignment="1">
      <alignment horizontal="center"/>
    </xf>
    <xf numFmtId="0" fontId="35" fillId="0" borderId="0" xfId="0" applyFont="1" applyAlignment="1">
      <alignment wrapText="1"/>
    </xf>
    <xf numFmtId="2" fontId="240" fillId="0" borderId="45" xfId="0" applyNumberFormat="1" applyFont="1" applyBorder="1"/>
    <xf numFmtId="177" fontId="0" fillId="0" borderId="1" xfId="0" applyNumberFormat="1" applyBorder="1"/>
    <xf numFmtId="0" fontId="0" fillId="77" borderId="7" xfId="0" applyFill="1" applyBorder="1" applyAlignment="1">
      <alignment horizontal="center" vertical="center" wrapText="1"/>
    </xf>
    <xf numFmtId="0" fontId="0" fillId="0" borderId="42" xfId="0" applyBorder="1"/>
    <xf numFmtId="0" fontId="4" fillId="0" borderId="0" xfId="556" applyFont="1"/>
    <xf numFmtId="2" fontId="4" fillId="0" borderId="0" xfId="556" applyNumberFormat="1" applyFont="1"/>
    <xf numFmtId="0" fontId="0" fillId="77" borderId="4" xfId="0" applyFill="1" applyBorder="1" applyAlignment="1">
      <alignment horizontal="center" vertical="center" wrapText="1"/>
    </xf>
    <xf numFmtId="187" fontId="0" fillId="0" borderId="0" xfId="558" applyNumberFormat="1" applyFont="1"/>
    <xf numFmtId="2" fontId="35" fillId="0" borderId="0" xfId="0" applyNumberFormat="1" applyFont="1"/>
    <xf numFmtId="0" fontId="43" fillId="0" borderId="0" xfId="0" applyFont="1" applyAlignment="1">
      <alignment horizontal="center"/>
    </xf>
    <xf numFmtId="0" fontId="42" fillId="0" borderId="6" xfId="0" applyFont="1" applyBorder="1" applyAlignment="1">
      <alignment horizontal="center" vertical="center" wrapText="1"/>
    </xf>
    <xf numFmtId="0" fontId="42" fillId="0" borderId="6" xfId="0" applyFont="1" applyBorder="1" applyAlignment="1">
      <alignment horizontal="center" vertical="center"/>
    </xf>
    <xf numFmtId="0" fontId="42" fillId="0" borderId="6" xfId="0" applyFont="1" applyBorder="1" applyAlignment="1">
      <alignment horizontal="center"/>
    </xf>
    <xf numFmtId="0" fontId="42" fillId="0" borderId="32" xfId="0" applyFont="1" applyBorder="1" applyAlignment="1">
      <alignment horizontal="center" vertical="center"/>
    </xf>
    <xf numFmtId="2" fontId="51" fillId="0" borderId="66" xfId="0" applyNumberFormat="1" applyFont="1" applyBorder="1" applyAlignment="1">
      <alignment horizontal="center" vertical="center"/>
    </xf>
    <xf numFmtId="2" fontId="51" fillId="0" borderId="66" xfId="0" applyNumberFormat="1" applyFont="1" applyBorder="1" applyAlignment="1">
      <alignment horizontal="left" vertical="center"/>
    </xf>
    <xf numFmtId="2" fontId="51" fillId="0" borderId="93" xfId="0" applyNumberFormat="1" applyFont="1" applyBorder="1" applyAlignment="1">
      <alignment horizontal="center" vertical="center"/>
    </xf>
    <xf numFmtId="2" fontId="51" fillId="0" borderId="90" xfId="0" applyNumberFormat="1" applyFont="1" applyBorder="1" applyAlignment="1">
      <alignment horizontal="center" vertical="center"/>
    </xf>
    <xf numFmtId="2" fontId="51" fillId="0" borderId="67" xfId="0" applyNumberFormat="1" applyFont="1" applyBorder="1" applyAlignment="1">
      <alignment horizontal="center" vertical="center"/>
    </xf>
    <xf numFmtId="2" fontId="51" fillId="0" borderId="67" xfId="0" applyNumberFormat="1" applyFont="1" applyBorder="1" applyAlignment="1">
      <alignment horizontal="left" vertical="center"/>
    </xf>
    <xf numFmtId="2" fontId="51" fillId="0" borderId="67" xfId="0" applyNumberFormat="1" applyFont="1" applyBorder="1" applyAlignment="1">
      <alignment horizontal="left" vertical="center" wrapText="1"/>
    </xf>
    <xf numFmtId="2" fontId="51" fillId="0" borderId="68" xfId="0" applyNumberFormat="1" applyFont="1" applyBorder="1" applyAlignment="1">
      <alignment horizontal="center" vertical="center"/>
    </xf>
    <xf numFmtId="2" fontId="51" fillId="0" borderId="68" xfId="0" applyNumberFormat="1" applyFont="1" applyBorder="1" applyAlignment="1">
      <alignment horizontal="left" vertical="center"/>
    </xf>
    <xf numFmtId="0" fontId="51" fillId="0" borderId="6" xfId="0" applyFont="1" applyBorder="1" applyAlignment="1">
      <alignment horizontal="center" vertical="center"/>
    </xf>
    <xf numFmtId="0" fontId="51" fillId="0" borderId="67" xfId="0" applyFont="1" applyBorder="1" applyAlignment="1">
      <alignment horizontal="center" vertical="center"/>
    </xf>
    <xf numFmtId="0" fontId="51" fillId="0" borderId="67" xfId="0" applyFont="1" applyBorder="1" applyAlignment="1">
      <alignment wrapText="1"/>
    </xf>
    <xf numFmtId="16" fontId="42" fillId="0" borderId="67" xfId="0" applyNumberFormat="1" applyFont="1" applyBorder="1" applyAlignment="1">
      <alignment horizontal="center" vertical="center"/>
    </xf>
    <xf numFmtId="2" fontId="42" fillId="0" borderId="67" xfId="0" applyNumberFormat="1" applyFont="1" applyBorder="1" applyAlignment="1">
      <alignment horizontal="center" vertical="center"/>
    </xf>
    <xf numFmtId="16" fontId="51" fillId="0" borderId="67" xfId="0" applyNumberFormat="1" applyFont="1" applyBorder="1" applyAlignment="1">
      <alignment horizontal="center" vertical="center"/>
    </xf>
    <xf numFmtId="0" fontId="42" fillId="0" borderId="67" xfId="0" applyFont="1" applyBorder="1" applyAlignment="1">
      <alignment horizontal="center" vertical="center"/>
    </xf>
    <xf numFmtId="0" fontId="51" fillId="0" borderId="67" xfId="0" applyFont="1" applyBorder="1" applyAlignment="1">
      <alignment vertical="center" wrapText="1"/>
    </xf>
    <xf numFmtId="0" fontId="42" fillId="0" borderId="71" xfId="0" applyFont="1" applyBorder="1" applyAlignment="1">
      <alignment horizontal="center" vertical="center"/>
    </xf>
    <xf numFmtId="0" fontId="42" fillId="0" borderId="71" xfId="0" applyFont="1" applyBorder="1"/>
    <xf numFmtId="2" fontId="42" fillId="0" borderId="71" xfId="0" applyNumberFormat="1" applyFont="1" applyBorder="1" applyAlignment="1">
      <alignment horizontal="center" vertical="center"/>
    </xf>
    <xf numFmtId="0" fontId="51" fillId="0" borderId="6" xfId="0" applyFont="1" applyBorder="1" applyAlignment="1">
      <alignment vertical="center" wrapText="1"/>
    </xf>
    <xf numFmtId="2" fontId="51" fillId="0" borderId="6" xfId="0" applyNumberFormat="1" applyFont="1" applyBorder="1" applyAlignment="1">
      <alignment horizontal="center" vertical="center"/>
    </xf>
    <xf numFmtId="2" fontId="42" fillId="0" borderId="0" xfId="0" applyNumberFormat="1" applyFont="1" applyAlignment="1">
      <alignment horizontal="right"/>
    </xf>
    <xf numFmtId="2" fontId="51" fillId="0" borderId="0" xfId="0" applyNumberFormat="1" applyFont="1" applyAlignment="1">
      <alignment horizontal="right"/>
    </xf>
    <xf numFmtId="2" fontId="42" fillId="0" borderId="0" xfId="0" applyNumberFormat="1" applyFont="1" applyAlignment="1">
      <alignment horizontal="right" vertical="center"/>
    </xf>
    <xf numFmtId="0" fontId="51" fillId="0" borderId="32" xfId="0" applyFont="1" applyBorder="1" applyAlignment="1">
      <alignment horizontal="center" vertical="center"/>
    </xf>
    <xf numFmtId="0" fontId="51" fillId="0" borderId="87" xfId="0" applyFont="1" applyBorder="1" applyAlignment="1">
      <alignment vertical="center" wrapText="1"/>
    </xf>
    <xf numFmtId="2" fontId="51" fillId="0" borderId="77" xfId="0" applyNumberFormat="1" applyFont="1" applyBorder="1" applyAlignment="1">
      <alignment horizontal="center" vertical="center"/>
    </xf>
    <xf numFmtId="2" fontId="51" fillId="0" borderId="71" xfId="0" applyNumberFormat="1" applyFont="1" applyBorder="1" applyAlignment="1">
      <alignment horizontal="center"/>
    </xf>
    <xf numFmtId="0" fontId="51" fillId="0" borderId="71" xfId="0" applyFont="1" applyBorder="1" applyAlignment="1">
      <alignment horizontal="center" vertical="center"/>
    </xf>
    <xf numFmtId="0" fontId="51" fillId="0" borderId="71" xfId="0" applyFont="1" applyBorder="1" applyAlignment="1">
      <alignment wrapText="1"/>
    </xf>
    <xf numFmtId="0" fontId="51" fillId="0" borderId="68" xfId="0" applyFont="1" applyBorder="1" applyAlignment="1">
      <alignment horizontal="center" vertical="center"/>
    </xf>
    <xf numFmtId="2" fontId="51" fillId="0" borderId="80" xfId="0" applyNumberFormat="1" applyFont="1" applyBorder="1" applyAlignment="1">
      <alignment horizontal="center" vertical="center"/>
    </xf>
    <xf numFmtId="0" fontId="51" fillId="0" borderId="68" xfId="0" applyFont="1" applyBorder="1" applyAlignment="1">
      <alignment wrapText="1"/>
    </xf>
    <xf numFmtId="4" fontId="42" fillId="0" borderId="0" xfId="0" applyNumberFormat="1" applyFont="1" applyAlignment="1">
      <alignment horizontal="right" vertical="center"/>
    </xf>
    <xf numFmtId="0" fontId="42" fillId="0" borderId="66" xfId="0" applyFont="1" applyBorder="1" applyAlignment="1">
      <alignment horizontal="center" vertical="center" wrapText="1"/>
    </xf>
    <xf numFmtId="2" fontId="197" fillId="0" borderId="0" xfId="0" applyNumberFormat="1" applyFont="1" applyAlignment="1">
      <alignment horizontal="center" vertical="center"/>
    </xf>
    <xf numFmtId="2" fontId="187" fillId="0" borderId="0" xfId="0" applyNumberFormat="1" applyFont="1"/>
    <xf numFmtId="2" fontId="51" fillId="0" borderId="1" xfId="0" applyNumberFormat="1" applyFont="1" applyBorder="1" applyAlignment="1">
      <alignment horizontal="center"/>
    </xf>
    <xf numFmtId="164" fontId="197" fillId="0" borderId="0" xfId="0" applyNumberFormat="1" applyFont="1"/>
    <xf numFmtId="0" fontId="144" fillId="0" borderId="67" xfId="0" applyFont="1" applyBorder="1" applyAlignment="1">
      <alignment horizontal="center" vertical="center"/>
    </xf>
    <xf numFmtId="0" fontId="144" fillId="0" borderId="67" xfId="0" applyFont="1" applyBorder="1"/>
    <xf numFmtId="2" fontId="144" fillId="0" borderId="67" xfId="0" applyNumberFormat="1" applyFont="1" applyBorder="1" applyAlignment="1">
      <alignment horizontal="center" vertical="center"/>
    </xf>
    <xf numFmtId="2" fontId="144" fillId="0" borderId="0" xfId="0" applyNumberFormat="1" applyFont="1"/>
    <xf numFmtId="0" fontId="144" fillId="0" borderId="0" xfId="0" applyFont="1"/>
    <xf numFmtId="0" fontId="130" fillId="0" borderId="0" xfId="0" applyFont="1" applyAlignment="1">
      <alignment horizontal="center"/>
    </xf>
    <xf numFmtId="0" fontId="130" fillId="0" borderId="1" xfId="0" applyFont="1" applyBorder="1" applyAlignment="1">
      <alignment horizontal="center" wrapText="1"/>
    </xf>
    <xf numFmtId="0" fontId="130" fillId="0" borderId="1" xfId="0" applyFont="1" applyBorder="1" applyAlignment="1">
      <alignment horizontal="left" vertical="center" wrapText="1"/>
    </xf>
    <xf numFmtId="0" fontId="242" fillId="0" borderId="1" xfId="0" applyFont="1" applyBorder="1" applyAlignment="1">
      <alignment horizontal="left" vertical="center" wrapText="1"/>
    </xf>
    <xf numFmtId="0" fontId="109" fillId="0" borderId="1" xfId="0" applyFont="1" applyBorder="1" applyAlignment="1">
      <alignment horizontal="left" vertical="center" wrapText="1"/>
    </xf>
    <xf numFmtId="0" fontId="43" fillId="0" borderId="0" xfId="0" applyFont="1" applyAlignment="1">
      <alignment horizontal="left" vertical="center"/>
    </xf>
    <xf numFmtId="2" fontId="33" fillId="0" borderId="0" xfId="6" applyNumberFormat="1" applyAlignment="1">
      <alignment horizontal="right" vertical="center" wrapText="1"/>
    </xf>
    <xf numFmtId="4" fontId="109" fillId="0" borderId="0" xfId="0" applyNumberFormat="1" applyFont="1"/>
    <xf numFmtId="0" fontId="3" fillId="0" borderId="0" xfId="6" applyFont="1" applyAlignment="1">
      <alignment horizontal="center" vertical="center" wrapText="1"/>
    </xf>
    <xf numFmtId="4" fontId="33" fillId="0" borderId="0" xfId="6" applyNumberFormat="1" applyAlignment="1">
      <alignment horizontal="center" vertical="center" wrapText="1"/>
    </xf>
    <xf numFmtId="4" fontId="217" fillId="0" borderId="0" xfId="6" applyNumberFormat="1" applyFont="1" applyAlignment="1">
      <alignment horizontal="center" vertical="center" wrapText="1"/>
    </xf>
    <xf numFmtId="10" fontId="0" fillId="0" borderId="0" xfId="558" applyNumberFormat="1" applyFont="1"/>
    <xf numFmtId="49" fontId="40" fillId="31" borderId="52" xfId="240" applyNumberFormat="1" applyFont="1" applyFill="1" applyBorder="1" applyAlignment="1">
      <alignment horizontal="right" vertical="center" wrapText="1"/>
    </xf>
    <xf numFmtId="49" fontId="40" fillId="0" borderId="52" xfId="5" applyNumberFormat="1" applyFont="1" applyBorder="1" applyAlignment="1">
      <alignment horizontal="right" vertical="center" wrapText="1"/>
    </xf>
    <xf numFmtId="49" fontId="40" fillId="31" borderId="52" xfId="5" applyNumberFormat="1" applyFont="1" applyFill="1" applyBorder="1" applyAlignment="1">
      <alignment horizontal="right" vertical="center" wrapText="1"/>
    </xf>
    <xf numFmtId="49" fontId="44" fillId="0" borderId="52" xfId="5" applyNumberFormat="1" applyFont="1" applyBorder="1" applyAlignment="1">
      <alignment horizontal="right" vertical="center" wrapText="1"/>
    </xf>
    <xf numFmtId="0" fontId="40" fillId="34" borderId="1" xfId="240" applyFont="1" applyFill="1" applyBorder="1" applyAlignment="1">
      <alignment horizontal="center" vertical="center" wrapText="1"/>
    </xf>
    <xf numFmtId="0" fontId="40" fillId="31" borderId="1" xfId="240" applyFont="1" applyFill="1" applyBorder="1" applyAlignment="1">
      <alignment horizontal="center" vertical="center" wrapText="1"/>
    </xf>
    <xf numFmtId="0" fontId="40" fillId="31" borderId="1" xfId="240" applyFont="1" applyFill="1" applyBorder="1" applyAlignment="1">
      <alignment horizontal="left" vertical="center" wrapText="1" indent="1"/>
    </xf>
    <xf numFmtId="0" fontId="40" fillId="31" borderId="1" xfId="5" applyFont="1" applyFill="1" applyBorder="1" applyAlignment="1">
      <alignment vertical="center" wrapText="1"/>
    </xf>
    <xf numFmtId="2" fontId="91" fillId="0" borderId="1" xfId="0" applyNumberFormat="1" applyFont="1" applyBorder="1"/>
    <xf numFmtId="4" fontId="35" fillId="0" borderId="1" xfId="0" applyNumberFormat="1" applyFont="1" applyBorder="1"/>
    <xf numFmtId="0" fontId="44" fillId="0" borderId="1" xfId="0" applyFont="1" applyBorder="1"/>
    <xf numFmtId="0" fontId="44" fillId="31" borderId="1" xfId="240" applyFont="1" applyFill="1" applyBorder="1" applyAlignment="1">
      <alignment vertical="center" wrapText="1"/>
    </xf>
    <xf numFmtId="0" fontId="41" fillId="34" borderId="1" xfId="240" applyFont="1" applyFill="1" applyBorder="1" applyAlignment="1">
      <alignment horizontal="center" vertical="top" wrapText="1"/>
    </xf>
    <xf numFmtId="2" fontId="43" fillId="0" borderId="0" xfId="0" applyNumberFormat="1" applyFont="1" applyAlignment="1">
      <alignment horizontal="center" vertical="center"/>
    </xf>
    <xf numFmtId="4" fontId="43" fillId="0" borderId="0" xfId="0" applyNumberFormat="1" applyFont="1" applyAlignment="1">
      <alignment horizontal="center" vertical="center"/>
    </xf>
    <xf numFmtId="0" fontId="205" fillId="0" borderId="0" xfId="0" applyFont="1"/>
    <xf numFmtId="4" fontId="43" fillId="0" borderId="0" xfId="0" applyNumberFormat="1" applyFont="1"/>
    <xf numFmtId="0" fontId="205" fillId="0" borderId="1" xfId="0" applyFont="1" applyBorder="1" applyAlignment="1">
      <alignment wrapText="1"/>
    </xf>
    <xf numFmtId="4" fontId="205" fillId="0" borderId="1" xfId="0" applyNumberFormat="1" applyFont="1" applyBorder="1" applyAlignment="1">
      <alignment wrapText="1"/>
    </xf>
    <xf numFmtId="1" fontId="205" fillId="0" borderId="1" xfId="0" applyNumberFormat="1" applyFont="1" applyBorder="1" applyAlignment="1">
      <alignment horizontal="center" vertical="center" wrapText="1"/>
    </xf>
    <xf numFmtId="4" fontId="43" fillId="0" borderId="1" xfId="0" applyNumberFormat="1" applyFont="1" applyBorder="1" applyAlignment="1">
      <alignment horizontal="right" vertical="center" wrapText="1"/>
    </xf>
    <xf numFmtId="4" fontId="205" fillId="0" borderId="1" xfId="0" applyNumberFormat="1" applyFont="1" applyBorder="1" applyAlignment="1">
      <alignment horizontal="right" vertical="center" wrapText="1"/>
    </xf>
    <xf numFmtId="4" fontId="43" fillId="0" borderId="1" xfId="0" applyNumberFormat="1" applyFont="1" applyBorder="1" applyAlignment="1">
      <alignment horizontal="right" vertical="center"/>
    </xf>
    <xf numFmtId="4" fontId="43" fillId="0" borderId="0" xfId="0" applyNumberFormat="1" applyFont="1" applyAlignment="1">
      <alignment horizontal="right" vertical="center" wrapText="1"/>
    </xf>
    <xf numFmtId="4" fontId="43" fillId="0" borderId="0" xfId="0" applyNumberFormat="1" applyFont="1" applyAlignment="1">
      <alignment horizontal="right" vertical="center"/>
    </xf>
    <xf numFmtId="4" fontId="104" fillId="0" borderId="1" xfId="0" applyNumberFormat="1" applyFont="1" applyBorder="1" applyAlignment="1">
      <alignment horizontal="center" vertical="center"/>
    </xf>
    <xf numFmtId="0" fontId="42" fillId="0" borderId="1" xfId="6" applyFont="1" applyBorder="1" applyAlignment="1">
      <alignment horizontal="center" vertical="center" wrapText="1"/>
    </xf>
    <xf numFmtId="2" fontId="42" fillId="0" borderId="1" xfId="6" applyNumberFormat="1" applyFont="1" applyBorder="1" applyAlignment="1">
      <alignment horizontal="center" vertical="center" wrapText="1"/>
    </xf>
    <xf numFmtId="9" fontId="42" fillId="0" borderId="1" xfId="558" applyFont="1" applyBorder="1" applyAlignment="1">
      <alignment horizontal="center" vertical="center" wrapText="1"/>
    </xf>
    <xf numFmtId="0" fontId="51" fillId="0" borderId="0" xfId="6" applyFont="1" applyAlignment="1">
      <alignment horizontal="center" vertical="center" wrapText="1"/>
    </xf>
    <xf numFmtId="0" fontId="129" fillId="0" borderId="0" xfId="6" applyFont="1" applyAlignment="1">
      <alignment horizontal="center" vertical="center" wrapText="1"/>
    </xf>
    <xf numFmtId="0" fontId="35" fillId="0" borderId="0" xfId="6" applyFont="1" applyAlignment="1">
      <alignment horizontal="center" vertical="center" wrapText="1"/>
    </xf>
    <xf numFmtId="0" fontId="46" fillId="0" borderId="1" xfId="6" applyFont="1" applyBorder="1" applyAlignment="1">
      <alignment horizontal="left" vertical="center" wrapText="1"/>
    </xf>
    <xf numFmtId="0" fontId="41" fillId="0" borderId="1" xfId="6" applyFont="1" applyBorder="1" applyAlignment="1">
      <alignment horizontal="left" vertical="center" wrapText="1"/>
    </xf>
    <xf numFmtId="0" fontId="186" fillId="0" borderId="1" xfId="6" applyFont="1" applyBorder="1" applyAlignment="1">
      <alignment horizontal="right" vertical="center" wrapText="1"/>
    </xf>
    <xf numFmtId="0" fontId="43" fillId="0" borderId="1" xfId="0" applyFont="1" applyBorder="1" applyAlignment="1">
      <alignment horizontal="left" vertical="center" wrapText="1"/>
    </xf>
    <xf numFmtId="4" fontId="43" fillId="0" borderId="0" xfId="0" applyNumberFormat="1" applyFont="1" applyAlignment="1">
      <alignment horizontal="left"/>
    </xf>
    <xf numFmtId="0" fontId="104" fillId="0" borderId="0" xfId="0" applyFont="1" applyAlignment="1">
      <alignment horizontal="left"/>
    </xf>
    <xf numFmtId="4" fontId="205" fillId="0" borderId="1" xfId="0" applyNumberFormat="1" applyFont="1" applyBorder="1" applyAlignment="1">
      <alignment horizontal="left" vertical="center" wrapText="1"/>
    </xf>
    <xf numFmtId="4" fontId="43" fillId="0" borderId="1" xfId="0" applyNumberFormat="1" applyFont="1" applyBorder="1" applyAlignment="1">
      <alignment horizontal="left" vertical="center" wrapText="1"/>
    </xf>
    <xf numFmtId="4" fontId="205" fillId="0" borderId="1" xfId="0" applyNumberFormat="1" applyFont="1" applyBorder="1" applyAlignment="1">
      <alignment horizontal="left" wrapText="1"/>
    </xf>
    <xf numFmtId="0" fontId="43" fillId="0" borderId="3" xfId="0" applyFont="1" applyBorder="1" applyAlignment="1">
      <alignment horizontal="left" wrapText="1"/>
    </xf>
    <xf numFmtId="1" fontId="43" fillId="0" borderId="1" xfId="0" applyNumberFormat="1" applyFont="1" applyBorder="1" applyAlignment="1">
      <alignment horizontal="center" vertical="center"/>
    </xf>
    <xf numFmtId="0" fontId="205" fillId="0" borderId="1" xfId="0" applyFont="1" applyBorder="1" applyAlignment="1">
      <alignment horizontal="center" vertical="center"/>
    </xf>
    <xf numFmtId="170" fontId="43" fillId="0" borderId="1" xfId="0" applyNumberFormat="1" applyFont="1" applyBorder="1" applyAlignment="1">
      <alignment horizontal="center" vertical="center"/>
    </xf>
    <xf numFmtId="4" fontId="242" fillId="0" borderId="1" xfId="0" applyNumberFormat="1" applyFont="1" applyBorder="1" applyAlignment="1">
      <alignment horizontal="right" wrapText="1"/>
    </xf>
    <xf numFmtId="4" fontId="130" fillId="0" borderId="1" xfId="0" applyNumberFormat="1" applyFont="1" applyBorder="1" applyAlignment="1">
      <alignment horizontal="right" wrapText="1"/>
    </xf>
    <xf numFmtId="0" fontId="42" fillId="0" borderId="0" xfId="0" applyFont="1" applyAlignment="1">
      <alignment vertical="top" wrapText="1"/>
    </xf>
    <xf numFmtId="0" fontId="42" fillId="0" borderId="0" xfId="0" applyFont="1" applyAlignment="1">
      <alignment horizontal="right"/>
    </xf>
    <xf numFmtId="0" fontId="0" fillId="2" borderId="0" xfId="0" applyFill="1" applyAlignment="1">
      <alignment wrapText="1"/>
    </xf>
    <xf numFmtId="0" fontId="2" fillId="0" borderId="0" xfId="5" applyFont="1"/>
    <xf numFmtId="2" fontId="0" fillId="65" borderId="0" xfId="0" applyNumberFormat="1" applyFill="1"/>
    <xf numFmtId="2" fontId="35" fillId="65" borderId="0" xfId="0" applyNumberFormat="1" applyFont="1" applyFill="1"/>
    <xf numFmtId="0" fontId="130" fillId="0" borderId="5" xfId="0" applyFont="1" applyBorder="1" applyAlignment="1">
      <alignment horizontal="center" vertical="center" wrapText="1"/>
    </xf>
    <xf numFmtId="0" fontId="249" fillId="0" borderId="0" xfId="0" applyFont="1" applyAlignment="1">
      <alignment horizontal="center" vertical="center"/>
    </xf>
    <xf numFmtId="0" fontId="43" fillId="0" borderId="0" xfId="0" applyFont="1" applyAlignment="1">
      <alignment vertical="top" wrapText="1"/>
    </xf>
    <xf numFmtId="0" fontId="130" fillId="0" borderId="0" xfId="0" applyFont="1" applyAlignment="1">
      <alignment vertical="top" wrapText="1"/>
    </xf>
    <xf numFmtId="0" fontId="41" fillId="0" borderId="1" xfId="240" applyFont="1" applyBorder="1" applyAlignment="1">
      <alignment horizontal="left" vertical="center" wrapText="1" indent="1"/>
    </xf>
    <xf numFmtId="0" fontId="40" fillId="0" borderId="1" xfId="0" applyFont="1" applyBorder="1" applyAlignment="1">
      <alignment horizontal="center" vertical="center"/>
    </xf>
    <xf numFmtId="16" fontId="40" fillId="0" borderId="1" xfId="0" applyNumberFormat="1" applyFont="1" applyBorder="1" applyAlignment="1">
      <alignment horizontal="center" vertical="center"/>
    </xf>
    <xf numFmtId="0" fontId="41" fillId="0" borderId="1" xfId="0" applyFont="1" applyBorder="1" applyAlignment="1">
      <alignment vertical="top" wrapText="1"/>
    </xf>
    <xf numFmtId="16" fontId="41" fillId="0" borderId="1" xfId="0" applyNumberFormat="1" applyFont="1" applyBorder="1" applyAlignment="1">
      <alignment horizontal="center" vertical="center"/>
    </xf>
    <xf numFmtId="0" fontId="50" fillId="0" borderId="1" xfId="556" applyFont="1" applyBorder="1" applyAlignment="1">
      <alignment vertical="top" wrapText="1"/>
    </xf>
    <xf numFmtId="2" fontId="41" fillId="0" borderId="1" xfId="0" applyNumberFormat="1" applyFont="1" applyBorder="1"/>
    <xf numFmtId="2" fontId="41" fillId="0" borderId="1" xfId="0" applyNumberFormat="1" applyFont="1" applyBorder="1" applyAlignment="1">
      <alignment vertical="center"/>
    </xf>
    <xf numFmtId="177" fontId="41" fillId="0" borderId="1" xfId="0" applyNumberFormat="1" applyFont="1" applyBorder="1" applyAlignment="1">
      <alignment horizontal="right" vertical="center"/>
    </xf>
    <xf numFmtId="0" fontId="104" fillId="0" borderId="0" xfId="0" applyFont="1" applyAlignment="1">
      <alignment horizontal="center" vertical="center"/>
    </xf>
    <xf numFmtId="177" fontId="104" fillId="0" borderId="0" xfId="0" applyNumberFormat="1" applyFont="1"/>
    <xf numFmtId="2" fontId="41" fillId="0" borderId="1" xfId="0" applyNumberFormat="1" applyFont="1" applyBorder="1" applyAlignment="1">
      <alignment horizontal="right" vertical="center"/>
    </xf>
    <xf numFmtId="14" fontId="42" fillId="0" borderId="1" xfId="0" applyNumberFormat="1" applyFont="1" applyBorder="1" applyAlignment="1">
      <alignment horizontal="center" vertical="center"/>
    </xf>
    <xf numFmtId="0" fontId="41" fillId="0" borderId="1" xfId="0" applyFont="1" applyBorder="1" applyAlignment="1">
      <alignment horizontal="center" vertical="top" wrapText="1"/>
    </xf>
    <xf numFmtId="0" fontId="130" fillId="0" borderId="0" xfId="0" applyFont="1" applyAlignment="1">
      <alignment horizontal="center" vertical="center" wrapText="1"/>
    </xf>
    <xf numFmtId="0" fontId="244" fillId="0" borderId="5" xfId="0" applyFont="1" applyBorder="1" applyAlignment="1">
      <alignment horizontal="center" vertical="center" wrapText="1"/>
    </xf>
    <xf numFmtId="14" fontId="40" fillId="0" borderId="1" xfId="0" applyNumberFormat="1" applyFont="1" applyBorder="1" applyAlignment="1">
      <alignment horizontal="center" vertical="center"/>
    </xf>
    <xf numFmtId="0" fontId="41" fillId="0" borderId="1" xfId="0" applyFont="1" applyBorder="1"/>
    <xf numFmtId="0" fontId="250" fillId="0" borderId="0" xfId="0" applyFont="1" applyAlignment="1">
      <alignment horizontal="center" vertical="center"/>
    </xf>
    <xf numFmtId="0" fontId="40" fillId="0" borderId="0" xfId="0" applyFont="1" applyAlignment="1">
      <alignment horizontal="center" vertical="center"/>
    </xf>
    <xf numFmtId="0" fontId="250" fillId="0" borderId="0" xfId="0" applyFont="1" applyAlignment="1">
      <alignment horizontal="center" vertical="center" wrapText="1"/>
    </xf>
    <xf numFmtId="49" fontId="40" fillId="34" borderId="39" xfId="556" applyNumberFormat="1" applyFont="1" applyFill="1" applyBorder="1" applyAlignment="1">
      <alignment horizontal="center" vertical="center"/>
    </xf>
    <xf numFmtId="49" fontId="40" fillId="0" borderId="39" xfId="556" applyNumberFormat="1" applyFont="1" applyBorder="1" applyAlignment="1">
      <alignment horizontal="center" vertical="center"/>
    </xf>
    <xf numFmtId="49" fontId="40" fillId="34" borderId="1" xfId="556" applyNumberFormat="1" applyFont="1" applyFill="1" applyBorder="1" applyAlignment="1">
      <alignment horizontal="center" vertical="center"/>
    </xf>
    <xf numFmtId="49" fontId="40" fillId="34" borderId="79" xfId="556" applyNumberFormat="1" applyFont="1" applyFill="1" applyBorder="1" applyAlignment="1">
      <alignment horizontal="center" vertical="center"/>
    </xf>
    <xf numFmtId="49" fontId="39" fillId="34" borderId="1" xfId="556" applyNumberFormat="1" applyFont="1" applyFill="1" applyBorder="1" applyAlignment="1">
      <alignment horizontal="center" vertical="center"/>
    </xf>
    <xf numFmtId="0" fontId="49" fillId="0" borderId="1" xfId="0" applyFont="1" applyBorder="1" applyAlignment="1">
      <alignment vertical="center" wrapText="1"/>
    </xf>
    <xf numFmtId="49" fontId="40" fillId="0" borderId="1" xfId="556" applyNumberFormat="1" applyFont="1" applyBorder="1" applyAlignment="1">
      <alignment horizontal="center" vertical="center"/>
    </xf>
    <xf numFmtId="0" fontId="92" fillId="0" borderId="0" xfId="0" applyFont="1" applyAlignment="1">
      <alignment horizontal="center" vertical="center"/>
    </xf>
    <xf numFmtId="2" fontId="205" fillId="0" borderId="0" xfId="0" applyNumberFormat="1" applyFont="1" applyAlignment="1">
      <alignment horizontal="center" vertical="center"/>
    </xf>
    <xf numFmtId="0" fontId="109" fillId="0" borderId="1" xfId="0" applyFont="1" applyBorder="1" applyAlignment="1">
      <alignment horizontal="center" vertical="center"/>
    </xf>
    <xf numFmtId="0" fontId="109" fillId="0" borderId="7" xfId="0" applyFont="1" applyBorder="1" applyAlignment="1">
      <alignment horizontal="center" vertical="center"/>
    </xf>
    <xf numFmtId="4" fontId="43" fillId="2" borderId="0" xfId="0" applyNumberFormat="1" applyFont="1" applyFill="1"/>
    <xf numFmtId="4" fontId="205" fillId="0" borderId="0" xfId="0" applyNumberFormat="1" applyFont="1"/>
    <xf numFmtId="9" fontId="92" fillId="0" borderId="0" xfId="558" applyFont="1"/>
    <xf numFmtId="0" fontId="205" fillId="0" borderId="1" xfId="0" applyFont="1" applyBorder="1"/>
    <xf numFmtId="4" fontId="205" fillId="0" borderId="1" xfId="0" applyNumberFormat="1" applyFont="1" applyBorder="1"/>
    <xf numFmtId="4" fontId="104" fillId="0" borderId="0" xfId="0" applyNumberFormat="1" applyFont="1"/>
    <xf numFmtId="4" fontId="43" fillId="31" borderId="0" xfId="0" applyNumberFormat="1" applyFont="1" applyFill="1"/>
    <xf numFmtId="0" fontId="43" fillId="31" borderId="0" xfId="0" applyFont="1" applyFill="1"/>
    <xf numFmtId="4" fontId="205" fillId="31" borderId="1" xfId="0" applyNumberFormat="1" applyFont="1" applyFill="1" applyBorder="1"/>
    <xf numFmtId="0" fontId="43" fillId="31" borderId="1" xfId="0" applyFont="1" applyFill="1" applyBorder="1"/>
    <xf numFmtId="4" fontId="43" fillId="31" borderId="1" xfId="0" applyNumberFormat="1" applyFont="1" applyFill="1" applyBorder="1"/>
    <xf numFmtId="2" fontId="43" fillId="31" borderId="1" xfId="0" applyNumberFormat="1" applyFont="1" applyFill="1" applyBorder="1"/>
    <xf numFmtId="4" fontId="104" fillId="31" borderId="0" xfId="0" applyNumberFormat="1" applyFont="1" applyFill="1"/>
    <xf numFmtId="2" fontId="43" fillId="31" borderId="0" xfId="0" applyNumberFormat="1" applyFont="1" applyFill="1"/>
    <xf numFmtId="0" fontId="251" fillId="0" borderId="0" xfId="0" applyFont="1"/>
    <xf numFmtId="0" fontId="253" fillId="0" borderId="1" xfId="0" applyFont="1" applyBorder="1" applyAlignment="1">
      <alignment wrapText="1"/>
    </xf>
    <xf numFmtId="0" fontId="253" fillId="0" borderId="1" xfId="0" applyFont="1" applyBorder="1" applyAlignment="1">
      <alignment horizontal="center" vertical="center"/>
    </xf>
    <xf numFmtId="0" fontId="253" fillId="0" borderId="0" xfId="0" applyFont="1"/>
    <xf numFmtId="0" fontId="252" fillId="0" borderId="0" xfId="0" applyFont="1" applyAlignment="1">
      <alignment wrapText="1"/>
    </xf>
    <xf numFmtId="4" fontId="100" fillId="62" borderId="1" xfId="0" applyNumberFormat="1" applyFont="1" applyFill="1" applyBorder="1" applyAlignment="1">
      <alignment horizontal="center" vertical="center" wrapText="1"/>
    </xf>
    <xf numFmtId="0" fontId="253" fillId="0" borderId="1" xfId="0" applyFont="1" applyBorder="1" applyAlignment="1">
      <alignment vertical="center"/>
    </xf>
    <xf numFmtId="0" fontId="186" fillId="0" borderId="1" xfId="0" applyFont="1" applyBorder="1" applyAlignment="1">
      <alignment horizontal="left" vertical="center" wrapText="1"/>
    </xf>
    <xf numFmtId="0" fontId="186" fillId="0" borderId="1" xfId="0" applyFont="1" applyBorder="1" applyAlignment="1">
      <alignment horizontal="center" vertical="center" wrapText="1"/>
    </xf>
    <xf numFmtId="0" fontId="254" fillId="0" borderId="1" xfId="0" applyFont="1" applyBorder="1" applyAlignment="1">
      <alignment horizontal="left" vertical="center"/>
    </xf>
    <xf numFmtId="0" fontId="254" fillId="0" borderId="1" xfId="0" applyFont="1" applyBorder="1" applyAlignment="1">
      <alignment horizontal="center" vertical="center"/>
    </xf>
    <xf numFmtId="0" fontId="254" fillId="0" borderId="0" xfId="0" applyFont="1" applyAlignment="1">
      <alignment horizontal="center" vertical="center"/>
    </xf>
    <xf numFmtId="0" fontId="255" fillId="0" borderId="1" xfId="0" applyFont="1" applyBorder="1" applyAlignment="1">
      <alignment horizontal="left" vertical="center" wrapText="1"/>
    </xf>
    <xf numFmtId="0" fontId="255" fillId="0" borderId="1" xfId="0" applyFont="1" applyBorder="1" applyAlignment="1">
      <alignment horizontal="center" vertical="center"/>
    </xf>
    <xf numFmtId="0" fontId="255" fillId="0" borderId="0" xfId="0" applyFont="1" applyAlignment="1">
      <alignment horizontal="center" vertical="center"/>
    </xf>
    <xf numFmtId="0" fontId="256" fillId="0" borderId="0" xfId="0" applyFont="1" applyAlignment="1">
      <alignment horizontal="center" vertical="center"/>
    </xf>
    <xf numFmtId="0" fontId="254" fillId="0" borderId="1" xfId="0" applyFont="1" applyBorder="1" applyAlignment="1">
      <alignment horizontal="center" vertical="center" wrapText="1"/>
    </xf>
    <xf numFmtId="4" fontId="257" fillId="0" borderId="1" xfId="0" applyNumberFormat="1" applyFont="1" applyBorder="1" applyAlignment="1">
      <alignment horizontal="center" vertical="center"/>
    </xf>
    <xf numFmtId="0" fontId="41" fillId="0" borderId="3" xfId="0" applyFont="1" applyBorder="1" applyAlignment="1">
      <alignment vertical="top" wrapText="1"/>
    </xf>
    <xf numFmtId="0" fontId="92" fillId="0" borderId="0" xfId="0" applyFont="1" applyAlignment="1">
      <alignment horizontal="right"/>
    </xf>
    <xf numFmtId="0" fontId="258" fillId="0" borderId="0" xfId="0" applyFont="1"/>
    <xf numFmtId="4" fontId="136" fillId="0" borderId="0" xfId="506" applyNumberFormat="1" applyFont="1"/>
    <xf numFmtId="3" fontId="136" fillId="0" borderId="0" xfId="506" applyNumberFormat="1" applyFont="1"/>
    <xf numFmtId="0" fontId="42" fillId="0" borderId="67" xfId="0" applyFont="1" applyBorder="1" applyAlignment="1">
      <alignment wrapText="1"/>
    </xf>
    <xf numFmtId="2" fontId="197" fillId="0" borderId="0" xfId="0" applyNumberFormat="1" applyFont="1" applyAlignment="1">
      <alignment horizontal="right"/>
    </xf>
    <xf numFmtId="2" fontId="187" fillId="0" borderId="0" xfId="0" applyNumberFormat="1" applyFont="1" applyAlignment="1">
      <alignment horizontal="right"/>
    </xf>
    <xf numFmtId="0" fontId="41" fillId="0" borderId="97" xfId="0" applyFont="1" applyBorder="1" applyAlignment="1">
      <alignment vertical="top" wrapText="1"/>
    </xf>
    <xf numFmtId="0" fontId="49" fillId="0" borderId="1" xfId="0" applyFont="1" applyBorder="1" applyAlignment="1">
      <alignment vertical="top" wrapText="1"/>
    </xf>
    <xf numFmtId="0" fontId="259" fillId="0" borderId="1" xfId="0" applyFont="1" applyBorder="1" applyAlignment="1">
      <alignment horizontal="center" vertical="center" wrapText="1"/>
    </xf>
    <xf numFmtId="0" fontId="260" fillId="0" borderId="1" xfId="0" applyFont="1" applyBorder="1" applyAlignment="1">
      <alignment horizontal="center" vertical="center" wrapText="1"/>
    </xf>
    <xf numFmtId="0" fontId="49" fillId="0" borderId="1" xfId="0" applyFont="1" applyBorder="1" applyAlignment="1">
      <alignment horizontal="center" vertical="center" wrapText="1"/>
    </xf>
    <xf numFmtId="10" fontId="197" fillId="0" borderId="0" xfId="558" applyNumberFormat="1" applyFont="1"/>
    <xf numFmtId="0" fontId="51" fillId="0" borderId="1" xfId="0" applyFont="1" applyBorder="1" applyAlignment="1">
      <alignment horizontal="center" vertical="center" wrapText="1"/>
    </xf>
    <xf numFmtId="0" fontId="43" fillId="0" borderId="26" xfId="0" applyFont="1" applyBorder="1" applyAlignment="1">
      <alignment horizontal="center" vertical="center" wrapText="1"/>
    </xf>
    <xf numFmtId="0" fontId="43" fillId="0" borderId="6" xfId="0" applyFont="1" applyBorder="1" applyAlignment="1">
      <alignment horizontal="center" vertical="top" wrapText="1"/>
    </xf>
    <xf numFmtId="0" fontId="43" fillId="0" borderId="31" xfId="0" applyFont="1" applyBorder="1" applyAlignment="1">
      <alignment horizontal="center" vertical="top" wrapText="1"/>
    </xf>
    <xf numFmtId="0" fontId="151" fillId="0" borderId="6" xfId="0" applyFont="1" applyBorder="1" applyAlignment="1">
      <alignment horizontal="center" vertical="top" wrapText="1"/>
    </xf>
    <xf numFmtId="0" fontId="151" fillId="0" borderId="56" xfId="0" applyFont="1" applyBorder="1" applyAlignment="1">
      <alignment vertical="top" wrapText="1"/>
    </xf>
    <xf numFmtId="0" fontId="151" fillId="0" borderId="56" xfId="0" applyFont="1" applyBorder="1" applyAlignment="1">
      <alignment horizontal="center" vertical="top" wrapText="1"/>
    </xf>
    <xf numFmtId="0" fontId="151" fillId="0" borderId="23" xfId="0" applyFont="1" applyBorder="1" applyAlignment="1">
      <alignment horizontal="center" vertical="top" wrapText="1"/>
    </xf>
    <xf numFmtId="0" fontId="43" fillId="0" borderId="6" xfId="0" applyFont="1" applyBorder="1" applyAlignment="1">
      <alignment horizontal="center"/>
    </xf>
    <xf numFmtId="0" fontId="151" fillId="34" borderId="56" xfId="0" applyFont="1" applyFill="1" applyBorder="1" applyAlignment="1">
      <alignment vertical="top" wrapText="1"/>
    </xf>
    <xf numFmtId="0" fontId="50" fillId="0" borderId="1" xfId="556" applyFont="1" applyBorder="1" applyAlignment="1">
      <alignment horizontal="left" vertical="top" wrapText="1"/>
    </xf>
    <xf numFmtId="0" fontId="161" fillId="69" borderId="39" xfId="134" applyFont="1" applyFill="1" applyBorder="1" applyAlignment="1">
      <alignment horizontal="left" vertical="center" wrapText="1"/>
    </xf>
    <xf numFmtId="0" fontId="51" fillId="0" borderId="52" xfId="0" applyFont="1" applyBorder="1" applyAlignment="1">
      <alignment wrapText="1"/>
    </xf>
    <xf numFmtId="0" fontId="42" fillId="0" borderId="52" xfId="0" applyFont="1" applyBorder="1" applyAlignment="1">
      <alignment wrapText="1"/>
    </xf>
    <xf numFmtId="0" fontId="51" fillId="0" borderId="92" xfId="0" applyFont="1" applyBorder="1" applyAlignment="1">
      <alignment wrapText="1"/>
    </xf>
    <xf numFmtId="0" fontId="135" fillId="0" borderId="53" xfId="556" applyFont="1" applyBorder="1" applyAlignment="1">
      <alignment horizontal="left" vertical="center" wrapText="1"/>
    </xf>
    <xf numFmtId="2" fontId="51" fillId="0" borderId="9" xfId="0" applyNumberFormat="1" applyFont="1" applyBorder="1" applyAlignment="1">
      <alignment horizontal="center" vertical="center"/>
    </xf>
    <xf numFmtId="2" fontId="42" fillId="0" borderId="9" xfId="0" applyNumberFormat="1" applyFont="1" applyBorder="1" applyAlignment="1">
      <alignment horizontal="center" vertical="center"/>
    </xf>
    <xf numFmtId="2" fontId="51" fillId="0" borderId="9" xfId="0" applyNumberFormat="1" applyFont="1" applyBorder="1" applyAlignment="1">
      <alignment horizontal="center"/>
    </xf>
    <xf numFmtId="2" fontId="51" fillId="0" borderId="77" xfId="0" applyNumberFormat="1" applyFont="1" applyBorder="1" applyAlignment="1">
      <alignment horizontal="center"/>
    </xf>
    <xf numFmtId="0" fontId="42" fillId="0" borderId="6" xfId="0" applyFont="1" applyBorder="1" applyAlignment="1">
      <alignment horizontal="center" wrapText="1"/>
    </xf>
    <xf numFmtId="0" fontId="51" fillId="0" borderId="87" xfId="0" applyFont="1" applyBorder="1" applyAlignment="1">
      <alignment horizontal="center" vertical="center" wrapText="1"/>
    </xf>
    <xf numFmtId="1" fontId="41" fillId="0" borderId="1" xfId="0" applyNumberFormat="1" applyFont="1" applyBorder="1" applyAlignment="1">
      <alignment horizontal="center" vertical="center"/>
    </xf>
    <xf numFmtId="1" fontId="41" fillId="0" borderId="8" xfId="0" applyNumberFormat="1" applyFont="1" applyBorder="1" applyAlignment="1">
      <alignment horizontal="center" vertical="center"/>
    </xf>
    <xf numFmtId="1" fontId="49" fillId="0" borderId="1" xfId="0" applyNumberFormat="1" applyFont="1" applyBorder="1" applyAlignment="1">
      <alignment horizontal="center" vertical="center"/>
    </xf>
    <xf numFmtId="1" fontId="93" fillId="0" borderId="0" xfId="0" applyNumberFormat="1" applyFont="1" applyAlignment="1">
      <alignment horizontal="center" vertical="center"/>
    </xf>
    <xf numFmtId="0" fontId="175" fillId="0" borderId="5" xfId="0" applyFont="1" applyBorder="1"/>
    <xf numFmtId="0" fontId="175" fillId="0" borderId="0" xfId="0" applyFont="1"/>
    <xf numFmtId="164" fontId="262" fillId="0" borderId="0" xfId="559" applyFont="1" applyAlignment="1">
      <alignment horizontal="right"/>
    </xf>
    <xf numFmtId="2" fontId="262" fillId="0" borderId="0" xfId="0" applyNumberFormat="1" applyFont="1" applyAlignment="1">
      <alignment horizontal="right"/>
    </xf>
    <xf numFmtId="2" fontId="42" fillId="0" borderId="0" xfId="0" applyNumberFormat="1" applyFont="1" applyAlignment="1">
      <alignment horizontal="left"/>
    </xf>
    <xf numFmtId="0" fontId="130" fillId="0" borderId="58" xfId="0" applyFont="1" applyBorder="1" applyAlignment="1">
      <alignment horizontal="left" vertical="center" wrapText="1"/>
    </xf>
    <xf numFmtId="4" fontId="130" fillId="0" borderId="58" xfId="0" applyNumberFormat="1" applyFont="1" applyBorder="1" applyAlignment="1">
      <alignment horizontal="right" wrapText="1"/>
    </xf>
    <xf numFmtId="0" fontId="242" fillId="0" borderId="58" xfId="0" applyFont="1" applyBorder="1" applyAlignment="1">
      <alignment horizontal="left" vertical="center" wrapText="1"/>
    </xf>
    <xf numFmtId="4" fontId="242" fillId="0" borderId="58" xfId="0" applyNumberFormat="1" applyFont="1" applyBorder="1" applyAlignment="1">
      <alignment horizontal="right" wrapText="1"/>
    </xf>
    <xf numFmtId="0" fontId="130" fillId="0" borderId="3" xfId="0" applyFont="1" applyBorder="1" applyAlignment="1">
      <alignment horizontal="left" vertical="center" wrapText="1"/>
    </xf>
    <xf numFmtId="4" fontId="130" fillId="0" borderId="3" xfId="0" applyNumberFormat="1" applyFont="1" applyBorder="1" applyAlignment="1">
      <alignment horizontal="right" wrapText="1"/>
    </xf>
    <xf numFmtId="0" fontId="130" fillId="0" borderId="60" xfId="0" applyFont="1" applyBorder="1" applyAlignment="1">
      <alignment horizontal="center" wrapText="1"/>
    </xf>
    <xf numFmtId="0" fontId="130" fillId="0" borderId="61" xfId="0" applyFont="1" applyBorder="1" applyAlignment="1">
      <alignment horizontal="center" wrapText="1"/>
    </xf>
    <xf numFmtId="0" fontId="243" fillId="0" borderId="0" xfId="0" applyFont="1" applyAlignment="1">
      <alignment wrapText="1"/>
    </xf>
    <xf numFmtId="0" fontId="244" fillId="0" borderId="0" xfId="0" applyFont="1" applyAlignment="1">
      <alignment vertical="center" wrapText="1"/>
    </xf>
    <xf numFmtId="0" fontId="39" fillId="0" borderId="6" xfId="0" applyFont="1" applyBorder="1" applyAlignment="1">
      <alignment horizontal="center" vertical="top" wrapText="1"/>
    </xf>
    <xf numFmtId="0" fontId="39" fillId="0" borderId="31" xfId="0" applyFont="1" applyBorder="1" applyAlignment="1">
      <alignment horizontal="center" vertical="top" wrapText="1"/>
    </xf>
    <xf numFmtId="0" fontId="43" fillId="59" borderId="0" xfId="0" applyFont="1" applyFill="1"/>
    <xf numFmtId="4" fontId="43" fillId="59" borderId="0" xfId="0" applyNumberFormat="1" applyFont="1" applyFill="1"/>
    <xf numFmtId="0" fontId="43" fillId="59" borderId="0" xfId="0" applyFont="1" applyFill="1" applyAlignment="1">
      <alignment horizontal="center" vertical="center"/>
    </xf>
    <xf numFmtId="4" fontId="206" fillId="0" borderId="0" xfId="240" applyNumberFormat="1" applyFont="1" applyProtection="1">
      <protection locked="0"/>
    </xf>
    <xf numFmtId="9" fontId="43" fillId="0" borderId="0" xfId="558" applyFont="1" applyAlignment="1">
      <alignment horizontal="center"/>
    </xf>
    <xf numFmtId="2" fontId="0" fillId="2" borderId="1" xfId="0" applyNumberFormat="1" applyFill="1" applyBorder="1"/>
    <xf numFmtId="2" fontId="0" fillId="2" borderId="40" xfId="0" applyNumberFormat="1" applyFill="1" applyBorder="1"/>
    <xf numFmtId="0" fontId="0" fillId="2" borderId="0" xfId="0" applyFill="1"/>
    <xf numFmtId="2" fontId="42" fillId="73" borderId="0" xfId="0" applyNumberFormat="1" applyFont="1" applyFill="1"/>
    <xf numFmtId="2" fontId="42" fillId="0" borderId="0" xfId="0" applyNumberFormat="1" applyFont="1" applyAlignment="1">
      <alignment horizontal="center" vertical="center"/>
    </xf>
    <xf numFmtId="0" fontId="130" fillId="73" borderId="0" xfId="0" applyFont="1" applyFill="1" applyAlignment="1">
      <alignment horizontal="center"/>
    </xf>
    <xf numFmtId="0" fontId="130" fillId="0" borderId="62" xfId="0" applyFont="1" applyBorder="1" applyAlignment="1">
      <alignment horizontal="center" wrapText="1"/>
    </xf>
    <xf numFmtId="4" fontId="242" fillId="0" borderId="59" xfId="0" applyNumberFormat="1" applyFont="1" applyBorder="1" applyAlignment="1">
      <alignment horizontal="right" wrapText="1"/>
    </xf>
    <xf numFmtId="4" fontId="130" fillId="0" borderId="59" xfId="0" applyNumberFormat="1" applyFont="1" applyBorder="1" applyAlignment="1">
      <alignment horizontal="right" wrapText="1"/>
    </xf>
    <xf numFmtId="4" fontId="43" fillId="0" borderId="59" xfId="0" applyNumberFormat="1" applyFont="1" applyBorder="1" applyAlignment="1">
      <alignment horizontal="right" wrapText="1"/>
    </xf>
    <xf numFmtId="170" fontId="51" fillId="0" borderId="67" xfId="0" applyNumberFormat="1" applyFont="1" applyBorder="1" applyAlignment="1">
      <alignment horizontal="center" vertical="center"/>
    </xf>
    <xf numFmtId="9" fontId="0" fillId="0" borderId="0" xfId="558" applyFont="1"/>
    <xf numFmtId="170" fontId="136" fillId="0" borderId="0" xfId="506" applyNumberFormat="1" applyFont="1"/>
    <xf numFmtId="4" fontId="239" fillId="0" borderId="57" xfId="0" applyNumberFormat="1" applyFont="1" applyBorder="1"/>
    <xf numFmtId="176" fontId="42" fillId="0" borderId="59" xfId="558" applyNumberFormat="1" applyFont="1" applyFill="1" applyBorder="1"/>
    <xf numFmtId="4" fontId="239" fillId="0" borderId="39" xfId="0" applyNumberFormat="1" applyFont="1" applyBorder="1"/>
    <xf numFmtId="176" fontId="42" fillId="0" borderId="40" xfId="558" applyNumberFormat="1" applyFont="1" applyFill="1" applyBorder="1"/>
    <xf numFmtId="0" fontId="42" fillId="0" borderId="1" xfId="0" applyFont="1" applyBorder="1" applyAlignment="1">
      <alignment horizontal="center" wrapText="1"/>
    </xf>
    <xf numFmtId="0" fontId="42" fillId="0" borderId="1" xfId="0" applyFont="1" applyBorder="1" applyAlignment="1">
      <alignment horizontal="center"/>
    </xf>
    <xf numFmtId="0" fontId="132" fillId="0" borderId="1" xfId="0" applyFont="1" applyBorder="1" applyAlignment="1">
      <alignment horizontal="center"/>
    </xf>
    <xf numFmtId="4" fontId="239" fillId="0" borderId="39" xfId="0" applyNumberFormat="1" applyFont="1" applyBorder="1" applyAlignment="1">
      <alignment horizontal="center"/>
    </xf>
    <xf numFmtId="4" fontId="132" fillId="0" borderId="1" xfId="0" applyNumberFormat="1" applyFont="1" applyBorder="1"/>
    <xf numFmtId="4" fontId="239" fillId="0" borderId="44" xfId="0" applyNumberFormat="1" applyFont="1" applyBorder="1"/>
    <xf numFmtId="176" fontId="42" fillId="0" borderId="46" xfId="558" applyNumberFormat="1" applyFont="1" applyFill="1" applyBorder="1"/>
    <xf numFmtId="0" fontId="51" fillId="0" borderId="1" xfId="0" applyFont="1" applyBorder="1" applyAlignment="1">
      <alignment wrapText="1"/>
    </xf>
    <xf numFmtId="4" fontId="144" fillId="0" borderId="1" xfId="0" applyNumberFormat="1" applyFont="1" applyBorder="1"/>
    <xf numFmtId="4" fontId="51" fillId="0" borderId="0" xfId="0" applyNumberFormat="1" applyFont="1"/>
    <xf numFmtId="0" fontId="39" fillId="0" borderId="1" xfId="0" applyFont="1" applyBorder="1" applyAlignment="1">
      <alignment horizontal="right" wrapText="1"/>
    </xf>
    <xf numFmtId="0" fontId="39" fillId="0" borderId="1" xfId="0" applyFont="1" applyBorder="1" applyAlignment="1">
      <alignment wrapText="1"/>
    </xf>
    <xf numFmtId="4" fontId="51" fillId="0" borderId="0" xfId="0" applyNumberFormat="1" applyFont="1" applyAlignment="1">
      <alignment horizontal="right"/>
    </xf>
    <xf numFmtId="4" fontId="197" fillId="0" borderId="0" xfId="0" applyNumberFormat="1" applyFont="1"/>
    <xf numFmtId="0" fontId="50" fillId="0" borderId="1" xfId="0" applyFont="1" applyBorder="1" applyAlignment="1">
      <alignment horizontal="center" vertical="center" wrapText="1"/>
    </xf>
    <xf numFmtId="0" fontId="161" fillId="0" borderId="40" xfId="556" applyFont="1" applyBorder="1" applyAlignment="1">
      <alignment horizontal="center" vertical="center" wrapText="1"/>
    </xf>
    <xf numFmtId="4" fontId="161" fillId="0" borderId="1" xfId="0" applyNumberFormat="1" applyFont="1" applyBorder="1" applyAlignment="1">
      <alignment horizontal="center"/>
    </xf>
    <xf numFmtId="0" fontId="53" fillId="0" borderId="40" xfId="556" applyFont="1" applyBorder="1" applyAlignment="1">
      <alignment horizontal="center" vertical="center" wrapText="1"/>
    </xf>
    <xf numFmtId="4" fontId="133" fillId="0" borderId="1" xfId="0" applyNumberFormat="1" applyFont="1" applyBorder="1"/>
    <xf numFmtId="2" fontId="247" fillId="0" borderId="0" xfId="0" applyNumberFormat="1" applyFont="1"/>
    <xf numFmtId="4" fontId="132" fillId="0" borderId="0" xfId="0" applyNumberFormat="1" applyFont="1"/>
    <xf numFmtId="4" fontId="161" fillId="0" borderId="1" xfId="0" applyNumberFormat="1" applyFont="1" applyBorder="1" applyAlignment="1">
      <alignment horizontal="center" vertical="center"/>
    </xf>
    <xf numFmtId="0" fontId="42" fillId="0" borderId="23" xfId="0" applyFont="1" applyBorder="1" applyAlignment="1">
      <alignment horizontal="right"/>
    </xf>
    <xf numFmtId="10" fontId="42" fillId="0" borderId="0" xfId="558" applyNumberFormat="1" applyFont="1" applyFill="1"/>
    <xf numFmtId="4" fontId="133" fillId="0" borderId="1" xfId="0" applyNumberFormat="1" applyFont="1" applyBorder="1" applyAlignment="1">
      <alignment horizontal="right"/>
    </xf>
    <xf numFmtId="0" fontId="11" fillId="0" borderId="0" xfId="0" applyFont="1"/>
    <xf numFmtId="0" fontId="42" fillId="0" borderId="6" xfId="0" applyFont="1" applyBorder="1" applyAlignment="1">
      <alignment horizontal="right"/>
    </xf>
    <xf numFmtId="9" fontId="42" fillId="0" borderId="0" xfId="558" applyFont="1" applyFill="1"/>
    <xf numFmtId="0" fontId="210" fillId="0" borderId="1" xfId="0" applyFont="1" applyBorder="1" applyAlignment="1">
      <alignment wrapText="1"/>
    </xf>
    <xf numFmtId="4" fontId="216" fillId="0" borderId="1" xfId="0" applyNumberFormat="1" applyFont="1" applyBorder="1"/>
    <xf numFmtId="0" fontId="40" fillId="0" borderId="0" xfId="0" applyFont="1" applyAlignment="1">
      <alignment wrapText="1"/>
    </xf>
    <xf numFmtId="0" fontId="40" fillId="0" borderId="0" xfId="240" applyFont="1" applyProtection="1">
      <protection locked="0"/>
    </xf>
    <xf numFmtId="2" fontId="161" fillId="0" borderId="58" xfId="6" applyNumberFormat="1" applyFont="1" applyBorder="1" applyAlignment="1">
      <alignment horizontal="center" vertical="center" wrapText="1"/>
    </xf>
    <xf numFmtId="2" fontId="161" fillId="0" borderId="1" xfId="6" applyNumberFormat="1" applyFont="1" applyBorder="1" applyAlignment="1">
      <alignment horizontal="center" vertical="center" wrapText="1"/>
    </xf>
    <xf numFmtId="170" fontId="161" fillId="0" borderId="1" xfId="6" applyNumberFormat="1" applyFont="1" applyBorder="1" applyAlignment="1">
      <alignment horizontal="center" vertical="center" wrapText="1"/>
    </xf>
    <xf numFmtId="2" fontId="161" fillId="0" borderId="45" xfId="6" applyNumberFormat="1" applyFont="1" applyBorder="1" applyAlignment="1">
      <alignment horizontal="center" vertical="center" wrapText="1"/>
    </xf>
    <xf numFmtId="2" fontId="161" fillId="0" borderId="49" xfId="6" applyNumberFormat="1" applyFont="1" applyBorder="1" applyAlignment="1">
      <alignment horizontal="center" vertical="center" wrapText="1"/>
    </xf>
    <xf numFmtId="2" fontId="161" fillId="0" borderId="59" xfId="6" applyNumberFormat="1" applyFont="1" applyBorder="1" applyAlignment="1">
      <alignment horizontal="center" vertical="center" wrapText="1"/>
    </xf>
    <xf numFmtId="2" fontId="161" fillId="0" borderId="40" xfId="6" applyNumberFormat="1" applyFont="1" applyBorder="1" applyAlignment="1">
      <alignment horizontal="center" vertical="center" wrapText="1"/>
    </xf>
    <xf numFmtId="2" fontId="161" fillId="0" borderId="3" xfId="6" applyNumberFormat="1" applyFont="1" applyBorder="1" applyAlignment="1">
      <alignment horizontal="center" vertical="center" wrapText="1"/>
    </xf>
    <xf numFmtId="2" fontId="161" fillId="0" borderId="46" xfId="6" applyNumberFormat="1" applyFont="1" applyBorder="1" applyAlignment="1">
      <alignment horizontal="center" vertical="center" wrapText="1"/>
    </xf>
    <xf numFmtId="2" fontId="161" fillId="0" borderId="43" xfId="6" applyNumberFormat="1" applyFont="1" applyBorder="1" applyAlignment="1">
      <alignment horizontal="center" vertical="center" wrapText="1"/>
    </xf>
    <xf numFmtId="2" fontId="161" fillId="0" borderId="79" xfId="6" applyNumberFormat="1" applyFont="1" applyBorder="1" applyAlignment="1">
      <alignment horizontal="center" vertical="center" wrapText="1"/>
    </xf>
    <xf numFmtId="2" fontId="161" fillId="0" borderId="47" xfId="6" applyNumberFormat="1" applyFont="1" applyBorder="1" applyAlignment="1">
      <alignment horizontal="center" vertical="center" wrapText="1"/>
    </xf>
    <xf numFmtId="2" fontId="137" fillId="0" borderId="58" xfId="6" applyNumberFormat="1" applyFont="1" applyBorder="1" applyAlignment="1">
      <alignment horizontal="center" vertical="center" wrapText="1"/>
    </xf>
    <xf numFmtId="2" fontId="137" fillId="0" borderId="59" xfId="6" applyNumberFormat="1" applyFont="1" applyBorder="1" applyAlignment="1">
      <alignment horizontal="center" vertical="center" wrapText="1"/>
    </xf>
    <xf numFmtId="175" fontId="41" fillId="0" borderId="0" xfId="240" applyNumberFormat="1" applyFont="1" applyProtection="1">
      <protection locked="0"/>
    </xf>
    <xf numFmtId="175" fontId="46" fillId="0" borderId="0" xfId="240" applyNumberFormat="1" applyFont="1" applyProtection="1">
      <protection locked="0"/>
    </xf>
    <xf numFmtId="0" fontId="195" fillId="0" borderId="0" xfId="240" applyFont="1" applyAlignment="1">
      <alignment horizontal="right"/>
    </xf>
    <xf numFmtId="4" fontId="195" fillId="0" borderId="33" xfId="240" applyNumberFormat="1" applyFont="1" applyBorder="1"/>
    <xf numFmtId="2" fontId="195" fillId="0" borderId="33" xfId="240" applyNumberFormat="1" applyFont="1" applyBorder="1"/>
    <xf numFmtId="4" fontId="195" fillId="0" borderId="0" xfId="240" applyNumberFormat="1" applyFont="1"/>
    <xf numFmtId="0" fontId="118" fillId="0" borderId="0" xfId="240" applyFont="1" applyAlignment="1">
      <alignment horizontal="right"/>
    </xf>
    <xf numFmtId="4" fontId="118" fillId="0" borderId="32" xfId="240" applyNumberFormat="1" applyFont="1" applyBorder="1"/>
    <xf numFmtId="2" fontId="118" fillId="0" borderId="32" xfId="240" applyNumberFormat="1" applyFont="1" applyBorder="1"/>
    <xf numFmtId="4" fontId="118" fillId="0" borderId="0" xfId="240" applyNumberFormat="1" applyFont="1"/>
    <xf numFmtId="0" fontId="118" fillId="0" borderId="32" xfId="240" applyFont="1" applyBorder="1"/>
    <xf numFmtId="4" fontId="118" fillId="0" borderId="23" xfId="240" applyNumberFormat="1" applyFont="1" applyBorder="1"/>
    <xf numFmtId="0" fontId="195" fillId="0" borderId="0" xfId="240" applyFont="1" applyAlignment="1">
      <alignment horizontal="center" vertical="center"/>
    </xf>
    <xf numFmtId="2" fontId="195" fillId="0" borderId="0" xfId="240" applyNumberFormat="1" applyFont="1"/>
    <xf numFmtId="0" fontId="195" fillId="0" borderId="0" xfId="240" applyFont="1"/>
    <xf numFmtId="0" fontId="118" fillId="0" borderId="0" xfId="240" applyFont="1" applyAlignment="1">
      <alignment horizontal="center" vertical="center"/>
    </xf>
    <xf numFmtId="0" fontId="136" fillId="0" borderId="0" xfId="506" applyFont="1" applyAlignment="1">
      <alignment horizontal="center"/>
    </xf>
    <xf numFmtId="0" fontId="43" fillId="85" borderId="0" xfId="0" applyFont="1" applyFill="1"/>
    <xf numFmtId="179" fontId="43" fillId="0" borderId="8" xfId="0" applyNumberFormat="1" applyFont="1" applyBorder="1" applyAlignment="1">
      <alignment horizontal="center" vertical="center"/>
    </xf>
    <xf numFmtId="181" fontId="109" fillId="0" borderId="1" xfId="0" applyNumberFormat="1" applyFont="1" applyBorder="1" applyAlignment="1">
      <alignment horizontal="center" vertical="center"/>
    </xf>
    <xf numFmtId="179" fontId="43" fillId="0" borderId="1" xfId="0" applyNumberFormat="1" applyFont="1" applyBorder="1" applyAlignment="1">
      <alignment horizontal="center" vertical="center"/>
    </xf>
    <xf numFmtId="179" fontId="92" fillId="0" borderId="1" xfId="0" applyNumberFormat="1" applyFont="1" applyBorder="1" applyAlignment="1">
      <alignment horizontal="center" vertical="center"/>
    </xf>
    <xf numFmtId="179" fontId="92" fillId="0" borderId="8" xfId="0" applyNumberFormat="1" applyFont="1" applyBorder="1" applyAlignment="1">
      <alignment horizontal="center" vertical="center"/>
    </xf>
    <xf numFmtId="181" fontId="92" fillId="0" borderId="8" xfId="0" applyNumberFormat="1" applyFont="1" applyBorder="1" applyAlignment="1">
      <alignment horizontal="center" vertical="center"/>
    </xf>
    <xf numFmtId="0" fontId="104" fillId="0" borderId="28" xfId="0" applyFont="1" applyBorder="1"/>
    <xf numFmtId="0" fontId="104" fillId="0" borderId="24" xfId="0" applyFont="1" applyBorder="1" applyAlignment="1">
      <alignment horizontal="center"/>
    </xf>
    <xf numFmtId="0" fontId="42" fillId="0" borderId="0" xfId="6" applyFont="1" applyAlignment="1">
      <alignment horizontal="right"/>
    </xf>
    <xf numFmtId="181" fontId="51" fillId="34" borderId="86" xfId="0" applyNumberFormat="1" applyFont="1" applyFill="1" applyBorder="1" applyAlignment="1">
      <alignment horizontal="right"/>
    </xf>
    <xf numFmtId="181" fontId="51" fillId="34" borderId="35" xfId="0" applyNumberFormat="1" applyFont="1" applyFill="1" applyBorder="1" applyAlignment="1">
      <alignment horizontal="right"/>
    </xf>
    <xf numFmtId="181" fontId="264" fillId="34" borderId="7" xfId="0" applyNumberFormat="1" applyFont="1" applyFill="1" applyBorder="1" applyAlignment="1">
      <alignment horizontal="right"/>
    </xf>
    <xf numFmtId="2" fontId="39" fillId="34" borderId="1" xfId="5" applyNumberFormat="1" applyFont="1" applyFill="1" applyBorder="1" applyAlignment="1" applyProtection="1">
      <alignment horizontal="center" vertical="center"/>
      <protection locked="0"/>
    </xf>
    <xf numFmtId="2" fontId="39" fillId="34" borderId="40" xfId="5" applyNumberFormat="1" applyFont="1" applyFill="1" applyBorder="1" applyAlignment="1" applyProtection="1">
      <alignment horizontal="center" vertical="center"/>
      <protection locked="0"/>
    </xf>
    <xf numFmtId="2" fontId="39" fillId="34" borderId="1" xfId="5" applyNumberFormat="1" applyFont="1" applyFill="1" applyBorder="1" applyAlignment="1" applyProtection="1">
      <alignment horizontal="center" vertical="center" wrapText="1"/>
      <protection locked="0"/>
    </xf>
    <xf numFmtId="2" fontId="39" fillId="34" borderId="40" xfId="5" applyNumberFormat="1" applyFont="1" applyFill="1" applyBorder="1" applyAlignment="1" applyProtection="1">
      <alignment horizontal="center" vertical="center" wrapText="1"/>
      <protection locked="0"/>
    </xf>
    <xf numFmtId="10" fontId="43" fillId="0" borderId="6" xfId="0" applyNumberFormat="1" applyFont="1" applyBorder="1"/>
    <xf numFmtId="1" fontId="42" fillId="0" borderId="0" xfId="6" applyNumberFormat="1" applyFont="1"/>
    <xf numFmtId="1" fontId="41" fillId="85" borderId="7" xfId="6" applyNumberFormat="1" applyFont="1" applyFill="1" applyBorder="1"/>
    <xf numFmtId="0" fontId="42" fillId="34" borderId="0" xfId="6" applyFont="1" applyFill="1"/>
    <xf numFmtId="0" fontId="94" fillId="34" borderId="0" xfId="6" applyFont="1" applyFill="1"/>
    <xf numFmtId="0" fontId="183" fillId="34" borderId="0" xfId="6" applyFont="1" applyFill="1"/>
    <xf numFmtId="2" fontId="42" fillId="34" borderId="0" xfId="6" applyNumberFormat="1" applyFont="1" applyFill="1"/>
    <xf numFmtId="193" fontId="117" fillId="0" borderId="0" xfId="192" applyNumberFormat="1" applyFont="1"/>
    <xf numFmtId="2" fontId="42" fillId="0" borderId="0" xfId="6" applyNumberFormat="1" applyFont="1" applyAlignment="1">
      <alignment horizontal="center" vertical="center"/>
    </xf>
    <xf numFmtId="0" fontId="132" fillId="0" borderId="32" xfId="0" applyFont="1" applyBorder="1"/>
    <xf numFmtId="0" fontId="43" fillId="34" borderId="32" xfId="0" applyFont="1" applyFill="1" applyBorder="1" applyAlignment="1">
      <alignment wrapText="1"/>
    </xf>
    <xf numFmtId="0" fontId="43" fillId="34" borderId="32" xfId="0" applyFont="1" applyFill="1" applyBorder="1" applyAlignment="1">
      <alignment horizontal="center" wrapText="1"/>
    </xf>
    <xf numFmtId="179" fontId="43" fillId="34" borderId="32" xfId="0" applyNumberFormat="1" applyFont="1" applyFill="1" applyBorder="1" applyAlignment="1">
      <alignment horizontal="center"/>
    </xf>
    <xf numFmtId="0" fontId="42" fillId="34" borderId="32" xfId="0" applyFont="1" applyFill="1" applyBorder="1" applyAlignment="1">
      <alignment horizontal="center" wrapText="1"/>
    </xf>
    <xf numFmtId="0" fontId="42" fillId="34" borderId="32" xfId="0" applyFont="1" applyFill="1" applyBorder="1"/>
    <xf numFmtId="177" fontId="43" fillId="34" borderId="32" xfId="0" applyNumberFormat="1" applyFont="1" applyFill="1" applyBorder="1" applyAlignment="1">
      <alignment horizontal="center"/>
    </xf>
    <xf numFmtId="0" fontId="43" fillId="34" borderId="32" xfId="0" applyFont="1" applyFill="1" applyBorder="1" applyAlignment="1">
      <alignment horizontal="center" vertical="center" wrapText="1"/>
    </xf>
    <xf numFmtId="179" fontId="43" fillId="34" borderId="32" xfId="0" applyNumberFormat="1" applyFont="1" applyFill="1" applyBorder="1" applyAlignment="1">
      <alignment horizontal="center" vertical="center"/>
    </xf>
    <xf numFmtId="0" fontId="41" fillId="34" borderId="32" xfId="0" applyFont="1" applyFill="1" applyBorder="1" applyAlignment="1">
      <alignment horizontal="center" wrapText="1"/>
    </xf>
    <xf numFmtId="0" fontId="42" fillId="34" borderId="32" xfId="0" applyFont="1" applyFill="1" applyBorder="1" applyAlignment="1">
      <alignment horizontal="left" vertical="center"/>
    </xf>
    <xf numFmtId="0" fontId="100" fillId="0" borderId="32" xfId="0" applyFont="1" applyBorder="1" applyAlignment="1">
      <alignment horizontal="center" vertical="center" wrapText="1"/>
    </xf>
    <xf numFmtId="0" fontId="42" fillId="34" borderId="0" xfId="0" applyFont="1" applyFill="1"/>
    <xf numFmtId="0" fontId="51" fillId="34" borderId="0" xfId="0" applyFont="1" applyFill="1"/>
    <xf numFmtId="178" fontId="51" fillId="34" borderId="0" xfId="0" applyNumberFormat="1" applyFont="1" applyFill="1"/>
    <xf numFmtId="179" fontId="51" fillId="34" borderId="0" xfId="0" applyNumberFormat="1" applyFont="1" applyFill="1"/>
    <xf numFmtId="175" fontId="42" fillId="34" borderId="0" xfId="0" applyNumberFormat="1" applyFont="1" applyFill="1"/>
    <xf numFmtId="181" fontId="51" fillId="34" borderId="0" xfId="0" applyNumberFormat="1" applyFont="1" applyFill="1"/>
    <xf numFmtId="0" fontId="42" fillId="34" borderId="57" xfId="0" applyFont="1" applyFill="1" applyBorder="1" applyAlignment="1">
      <alignment horizontal="center" vertical="center" wrapText="1"/>
    </xf>
    <xf numFmtId="0" fontId="51" fillId="34" borderId="42" xfId="0" applyFont="1" applyFill="1" applyBorder="1" applyAlignment="1">
      <alignment horizontal="center" vertical="center" wrapText="1"/>
    </xf>
    <xf numFmtId="0" fontId="42" fillId="34" borderId="1" xfId="0" applyFont="1" applyFill="1" applyBorder="1" applyAlignment="1">
      <alignment horizontal="center" vertical="center" wrapText="1"/>
    </xf>
    <xf numFmtId="0" fontId="42" fillId="34" borderId="40" xfId="0" applyFont="1" applyFill="1" applyBorder="1" applyAlignment="1">
      <alignment horizontal="center" vertical="center" wrapText="1"/>
    </xf>
    <xf numFmtId="0" fontId="42" fillId="34" borderId="39" xfId="0" applyFont="1" applyFill="1" applyBorder="1" applyAlignment="1">
      <alignment horizontal="center" vertical="center" wrapText="1"/>
    </xf>
    <xf numFmtId="1" fontId="42" fillId="34" borderId="39" xfId="0" applyNumberFormat="1" applyFont="1" applyFill="1" applyBorder="1" applyAlignment="1">
      <alignment horizontal="center" vertical="center" wrapText="1"/>
    </xf>
    <xf numFmtId="1" fontId="42" fillId="34" borderId="1" xfId="0" applyNumberFormat="1" applyFont="1" applyFill="1" applyBorder="1" applyAlignment="1">
      <alignment horizontal="center" vertical="center" wrapText="1"/>
    </xf>
    <xf numFmtId="2" fontId="42" fillId="34" borderId="39" xfId="0" applyNumberFormat="1" applyFont="1" applyFill="1" applyBorder="1" applyAlignment="1">
      <alignment horizontal="center" vertical="center" wrapText="1"/>
    </xf>
    <xf numFmtId="2" fontId="42" fillId="34" borderId="1" xfId="0" applyNumberFormat="1" applyFont="1" applyFill="1" applyBorder="1" applyAlignment="1">
      <alignment horizontal="center" vertical="center" wrapText="1"/>
    </xf>
    <xf numFmtId="2" fontId="42" fillId="34" borderId="40" xfId="0" applyNumberFormat="1" applyFont="1" applyFill="1" applyBorder="1" applyAlignment="1">
      <alignment horizontal="center" vertical="center" wrapText="1"/>
    </xf>
    <xf numFmtId="177" fontId="42" fillId="34" borderId="1" xfId="0" applyNumberFormat="1" applyFont="1" applyFill="1" applyBorder="1" applyAlignment="1">
      <alignment horizontal="center" vertical="center" wrapText="1"/>
    </xf>
    <xf numFmtId="2" fontId="50" fillId="34" borderId="0" xfId="116" applyNumberFormat="1" applyFont="1" applyFill="1" applyAlignment="1">
      <alignment horizontal="center"/>
    </xf>
    <xf numFmtId="0" fontId="202" fillId="34" borderId="0" xfId="240" applyFont="1" applyFill="1"/>
    <xf numFmtId="4" fontId="35" fillId="34" borderId="0" xfId="240" applyNumberFormat="1" applyFont="1" applyFill="1"/>
    <xf numFmtId="4" fontId="1" fillId="0" borderId="0" xfId="240" applyNumberFormat="1" applyFont="1"/>
    <xf numFmtId="2" fontId="136" fillId="0" borderId="0" xfId="506" applyNumberFormat="1" applyFont="1"/>
    <xf numFmtId="2" fontId="42" fillId="0" borderId="0" xfId="506" applyNumberFormat="1" applyFont="1"/>
    <xf numFmtId="177" fontId="51" fillId="0" borderId="33" xfId="6" applyNumberFormat="1" applyFont="1" applyBorder="1" applyAlignment="1">
      <alignment horizontal="center" vertical="center" wrapText="1"/>
    </xf>
    <xf numFmtId="177" fontId="161" fillId="0" borderId="58" xfId="6" applyNumberFormat="1" applyFont="1" applyBorder="1" applyAlignment="1">
      <alignment horizontal="center" vertical="center" wrapText="1"/>
    </xf>
    <xf numFmtId="177" fontId="161" fillId="0" borderId="1" xfId="6" applyNumberFormat="1" applyFont="1" applyBorder="1" applyAlignment="1">
      <alignment horizontal="center" vertical="center" wrapText="1"/>
    </xf>
    <xf numFmtId="177" fontId="161" fillId="0" borderId="45" xfId="6" applyNumberFormat="1" applyFont="1" applyBorder="1" applyAlignment="1">
      <alignment horizontal="center" vertical="center" wrapText="1"/>
    </xf>
    <xf numFmtId="177" fontId="137" fillId="0" borderId="58" xfId="6" applyNumberFormat="1" applyFont="1" applyBorder="1" applyAlignment="1">
      <alignment horizontal="center" vertical="center" wrapText="1"/>
    </xf>
    <xf numFmtId="177" fontId="53" fillId="0" borderId="1" xfId="6" applyNumberFormat="1" applyFont="1" applyBorder="1" applyAlignment="1">
      <alignment horizontal="center" vertical="center" wrapText="1"/>
    </xf>
    <xf numFmtId="177" fontId="245" fillId="0" borderId="1" xfId="6" applyNumberFormat="1" applyFont="1" applyBorder="1" applyAlignment="1">
      <alignment horizontal="center" vertical="center" wrapText="1"/>
    </xf>
    <xf numFmtId="177" fontId="246" fillId="0" borderId="1" xfId="6" applyNumberFormat="1" applyFont="1" applyBorder="1" applyAlignment="1">
      <alignment horizontal="center" vertical="center" wrapText="1"/>
    </xf>
    <xf numFmtId="177" fontId="134" fillId="0" borderId="1" xfId="6" applyNumberFormat="1" applyFont="1" applyBorder="1" applyAlignment="1">
      <alignment horizontal="center" vertical="center" wrapText="1"/>
    </xf>
    <xf numFmtId="192" fontId="0" fillId="0" borderId="0" xfId="558" applyNumberFormat="1" applyFont="1"/>
    <xf numFmtId="0" fontId="46" fillId="86" borderId="0" xfId="240" applyFont="1" applyFill="1" applyProtection="1">
      <protection locked="0"/>
    </xf>
    <xf numFmtId="2" fontId="205" fillId="0" borderId="1" xfId="0" applyNumberFormat="1" applyFont="1" applyBorder="1" applyAlignment="1">
      <alignment horizontal="center" vertical="center"/>
    </xf>
    <xf numFmtId="2" fontId="43" fillId="34" borderId="139" xfId="0" applyNumberFormat="1" applyFont="1" applyFill="1" applyBorder="1" applyAlignment="1">
      <alignment horizontal="center" vertical="center" wrapText="1"/>
    </xf>
    <xf numFmtId="0" fontId="41" fillId="34" borderId="1" xfId="6" applyFont="1" applyFill="1" applyBorder="1" applyAlignment="1">
      <alignment horizontal="center" vertical="center" wrapText="1"/>
    </xf>
    <xf numFmtId="49" fontId="41" fillId="34" borderId="1" xfId="6" applyNumberFormat="1" applyFont="1" applyFill="1" applyBorder="1" applyAlignment="1">
      <alignment horizontal="center" vertical="center" wrapText="1"/>
    </xf>
    <xf numFmtId="49" fontId="41" fillId="34" borderId="1" xfId="6" applyNumberFormat="1" applyFont="1" applyFill="1" applyBorder="1" applyAlignment="1">
      <alignment horizontal="right" vertical="center" wrapText="1"/>
    </xf>
    <xf numFmtId="0" fontId="41" fillId="34" borderId="1" xfId="6" applyFont="1" applyFill="1" applyBorder="1" applyAlignment="1">
      <alignment vertical="center" wrapText="1"/>
    </xf>
    <xf numFmtId="177" fontId="40" fillId="34" borderId="1" xfId="6" applyNumberFormat="1" applyFont="1" applyFill="1" applyBorder="1" applyAlignment="1">
      <alignment horizontal="center" vertical="center" wrapText="1"/>
    </xf>
    <xf numFmtId="0" fontId="40" fillId="34" borderId="1" xfId="6" applyFont="1" applyFill="1" applyBorder="1" applyAlignment="1">
      <alignment horizontal="center" vertical="center" wrapText="1"/>
    </xf>
    <xf numFmtId="2" fontId="40" fillId="34" borderId="1" xfId="6" applyNumberFormat="1" applyFont="1" applyFill="1" applyBorder="1" applyAlignment="1">
      <alignment horizontal="center" vertical="center" wrapText="1"/>
    </xf>
    <xf numFmtId="2" fontId="40" fillId="34" borderId="1" xfId="6" applyNumberFormat="1" applyFont="1" applyFill="1" applyBorder="1" applyAlignment="1" applyProtection="1">
      <alignment horizontal="center" vertical="center" wrapText="1"/>
      <protection locked="0"/>
    </xf>
    <xf numFmtId="4" fontId="40" fillId="34" borderId="1" xfId="6" applyNumberFormat="1" applyFont="1" applyFill="1" applyBorder="1" applyAlignment="1">
      <alignment horizontal="center" vertical="center" wrapText="1"/>
    </xf>
    <xf numFmtId="0" fontId="40" fillId="34" borderId="1" xfId="6" applyFont="1" applyFill="1" applyBorder="1" applyAlignment="1" applyProtection="1">
      <alignment horizontal="center" vertical="center" wrapText="1"/>
      <protection locked="0"/>
    </xf>
    <xf numFmtId="10" fontId="40" fillId="34" borderId="1" xfId="6" applyNumberFormat="1" applyFont="1" applyFill="1" applyBorder="1" applyAlignment="1" applyProtection="1">
      <alignment horizontal="center" vertical="center" wrapText="1"/>
      <protection locked="0"/>
    </xf>
    <xf numFmtId="170" fontId="40" fillId="34" borderId="1" xfId="6" applyNumberFormat="1" applyFont="1" applyFill="1" applyBorder="1" applyAlignment="1" applyProtection="1">
      <alignment horizontal="center" vertical="center" wrapText="1"/>
      <protection locked="0"/>
    </xf>
    <xf numFmtId="170" fontId="40" fillId="34" borderId="1" xfId="6" applyNumberFormat="1" applyFont="1" applyFill="1" applyBorder="1" applyAlignment="1">
      <alignment horizontal="center" vertical="center" wrapText="1"/>
    </xf>
    <xf numFmtId="1" fontId="40" fillId="34" borderId="1" xfId="6" applyNumberFormat="1" applyFont="1" applyFill="1" applyBorder="1" applyAlignment="1" applyProtection="1">
      <alignment horizontal="center" vertical="center" wrapText="1"/>
      <protection locked="0"/>
    </xf>
    <xf numFmtId="4" fontId="40" fillId="34" borderId="1" xfId="6" applyNumberFormat="1" applyFont="1" applyFill="1" applyBorder="1" applyAlignment="1" applyProtection="1">
      <alignment horizontal="center" vertical="center" wrapText="1"/>
      <protection locked="0"/>
    </xf>
    <xf numFmtId="0" fontId="41" fillId="34" borderId="1" xfId="0" applyFont="1" applyFill="1" applyBorder="1" applyAlignment="1">
      <alignment vertical="center" wrapText="1"/>
    </xf>
    <xf numFmtId="1" fontId="40" fillId="34" borderId="1" xfId="6" applyNumberFormat="1" applyFont="1" applyFill="1" applyBorder="1" applyAlignment="1">
      <alignment horizontal="center" vertical="center" wrapText="1"/>
    </xf>
    <xf numFmtId="49" fontId="41" fillId="34" borderId="79" xfId="6" applyNumberFormat="1" applyFont="1" applyFill="1" applyBorder="1" applyAlignment="1">
      <alignment horizontal="right" vertical="center" wrapText="1"/>
    </xf>
    <xf numFmtId="0" fontId="41" fillId="34" borderId="79" xfId="6" applyFont="1" applyFill="1" applyBorder="1" applyAlignment="1">
      <alignment vertical="center" wrapText="1"/>
    </xf>
    <xf numFmtId="2" fontId="40" fillId="34" borderId="79" xfId="6" applyNumberFormat="1" applyFont="1" applyFill="1" applyBorder="1" applyAlignment="1">
      <alignment horizontal="center" vertical="center" wrapText="1"/>
    </xf>
    <xf numFmtId="49" fontId="41" fillId="34" borderId="8" xfId="6" applyNumberFormat="1" applyFont="1" applyFill="1" applyBorder="1" applyAlignment="1">
      <alignment horizontal="right" vertical="center" wrapText="1"/>
    </xf>
    <xf numFmtId="0" fontId="49" fillId="34" borderId="96" xfId="0" applyFont="1" applyFill="1" applyBorder="1" applyAlignment="1">
      <alignment wrapText="1"/>
    </xf>
    <xf numFmtId="0" fontId="41" fillId="34" borderId="7" xfId="6" applyFont="1" applyFill="1" applyBorder="1" applyAlignment="1">
      <alignment horizontal="center" vertical="center" wrapText="1"/>
    </xf>
    <xf numFmtId="0" fontId="41" fillId="34" borderId="3" xfId="6" applyFont="1" applyFill="1" applyBorder="1" applyAlignment="1">
      <alignment vertical="center" wrapText="1"/>
    </xf>
    <xf numFmtId="49" fontId="41" fillId="34" borderId="2" xfId="6" applyNumberFormat="1" applyFont="1" applyFill="1" applyBorder="1" applyAlignment="1">
      <alignment horizontal="right" vertical="center" wrapText="1"/>
    </xf>
    <xf numFmtId="0" fontId="41" fillId="34" borderId="2" xfId="6" applyFont="1" applyFill="1" applyBorder="1" applyAlignment="1">
      <alignment vertical="center" wrapText="1"/>
    </xf>
    <xf numFmtId="0" fontId="40" fillId="34" borderId="2" xfId="6" applyFont="1" applyFill="1" applyBorder="1" applyAlignment="1" applyProtection="1">
      <alignment horizontal="center" vertical="center" wrapText="1"/>
      <protection locked="0"/>
    </xf>
    <xf numFmtId="0" fontId="39" fillId="34" borderId="1" xfId="0" applyFont="1" applyFill="1" applyBorder="1" applyAlignment="1">
      <alignment vertical="center" wrapText="1"/>
    </xf>
    <xf numFmtId="49" fontId="41" fillId="34" borderId="0" xfId="6" applyNumberFormat="1" applyFont="1" applyFill="1" applyAlignment="1">
      <alignment horizontal="right" vertical="center" wrapText="1"/>
    </xf>
    <xf numFmtId="0" fontId="33" fillId="34" borderId="9" xfId="6" applyFill="1" applyBorder="1"/>
    <xf numFmtId="0" fontId="33" fillId="34" borderId="0" xfId="6" applyFill="1"/>
    <xf numFmtId="49" fontId="33" fillId="34" borderId="0" xfId="6" applyNumberFormat="1" applyFill="1"/>
    <xf numFmtId="0" fontId="113" fillId="34" borderId="0" xfId="6" applyFont="1" applyFill="1"/>
    <xf numFmtId="2" fontId="53" fillId="34" borderId="1" xfId="6" applyNumberFormat="1" applyFont="1" applyFill="1" applyBorder="1" applyAlignment="1" applyProtection="1">
      <alignment horizontal="center" vertical="center" wrapText="1"/>
      <protection locked="0"/>
    </xf>
    <xf numFmtId="2" fontId="53" fillId="34" borderId="1" xfId="6" applyNumberFormat="1" applyFont="1" applyFill="1" applyBorder="1" applyAlignment="1">
      <alignment horizontal="center" vertical="center" wrapText="1"/>
    </xf>
    <xf numFmtId="0" fontId="0" fillId="34" borderId="0" xfId="0" applyFill="1" applyAlignment="1">
      <alignment horizontal="center" vertical="center" wrapText="1"/>
    </xf>
    <xf numFmtId="0" fontId="0" fillId="34" borderId="0" xfId="0" applyFill="1"/>
    <xf numFmtId="2" fontId="0" fillId="34" borderId="0" xfId="0" applyNumberFormat="1" applyFill="1"/>
    <xf numFmtId="177" fontId="0" fillId="34" borderId="0" xfId="0" applyNumberFormat="1" applyFill="1"/>
    <xf numFmtId="0" fontId="7" fillId="34" borderId="0" xfId="0" applyFont="1" applyFill="1"/>
    <xf numFmtId="2" fontId="7" fillId="34" borderId="0" xfId="0" applyNumberFormat="1" applyFont="1" applyFill="1"/>
    <xf numFmtId="0" fontId="215" fillId="34" borderId="0" xfId="0" applyFont="1" applyFill="1"/>
    <xf numFmtId="2" fontId="240" fillId="34" borderId="0" xfId="0" applyNumberFormat="1" applyFont="1" applyFill="1"/>
    <xf numFmtId="183" fontId="42" fillId="0" borderId="1" xfId="5" applyNumberFormat="1" applyFont="1" applyBorder="1"/>
    <xf numFmtId="186" fontId="41" fillId="0" borderId="0" xfId="240" applyNumberFormat="1" applyFont="1" applyProtection="1">
      <protection locked="0"/>
    </xf>
    <xf numFmtId="194" fontId="41" fillId="0" borderId="0" xfId="240" applyNumberFormat="1" applyFont="1" applyProtection="1">
      <protection locked="0"/>
    </xf>
    <xf numFmtId="0" fontId="130" fillId="0" borderId="57" xfId="0" applyFont="1" applyBorder="1" applyAlignment="1">
      <alignment horizontal="left" vertical="center" wrapText="1"/>
    </xf>
    <xf numFmtId="0" fontId="242" fillId="0" borderId="57" xfId="0" applyFont="1" applyBorder="1" applyAlignment="1">
      <alignment horizontal="left" vertical="center" wrapText="1"/>
    </xf>
    <xf numFmtId="0" fontId="130" fillId="0" borderId="42" xfId="0" applyFont="1" applyBorder="1" applyAlignment="1">
      <alignment horizontal="left" vertical="center" wrapText="1"/>
    </xf>
    <xf numFmtId="179" fontId="51" fillId="0" borderId="80" xfId="0" applyNumberFormat="1" applyFont="1" applyBorder="1" applyAlignment="1">
      <alignment horizontal="center" vertical="center"/>
    </xf>
    <xf numFmtId="179" fontId="42" fillId="0" borderId="0" xfId="0" applyNumberFormat="1" applyFont="1" applyAlignment="1">
      <alignment wrapText="1"/>
    </xf>
    <xf numFmtId="179" fontId="100" fillId="0" borderId="40" xfId="556" applyNumberFormat="1" applyFont="1" applyBorder="1" applyAlignment="1">
      <alignment horizontal="center" vertical="center" wrapText="1"/>
    </xf>
    <xf numFmtId="179" fontId="51" fillId="0" borderId="68" xfId="0" applyNumberFormat="1" applyFont="1" applyBorder="1" applyAlignment="1">
      <alignment horizontal="center" vertical="center"/>
    </xf>
    <xf numFmtId="181" fontId="42" fillId="0" borderId="0" xfId="0" applyNumberFormat="1" applyFont="1" applyAlignment="1">
      <alignment wrapText="1"/>
    </xf>
    <xf numFmtId="181" fontId="197" fillId="0" borderId="0" xfId="0" applyNumberFormat="1" applyFont="1"/>
    <xf numFmtId="0" fontId="242" fillId="0" borderId="57" xfId="0" applyFont="1" applyBorder="1" applyAlignment="1">
      <alignment vertical="center" wrapText="1"/>
    </xf>
    <xf numFmtId="0" fontId="130" fillId="0" borderId="57" xfId="0" applyFont="1" applyBorder="1" applyAlignment="1">
      <alignment vertical="center" wrapText="1"/>
    </xf>
    <xf numFmtId="179" fontId="51" fillId="0" borderId="6" xfId="0" applyNumberFormat="1" applyFont="1" applyBorder="1" applyAlignment="1">
      <alignment horizontal="center" vertical="center"/>
    </xf>
    <xf numFmtId="170" fontId="187" fillId="0" borderId="0" xfId="0" applyNumberFormat="1" applyFont="1"/>
    <xf numFmtId="1" fontId="43" fillId="0" borderId="0" xfId="0" applyNumberFormat="1" applyFont="1"/>
    <xf numFmtId="0" fontId="53" fillId="34" borderId="1" xfId="5" applyFont="1" applyFill="1" applyBorder="1" applyAlignment="1">
      <alignment horizontal="center" vertical="center" wrapText="1"/>
    </xf>
    <xf numFmtId="0" fontId="53" fillId="34" borderId="40" xfId="5" applyFont="1" applyFill="1" applyBorder="1" applyAlignment="1">
      <alignment horizontal="center" vertical="center" wrapText="1"/>
    </xf>
    <xf numFmtId="1" fontId="53" fillId="34" borderId="3" xfId="5" applyNumberFormat="1" applyFont="1" applyFill="1" applyBorder="1" applyAlignment="1">
      <alignment horizontal="center" vertical="center" wrapText="1"/>
    </xf>
    <xf numFmtId="0" fontId="53" fillId="34" borderId="3" xfId="5" applyFont="1" applyFill="1" applyBorder="1" applyAlignment="1">
      <alignment horizontal="center" vertical="center" wrapText="1"/>
    </xf>
    <xf numFmtId="0" fontId="53" fillId="34" borderId="43" xfId="5" applyFont="1" applyFill="1" applyBorder="1" applyAlignment="1">
      <alignment horizontal="center" vertical="center" wrapText="1"/>
    </xf>
    <xf numFmtId="49" fontId="53" fillId="34" borderId="4" xfId="5" applyNumberFormat="1" applyFont="1" applyFill="1" applyBorder="1" applyAlignment="1">
      <alignment horizontal="center" vertical="center" wrapText="1"/>
    </xf>
    <xf numFmtId="49" fontId="53" fillId="34" borderId="87" xfId="5" applyNumberFormat="1" applyFont="1" applyFill="1" applyBorder="1" applyAlignment="1">
      <alignment horizontal="center" vertical="center" wrapText="1"/>
    </xf>
    <xf numFmtId="49" fontId="53" fillId="34" borderId="70" xfId="5" applyNumberFormat="1" applyFont="1" applyFill="1" applyBorder="1" applyAlignment="1">
      <alignment horizontal="center" vertical="center" wrapText="1"/>
    </xf>
    <xf numFmtId="2" fontId="39" fillId="34" borderId="58" xfId="5" applyNumberFormat="1" applyFont="1" applyFill="1" applyBorder="1" applyAlignment="1">
      <alignment horizontal="center" vertical="center"/>
    </xf>
    <xf numFmtId="2" fontId="161" fillId="34" borderId="58" xfId="5" applyNumberFormat="1" applyFont="1" applyFill="1" applyBorder="1" applyAlignment="1">
      <alignment horizontal="center" vertical="center"/>
    </xf>
    <xf numFmtId="2" fontId="39" fillId="34" borderId="59" xfId="5" applyNumberFormat="1" applyFont="1" applyFill="1" applyBorder="1" applyAlignment="1">
      <alignment horizontal="center" vertical="center"/>
    </xf>
    <xf numFmtId="2" fontId="39" fillId="34" borderId="1" xfId="5" applyNumberFormat="1" applyFont="1" applyFill="1" applyBorder="1" applyAlignment="1">
      <alignment horizontal="center" vertical="center"/>
    </xf>
    <xf numFmtId="2" fontId="39" fillId="34" borderId="40" xfId="5" applyNumberFormat="1" applyFont="1" applyFill="1" applyBorder="1" applyAlignment="1">
      <alignment horizontal="center" vertical="center"/>
    </xf>
    <xf numFmtId="2" fontId="39" fillId="34" borderId="1" xfId="240" applyNumberFormat="1" applyFont="1" applyFill="1" applyBorder="1" applyAlignment="1">
      <alignment horizontal="center" vertical="center"/>
    </xf>
    <xf numFmtId="2" fontId="39" fillId="34" borderId="45" xfId="240" applyNumberFormat="1" applyFont="1" applyFill="1" applyBorder="1" applyAlignment="1">
      <alignment horizontal="center" vertical="center"/>
    </xf>
    <xf numFmtId="2" fontId="39" fillId="34" borderId="40" xfId="240" applyNumberFormat="1" applyFont="1" applyFill="1" applyBorder="1" applyAlignment="1">
      <alignment horizontal="center" vertical="center"/>
    </xf>
    <xf numFmtId="2" fontId="39" fillId="34" borderId="46" xfId="240" applyNumberFormat="1" applyFont="1" applyFill="1" applyBorder="1" applyAlignment="1">
      <alignment horizontal="center" vertical="center"/>
    </xf>
    <xf numFmtId="2" fontId="39" fillId="34" borderId="58" xfId="5" applyNumberFormat="1" applyFont="1" applyFill="1" applyBorder="1" applyAlignment="1" applyProtection="1">
      <alignment horizontal="center" vertical="center" wrapText="1"/>
      <protection locked="0"/>
    </xf>
    <xf numFmtId="2" fontId="39" fillId="34" borderId="59" xfId="5" applyNumberFormat="1" applyFont="1" applyFill="1" applyBorder="1" applyAlignment="1" applyProtection="1">
      <alignment horizontal="center" vertical="center" wrapText="1"/>
      <protection locked="0"/>
    </xf>
    <xf numFmtId="2" fontId="39" fillId="34" borderId="45" xfId="5" applyNumberFormat="1" applyFont="1" applyFill="1" applyBorder="1" applyAlignment="1" applyProtection="1">
      <alignment horizontal="center" vertical="center" wrapText="1"/>
      <protection locked="0"/>
    </xf>
    <xf numFmtId="2" fontId="39" fillId="34" borderId="46" xfId="5" applyNumberFormat="1" applyFont="1" applyFill="1" applyBorder="1" applyAlignment="1" applyProtection="1">
      <alignment horizontal="center" vertical="center" wrapText="1"/>
      <protection locked="0"/>
    </xf>
    <xf numFmtId="10" fontId="39" fillId="34" borderId="1" xfId="5" applyNumberFormat="1" applyFont="1" applyFill="1" applyBorder="1" applyAlignment="1" applyProtection="1">
      <alignment horizontal="center" vertical="center" wrapText="1"/>
      <protection locked="0"/>
    </xf>
    <xf numFmtId="10" fontId="39" fillId="34" borderId="40" xfId="5" applyNumberFormat="1" applyFont="1" applyFill="1" applyBorder="1" applyAlignment="1" applyProtection="1">
      <alignment horizontal="center" vertical="center" wrapText="1"/>
      <protection locked="0"/>
    </xf>
    <xf numFmtId="10" fontId="39" fillId="34" borderId="1" xfId="5" applyNumberFormat="1" applyFont="1" applyFill="1" applyBorder="1" applyAlignment="1" applyProtection="1">
      <alignment horizontal="center" vertical="center"/>
      <protection locked="0"/>
    </xf>
    <xf numFmtId="10" fontId="39" fillId="34" borderId="40" xfId="5" applyNumberFormat="1" applyFont="1" applyFill="1" applyBorder="1" applyAlignment="1" applyProtection="1">
      <alignment horizontal="center" vertical="center"/>
      <protection locked="0"/>
    </xf>
    <xf numFmtId="10" fontId="39" fillId="34" borderId="79" xfId="5" applyNumberFormat="1" applyFont="1" applyFill="1" applyBorder="1" applyAlignment="1" applyProtection="1">
      <alignment horizontal="center" vertical="center" wrapText="1"/>
      <protection locked="0"/>
    </xf>
    <xf numFmtId="10" fontId="39" fillId="34" borderId="79" xfId="5" applyNumberFormat="1" applyFont="1" applyFill="1" applyBorder="1" applyAlignment="1" applyProtection="1">
      <alignment horizontal="center" vertical="center"/>
      <protection locked="0"/>
    </xf>
    <xf numFmtId="10" fontId="39" fillId="34" borderId="47" xfId="5" applyNumberFormat="1" applyFont="1" applyFill="1" applyBorder="1" applyAlignment="1" applyProtection="1">
      <alignment horizontal="center" vertical="center"/>
      <protection locked="0"/>
    </xf>
    <xf numFmtId="2" fontId="39" fillId="34" borderId="58" xfId="5" applyNumberFormat="1" applyFont="1" applyFill="1" applyBorder="1" applyAlignment="1" applyProtection="1">
      <alignment horizontal="center" vertical="center"/>
      <protection locked="0"/>
    </xf>
    <xf numFmtId="2" fontId="39" fillId="34" borderId="59" xfId="5" applyNumberFormat="1" applyFont="1" applyFill="1" applyBorder="1" applyAlignment="1" applyProtection="1">
      <alignment horizontal="center" vertical="center"/>
      <protection locked="0"/>
    </xf>
    <xf numFmtId="10" fontId="39" fillId="34" borderId="45" xfId="5" applyNumberFormat="1" applyFont="1" applyFill="1" applyBorder="1" applyAlignment="1" applyProtection="1">
      <alignment horizontal="center" vertical="center" wrapText="1"/>
      <protection locked="0"/>
    </xf>
    <xf numFmtId="10" fontId="39" fillId="34" borderId="46" xfId="5" applyNumberFormat="1" applyFont="1" applyFill="1" applyBorder="1" applyAlignment="1" applyProtection="1">
      <alignment horizontal="center" vertical="center" wrapText="1"/>
      <protection locked="0"/>
    </xf>
    <xf numFmtId="2" fontId="39" fillId="34" borderId="1" xfId="5" applyNumberFormat="1" applyFont="1" applyFill="1" applyBorder="1" applyAlignment="1">
      <alignment horizontal="center" vertical="center" wrapText="1"/>
    </xf>
    <xf numFmtId="2" fontId="39" fillId="34" borderId="40" xfId="5" applyNumberFormat="1" applyFont="1" applyFill="1" applyBorder="1" applyAlignment="1">
      <alignment horizontal="center" vertical="center" wrapText="1"/>
    </xf>
    <xf numFmtId="2" fontId="39" fillId="34" borderId="8" xfId="5" applyNumberFormat="1" applyFont="1" applyFill="1" applyBorder="1" applyAlignment="1" applyProtection="1">
      <alignment horizontal="center" vertical="center" wrapText="1"/>
      <protection locked="0"/>
    </xf>
    <xf numFmtId="177" fontId="39" fillId="34" borderId="1" xfId="5" applyNumberFormat="1" applyFont="1" applyFill="1" applyBorder="1" applyAlignment="1" applyProtection="1">
      <alignment horizontal="center" vertical="center"/>
      <protection locked="0"/>
    </xf>
    <xf numFmtId="10" fontId="39" fillId="34" borderId="1" xfId="5" applyNumberFormat="1" applyFont="1" applyFill="1" applyBorder="1" applyAlignment="1">
      <alignment horizontal="center" vertical="center"/>
    </xf>
    <xf numFmtId="10" fontId="39" fillId="34" borderId="40" xfId="5" applyNumberFormat="1" applyFont="1" applyFill="1" applyBorder="1" applyAlignment="1">
      <alignment horizontal="center" vertical="center"/>
    </xf>
    <xf numFmtId="2" fontId="39" fillId="34" borderId="8" xfId="5" applyNumberFormat="1" applyFont="1" applyFill="1" applyBorder="1" applyAlignment="1">
      <alignment horizontal="center" vertical="center"/>
    </xf>
    <xf numFmtId="177" fontId="39" fillId="34" borderId="1" xfId="5" applyNumberFormat="1" applyFont="1" applyFill="1" applyBorder="1" applyAlignment="1">
      <alignment horizontal="center" vertical="center"/>
    </xf>
    <xf numFmtId="2" fontId="39" fillId="34" borderId="45" xfId="5" applyNumberFormat="1" applyFont="1" applyFill="1" applyBorder="1" applyAlignment="1">
      <alignment horizontal="center" vertical="center"/>
    </xf>
    <xf numFmtId="177" fontId="39" fillId="34" borderId="45" xfId="5" applyNumberFormat="1" applyFont="1" applyFill="1" applyBorder="1" applyAlignment="1">
      <alignment horizontal="center" vertical="center"/>
    </xf>
    <xf numFmtId="177" fontId="39" fillId="34" borderId="58" xfId="5" applyNumberFormat="1" applyFont="1" applyFill="1" applyBorder="1" applyAlignment="1" applyProtection="1">
      <alignment horizontal="center" vertical="center" wrapText="1"/>
      <protection locked="0"/>
    </xf>
    <xf numFmtId="177" fontId="39" fillId="34" borderId="59" xfId="5" applyNumberFormat="1" applyFont="1" applyFill="1" applyBorder="1" applyAlignment="1" applyProtection="1">
      <alignment horizontal="center" vertical="center" wrapText="1"/>
      <protection locked="0"/>
    </xf>
    <xf numFmtId="177" fontId="39" fillId="34" borderId="1" xfId="5" applyNumberFormat="1" applyFont="1" applyFill="1" applyBorder="1" applyAlignment="1" applyProtection="1">
      <alignment horizontal="center" vertical="center" wrapText="1"/>
      <protection locked="0"/>
    </xf>
    <xf numFmtId="177" fontId="39" fillId="34" borderId="40" xfId="5" applyNumberFormat="1" applyFont="1" applyFill="1" applyBorder="1" applyAlignment="1" applyProtection="1">
      <alignment horizontal="center" vertical="center" wrapText="1"/>
      <protection locked="0"/>
    </xf>
    <xf numFmtId="177" fontId="39" fillId="34" borderId="40" xfId="5" applyNumberFormat="1" applyFont="1" applyFill="1" applyBorder="1" applyAlignment="1" applyProtection="1">
      <alignment horizontal="center" vertical="center"/>
      <protection locked="0"/>
    </xf>
    <xf numFmtId="177" fontId="39" fillId="34" borderId="45" xfId="5" applyNumberFormat="1" applyFont="1" applyFill="1" applyBorder="1" applyAlignment="1" applyProtection="1">
      <alignment horizontal="center" vertical="center" wrapText="1"/>
      <protection locked="0"/>
    </xf>
    <xf numFmtId="177" fontId="39" fillId="34" borderId="45" xfId="5" applyNumberFormat="1" applyFont="1" applyFill="1" applyBorder="1" applyAlignment="1" applyProtection="1">
      <alignment horizontal="center" vertical="center"/>
      <protection locked="0"/>
    </xf>
    <xf numFmtId="177" fontId="39" fillId="34" borderId="46" xfId="5" applyNumberFormat="1" applyFont="1" applyFill="1" applyBorder="1" applyAlignment="1" applyProtection="1">
      <alignment horizontal="center" vertical="center"/>
      <protection locked="0"/>
    </xf>
    <xf numFmtId="2" fontId="45" fillId="34" borderId="61" xfId="5" applyNumberFormat="1" applyFont="1" applyFill="1" applyBorder="1" applyAlignment="1" applyProtection="1">
      <alignment horizontal="center" vertical="center" wrapText="1"/>
      <protection locked="0"/>
    </xf>
    <xf numFmtId="2" fontId="45" fillId="34" borderId="62" xfId="5" applyNumberFormat="1" applyFont="1" applyFill="1" applyBorder="1" applyAlignment="1" applyProtection="1">
      <alignment horizontal="center" vertical="center" wrapText="1"/>
      <protection locked="0"/>
    </xf>
    <xf numFmtId="2" fontId="45" fillId="34" borderId="3" xfId="5" applyNumberFormat="1" applyFont="1" applyFill="1" applyBorder="1" applyAlignment="1" applyProtection="1">
      <alignment horizontal="center" vertical="center" wrapText="1"/>
      <protection locked="0"/>
    </xf>
    <xf numFmtId="2" fontId="45" fillId="34" borderId="43" xfId="5" applyNumberFormat="1" applyFont="1" applyFill="1" applyBorder="1" applyAlignment="1" applyProtection="1">
      <alignment horizontal="center" vertical="center" wrapText="1"/>
      <protection locked="0"/>
    </xf>
    <xf numFmtId="2" fontId="39" fillId="34" borderId="79" xfId="5" applyNumberFormat="1" applyFont="1" applyFill="1" applyBorder="1" applyAlignment="1" applyProtection="1">
      <alignment horizontal="center" vertical="center" wrapText="1"/>
      <protection locked="0"/>
    </xf>
    <xf numFmtId="2" fontId="39" fillId="34" borderId="79" xfId="5" applyNumberFormat="1" applyFont="1" applyFill="1" applyBorder="1" applyAlignment="1" applyProtection="1">
      <alignment horizontal="center" vertical="center"/>
      <protection locked="0"/>
    </xf>
    <xf numFmtId="2" fontId="45" fillId="34" borderId="58" xfId="5" applyNumberFormat="1" applyFont="1" applyFill="1" applyBorder="1" applyAlignment="1" applyProtection="1">
      <alignment horizontal="center" vertical="center" wrapText="1"/>
      <protection locked="0"/>
    </xf>
    <xf numFmtId="2" fontId="45" fillId="34" borderId="59" xfId="5" applyNumberFormat="1" applyFont="1" applyFill="1" applyBorder="1" applyAlignment="1" applyProtection="1">
      <alignment horizontal="center" vertical="center" wrapText="1"/>
      <protection locked="0"/>
    </xf>
    <xf numFmtId="0" fontId="34" fillId="34" borderId="0" xfId="5" applyFill="1"/>
    <xf numFmtId="0" fontId="42" fillId="34" borderId="0" xfId="5" applyFont="1" applyFill="1"/>
    <xf numFmtId="0" fontId="43" fillId="34" borderId="0" xfId="5" applyFont="1" applyFill="1"/>
    <xf numFmtId="0" fontId="164" fillId="34" borderId="0" xfId="5" applyFont="1" applyFill="1"/>
    <xf numFmtId="0" fontId="29" fillId="34" borderId="0" xfId="5" applyFont="1" applyFill="1"/>
    <xf numFmtId="0" fontId="43" fillId="34" borderId="0" xfId="5" applyFont="1" applyFill="1" applyAlignment="1">
      <alignment horizontal="center" vertical="center"/>
    </xf>
    <xf numFmtId="0" fontId="39" fillId="34" borderId="1" xfId="0" applyFont="1" applyFill="1" applyBorder="1" applyAlignment="1">
      <alignment horizontal="left" vertical="center" wrapText="1" indent="1"/>
    </xf>
    <xf numFmtId="0" fontId="39" fillId="34" borderId="58" xfId="0" applyFont="1" applyFill="1" applyBorder="1" applyAlignment="1">
      <alignment vertical="center" wrapText="1"/>
    </xf>
    <xf numFmtId="0" fontId="39" fillId="34" borderId="58" xfId="5" applyFont="1" applyFill="1" applyBorder="1" applyAlignment="1">
      <alignment horizontal="center" vertical="center"/>
    </xf>
    <xf numFmtId="0" fontId="39" fillId="34" borderId="1" xfId="5" applyFont="1" applyFill="1" applyBorder="1" applyAlignment="1">
      <alignment horizontal="center" vertical="center"/>
    </xf>
    <xf numFmtId="0" fontId="39" fillId="34" borderId="45" xfId="0" applyFont="1" applyFill="1" applyBorder="1" applyAlignment="1">
      <alignment horizontal="left" vertical="center" wrapText="1" indent="1"/>
    </xf>
    <xf numFmtId="0" fontId="39" fillId="34" borderId="45" xfId="5" applyFont="1" applyFill="1" applyBorder="1" applyAlignment="1">
      <alignment horizontal="center" vertical="center"/>
    </xf>
    <xf numFmtId="0" fontId="39" fillId="34" borderId="65" xfId="5" applyFont="1" applyFill="1" applyBorder="1" applyAlignment="1">
      <alignment horizontal="center" vertical="center"/>
    </xf>
    <xf numFmtId="0" fontId="39" fillId="34" borderId="7" xfId="5" applyFont="1" applyFill="1" applyBorder="1" applyAlignment="1">
      <alignment horizontal="center" vertical="center"/>
    </xf>
    <xf numFmtId="0" fontId="39" fillId="34" borderId="54" xfId="5" applyFont="1" applyFill="1" applyBorder="1" applyAlignment="1">
      <alignment horizontal="center" vertical="center"/>
    </xf>
    <xf numFmtId="0" fontId="39" fillId="34" borderId="1" xfId="5" applyFont="1" applyFill="1" applyBorder="1" applyAlignment="1">
      <alignment vertical="center" wrapText="1"/>
    </xf>
    <xf numFmtId="0" fontId="39" fillId="34" borderId="58" xfId="5" applyFont="1" applyFill="1" applyBorder="1" applyAlignment="1">
      <alignment vertical="center" wrapText="1"/>
    </xf>
    <xf numFmtId="0" fontId="39" fillId="34" borderId="1" xfId="5" applyFont="1" applyFill="1" applyBorder="1" applyAlignment="1">
      <alignment horizontal="left" vertical="center" wrapText="1" indent="1"/>
    </xf>
    <xf numFmtId="0" fontId="39" fillId="34" borderId="45" xfId="5" applyFont="1" applyFill="1" applyBorder="1" applyAlignment="1">
      <alignment vertical="center" wrapText="1"/>
    </xf>
    <xf numFmtId="0" fontId="39" fillId="34" borderId="79" xfId="5" applyFont="1" applyFill="1" applyBorder="1" applyAlignment="1">
      <alignment vertical="center" wrapText="1"/>
    </xf>
    <xf numFmtId="0" fontId="39" fillId="34" borderId="78" xfId="5" applyFont="1" applyFill="1" applyBorder="1" applyAlignment="1">
      <alignment horizontal="center" vertical="center"/>
    </xf>
    <xf numFmtId="0" fontId="39" fillId="34" borderId="45" xfId="0" applyFont="1" applyFill="1" applyBorder="1" applyAlignment="1">
      <alignment vertical="center" wrapText="1"/>
    </xf>
    <xf numFmtId="0" fontId="39" fillId="34" borderId="7" xfId="5" applyFont="1" applyFill="1" applyBorder="1" applyAlignment="1" applyProtection="1">
      <alignment horizontal="center" vertical="center"/>
      <protection locked="0"/>
    </xf>
    <xf numFmtId="0" fontId="39" fillId="34" borderId="1" xfId="0" applyFont="1" applyFill="1" applyBorder="1" applyAlignment="1">
      <alignment horizontal="left" vertical="center" wrapText="1" indent="2"/>
    </xf>
    <xf numFmtId="0" fontId="39" fillId="34" borderId="45" xfId="5" applyFont="1" applyFill="1" applyBorder="1" applyAlignment="1">
      <alignment horizontal="left" vertical="center" wrapText="1" indent="1"/>
    </xf>
    <xf numFmtId="0" fontId="45" fillId="34" borderId="61" xfId="0" applyFont="1" applyFill="1" applyBorder="1" applyAlignment="1">
      <alignment vertical="center" wrapText="1"/>
    </xf>
    <xf numFmtId="0" fontId="45" fillId="34" borderId="63" xfId="5" applyFont="1" applyFill="1" applyBorder="1" applyAlignment="1">
      <alignment horizontal="center" vertical="center"/>
    </xf>
    <xf numFmtId="0" fontId="45" fillId="34" borderId="3" xfId="0" applyFont="1" applyFill="1" applyBorder="1" applyAlignment="1">
      <alignment vertical="center" wrapText="1"/>
    </xf>
    <xf numFmtId="0" fontId="45" fillId="34" borderId="69" xfId="5" applyFont="1" applyFill="1" applyBorder="1" applyAlignment="1">
      <alignment horizontal="center" vertical="center"/>
    </xf>
    <xf numFmtId="0" fontId="39" fillId="34" borderId="79" xfId="0" applyFont="1" applyFill="1" applyBorder="1" applyAlignment="1">
      <alignment horizontal="left" vertical="center" wrapText="1" indent="1"/>
    </xf>
    <xf numFmtId="0" fontId="45" fillId="34" borderId="58" xfId="0" applyFont="1" applyFill="1" applyBorder="1" applyAlignment="1">
      <alignment vertical="center" wrapText="1"/>
    </xf>
    <xf numFmtId="0" fontId="45" fillId="34" borderId="65" xfId="5" applyFont="1" applyFill="1" applyBorder="1" applyAlignment="1">
      <alignment horizontal="center" vertical="center"/>
    </xf>
    <xf numFmtId="49" fontId="42" fillId="34" borderId="0" xfId="5" applyNumberFormat="1" applyFont="1" applyFill="1"/>
    <xf numFmtId="0" fontId="42" fillId="34" borderId="5" xfId="5" applyFont="1" applyFill="1" applyBorder="1"/>
    <xf numFmtId="0" fontId="42" fillId="34" borderId="0" xfId="5" applyFont="1" applyFill="1" applyAlignment="1">
      <alignment vertical="top" wrapText="1"/>
    </xf>
    <xf numFmtId="0" fontId="39" fillId="34" borderId="0" xfId="0" applyFont="1" applyFill="1" applyAlignment="1">
      <alignment vertical="top"/>
    </xf>
    <xf numFmtId="0" fontId="46" fillId="34" borderId="0" xfId="5" applyFont="1" applyFill="1" applyProtection="1">
      <protection locked="0"/>
    </xf>
    <xf numFmtId="0" fontId="41" fillId="34" borderId="0" xfId="5" applyFont="1" applyFill="1" applyAlignment="1">
      <alignment horizontal="left" vertical="top" wrapText="1"/>
    </xf>
    <xf numFmtId="0" fontId="41" fillId="34" borderId="0" xfId="5" applyFont="1" applyFill="1" applyProtection="1">
      <protection locked="0"/>
    </xf>
    <xf numFmtId="0" fontId="41" fillId="34" borderId="0" xfId="5" applyFont="1" applyFill="1"/>
    <xf numFmtId="0" fontId="131" fillId="34" borderId="0" xfId="5" applyFont="1" applyFill="1"/>
    <xf numFmtId="0" fontId="41" fillId="34" borderId="0" xfId="5" applyFont="1" applyFill="1" applyAlignment="1" applyProtection="1">
      <alignment horizontal="left"/>
      <protection locked="0"/>
    </xf>
    <xf numFmtId="0" fontId="42" fillId="34" borderId="0" xfId="5" applyFont="1" applyFill="1" applyProtection="1">
      <protection locked="0"/>
    </xf>
    <xf numFmtId="0" fontId="28" fillId="34" borderId="0" xfId="5" applyFont="1" applyFill="1"/>
    <xf numFmtId="0" fontId="102" fillId="34" borderId="0" xfId="5" applyFont="1" applyFill="1" applyProtection="1">
      <protection locked="0"/>
    </xf>
    <xf numFmtId="0" fontId="105" fillId="34" borderId="0" xfId="5" applyFont="1" applyFill="1"/>
    <xf numFmtId="0" fontId="42" fillId="34" borderId="0" xfId="6" applyFont="1" applyFill="1" applyAlignment="1">
      <alignment horizontal="center" vertical="center" wrapText="1"/>
    </xf>
    <xf numFmtId="0" fontId="41" fillId="34" borderId="0" xfId="6" applyFont="1" applyFill="1" applyAlignment="1">
      <alignment horizontal="center" vertical="center" wrapText="1"/>
    </xf>
    <xf numFmtId="0" fontId="41" fillId="34" borderId="0" xfId="6" applyFont="1" applyFill="1" applyAlignment="1">
      <alignment horizontal="left" vertical="center" wrapText="1"/>
    </xf>
    <xf numFmtId="0" fontId="268" fillId="0" borderId="1" xfId="0" applyFont="1" applyBorder="1" applyAlignment="1">
      <alignment horizontal="center" vertical="center" wrapText="1"/>
    </xf>
    <xf numFmtId="9" fontId="268" fillId="0" borderId="7" xfId="558" applyFont="1" applyBorder="1" applyAlignment="1">
      <alignment horizontal="center" vertical="center" wrapText="1"/>
    </xf>
    <xf numFmtId="0" fontId="103" fillId="0" borderId="1" xfId="0" applyFont="1" applyBorder="1" applyAlignment="1">
      <alignment wrapText="1"/>
    </xf>
    <xf numFmtId="4" fontId="271" fillId="0" borderId="1" xfId="0" applyNumberFormat="1" applyFont="1" applyBorder="1"/>
    <xf numFmtId="4" fontId="103" fillId="0" borderId="1" xfId="0" applyNumberFormat="1" applyFont="1" applyBorder="1"/>
    <xf numFmtId="9" fontId="103" fillId="0" borderId="1" xfId="558" applyFont="1" applyBorder="1"/>
    <xf numFmtId="0" fontId="41" fillId="0" borderId="0" xfId="6" applyFont="1" applyAlignment="1">
      <alignment horizontal="center" vertical="center" wrapText="1"/>
    </xf>
    <xf numFmtId="0" fontId="43" fillId="34" borderId="0" xfId="240" applyFont="1" applyFill="1"/>
    <xf numFmtId="0" fontId="103" fillId="34" borderId="0" xfId="240" applyFont="1" applyFill="1"/>
    <xf numFmtId="4" fontId="47" fillId="34" borderId="1" xfId="240" applyNumberFormat="1" applyFont="1" applyFill="1" applyBorder="1" applyAlignment="1">
      <alignment horizontal="center" vertical="center" wrapText="1"/>
    </xf>
    <xf numFmtId="4" fontId="47" fillId="34" borderId="40" xfId="240" applyNumberFormat="1" applyFont="1" applyFill="1" applyBorder="1" applyAlignment="1">
      <alignment horizontal="center" vertical="center" wrapText="1"/>
    </xf>
    <xf numFmtId="4" fontId="47" fillId="34" borderId="39" xfId="240" applyNumberFormat="1" applyFont="1" applyFill="1" applyBorder="1" applyAlignment="1">
      <alignment horizontal="center" vertical="center" wrapText="1"/>
    </xf>
    <xf numFmtId="4" fontId="47" fillId="34" borderId="1" xfId="240" applyNumberFormat="1" applyFont="1" applyFill="1" applyBorder="1" applyAlignment="1" applyProtection="1">
      <alignment horizontal="center" vertical="center" wrapText="1"/>
      <protection locked="0"/>
    </xf>
    <xf numFmtId="180" fontId="47" fillId="34" borderId="1" xfId="240" applyNumberFormat="1" applyFont="1" applyFill="1" applyBorder="1" applyAlignment="1">
      <alignment horizontal="center" vertical="center" wrapText="1"/>
    </xf>
    <xf numFmtId="0" fontId="40" fillId="34" borderId="39" xfId="0" applyFont="1" applyFill="1" applyBorder="1" applyAlignment="1">
      <alignment horizontal="center" vertical="center" wrapText="1"/>
    </xf>
    <xf numFmtId="0" fontId="40" fillId="34" borderId="1" xfId="0" applyFont="1" applyFill="1" applyBorder="1" applyAlignment="1">
      <alignment horizontal="center" vertical="center" wrapText="1"/>
    </xf>
    <xf numFmtId="180" fontId="40" fillId="34" borderId="1" xfId="0" applyNumberFormat="1" applyFont="1" applyFill="1" applyBorder="1" applyAlignment="1">
      <alignment horizontal="center" vertical="center" wrapText="1"/>
    </xf>
    <xf numFmtId="4" fontId="48" fillId="34" borderId="3" xfId="240" applyNumberFormat="1" applyFont="1" applyFill="1" applyBorder="1" applyAlignment="1">
      <alignment horizontal="center" vertical="center" wrapText="1"/>
    </xf>
    <xf numFmtId="4" fontId="48" fillId="34" borderId="43" xfId="240" applyNumberFormat="1" applyFont="1" applyFill="1" applyBorder="1" applyAlignment="1">
      <alignment horizontal="center" vertical="center" wrapText="1"/>
    </xf>
    <xf numFmtId="4" fontId="48" fillId="34" borderId="42" xfId="240" applyNumberFormat="1" applyFont="1" applyFill="1" applyBorder="1" applyAlignment="1">
      <alignment horizontal="center" vertical="center" wrapText="1"/>
    </xf>
    <xf numFmtId="4" fontId="48" fillId="34" borderId="40" xfId="240" applyNumberFormat="1" applyFont="1" applyFill="1" applyBorder="1" applyAlignment="1">
      <alignment horizontal="center" vertical="center" wrapText="1"/>
    </xf>
    <xf numFmtId="4" fontId="48" fillId="34" borderId="52" xfId="240" applyNumberFormat="1" applyFont="1" applyFill="1" applyBorder="1" applyAlignment="1">
      <alignment horizontal="center" vertical="center" wrapText="1"/>
    </xf>
    <xf numFmtId="4" fontId="48" fillId="34" borderId="1" xfId="240" applyNumberFormat="1" applyFont="1" applyFill="1" applyBorder="1" applyAlignment="1">
      <alignment horizontal="center" vertical="center" wrapText="1"/>
    </xf>
    <xf numFmtId="4" fontId="48" fillId="34" borderId="7" xfId="240" applyNumberFormat="1" applyFont="1" applyFill="1" applyBorder="1" applyAlignment="1">
      <alignment horizontal="center" vertical="center" wrapText="1"/>
    </xf>
    <xf numFmtId="4" fontId="48" fillId="34" borderId="39" xfId="240" applyNumberFormat="1" applyFont="1" applyFill="1" applyBorder="1" applyAlignment="1">
      <alignment horizontal="center" vertical="center" wrapText="1"/>
    </xf>
    <xf numFmtId="4" fontId="47" fillId="34" borderId="52" xfId="240" applyNumberFormat="1" applyFont="1" applyFill="1" applyBorder="1" applyAlignment="1">
      <alignment horizontal="center" vertical="center" wrapText="1"/>
    </xf>
    <xf numFmtId="4" fontId="47" fillId="34" borderId="7" xfId="240" applyNumberFormat="1" applyFont="1" applyFill="1" applyBorder="1" applyAlignment="1">
      <alignment horizontal="center" vertical="center" wrapText="1"/>
    </xf>
    <xf numFmtId="4" fontId="47" fillId="34" borderId="52" xfId="240" applyNumberFormat="1" applyFont="1" applyFill="1" applyBorder="1" applyAlignment="1" applyProtection="1">
      <alignment horizontal="center" vertical="center" wrapText="1"/>
      <protection locked="0"/>
    </xf>
    <xf numFmtId="4" fontId="47" fillId="34" borderId="39" xfId="240" applyNumberFormat="1" applyFont="1" applyFill="1" applyBorder="1" applyAlignment="1" applyProtection="1">
      <alignment horizontal="center" vertical="center" wrapText="1"/>
      <protection locked="0"/>
    </xf>
    <xf numFmtId="180" fontId="47" fillId="34" borderId="1" xfId="240" applyNumberFormat="1" applyFont="1" applyFill="1" applyBorder="1" applyAlignment="1" applyProtection="1">
      <alignment horizontal="center" vertical="center" wrapText="1"/>
      <protection locked="0"/>
    </xf>
    <xf numFmtId="180" fontId="48" fillId="34" borderId="1" xfId="240" applyNumberFormat="1" applyFont="1" applyFill="1" applyBorder="1" applyAlignment="1">
      <alignment horizontal="center" vertical="center" wrapText="1"/>
    </xf>
    <xf numFmtId="4" fontId="47" fillId="34" borderId="40" xfId="240" applyNumberFormat="1" applyFont="1" applyFill="1" applyBorder="1" applyAlignment="1" applyProtection="1">
      <alignment horizontal="center" vertical="center" wrapText="1"/>
      <protection locked="0"/>
    </xf>
    <xf numFmtId="4" fontId="48" fillId="34" borderId="41" xfId="240" applyNumberFormat="1" applyFont="1" applyFill="1" applyBorder="1" applyAlignment="1" applyProtection="1">
      <alignment horizontal="center" vertical="center" wrapText="1"/>
      <protection locked="0"/>
    </xf>
    <xf numFmtId="4" fontId="48" fillId="34" borderId="79" xfId="240" applyNumberFormat="1" applyFont="1" applyFill="1" applyBorder="1" applyAlignment="1" applyProtection="1">
      <alignment horizontal="center" vertical="center" wrapText="1"/>
      <protection locked="0"/>
    </xf>
    <xf numFmtId="4" fontId="48" fillId="34" borderId="1" xfId="240" applyNumberFormat="1" applyFont="1" applyFill="1" applyBorder="1" applyAlignment="1" applyProtection="1">
      <alignment horizontal="center" vertical="center" wrapText="1"/>
      <protection locked="0"/>
    </xf>
    <xf numFmtId="4" fontId="48" fillId="34" borderId="40" xfId="240" applyNumberFormat="1" applyFont="1" applyFill="1" applyBorder="1" applyAlignment="1" applyProtection="1">
      <alignment horizontal="center" vertical="center" wrapText="1"/>
      <protection locked="0"/>
    </xf>
    <xf numFmtId="180" fontId="48" fillId="34" borderId="79" xfId="240" applyNumberFormat="1" applyFont="1" applyFill="1" applyBorder="1" applyAlignment="1" applyProtection="1">
      <alignment horizontal="center" vertical="center" wrapText="1"/>
      <protection locked="0"/>
    </xf>
    <xf numFmtId="0" fontId="40" fillId="34" borderId="41" xfId="240" applyFont="1" applyFill="1" applyBorder="1" applyAlignment="1">
      <alignment horizontal="center" vertical="center" textRotation="90" wrapText="1"/>
    </xf>
    <xf numFmtId="0" fontId="40" fillId="34" borderId="1" xfId="240" applyFont="1" applyFill="1" applyBorder="1" applyAlignment="1">
      <alignment horizontal="center" vertical="center" textRotation="90" wrapText="1"/>
    </xf>
    <xf numFmtId="0" fontId="40" fillId="34" borderId="79" xfId="240" applyFont="1" applyFill="1" applyBorder="1" applyAlignment="1">
      <alignment horizontal="center" vertical="center" textRotation="90" wrapText="1"/>
    </xf>
    <xf numFmtId="0" fontId="40" fillId="34" borderId="40" xfId="240" applyFont="1" applyFill="1" applyBorder="1" applyAlignment="1">
      <alignment horizontal="center" vertical="center" textRotation="90" wrapText="1"/>
    </xf>
    <xf numFmtId="0" fontId="40" fillId="34" borderId="0" xfId="240" applyFont="1" applyFill="1" applyAlignment="1">
      <alignment horizontal="left" vertical="top" wrapText="1"/>
    </xf>
    <xf numFmtId="0" fontId="27" fillId="34" borderId="0" xfId="240" applyFill="1"/>
    <xf numFmtId="179" fontId="40" fillId="34" borderId="0" xfId="240" applyNumberFormat="1" applyFont="1" applyFill="1" applyAlignment="1">
      <alignment horizontal="left" vertical="top" wrapText="1"/>
    </xf>
    <xf numFmtId="0" fontId="40" fillId="34" borderId="3" xfId="240" applyFont="1" applyFill="1" applyBorder="1" applyAlignment="1">
      <alignment vertical="center" wrapText="1"/>
    </xf>
    <xf numFmtId="0" fontId="40" fillId="34" borderId="3" xfId="240" applyFont="1" applyFill="1" applyBorder="1" applyAlignment="1">
      <alignment horizontal="left" vertical="center" wrapText="1" indent="1"/>
    </xf>
    <xf numFmtId="0" fontId="40" fillId="34" borderId="1" xfId="240" applyFont="1" applyFill="1" applyBorder="1" applyAlignment="1">
      <alignment vertical="center" wrapText="1"/>
    </xf>
    <xf numFmtId="0" fontId="40" fillId="34" borderId="79" xfId="5" applyFont="1" applyFill="1" applyBorder="1" applyAlignment="1">
      <alignment vertical="center" wrapText="1"/>
    </xf>
    <xf numFmtId="0" fontId="40" fillId="34" borderId="1" xfId="0" applyFont="1" applyFill="1" applyBorder="1" applyAlignment="1">
      <alignment vertical="center" wrapText="1"/>
    </xf>
    <xf numFmtId="0" fontId="44" fillId="34" borderId="1" xfId="240" applyFont="1" applyFill="1" applyBorder="1" applyAlignment="1">
      <alignment vertical="center" wrapText="1"/>
    </xf>
    <xf numFmtId="0" fontId="44" fillId="34" borderId="8" xfId="240" applyFont="1" applyFill="1" applyBorder="1" applyAlignment="1">
      <alignment horizontal="center" vertical="center" wrapText="1"/>
    </xf>
    <xf numFmtId="0" fontId="40" fillId="34" borderId="79" xfId="240" applyFont="1" applyFill="1" applyBorder="1" applyAlignment="1">
      <alignment vertical="center" wrapText="1"/>
    </xf>
    <xf numFmtId="0" fontId="44" fillId="34" borderId="0" xfId="0" applyFont="1" applyFill="1"/>
    <xf numFmtId="0" fontId="44" fillId="34" borderId="79" xfId="240" applyFont="1" applyFill="1" applyBorder="1" applyAlignment="1">
      <alignment vertical="center" wrapText="1"/>
    </xf>
    <xf numFmtId="0" fontId="44" fillId="34" borderId="3" xfId="240" applyFont="1" applyFill="1" applyBorder="1" applyAlignment="1">
      <alignment vertical="center" wrapText="1"/>
    </xf>
    <xf numFmtId="0" fontId="44" fillId="34" borderId="1" xfId="5" applyFont="1" applyFill="1" applyBorder="1" applyAlignment="1">
      <alignment vertical="center" wrapText="1"/>
    </xf>
    <xf numFmtId="0" fontId="44" fillId="34" borderId="79" xfId="5" applyFont="1" applyFill="1" applyBorder="1" applyAlignment="1">
      <alignment vertical="center" wrapText="1"/>
    </xf>
    <xf numFmtId="0" fontId="44" fillId="34" borderId="1" xfId="0" applyFont="1" applyFill="1" applyBorder="1" applyAlignment="1">
      <alignment vertical="center" wrapText="1"/>
    </xf>
    <xf numFmtId="0" fontId="44" fillId="34" borderId="9" xfId="240" applyFont="1" applyFill="1" applyBorder="1" applyAlignment="1">
      <alignment horizontal="center" vertical="center" wrapText="1"/>
    </xf>
    <xf numFmtId="0" fontId="44" fillId="34" borderId="45" xfId="0" applyFont="1" applyFill="1" applyBorder="1" applyAlignment="1">
      <alignment vertical="center" wrapText="1"/>
    </xf>
    <xf numFmtId="0" fontId="44" fillId="34" borderId="80" xfId="240" applyFont="1" applyFill="1" applyBorder="1" applyAlignment="1">
      <alignment horizontal="center" vertical="center" wrapText="1"/>
    </xf>
    <xf numFmtId="0" fontId="43" fillId="34" borderId="32" xfId="0" applyFont="1" applyFill="1" applyBorder="1" applyAlignment="1">
      <alignment horizontal="center"/>
    </xf>
    <xf numFmtId="10" fontId="100" fillId="34" borderId="36" xfId="0" applyNumberFormat="1" applyFont="1" applyFill="1" applyBorder="1" applyAlignment="1">
      <alignment horizontal="center"/>
    </xf>
    <xf numFmtId="176" fontId="100" fillId="34" borderId="6" xfId="0" applyNumberFormat="1" applyFont="1" applyFill="1" applyBorder="1" applyAlignment="1">
      <alignment horizontal="center" vertical="center"/>
    </xf>
    <xf numFmtId="0" fontId="43" fillId="34" borderId="0" xfId="0" applyFont="1" applyFill="1"/>
    <xf numFmtId="0" fontId="47" fillId="34" borderId="1" xfId="240" applyFont="1" applyFill="1" applyBorder="1" applyAlignment="1">
      <alignment horizontal="center" vertical="center" wrapText="1"/>
    </xf>
    <xf numFmtId="4" fontId="44" fillId="34" borderId="1" xfId="240" applyNumberFormat="1" applyFont="1" applyFill="1" applyBorder="1" applyAlignment="1">
      <alignment horizontal="center" vertical="center" wrapText="1"/>
    </xf>
    <xf numFmtId="4" fontId="40" fillId="34" borderId="1" xfId="240" applyNumberFormat="1" applyFont="1" applyFill="1" applyBorder="1" applyAlignment="1">
      <alignment horizontal="center" vertical="center" wrapText="1"/>
    </xf>
    <xf numFmtId="4" fontId="40" fillId="34" borderId="1" xfId="240" applyNumberFormat="1" applyFont="1" applyFill="1" applyBorder="1" applyAlignment="1" applyProtection="1">
      <alignment horizontal="center" vertical="center" wrapText="1"/>
      <protection locked="0"/>
    </xf>
    <xf numFmtId="4" fontId="44" fillId="34" borderId="1" xfId="240" applyNumberFormat="1" applyFont="1" applyFill="1" applyBorder="1" applyAlignment="1" applyProtection="1">
      <alignment horizontal="center" vertical="center" wrapText="1"/>
      <protection locked="0"/>
    </xf>
    <xf numFmtId="2" fontId="40" fillId="34" borderId="1" xfId="240" applyNumberFormat="1" applyFont="1" applyFill="1" applyBorder="1" applyAlignment="1">
      <alignment horizontal="center" vertical="center" wrapText="1"/>
    </xf>
    <xf numFmtId="2" fontId="40" fillId="34" borderId="1" xfId="240" applyNumberFormat="1" applyFont="1" applyFill="1" applyBorder="1" applyAlignment="1" applyProtection="1">
      <alignment horizontal="center" vertical="center" wrapText="1"/>
      <protection locked="0"/>
    </xf>
    <xf numFmtId="0" fontId="42" fillId="34" borderId="0" xfId="240" applyFont="1" applyFill="1"/>
    <xf numFmtId="0" fontId="42" fillId="34" borderId="0" xfId="240" applyFont="1" applyFill="1" applyAlignment="1">
      <alignment vertical="top" wrapText="1"/>
    </xf>
    <xf numFmtId="49" fontId="42" fillId="34" borderId="0" xfId="240" applyNumberFormat="1" applyFont="1" applyFill="1"/>
    <xf numFmtId="0" fontId="42" fillId="34" borderId="0" xfId="240" applyFont="1" applyFill="1" applyAlignment="1">
      <alignment horizontal="center" vertical="center" wrapText="1"/>
    </xf>
    <xf numFmtId="0" fontId="39" fillId="34" borderId="0" xfId="240" applyFont="1" applyFill="1"/>
    <xf numFmtId="0" fontId="41" fillId="34" borderId="8" xfId="240" applyFont="1" applyFill="1" applyBorder="1" applyAlignment="1">
      <alignment vertical="center" wrapText="1"/>
    </xf>
    <xf numFmtId="0" fontId="41" fillId="34" borderId="9" xfId="240" applyFont="1" applyFill="1" applyBorder="1" applyAlignment="1">
      <alignment vertical="center" wrapText="1"/>
    </xf>
    <xf numFmtId="49" fontId="40" fillId="34" borderId="1" xfId="240" applyNumberFormat="1" applyFont="1" applyFill="1" applyBorder="1" applyAlignment="1">
      <alignment horizontal="center" vertical="center" wrapText="1"/>
    </xf>
    <xf numFmtId="49" fontId="45" fillId="34" borderId="8" xfId="240" applyNumberFormat="1" applyFont="1" applyFill="1" applyBorder="1" applyAlignment="1">
      <alignment horizontal="right" vertical="center" wrapText="1"/>
    </xf>
    <xf numFmtId="0" fontId="39" fillId="34" borderId="1" xfId="0" applyFont="1" applyFill="1" applyBorder="1" applyAlignment="1">
      <alignment vertical="top" wrapText="1"/>
    </xf>
    <xf numFmtId="0" fontId="44" fillId="34" borderId="7" xfId="240" applyFont="1" applyFill="1" applyBorder="1" applyAlignment="1">
      <alignment horizontal="center" vertical="center" wrapText="1"/>
    </xf>
    <xf numFmtId="180" fontId="44" fillId="34" borderId="1" xfId="240" applyNumberFormat="1" applyFont="1" applyFill="1" applyBorder="1" applyAlignment="1">
      <alignment horizontal="center" vertical="center" wrapText="1"/>
    </xf>
    <xf numFmtId="49" fontId="39" fillId="34" borderId="8" xfId="240" applyNumberFormat="1" applyFont="1" applyFill="1" applyBorder="1" applyAlignment="1">
      <alignment horizontal="right" vertical="center" wrapText="1"/>
    </xf>
    <xf numFmtId="49" fontId="39" fillId="34" borderId="3" xfId="240" applyNumberFormat="1" applyFont="1" applyFill="1" applyBorder="1" applyAlignment="1">
      <alignment horizontal="right" vertical="center" wrapText="1"/>
    </xf>
    <xf numFmtId="0" fontId="39" fillId="34" borderId="4" xfId="240" applyFont="1" applyFill="1" applyBorder="1" applyAlignment="1">
      <alignment vertical="top" wrapText="1"/>
    </xf>
    <xf numFmtId="4" fontId="40" fillId="34" borderId="3" xfId="240" applyNumberFormat="1" applyFont="1" applyFill="1" applyBorder="1" applyAlignment="1">
      <alignment horizontal="center" vertical="center" wrapText="1"/>
    </xf>
    <xf numFmtId="0" fontId="39" fillId="34" borderId="79" xfId="0" applyFont="1" applyFill="1" applyBorder="1" applyAlignment="1">
      <alignment vertical="top" wrapText="1"/>
    </xf>
    <xf numFmtId="49" fontId="45" fillId="34" borderId="1" xfId="240" applyNumberFormat="1" applyFont="1" applyFill="1" applyBorder="1" applyAlignment="1">
      <alignment horizontal="right" vertical="center" wrapText="1"/>
    </xf>
    <xf numFmtId="0" fontId="45" fillId="34" borderId="3" xfId="240" applyFont="1" applyFill="1" applyBorder="1" applyAlignment="1">
      <alignment vertical="top" wrapText="1"/>
    </xf>
    <xf numFmtId="0" fontId="44" fillId="34" borderId="1" xfId="240" applyFont="1" applyFill="1" applyBorder="1" applyAlignment="1">
      <alignment horizontal="center" vertical="center" wrapText="1"/>
    </xf>
    <xf numFmtId="49" fontId="39" fillId="34" borderId="1" xfId="240" applyNumberFormat="1" applyFont="1" applyFill="1" applyBorder="1" applyAlignment="1">
      <alignment horizontal="right" vertical="center" wrapText="1"/>
    </xf>
    <xf numFmtId="0" fontId="39" fillId="34" borderId="1" xfId="240" applyFont="1" applyFill="1" applyBorder="1" applyAlignment="1">
      <alignment vertical="top" wrapText="1"/>
    </xf>
    <xf numFmtId="0" fontId="39" fillId="34" borderId="79" xfId="240" applyFont="1" applyFill="1" applyBorder="1" applyAlignment="1">
      <alignment vertical="top" wrapText="1"/>
    </xf>
    <xf numFmtId="0" fontId="45" fillId="34" borderId="1" xfId="0" applyFont="1" applyFill="1" applyBorder="1" applyAlignment="1">
      <alignment vertical="top" wrapText="1"/>
    </xf>
    <xf numFmtId="0" fontId="45" fillId="34" borderId="1" xfId="240" applyFont="1" applyFill="1" applyBorder="1" applyAlignment="1">
      <alignment vertical="top" wrapText="1"/>
    </xf>
    <xf numFmtId="0" fontId="263" fillId="34" borderId="1" xfId="240" applyFont="1" applyFill="1" applyBorder="1" applyAlignment="1">
      <alignment vertical="top" wrapText="1"/>
    </xf>
    <xf numFmtId="0" fontId="39" fillId="34" borderId="8" xfId="240" applyFont="1" applyFill="1" applyBorder="1" applyAlignment="1">
      <alignment horizontal="right" vertical="center" wrapText="1"/>
    </xf>
    <xf numFmtId="0" fontId="40" fillId="34" borderId="7" xfId="240" applyFont="1" applyFill="1" applyBorder="1" applyAlignment="1">
      <alignment horizontal="center" vertical="center" wrapText="1"/>
    </xf>
    <xf numFmtId="0" fontId="40" fillId="34" borderId="1" xfId="240" applyFont="1" applyFill="1" applyBorder="1" applyAlignment="1" applyProtection="1">
      <alignment horizontal="center" vertical="center" wrapText="1"/>
      <protection locked="0"/>
    </xf>
    <xf numFmtId="0" fontId="39" fillId="34" borderId="3" xfId="240" applyFont="1" applyFill="1" applyBorder="1" applyAlignment="1">
      <alignment vertical="top" wrapText="1"/>
    </xf>
    <xf numFmtId="49" fontId="39" fillId="34" borderId="9" xfId="240" applyNumberFormat="1" applyFont="1" applyFill="1" applyBorder="1" applyAlignment="1">
      <alignment horizontal="right" vertical="center" wrapText="1"/>
    </xf>
    <xf numFmtId="0" fontId="39" fillId="34" borderId="9" xfId="240" applyFont="1" applyFill="1" applyBorder="1" applyAlignment="1">
      <alignment vertical="center" wrapText="1"/>
    </xf>
    <xf numFmtId="0" fontId="40" fillId="34" borderId="0" xfId="240" applyFont="1" applyFill="1" applyAlignment="1">
      <alignment horizontal="center" vertical="center" wrapText="1"/>
    </xf>
    <xf numFmtId="2" fontId="40" fillId="34" borderId="0" xfId="240" applyNumberFormat="1" applyFont="1" applyFill="1" applyAlignment="1">
      <alignment horizontal="center" vertical="center" wrapText="1"/>
    </xf>
    <xf numFmtId="0" fontId="39" fillId="34" borderId="0" xfId="240" applyFont="1" applyFill="1" applyAlignment="1">
      <alignment vertical="center"/>
    </xf>
    <xf numFmtId="49" fontId="42" fillId="34" borderId="0" xfId="240" applyNumberFormat="1" applyFont="1" applyFill="1" applyProtection="1">
      <protection locked="0"/>
    </xf>
    <xf numFmtId="0" fontId="42" fillId="34" borderId="0" xfId="240" applyFont="1" applyFill="1" applyProtection="1">
      <protection locked="0"/>
    </xf>
    <xf numFmtId="3" fontId="27" fillId="34" borderId="0" xfId="240" applyNumberFormat="1" applyFill="1"/>
    <xf numFmtId="49" fontId="46" fillId="34" borderId="1" xfId="240" applyNumberFormat="1" applyFont="1" applyFill="1" applyBorder="1" applyAlignment="1">
      <alignment horizontal="right" vertical="center" wrapText="1"/>
    </xf>
    <xf numFmtId="0" fontId="46" fillId="34" borderId="1" xfId="240" applyFont="1" applyFill="1" applyBorder="1" applyAlignment="1">
      <alignment vertical="center" wrapText="1"/>
    </xf>
    <xf numFmtId="49" fontId="41" fillId="34" borderId="1" xfId="240" applyNumberFormat="1" applyFont="1" applyFill="1" applyBorder="1" applyAlignment="1">
      <alignment horizontal="right" vertical="center" wrapText="1"/>
    </xf>
    <xf numFmtId="0" fontId="41" fillId="34" borderId="1" xfId="240" applyFont="1" applyFill="1" applyBorder="1" applyAlignment="1">
      <alignment vertical="center" wrapText="1"/>
    </xf>
    <xf numFmtId="0" fontId="45" fillId="34" borderId="1" xfId="0" applyFont="1" applyFill="1" applyBorder="1" applyAlignment="1">
      <alignment vertical="center" wrapText="1"/>
    </xf>
    <xf numFmtId="0" fontId="39" fillId="34" borderId="0" xfId="0" applyFont="1" applyFill="1"/>
    <xf numFmtId="2" fontId="44" fillId="34" borderId="1" xfId="240" applyNumberFormat="1" applyFont="1" applyFill="1" applyBorder="1" applyAlignment="1" applyProtection="1">
      <alignment horizontal="center" vertical="center" wrapText="1"/>
      <protection locked="0"/>
    </xf>
    <xf numFmtId="175" fontId="44" fillId="34" borderId="1" xfId="240" applyNumberFormat="1" applyFont="1" applyFill="1" applyBorder="1" applyAlignment="1" applyProtection="1">
      <alignment horizontal="center" vertical="center" wrapText="1"/>
      <protection locked="0"/>
    </xf>
    <xf numFmtId="175" fontId="44" fillId="34" borderId="1" xfId="240" applyNumberFormat="1" applyFont="1" applyFill="1" applyBorder="1" applyAlignment="1">
      <alignment horizontal="center" vertical="center" wrapText="1"/>
    </xf>
    <xf numFmtId="175" fontId="40" fillId="34" borderId="1" xfId="240" applyNumberFormat="1" applyFont="1" applyFill="1" applyBorder="1" applyAlignment="1">
      <alignment horizontal="center" vertical="center" wrapText="1"/>
    </xf>
    <xf numFmtId="175" fontId="40" fillId="34" borderId="1" xfId="240" applyNumberFormat="1" applyFont="1" applyFill="1" applyBorder="1" applyAlignment="1" applyProtection="1">
      <alignment horizontal="center" vertical="center" wrapText="1"/>
      <protection locked="0"/>
    </xf>
    <xf numFmtId="2" fontId="44" fillId="34" borderId="1" xfId="240" applyNumberFormat="1" applyFont="1" applyFill="1" applyBorder="1" applyAlignment="1">
      <alignment horizontal="center" vertical="center" wrapText="1"/>
    </xf>
    <xf numFmtId="0" fontId="44" fillId="34" borderId="1" xfId="240" applyFont="1" applyFill="1" applyBorder="1" applyAlignment="1" applyProtection="1">
      <alignment horizontal="center" vertical="center" wrapText="1"/>
      <protection locked="0"/>
    </xf>
    <xf numFmtId="49" fontId="41" fillId="34" borderId="9" xfId="240" applyNumberFormat="1" applyFont="1" applyFill="1" applyBorder="1" applyAlignment="1">
      <alignment horizontal="right" vertical="center" wrapText="1"/>
    </xf>
    <xf numFmtId="0" fontId="40" fillId="34" borderId="0" xfId="240" applyFont="1" applyFill="1" applyAlignment="1" applyProtection="1">
      <alignment horizontal="center" vertical="center" wrapText="1"/>
      <protection locked="0"/>
    </xf>
    <xf numFmtId="49" fontId="39" fillId="34" borderId="0" xfId="240" applyNumberFormat="1" applyFont="1" applyFill="1"/>
    <xf numFmtId="0" fontId="39" fillId="34" borderId="0" xfId="240" applyFont="1" applyFill="1" applyAlignment="1">
      <alignment horizontal="center" vertical="top" wrapText="1"/>
    </xf>
    <xf numFmtId="0" fontId="42" fillId="34" borderId="0" xfId="240" applyFont="1" applyFill="1" applyAlignment="1">
      <alignment wrapText="1"/>
    </xf>
    <xf numFmtId="2" fontId="39" fillId="34" borderId="1" xfId="240" applyNumberFormat="1" applyFont="1" applyFill="1" applyBorder="1" applyAlignment="1">
      <alignment horizontal="center" vertical="center" wrapText="1"/>
    </xf>
    <xf numFmtId="2" fontId="45" fillId="34" borderId="1" xfId="240" applyNumberFormat="1" applyFont="1" applyFill="1" applyBorder="1" applyAlignment="1">
      <alignment horizontal="center" vertical="center" wrapText="1"/>
    </xf>
    <xf numFmtId="4" fontId="39" fillId="34" borderId="1" xfId="240" applyNumberFormat="1" applyFont="1" applyFill="1" applyBorder="1" applyAlignment="1">
      <alignment horizontal="center" vertical="center" wrapText="1"/>
    </xf>
    <xf numFmtId="49" fontId="50" fillId="34" borderId="1" xfId="240" applyNumberFormat="1" applyFont="1" applyFill="1" applyBorder="1" applyAlignment="1">
      <alignment horizontal="right" vertical="center" wrapText="1"/>
    </xf>
    <xf numFmtId="0" fontId="50" fillId="34" borderId="1" xfId="240" applyFont="1" applyFill="1" applyBorder="1" applyAlignment="1">
      <alignment vertical="center" wrapText="1"/>
    </xf>
    <xf numFmtId="0" fontId="50" fillId="34" borderId="1" xfId="240" applyFont="1" applyFill="1" applyBorder="1" applyAlignment="1">
      <alignment horizontal="center" vertical="center" wrapText="1"/>
    </xf>
    <xf numFmtId="10" fontId="39" fillId="34" borderId="1" xfId="240" applyNumberFormat="1" applyFont="1" applyFill="1" applyBorder="1" applyAlignment="1">
      <alignment horizontal="center" vertical="center" wrapText="1"/>
    </xf>
    <xf numFmtId="0" fontId="39" fillId="34" borderId="0" xfId="240" applyFont="1" applyFill="1" applyAlignment="1">
      <alignment vertical="top"/>
    </xf>
    <xf numFmtId="0" fontId="41" fillId="34" borderId="0" xfId="240" applyFont="1" applyFill="1" applyAlignment="1">
      <alignment horizontal="center" vertical="top" wrapText="1"/>
    </xf>
    <xf numFmtId="49" fontId="132" fillId="34" borderId="0" xfId="240" applyNumberFormat="1" applyFont="1" applyFill="1"/>
    <xf numFmtId="0" fontId="132" fillId="34" borderId="0" xfId="240" applyFont="1" applyFill="1" applyAlignment="1">
      <alignment horizontal="center" vertical="center" wrapText="1"/>
    </xf>
    <xf numFmtId="0" fontId="132" fillId="34" borderId="0" xfId="240" applyFont="1" applyFill="1"/>
    <xf numFmtId="0" fontId="132" fillId="34" borderId="0" xfId="240" applyFont="1" applyFill="1" applyAlignment="1">
      <alignment wrapText="1"/>
    </xf>
    <xf numFmtId="0" fontId="53" fillId="34" borderId="1" xfId="240" applyFont="1" applyFill="1" applyBorder="1" applyAlignment="1">
      <alignment horizontal="center" vertical="center" wrapText="1"/>
    </xf>
    <xf numFmtId="2" fontId="161" fillId="34" borderId="1" xfId="240" applyNumberFormat="1" applyFont="1" applyFill="1" applyBorder="1" applyAlignment="1">
      <alignment horizontal="center" vertical="center" wrapText="1"/>
    </xf>
    <xf numFmtId="2" fontId="137" fillId="34" borderId="1" xfId="240" applyNumberFormat="1" applyFont="1" applyFill="1" applyBorder="1" applyAlignment="1">
      <alignment horizontal="center" vertical="center" wrapText="1"/>
    </xf>
    <xf numFmtId="4" fontId="161" fillId="34" borderId="1" xfId="240" applyNumberFormat="1" applyFont="1" applyFill="1" applyBorder="1" applyAlignment="1">
      <alignment horizontal="center" vertical="center" wrapText="1"/>
    </xf>
    <xf numFmtId="10" fontId="161" fillId="34" borderId="1" xfId="240" applyNumberFormat="1" applyFont="1" applyFill="1" applyBorder="1" applyAlignment="1">
      <alignment horizontal="center" vertical="center" wrapText="1"/>
    </xf>
    <xf numFmtId="0" fontId="161" fillId="34" borderId="0" xfId="240" applyFont="1" applyFill="1" applyAlignment="1">
      <alignment vertical="top"/>
    </xf>
    <xf numFmtId="0" fontId="161" fillId="34" borderId="0" xfId="240" applyFont="1" applyFill="1"/>
    <xf numFmtId="0" fontId="50" fillId="34" borderId="0" xfId="240" applyFont="1" applyFill="1" applyAlignment="1">
      <alignment horizontal="center" vertical="top" wrapText="1"/>
    </xf>
    <xf numFmtId="0" fontId="40" fillId="34" borderId="0" xfId="5" applyFont="1" applyFill="1" applyAlignment="1">
      <alignment vertical="top" wrapText="1"/>
    </xf>
    <xf numFmtId="49" fontId="53" fillId="34" borderId="48" xfId="5" applyNumberFormat="1" applyFont="1" applyFill="1" applyBorder="1" applyAlignment="1">
      <alignment vertical="center" wrapText="1"/>
    </xf>
    <xf numFmtId="49" fontId="53" fillId="34" borderId="42" xfId="5" applyNumberFormat="1" applyFont="1" applyFill="1" applyBorder="1" applyAlignment="1">
      <alignment vertical="center" wrapText="1"/>
    </xf>
    <xf numFmtId="49" fontId="53" fillId="34" borderId="28" xfId="5" applyNumberFormat="1" applyFont="1" applyFill="1" applyBorder="1" applyAlignment="1">
      <alignment horizontal="center" vertical="center" wrapText="1"/>
    </xf>
    <xf numFmtId="49" fontId="39" fillId="34" borderId="57" xfId="5" applyNumberFormat="1" applyFont="1" applyFill="1" applyBorder="1" applyAlignment="1">
      <alignment horizontal="center" vertical="center"/>
    </xf>
    <xf numFmtId="49" fontId="39" fillId="34" borderId="39" xfId="5" applyNumberFormat="1" applyFont="1" applyFill="1" applyBorder="1" applyAlignment="1">
      <alignment horizontal="center" vertical="center"/>
    </xf>
    <xf numFmtId="49" fontId="39" fillId="34" borderId="44" xfId="5" applyNumberFormat="1" applyFont="1" applyFill="1" applyBorder="1" applyAlignment="1">
      <alignment horizontal="center" vertical="center"/>
    </xf>
    <xf numFmtId="49" fontId="39" fillId="34" borderId="88" xfId="5" applyNumberFormat="1" applyFont="1" applyFill="1" applyBorder="1" applyAlignment="1">
      <alignment horizontal="center" vertical="center"/>
    </xf>
    <xf numFmtId="49" fontId="39" fillId="34" borderId="52" xfId="5" applyNumberFormat="1" applyFont="1" applyFill="1" applyBorder="1" applyAlignment="1">
      <alignment horizontal="center" vertical="center"/>
    </xf>
    <xf numFmtId="49" fontId="39" fillId="34" borderId="53" xfId="5" applyNumberFormat="1" applyFont="1" applyFill="1" applyBorder="1" applyAlignment="1">
      <alignment horizontal="center" vertical="center"/>
    </xf>
    <xf numFmtId="49" fontId="39" fillId="34" borderId="57" xfId="5" applyNumberFormat="1" applyFont="1" applyFill="1" applyBorder="1" applyAlignment="1">
      <alignment horizontal="center" vertical="center" wrapText="1"/>
    </xf>
    <xf numFmtId="49" fontId="39" fillId="34" borderId="39" xfId="5" applyNumberFormat="1" applyFont="1" applyFill="1" applyBorder="1" applyAlignment="1">
      <alignment horizontal="center" vertical="center" wrapText="1"/>
    </xf>
    <xf numFmtId="49" fontId="39" fillId="34" borderId="88" xfId="5" applyNumberFormat="1" applyFont="1" applyFill="1" applyBorder="1" applyAlignment="1">
      <alignment horizontal="center" vertical="center" wrapText="1"/>
    </xf>
    <xf numFmtId="49" fontId="39" fillId="34" borderId="52" xfId="5" applyNumberFormat="1" applyFont="1" applyFill="1" applyBorder="1" applyAlignment="1">
      <alignment horizontal="center" vertical="center" wrapText="1"/>
    </xf>
    <xf numFmtId="49" fontId="39" fillId="34" borderId="53" xfId="5" applyNumberFormat="1" applyFont="1" applyFill="1" applyBorder="1" applyAlignment="1">
      <alignment horizontal="center" vertical="center" wrapText="1"/>
    </xf>
    <xf numFmtId="49" fontId="39" fillId="34" borderId="92" xfId="5" applyNumberFormat="1" applyFont="1" applyFill="1" applyBorder="1" applyAlignment="1">
      <alignment horizontal="center" vertical="center" wrapText="1"/>
    </xf>
    <xf numFmtId="0" fontId="39" fillId="34" borderId="88" xfId="5" applyFont="1" applyFill="1" applyBorder="1" applyAlignment="1">
      <alignment horizontal="center" vertical="center" wrapText="1"/>
    </xf>
    <xf numFmtId="0" fontId="39" fillId="34" borderId="52" xfId="5" applyFont="1" applyFill="1" applyBorder="1" applyAlignment="1">
      <alignment horizontal="center" vertical="center" wrapText="1"/>
    </xf>
    <xf numFmtId="49" fontId="39" fillId="34" borderId="44" xfId="5" applyNumberFormat="1" applyFont="1" applyFill="1" applyBorder="1" applyAlignment="1">
      <alignment horizontal="center" vertical="center" wrapText="1"/>
    </xf>
    <xf numFmtId="49" fontId="45" fillId="34" borderId="30" xfId="5" applyNumberFormat="1" applyFont="1" applyFill="1" applyBorder="1" applyAlignment="1">
      <alignment horizontal="center" vertical="center" wrapText="1"/>
    </xf>
    <xf numFmtId="49" fontId="45" fillId="34" borderId="42" xfId="5" applyNumberFormat="1" applyFont="1" applyFill="1" applyBorder="1" applyAlignment="1">
      <alignment horizontal="center" vertical="center" wrapText="1"/>
    </xf>
    <xf numFmtId="49" fontId="34" fillId="34" borderId="0" xfId="5" applyNumberFormat="1" applyFill="1"/>
    <xf numFmtId="49" fontId="164" fillId="34" borderId="0" xfId="5" applyNumberFormat="1" applyFont="1" applyFill="1"/>
    <xf numFmtId="0" fontId="42" fillId="34" borderId="0" xfId="5" applyFont="1" applyFill="1" applyAlignment="1">
      <alignment horizontal="center" vertical="center"/>
    </xf>
    <xf numFmtId="0" fontId="30" fillId="34" borderId="0" xfId="5" applyFont="1" applyFill="1" applyAlignment="1">
      <alignment horizontal="center"/>
    </xf>
    <xf numFmtId="0" fontId="0" fillId="34" borderId="0" xfId="0" applyFill="1" applyAlignment="1">
      <alignment horizontal="center"/>
    </xf>
    <xf numFmtId="187" fontId="42" fillId="0" borderId="111" xfId="0" applyNumberFormat="1" applyFont="1" applyBorder="1" applyAlignment="1">
      <alignment horizontal="center"/>
    </xf>
    <xf numFmtId="0" fontId="51" fillId="34" borderId="0" xfId="240" applyFont="1" applyFill="1" applyAlignment="1">
      <alignment horizontal="center"/>
    </xf>
    <xf numFmtId="0" fontId="41" fillId="34" borderId="0" xfId="240" applyFont="1" applyFill="1" applyAlignment="1" applyProtection="1">
      <alignment horizontal="center" vertical="top" wrapText="1"/>
      <protection locked="0"/>
    </xf>
    <xf numFmtId="0" fontId="40" fillId="34" borderId="8" xfId="240" applyFont="1" applyFill="1" applyBorder="1" applyAlignment="1">
      <alignment horizontal="center" vertical="center" wrapText="1"/>
    </xf>
    <xf numFmtId="0" fontId="40" fillId="34" borderId="9" xfId="240" applyFont="1" applyFill="1" applyBorder="1" applyAlignment="1">
      <alignment horizontal="center" vertical="center" wrapText="1"/>
    </xf>
    <xf numFmtId="0" fontId="42" fillId="34" borderId="0" xfId="240" applyFont="1" applyFill="1" applyAlignment="1">
      <alignment horizontal="left" vertical="top" wrapText="1"/>
    </xf>
    <xf numFmtId="0" fontId="40" fillId="34" borderId="79" xfId="240" applyFont="1" applyFill="1" applyBorder="1" applyAlignment="1">
      <alignment horizontal="center" vertical="center" wrapText="1"/>
    </xf>
    <xf numFmtId="0" fontId="40" fillId="34" borderId="3" xfId="240" applyFont="1" applyFill="1" applyBorder="1" applyAlignment="1">
      <alignment horizontal="center" vertical="center" wrapText="1"/>
    </xf>
    <xf numFmtId="0" fontId="39" fillId="34" borderId="0" xfId="240" applyFont="1" applyFill="1" applyAlignment="1">
      <alignment horizontal="left" vertical="top" wrapText="1"/>
    </xf>
    <xf numFmtId="0" fontId="161" fillId="34" borderId="0" xfId="240" applyFont="1" applyFill="1" applyAlignment="1">
      <alignment horizontal="left" vertical="top" wrapText="1"/>
    </xf>
    <xf numFmtId="0" fontId="103" fillId="34" borderId="0" xfId="0" applyFont="1" applyFill="1"/>
    <xf numFmtId="0" fontId="39" fillId="0" borderId="0" xfId="0" applyFont="1" applyAlignment="1">
      <alignment horizontal="left" vertical="top" wrapText="1"/>
    </xf>
    <xf numFmtId="0" fontId="43" fillId="34" borderId="0" xfId="0" applyFont="1" applyFill="1" applyAlignment="1">
      <alignment horizontal="center"/>
    </xf>
    <xf numFmtId="0" fontId="41" fillId="34" borderId="2" xfId="6" applyFont="1" applyFill="1" applyBorder="1" applyAlignment="1">
      <alignment horizontal="center" vertical="center" wrapText="1"/>
    </xf>
    <xf numFmtId="49" fontId="42" fillId="34" borderId="0" xfId="240" applyNumberFormat="1" applyFont="1" applyFill="1" applyAlignment="1">
      <alignment horizontal="right"/>
    </xf>
    <xf numFmtId="0" fontId="42" fillId="34" borderId="0" xfId="240" applyFont="1" applyFill="1" applyAlignment="1">
      <alignment horizontal="right"/>
    </xf>
    <xf numFmtId="0" fontId="40" fillId="34" borderId="39" xfId="240" applyFont="1" applyFill="1" applyBorder="1" applyAlignment="1">
      <alignment horizontal="center" vertical="center" textRotation="90" wrapText="1"/>
    </xf>
    <xf numFmtId="49" fontId="40" fillId="34" borderId="39" xfId="240" applyNumberFormat="1" applyFont="1" applyFill="1" applyBorder="1" applyAlignment="1">
      <alignment horizontal="center" vertical="center" wrapText="1"/>
    </xf>
    <xf numFmtId="49" fontId="40" fillId="34" borderId="8" xfId="240" applyNumberFormat="1" applyFont="1" applyFill="1" applyBorder="1" applyAlignment="1">
      <alignment horizontal="center" vertical="center" wrapText="1"/>
    </xf>
    <xf numFmtId="0" fontId="40" fillId="34" borderId="41" xfId="240" applyFont="1" applyFill="1" applyBorder="1" applyAlignment="1">
      <alignment horizontal="center" vertical="center" wrapText="1"/>
    </xf>
    <xf numFmtId="49" fontId="40" fillId="34" borderId="40" xfId="240" applyNumberFormat="1" applyFont="1" applyFill="1" applyBorder="1" applyAlignment="1">
      <alignment horizontal="center" vertical="center" wrapText="1"/>
    </xf>
    <xf numFmtId="49" fontId="44" fillId="34" borderId="52" xfId="240" applyNumberFormat="1" applyFont="1" applyFill="1" applyBorder="1" applyAlignment="1">
      <alignment horizontal="right" vertical="center" wrapText="1"/>
    </xf>
    <xf numFmtId="49" fontId="40" fillId="34" borderId="52" xfId="240" applyNumberFormat="1" applyFont="1" applyFill="1" applyBorder="1" applyAlignment="1">
      <alignment horizontal="right" vertical="center" wrapText="1"/>
    </xf>
    <xf numFmtId="49" fontId="40" fillId="34" borderId="39" xfId="240" applyNumberFormat="1" applyFont="1" applyFill="1" applyBorder="1" applyAlignment="1">
      <alignment horizontal="right" vertical="center" wrapText="1"/>
    </xf>
    <xf numFmtId="49" fontId="40" fillId="34" borderId="39" xfId="5" applyNumberFormat="1" applyFont="1" applyFill="1" applyBorder="1" applyAlignment="1">
      <alignment horizontal="right" vertical="center" wrapText="1"/>
    </xf>
    <xf numFmtId="49" fontId="44" fillId="34" borderId="39" xfId="240" applyNumberFormat="1" applyFont="1" applyFill="1" applyBorder="1" applyAlignment="1">
      <alignment horizontal="right" vertical="center" wrapText="1"/>
    </xf>
    <xf numFmtId="49" fontId="44" fillId="34" borderId="39" xfId="5" applyNumberFormat="1" applyFont="1" applyFill="1" applyBorder="1" applyAlignment="1">
      <alignment horizontal="right" vertical="center" wrapText="1"/>
    </xf>
    <xf numFmtId="49" fontId="44" fillId="34" borderId="53" xfId="240" applyNumberFormat="1" applyFont="1" applyFill="1" applyBorder="1" applyAlignment="1">
      <alignment horizontal="right" vertical="center" wrapText="1"/>
    </xf>
    <xf numFmtId="4" fontId="48" fillId="34" borderId="53" xfId="240" applyNumberFormat="1" applyFont="1" applyFill="1" applyBorder="1" applyAlignment="1" applyProtection="1">
      <alignment horizontal="center" vertical="center" wrapText="1"/>
      <protection locked="0"/>
    </xf>
    <xf numFmtId="4" fontId="48" fillId="34" borderId="45" xfId="240" applyNumberFormat="1" applyFont="1" applyFill="1" applyBorder="1" applyAlignment="1" applyProtection="1">
      <alignment horizontal="center" vertical="center" wrapText="1"/>
      <protection locked="0"/>
    </xf>
    <xf numFmtId="4" fontId="48" fillId="34" borderId="54" xfId="240" applyNumberFormat="1" applyFont="1" applyFill="1" applyBorder="1" applyAlignment="1" applyProtection="1">
      <alignment horizontal="center" vertical="center" wrapText="1"/>
      <protection locked="0"/>
    </xf>
    <xf numFmtId="4" fontId="48" fillId="34" borderId="44" xfId="240" applyNumberFormat="1" applyFont="1" applyFill="1" applyBorder="1" applyAlignment="1" applyProtection="1">
      <alignment horizontal="center" vertical="center" wrapText="1"/>
      <protection locked="0"/>
    </xf>
    <xf numFmtId="49" fontId="44" fillId="34" borderId="0" xfId="240" applyNumberFormat="1" applyFont="1" applyFill="1" applyAlignment="1">
      <alignment horizontal="right" vertical="center" wrapText="1"/>
    </xf>
    <xf numFmtId="0" fontId="44" fillId="34" borderId="5" xfId="0" applyFont="1" applyFill="1" applyBorder="1" applyAlignment="1">
      <alignment vertical="center" wrapText="1"/>
    </xf>
    <xf numFmtId="0" fontId="44" fillId="34" borderId="0" xfId="240" applyFont="1" applyFill="1" applyAlignment="1">
      <alignment horizontal="center" vertical="center" wrapText="1"/>
    </xf>
    <xf numFmtId="4" fontId="48" fillId="34" borderId="0" xfId="240" applyNumberFormat="1" applyFont="1" applyFill="1" applyAlignment="1" applyProtection="1">
      <alignment horizontal="center" vertical="center" wrapText="1"/>
      <protection locked="0"/>
    </xf>
    <xf numFmtId="49" fontId="40" fillId="34" borderId="0" xfId="240" applyNumberFormat="1" applyFont="1" applyFill="1" applyAlignment="1">
      <alignment horizontal="right" vertical="center" wrapText="1"/>
    </xf>
    <xf numFmtId="49" fontId="27" fillId="34" borderId="0" xfId="240" applyNumberFormat="1" applyFill="1"/>
    <xf numFmtId="49" fontId="43" fillId="34" borderId="0" xfId="240" applyNumberFormat="1" applyFont="1" applyFill="1"/>
    <xf numFmtId="0" fontId="43" fillId="34" borderId="0" xfId="240" applyFont="1" applyFill="1" applyAlignment="1">
      <alignment horizontal="center"/>
    </xf>
    <xf numFmtId="0" fontId="40" fillId="34" borderId="40" xfId="240" applyFont="1" applyFill="1" applyBorder="1" applyAlignment="1">
      <alignment horizontal="center" vertical="center" wrapText="1"/>
    </xf>
    <xf numFmtId="0" fontId="44" fillId="34" borderId="40" xfId="240" applyFont="1" applyFill="1" applyBorder="1" applyAlignment="1">
      <alignment horizontal="center" vertical="center" wrapText="1"/>
    </xf>
    <xf numFmtId="4" fontId="47" fillId="34" borderId="73" xfId="240" applyNumberFormat="1" applyFont="1" applyFill="1" applyBorder="1" applyAlignment="1" applyProtection="1">
      <alignment horizontal="center" vertical="center" wrapText="1"/>
      <protection locked="0"/>
    </xf>
    <xf numFmtId="4" fontId="48" fillId="34" borderId="73" xfId="240" applyNumberFormat="1" applyFont="1" applyFill="1" applyBorder="1" applyAlignment="1" applyProtection="1">
      <alignment horizontal="center" vertical="center" wrapText="1"/>
      <protection locked="0"/>
    </xf>
    <xf numFmtId="4" fontId="47" fillId="34" borderId="73" xfId="240" applyNumberFormat="1" applyFont="1" applyFill="1" applyBorder="1" applyAlignment="1">
      <alignment horizontal="center" vertical="center" wrapText="1"/>
    </xf>
    <xf numFmtId="4" fontId="48" fillId="34" borderId="38" xfId="240" applyNumberFormat="1" applyFont="1" applyFill="1" applyBorder="1" applyAlignment="1">
      <alignment horizontal="center" vertical="center" wrapText="1"/>
    </xf>
    <xf numFmtId="4" fontId="47" fillId="34" borderId="41" xfId="240" applyNumberFormat="1" applyFont="1" applyFill="1" applyBorder="1" applyAlignment="1">
      <alignment horizontal="center" vertical="center" wrapText="1"/>
    </xf>
    <xf numFmtId="4" fontId="48" fillId="34" borderId="8" xfId="240" applyNumberFormat="1" applyFont="1" applyFill="1" applyBorder="1" applyAlignment="1">
      <alignment horizontal="center" vertical="center" wrapText="1"/>
    </xf>
    <xf numFmtId="4" fontId="48" fillId="34" borderId="73" xfId="240" applyNumberFormat="1" applyFont="1" applyFill="1" applyBorder="1" applyAlignment="1">
      <alignment horizontal="center" vertical="center" wrapText="1"/>
    </xf>
    <xf numFmtId="180" fontId="47" fillId="34" borderId="73" xfId="240" applyNumberFormat="1" applyFont="1" applyFill="1" applyBorder="1" applyAlignment="1">
      <alignment horizontal="center" vertical="center" wrapText="1"/>
    </xf>
    <xf numFmtId="0" fontId="113" fillId="34" borderId="0" xfId="240" applyFont="1" applyFill="1"/>
    <xf numFmtId="4" fontId="27" fillId="34" borderId="0" xfId="240" applyNumberFormat="1" applyFill="1"/>
    <xf numFmtId="0" fontId="35" fillId="34" borderId="0" xfId="240" applyFont="1" applyFill="1"/>
    <xf numFmtId="4" fontId="136" fillId="34" borderId="0" xfId="0" applyNumberFormat="1" applyFont="1" applyFill="1" applyAlignment="1">
      <alignment horizontal="right" vertical="center" wrapText="1"/>
    </xf>
    <xf numFmtId="191" fontId="136" fillId="34" borderId="0" xfId="0" applyNumberFormat="1" applyFont="1" applyFill="1" applyAlignment="1">
      <alignment horizontal="right" vertical="center" wrapText="1"/>
    </xf>
    <xf numFmtId="2" fontId="185" fillId="34" borderId="0" xfId="0" applyNumberFormat="1" applyFont="1" applyFill="1"/>
    <xf numFmtId="191" fontId="35" fillId="34" borderId="0" xfId="240" applyNumberFormat="1" applyFont="1" applyFill="1"/>
    <xf numFmtId="0" fontId="39" fillId="34" borderId="0" xfId="240" applyFont="1" applyFill="1" applyAlignment="1">
      <alignment vertical="top" wrapText="1"/>
    </xf>
    <xf numFmtId="0" fontId="39" fillId="34" borderId="4" xfId="240" applyFont="1" applyFill="1" applyBorder="1" applyAlignment="1">
      <alignment vertical="center" wrapText="1"/>
    </xf>
    <xf numFmtId="0" fontId="39" fillId="34" borderId="79" xfId="0" applyFont="1" applyFill="1" applyBorder="1" applyAlignment="1">
      <alignment vertical="center" wrapText="1"/>
    </xf>
    <xf numFmtId="0" fontId="45" fillId="34" borderId="3" xfId="240" applyFont="1" applyFill="1" applyBorder="1" applyAlignment="1">
      <alignment vertical="center" wrapText="1"/>
    </xf>
    <xf numFmtId="0" fontId="39" fillId="34" borderId="1" xfId="240" applyFont="1" applyFill="1" applyBorder="1" applyAlignment="1">
      <alignment vertical="center" wrapText="1"/>
    </xf>
    <xf numFmtId="0" fontId="39" fillId="34" borderId="79" xfId="240" applyFont="1" applyFill="1" applyBorder="1" applyAlignment="1">
      <alignment vertical="center" wrapText="1"/>
    </xf>
    <xf numFmtId="0" fontId="45" fillId="34" borderId="1" xfId="240" applyFont="1" applyFill="1" applyBorder="1" applyAlignment="1">
      <alignment vertical="center" wrapText="1"/>
    </xf>
    <xf numFmtId="0" fontId="39" fillId="34" borderId="3" xfId="240" applyFont="1" applyFill="1" applyBorder="1" applyAlignment="1">
      <alignment vertical="center" wrapText="1"/>
    </xf>
    <xf numFmtId="0" fontId="40" fillId="34" borderId="0" xfId="240" applyFont="1" applyFill="1" applyAlignment="1">
      <alignment vertical="center"/>
    </xf>
    <xf numFmtId="0" fontId="40" fillId="34" borderId="0" xfId="240" applyFont="1" applyFill="1"/>
    <xf numFmtId="49" fontId="27" fillId="34" borderId="0" xfId="240" applyNumberFormat="1" applyFill="1" applyProtection="1">
      <protection locked="0"/>
    </xf>
    <xf numFmtId="0" fontId="27" fillId="34" borderId="0" xfId="240" applyFill="1" applyProtection="1">
      <protection locked="0"/>
    </xf>
    <xf numFmtId="0" fontId="39" fillId="34" borderId="1" xfId="0" applyFont="1" applyFill="1" applyBorder="1"/>
    <xf numFmtId="49" fontId="42" fillId="34" borderId="0" xfId="240" applyNumberFormat="1" applyFont="1" applyFill="1" applyAlignment="1">
      <alignment horizontal="center"/>
    </xf>
    <xf numFmtId="0" fontId="42" fillId="34" borderId="0" xfId="240" applyFont="1" applyFill="1" applyAlignment="1">
      <alignment horizontal="center"/>
    </xf>
    <xf numFmtId="0" fontId="39" fillId="34" borderId="0" xfId="240" applyFont="1" applyFill="1" applyAlignment="1">
      <alignment horizontal="center"/>
    </xf>
    <xf numFmtId="0" fontId="27" fillId="34" borderId="0" xfId="240" applyFill="1" applyAlignment="1">
      <alignment horizontal="center"/>
    </xf>
    <xf numFmtId="49" fontId="41" fillId="34" borderId="0" xfId="240" applyNumberFormat="1" applyFont="1" applyFill="1" applyProtection="1">
      <protection locked="0"/>
    </xf>
    <xf numFmtId="0" fontId="41" fillId="34" borderId="0" xfId="240" applyFont="1" applyFill="1" applyProtection="1">
      <protection locked="0"/>
    </xf>
    <xf numFmtId="0" fontId="41" fillId="34" borderId="0" xfId="0" applyFont="1" applyFill="1" applyAlignment="1">
      <alignment vertical="top" wrapText="1"/>
    </xf>
    <xf numFmtId="0" fontId="102" fillId="34" borderId="0" xfId="5" applyFont="1" applyFill="1" applyAlignment="1">
      <alignment vertical="center" wrapText="1"/>
    </xf>
    <xf numFmtId="49" fontId="53" fillId="34" borderId="51" xfId="5" applyNumberFormat="1" applyFont="1" applyFill="1" applyBorder="1" applyAlignment="1">
      <alignment horizontal="center" vertical="center" wrapText="1"/>
    </xf>
    <xf numFmtId="0" fontId="41" fillId="34" borderId="79" xfId="6" applyFont="1" applyFill="1" applyBorder="1" applyAlignment="1">
      <alignment horizontal="center" vertical="center" wrapText="1"/>
    </xf>
    <xf numFmtId="0" fontId="41" fillId="34" borderId="1" xfId="6" applyFont="1" applyFill="1" applyBorder="1" applyAlignment="1">
      <alignment horizontal="center" vertical="center"/>
    </xf>
    <xf numFmtId="2" fontId="49" fillId="34" borderId="1" xfId="6" applyNumberFormat="1" applyFont="1" applyFill="1" applyBorder="1" applyAlignment="1">
      <alignment horizontal="center" vertical="center" wrapText="1"/>
    </xf>
    <xf numFmtId="0" fontId="41" fillId="34" borderId="1" xfId="6" applyFont="1" applyFill="1" applyBorder="1" applyAlignment="1">
      <alignment horizontal="left" vertical="center" wrapText="1"/>
    </xf>
    <xf numFmtId="175" fontId="49" fillId="34" borderId="1" xfId="6" applyNumberFormat="1" applyFont="1" applyFill="1" applyBorder="1" applyAlignment="1">
      <alignment horizontal="center" vertical="center" wrapText="1"/>
    </xf>
    <xf numFmtId="2" fontId="208" fillId="34" borderId="1" xfId="6" applyNumberFormat="1" applyFont="1" applyFill="1" applyBorder="1" applyAlignment="1">
      <alignment horizontal="center" vertical="center" wrapText="1"/>
    </xf>
    <xf numFmtId="0" fontId="49" fillId="34" borderId="1" xfId="6" applyFont="1" applyFill="1" applyBorder="1" applyAlignment="1">
      <alignment horizontal="center" vertical="center"/>
    </xf>
    <xf numFmtId="2" fontId="208" fillId="34" borderId="1" xfId="6" applyNumberFormat="1" applyFont="1" applyFill="1" applyBorder="1" applyAlignment="1">
      <alignment horizontal="center" vertical="center"/>
    </xf>
    <xf numFmtId="2" fontId="209" fillId="34" borderId="1" xfId="6" applyNumberFormat="1" applyFont="1" applyFill="1" applyBorder="1" applyAlignment="1">
      <alignment horizontal="center" vertical="center"/>
    </xf>
    <xf numFmtId="0" fontId="39" fillId="34" borderId="1" xfId="0" applyFont="1" applyFill="1" applyBorder="1" applyAlignment="1">
      <alignment horizontal="center"/>
    </xf>
    <xf numFmtId="2" fontId="49" fillId="34" borderId="1" xfId="6" applyNumberFormat="1" applyFont="1" applyFill="1" applyBorder="1" applyAlignment="1">
      <alignment horizontal="center" vertical="center"/>
    </xf>
    <xf numFmtId="179" fontId="49" fillId="34" borderId="1" xfId="6" applyNumberFormat="1" applyFont="1" applyFill="1" applyBorder="1" applyAlignment="1">
      <alignment horizontal="center" vertical="center"/>
    </xf>
    <xf numFmtId="177" fontId="208" fillId="34" borderId="1" xfId="6" applyNumberFormat="1" applyFont="1" applyFill="1" applyBorder="1" applyAlignment="1">
      <alignment horizontal="center" vertical="center"/>
    </xf>
    <xf numFmtId="2" fontId="210" fillId="34" borderId="1" xfId="6" applyNumberFormat="1" applyFont="1" applyFill="1" applyBorder="1" applyAlignment="1">
      <alignment horizontal="center" vertical="center"/>
    </xf>
    <xf numFmtId="0" fontId="41" fillId="34" borderId="8" xfId="6" applyFont="1" applyFill="1" applyBorder="1" applyAlignment="1">
      <alignment horizontal="center" vertical="center" wrapText="1"/>
    </xf>
    <xf numFmtId="2" fontId="41" fillId="34" borderId="7" xfId="6" applyNumberFormat="1" applyFont="1" applyFill="1" applyBorder="1" applyAlignment="1">
      <alignment horizontal="center" vertical="center"/>
    </xf>
    <xf numFmtId="2" fontId="41" fillId="34" borderId="1" xfId="6" applyNumberFormat="1" applyFont="1" applyFill="1" applyBorder="1" applyAlignment="1">
      <alignment horizontal="center" vertical="center"/>
    </xf>
    <xf numFmtId="0" fontId="41" fillId="34" borderId="1" xfId="6" applyFont="1" applyFill="1" applyBorder="1" applyAlignment="1">
      <alignment horizontal="left" vertical="center" wrapText="1" indent="1"/>
    </xf>
    <xf numFmtId="2" fontId="41" fillId="34" borderId="3" xfId="6" applyNumberFormat="1" applyFont="1" applyFill="1" applyBorder="1" applyAlignment="1">
      <alignment horizontal="center" vertical="center"/>
    </xf>
    <xf numFmtId="177" fontId="41" fillId="34" borderId="1" xfId="6" applyNumberFormat="1" applyFont="1" applyFill="1" applyBorder="1" applyAlignment="1">
      <alignment horizontal="center" vertical="center"/>
    </xf>
    <xf numFmtId="177" fontId="209" fillId="34" borderId="1" xfId="6" applyNumberFormat="1" applyFont="1" applyFill="1" applyBorder="1" applyAlignment="1">
      <alignment horizontal="center" vertical="center"/>
    </xf>
    <xf numFmtId="175" fontId="210" fillId="34" borderId="1" xfId="6" applyNumberFormat="1" applyFont="1" applyFill="1" applyBorder="1" applyAlignment="1">
      <alignment horizontal="center" vertical="center"/>
    </xf>
    <xf numFmtId="0" fontId="95" fillId="34" borderId="0" xfId="6" applyFont="1" applyFill="1" applyAlignment="1">
      <alignment vertical="center" wrapText="1"/>
    </xf>
    <xf numFmtId="0" fontId="41" fillId="34" borderId="0" xfId="6" applyFont="1" applyFill="1" applyAlignment="1">
      <alignment horizontal="center" vertical="center"/>
    </xf>
    <xf numFmtId="0" fontId="41" fillId="34" borderId="0" xfId="6" applyFont="1" applyFill="1" applyAlignment="1">
      <alignment vertical="center" wrapText="1"/>
    </xf>
    <xf numFmtId="0" fontId="42" fillId="34" borderId="0" xfId="0" applyFont="1" applyFill="1" applyAlignment="1">
      <alignment vertical="center"/>
    </xf>
    <xf numFmtId="0" fontId="39" fillId="34" borderId="1" xfId="0" applyFont="1" applyFill="1" applyBorder="1" applyAlignment="1">
      <alignment horizontal="center" vertical="center"/>
    </xf>
    <xf numFmtId="49" fontId="42" fillId="34" borderId="0" xfId="6" applyNumberFormat="1" applyFont="1" applyFill="1"/>
    <xf numFmtId="49" fontId="51" fillId="34" borderId="0" xfId="6" applyNumberFormat="1" applyFont="1" applyFill="1"/>
    <xf numFmtId="0" fontId="51" fillId="34" borderId="0" xfId="6" applyFont="1" applyFill="1"/>
    <xf numFmtId="0" fontId="42" fillId="34" borderId="0" xfId="6" applyFont="1" applyFill="1" applyAlignment="1">
      <alignment horizontal="center" wrapText="1"/>
    </xf>
    <xf numFmtId="0" fontId="42" fillId="34" borderId="0" xfId="6" applyFont="1" applyFill="1" applyAlignment="1">
      <alignment horizontal="center" vertical="top" wrapText="1"/>
    </xf>
    <xf numFmtId="0" fontId="42" fillId="34" borderId="0" xfId="6" applyFont="1" applyFill="1" applyAlignment="1">
      <alignment vertical="top" wrapText="1"/>
    </xf>
    <xf numFmtId="49" fontId="42" fillId="34" borderId="0" xfId="0" applyNumberFormat="1" applyFont="1" applyFill="1"/>
    <xf numFmtId="0" fontId="114" fillId="34" borderId="0" xfId="0" applyFont="1" applyFill="1"/>
    <xf numFmtId="1" fontId="42" fillId="34" borderId="0" xfId="0" applyNumberFormat="1" applyFont="1" applyFill="1"/>
    <xf numFmtId="0" fontId="42" fillId="34" borderId="8" xfId="0" applyFont="1" applyFill="1" applyBorder="1" applyAlignment="1">
      <alignment horizontal="center" vertical="center" wrapText="1"/>
    </xf>
    <xf numFmtId="49" fontId="42" fillId="34" borderId="39" xfId="0" applyNumberFormat="1" applyFont="1" applyFill="1" applyBorder="1" applyAlignment="1">
      <alignment horizontal="center" vertical="top" wrapText="1"/>
    </xf>
    <xf numFmtId="0" fontId="42" fillId="34" borderId="8" xfId="0" applyFont="1" applyFill="1" applyBorder="1" applyAlignment="1">
      <alignment vertical="center" wrapText="1"/>
    </xf>
    <xf numFmtId="1" fontId="42" fillId="34" borderId="40" xfId="0" applyNumberFormat="1" applyFont="1" applyFill="1" applyBorder="1" applyAlignment="1">
      <alignment horizontal="center" vertical="center" wrapText="1"/>
    </xf>
    <xf numFmtId="1" fontId="0" fillId="34" borderId="0" xfId="0" applyNumberFormat="1" applyFill="1"/>
    <xf numFmtId="0" fontId="42" fillId="34" borderId="138" xfId="0" applyFont="1" applyFill="1" applyBorder="1" applyAlignment="1">
      <alignment vertical="center" wrapText="1"/>
    </xf>
    <xf numFmtId="2" fontId="0" fillId="34" borderId="0" xfId="0" applyNumberFormat="1" applyFill="1" applyAlignment="1">
      <alignment horizontal="center"/>
    </xf>
    <xf numFmtId="177" fontId="42" fillId="34" borderId="39" xfId="0" applyNumberFormat="1" applyFont="1" applyFill="1" applyBorder="1" applyAlignment="1">
      <alignment horizontal="center" vertical="center" wrapText="1"/>
    </xf>
    <xf numFmtId="177" fontId="42" fillId="34" borderId="8" xfId="0" applyNumberFormat="1" applyFont="1" applyFill="1" applyBorder="1" applyAlignment="1">
      <alignment horizontal="center" vertical="center" wrapText="1"/>
    </xf>
    <xf numFmtId="177" fontId="42" fillId="34" borderId="40" xfId="0" applyNumberFormat="1" applyFont="1" applyFill="1" applyBorder="1" applyAlignment="1">
      <alignment horizontal="center" vertical="center" wrapText="1"/>
    </xf>
    <xf numFmtId="175" fontId="42" fillId="34" borderId="39" xfId="0" applyNumberFormat="1" applyFont="1" applyFill="1" applyBorder="1" applyAlignment="1">
      <alignment horizontal="center" vertical="center" wrapText="1"/>
    </xf>
    <xf numFmtId="175" fontId="42" fillId="34" borderId="1" xfId="0" applyNumberFormat="1" applyFont="1" applyFill="1" applyBorder="1" applyAlignment="1">
      <alignment horizontal="center" vertical="center" wrapText="1"/>
    </xf>
    <xf numFmtId="175" fontId="42" fillId="34" borderId="40" xfId="0" applyNumberFormat="1" applyFont="1" applyFill="1" applyBorder="1" applyAlignment="1">
      <alignment horizontal="center" vertical="center" wrapText="1"/>
    </xf>
    <xf numFmtId="0" fontId="0" fillId="34" borderId="0" xfId="0" applyFill="1" applyAlignment="1">
      <alignment horizontal="left"/>
    </xf>
    <xf numFmtId="179" fontId="0" fillId="34" borderId="0" xfId="0" applyNumberFormat="1" applyFill="1"/>
    <xf numFmtId="49" fontId="42" fillId="34" borderId="44" xfId="0" applyNumberFormat="1" applyFont="1" applyFill="1" applyBorder="1" applyAlignment="1">
      <alignment horizontal="center" vertical="top" wrapText="1"/>
    </xf>
    <xf numFmtId="0" fontId="42" fillId="34" borderId="55" xfId="0" applyFont="1" applyFill="1" applyBorder="1" applyAlignment="1">
      <alignment vertical="center" wrapText="1"/>
    </xf>
    <xf numFmtId="49" fontId="0" fillId="34" borderId="0" xfId="0" applyNumberFormat="1" applyFill="1"/>
    <xf numFmtId="0" fontId="42" fillId="34" borderId="0" xfId="0" applyFont="1" applyFill="1" applyAlignment="1">
      <alignment vertical="center" wrapText="1"/>
    </xf>
    <xf numFmtId="0" fontId="42" fillId="34" borderId="0" xfId="0" applyFont="1" applyFill="1" applyAlignment="1">
      <alignment horizontal="left" vertical="center" wrapText="1"/>
    </xf>
    <xf numFmtId="0" fontId="43" fillId="34" borderId="0" xfId="0" applyFont="1" applyFill="1" applyAlignment="1">
      <alignment horizontal="center" vertical="center" wrapText="1"/>
    </xf>
    <xf numFmtId="49" fontId="42" fillId="34" borderId="39" xfId="0" applyNumberFormat="1" applyFont="1" applyFill="1" applyBorder="1" applyAlignment="1">
      <alignment horizontal="center" vertical="center" wrapText="1"/>
    </xf>
    <xf numFmtId="0" fontId="135" fillId="34" borderId="1" xfId="556" applyFont="1" applyFill="1" applyBorder="1" applyAlignment="1">
      <alignment horizontal="center" vertical="center" wrapText="1"/>
    </xf>
    <xf numFmtId="0" fontId="41" fillId="34" borderId="0" xfId="240" applyFont="1" applyFill="1" applyAlignment="1">
      <alignment wrapText="1"/>
    </xf>
    <xf numFmtId="0" fontId="43" fillId="34" borderId="0" xfId="0" applyFont="1" applyFill="1" applyAlignment="1">
      <alignment vertical="center" wrapText="1"/>
    </xf>
    <xf numFmtId="0" fontId="132" fillId="0" borderId="0" xfId="124" applyFont="1" applyAlignment="1">
      <alignment horizontal="right"/>
    </xf>
    <xf numFmtId="0" fontId="132" fillId="0" borderId="0" xfId="124" applyFont="1"/>
    <xf numFmtId="0" fontId="144" fillId="0" borderId="0" xfId="124" applyFont="1"/>
    <xf numFmtId="0" fontId="132" fillId="0" borderId="57" xfId="124" applyFont="1" applyBorder="1" applyAlignment="1">
      <alignment wrapText="1"/>
    </xf>
    <xf numFmtId="0" fontId="132" fillId="0" borderId="1" xfId="124" applyFont="1" applyBorder="1"/>
    <xf numFmtId="0" fontId="132" fillId="34" borderId="1" xfId="124" applyFont="1" applyFill="1" applyBorder="1" applyAlignment="1">
      <alignment horizontal="center"/>
    </xf>
    <xf numFmtId="0" fontId="132" fillId="35" borderId="1" xfId="124" applyFont="1" applyFill="1" applyBorder="1" applyAlignment="1">
      <alignment horizontal="center"/>
    </xf>
    <xf numFmtId="0" fontId="232" fillId="34" borderId="1" xfId="124" applyFont="1" applyFill="1" applyBorder="1" applyAlignment="1">
      <alignment horizontal="left"/>
    </xf>
    <xf numFmtId="1" fontId="132" fillId="34" borderId="1" xfId="124" applyNumberFormat="1" applyFont="1" applyFill="1" applyBorder="1" applyProtection="1">
      <protection locked="0"/>
    </xf>
    <xf numFmtId="0" fontId="232" fillId="34" borderId="1" xfId="124" applyFont="1" applyFill="1" applyBorder="1" applyProtection="1">
      <protection locked="0"/>
    </xf>
    <xf numFmtId="0" fontId="232" fillId="34" borderId="1" xfId="124" applyFont="1" applyFill="1" applyBorder="1"/>
    <xf numFmtId="1" fontId="232" fillId="34" borderId="1" xfId="124" applyNumberFormat="1" applyFont="1" applyFill="1" applyBorder="1" applyProtection="1">
      <protection locked="0"/>
    </xf>
    <xf numFmtId="0" fontId="132" fillId="34" borderId="1" xfId="124" applyFont="1" applyFill="1" applyBorder="1"/>
    <xf numFmtId="0" fontId="132" fillId="34" borderId="1" xfId="124" applyFont="1" applyFill="1" applyBorder="1" applyProtection="1">
      <protection locked="0"/>
    </xf>
    <xf numFmtId="177" fontId="132" fillId="34" borderId="1" xfId="124" applyNumberFormat="1" applyFont="1" applyFill="1" applyBorder="1"/>
    <xf numFmtId="1" fontId="132" fillId="34" borderId="1" xfId="124" applyNumberFormat="1" applyFont="1" applyFill="1" applyBorder="1"/>
    <xf numFmtId="0" fontId="232" fillId="62" borderId="1" xfId="0" applyFont="1" applyFill="1" applyBorder="1" applyAlignment="1">
      <alignment horizontal="left"/>
    </xf>
    <xf numFmtId="170" fontId="132" fillId="34" borderId="1" xfId="124" applyNumberFormat="1" applyFont="1" applyFill="1" applyBorder="1"/>
    <xf numFmtId="0" fontId="132" fillId="34" borderId="1" xfId="124" applyFont="1" applyFill="1" applyBorder="1" applyAlignment="1">
      <alignment wrapText="1"/>
    </xf>
    <xf numFmtId="2" fontId="132" fillId="34" borderId="1" xfId="124" applyNumberFormat="1" applyFont="1" applyFill="1" applyBorder="1"/>
    <xf numFmtId="2" fontId="132" fillId="34" borderId="1" xfId="124" applyNumberFormat="1" applyFont="1" applyFill="1" applyBorder="1" applyAlignment="1">
      <alignment horizontal="right"/>
    </xf>
    <xf numFmtId="0" fontId="197" fillId="34" borderId="1" xfId="124" applyFont="1" applyFill="1" applyBorder="1"/>
    <xf numFmtId="2" fontId="262" fillId="34" borderId="1" xfId="124" applyNumberFormat="1" applyFont="1" applyFill="1" applyBorder="1"/>
    <xf numFmtId="170" fontId="197" fillId="34" borderId="1" xfId="124" applyNumberFormat="1" applyFont="1" applyFill="1" applyBorder="1" applyProtection="1">
      <protection locked="0"/>
    </xf>
    <xf numFmtId="170" fontId="232" fillId="34" borderId="1" xfId="124" applyNumberFormat="1" applyFont="1" applyFill="1" applyBorder="1" applyProtection="1">
      <protection locked="0"/>
    </xf>
    <xf numFmtId="0" fontId="197" fillId="34" borderId="1" xfId="124" applyFont="1" applyFill="1" applyBorder="1" applyProtection="1">
      <protection locked="0"/>
    </xf>
    <xf numFmtId="2" fontId="132" fillId="34" borderId="1" xfId="124" applyNumberFormat="1" applyFont="1" applyFill="1" applyBorder="1" applyProtection="1">
      <protection locked="0"/>
    </xf>
    <xf numFmtId="175" fontId="132" fillId="34" borderId="1" xfId="124" applyNumberFormat="1" applyFont="1" applyFill="1" applyBorder="1"/>
    <xf numFmtId="170" fontId="132" fillId="34" borderId="1" xfId="124" applyNumberFormat="1" applyFont="1" applyFill="1" applyBorder="1" applyProtection="1">
      <protection locked="0"/>
    </xf>
    <xf numFmtId="170" fontId="232" fillId="34" borderId="0" xfId="124" applyNumberFormat="1" applyFont="1" applyFill="1" applyProtection="1">
      <protection locked="0"/>
    </xf>
    <xf numFmtId="177" fontId="132" fillId="34" borderId="0" xfId="124" applyNumberFormat="1" applyFont="1" applyFill="1"/>
    <xf numFmtId="0" fontId="132" fillId="34" borderId="57" xfId="124" applyFont="1" applyFill="1" applyBorder="1"/>
    <xf numFmtId="0" fontId="132" fillId="34" borderId="39" xfId="124" applyFont="1" applyFill="1" applyBorder="1"/>
    <xf numFmtId="0" fontId="132" fillId="0" borderId="1" xfId="124" applyFont="1" applyBorder="1" applyAlignment="1">
      <alignment horizontal="center"/>
    </xf>
    <xf numFmtId="0" fontId="152" fillId="34" borderId="39" xfId="124" applyFont="1" applyFill="1" applyBorder="1"/>
    <xf numFmtId="2" fontId="132" fillId="34" borderId="1" xfId="124" applyNumberFormat="1" applyFont="1" applyFill="1" applyBorder="1" applyAlignment="1">
      <alignment horizontal="center"/>
    </xf>
    <xf numFmtId="1" fontId="262" fillId="34" borderId="40" xfId="124" applyNumberFormat="1" applyFont="1" applyFill="1" applyBorder="1"/>
    <xf numFmtId="2" fontId="262" fillId="34" borderId="40" xfId="124" applyNumberFormat="1" applyFont="1" applyFill="1" applyBorder="1"/>
    <xf numFmtId="0" fontId="152" fillId="34" borderId="1" xfId="124" applyFont="1" applyFill="1" applyBorder="1" applyAlignment="1">
      <alignment wrapText="1"/>
    </xf>
    <xf numFmtId="0" fontId="152" fillId="34" borderId="40" xfId="124" applyFont="1" applyFill="1" applyBorder="1" applyAlignment="1">
      <alignment wrapText="1"/>
    </xf>
    <xf numFmtId="0" fontId="133" fillId="0" borderId="0" xfId="124" applyFont="1"/>
    <xf numFmtId="0" fontId="183" fillId="34" borderId="0" xfId="0" applyFont="1" applyFill="1"/>
    <xf numFmtId="0" fontId="42" fillId="34" borderId="35" xfId="0" applyFont="1" applyFill="1" applyBorder="1"/>
    <xf numFmtId="0" fontId="42" fillId="34" borderId="60" xfId="0" applyFont="1" applyFill="1" applyBorder="1" applyAlignment="1">
      <alignment horizontal="center"/>
    </xf>
    <xf numFmtId="0" fontId="42" fillId="34" borderId="61" xfId="0" applyFont="1" applyFill="1" applyBorder="1" applyAlignment="1">
      <alignment wrapText="1"/>
    </xf>
    <xf numFmtId="0" fontId="51" fillId="34" borderId="61" xfId="0" applyFont="1" applyFill="1" applyBorder="1" applyAlignment="1">
      <alignment horizontal="center" wrapText="1"/>
    </xf>
    <xf numFmtId="0" fontId="51" fillId="34" borderId="62" xfId="0" applyFont="1" applyFill="1" applyBorder="1" applyAlignment="1">
      <alignment horizontal="center" wrapText="1"/>
    </xf>
    <xf numFmtId="0" fontId="42" fillId="34" borderId="0" xfId="0" applyFont="1" applyFill="1" applyAlignment="1">
      <alignment horizontal="center"/>
    </xf>
    <xf numFmtId="0" fontId="42" fillId="34" borderId="39" xfId="0" applyFont="1" applyFill="1" applyBorder="1" applyAlignment="1">
      <alignment horizontal="left" wrapText="1"/>
    </xf>
    <xf numFmtId="170" fontId="42" fillId="34" borderId="1" xfId="0" applyNumberFormat="1" applyFont="1" applyFill="1" applyBorder="1" applyAlignment="1">
      <alignment horizontal="center"/>
    </xf>
    <xf numFmtId="170" fontId="42" fillId="34" borderId="40" xfId="0" applyNumberFormat="1" applyFont="1" applyFill="1" applyBorder="1" applyAlignment="1">
      <alignment horizontal="center"/>
    </xf>
    <xf numFmtId="2" fontId="42" fillId="34" borderId="1" xfId="0" applyNumberFormat="1" applyFont="1" applyFill="1" applyBorder="1" applyAlignment="1">
      <alignment horizontal="center"/>
    </xf>
    <xf numFmtId="0" fontId="42" fillId="34" borderId="1" xfId="0" applyFont="1" applyFill="1" applyBorder="1" applyAlignment="1">
      <alignment horizontal="center"/>
    </xf>
    <xf numFmtId="0" fontId="42" fillId="34" borderId="40" xfId="0" applyFont="1" applyFill="1" applyBorder="1" applyAlignment="1">
      <alignment horizontal="center"/>
    </xf>
    <xf numFmtId="0" fontId="42" fillId="34" borderId="39" xfId="0" applyFont="1" applyFill="1" applyBorder="1" applyAlignment="1">
      <alignment wrapText="1"/>
    </xf>
    <xf numFmtId="2" fontId="42" fillId="34" borderId="40" xfId="0" applyNumberFormat="1" applyFont="1" applyFill="1" applyBorder="1" applyAlignment="1">
      <alignment horizontal="center"/>
    </xf>
    <xf numFmtId="0" fontId="42" fillId="34" borderId="41" xfId="0" applyFont="1" applyFill="1" applyBorder="1" applyAlignment="1">
      <alignment wrapText="1"/>
    </xf>
    <xf numFmtId="2" fontId="42" fillId="34" borderId="79" xfId="0" applyNumberFormat="1" applyFont="1" applyFill="1" applyBorder="1" applyAlignment="1">
      <alignment horizontal="center"/>
    </xf>
    <xf numFmtId="2" fontId="42" fillId="34" borderId="47" xfId="0" applyNumberFormat="1" applyFont="1" applyFill="1" applyBorder="1" applyAlignment="1">
      <alignment horizontal="center"/>
    </xf>
    <xf numFmtId="0" fontId="42" fillId="34" borderId="44" xfId="0" applyFont="1" applyFill="1" applyBorder="1" applyAlignment="1">
      <alignment wrapText="1"/>
    </xf>
    <xf numFmtId="0" fontId="42" fillId="34" borderId="45" xfId="0" applyFont="1" applyFill="1" applyBorder="1" applyAlignment="1">
      <alignment horizontal="center"/>
    </xf>
    <xf numFmtId="0" fontId="42" fillId="34" borderId="45" xfId="0" applyFont="1" applyFill="1" applyBorder="1"/>
    <xf numFmtId="0" fontId="42" fillId="34" borderId="46" xfId="0" applyFont="1" applyFill="1" applyBorder="1"/>
    <xf numFmtId="0" fontId="51" fillId="34" borderId="66" xfId="0" applyFont="1" applyFill="1" applyBorder="1" applyAlignment="1">
      <alignment wrapText="1"/>
    </xf>
    <xf numFmtId="179" fontId="51" fillId="34" borderId="65" xfId="0" applyNumberFormat="1" applyFont="1" applyFill="1" applyBorder="1"/>
    <xf numFmtId="179" fontId="51" fillId="34" borderId="90" xfId="0" applyNumberFormat="1" applyFont="1" applyFill="1" applyBorder="1"/>
    <xf numFmtId="0" fontId="130" fillId="34" borderId="0" xfId="0" applyFont="1" applyFill="1"/>
    <xf numFmtId="0" fontId="51" fillId="34" borderId="67" xfId="0" applyFont="1" applyFill="1" applyBorder="1" applyAlignment="1">
      <alignment horizontal="left" wrapText="1" indent="1"/>
    </xf>
    <xf numFmtId="179" fontId="51" fillId="34" borderId="7" xfId="0" applyNumberFormat="1" applyFont="1" applyFill="1" applyBorder="1" applyAlignment="1">
      <alignment wrapText="1"/>
    </xf>
    <xf numFmtId="179" fontId="51" fillId="34" borderId="73" xfId="0" applyNumberFormat="1" applyFont="1" applyFill="1" applyBorder="1" applyAlignment="1">
      <alignment wrapText="1"/>
    </xf>
    <xf numFmtId="0" fontId="114" fillId="34" borderId="67" xfId="0" applyFont="1" applyFill="1" applyBorder="1" applyAlignment="1">
      <alignment horizontal="left" indent="2"/>
    </xf>
    <xf numFmtId="179" fontId="114" fillId="34" borderId="7" xfId="0" applyNumberFormat="1" applyFont="1" applyFill="1" applyBorder="1" applyAlignment="1">
      <alignment wrapText="1"/>
    </xf>
    <xf numFmtId="179" fontId="114" fillId="34" borderId="73" xfId="0" applyNumberFormat="1" applyFont="1" applyFill="1" applyBorder="1" applyAlignment="1">
      <alignment wrapText="1"/>
    </xf>
    <xf numFmtId="0" fontId="42" fillId="34" borderId="67" xfId="0" applyFont="1" applyFill="1" applyBorder="1" applyAlignment="1">
      <alignment horizontal="left" indent="3"/>
    </xf>
    <xf numFmtId="179" fontId="204" fillId="34" borderId="7" xfId="0" applyNumberFormat="1" applyFont="1" applyFill="1" applyBorder="1" applyAlignment="1">
      <alignment wrapText="1"/>
    </xf>
    <xf numFmtId="179" fontId="42" fillId="34" borderId="1" xfId="0" applyNumberFormat="1" applyFont="1" applyFill="1" applyBorder="1" applyAlignment="1">
      <alignment wrapText="1"/>
    </xf>
    <xf numFmtId="179" fontId="42" fillId="34" borderId="40" xfId="0" applyNumberFormat="1" applyFont="1" applyFill="1" applyBorder="1" applyAlignment="1">
      <alignment wrapText="1"/>
    </xf>
    <xf numFmtId="0" fontId="42" fillId="34" borderId="67" xfId="0" applyFont="1" applyFill="1" applyBorder="1" applyAlignment="1">
      <alignment horizontal="left" indent="4"/>
    </xf>
    <xf numFmtId="179" fontId="42" fillId="34" borderId="39" xfId="0" applyNumberFormat="1" applyFont="1" applyFill="1" applyBorder="1"/>
    <xf numFmtId="0" fontId="51" fillId="34" borderId="0" xfId="0" applyFont="1" applyFill="1" applyAlignment="1">
      <alignment horizontal="center"/>
    </xf>
    <xf numFmtId="181" fontId="51" fillId="34" borderId="0" xfId="0" applyNumberFormat="1" applyFont="1" applyFill="1" applyAlignment="1">
      <alignment horizontal="center"/>
    </xf>
    <xf numFmtId="182" fontId="0" fillId="34" borderId="0" xfId="0" applyNumberFormat="1" applyFill="1" applyAlignment="1">
      <alignment horizontal="center"/>
    </xf>
    <xf numFmtId="179" fontId="42" fillId="34" borderId="7" xfId="0" applyNumberFormat="1" applyFont="1" applyFill="1" applyBorder="1" applyAlignment="1">
      <alignment wrapText="1"/>
    </xf>
    <xf numFmtId="179" fontId="42" fillId="34" borderId="73" xfId="0" applyNumberFormat="1" applyFont="1" applyFill="1" applyBorder="1" applyAlignment="1">
      <alignment wrapText="1"/>
    </xf>
    <xf numFmtId="179" fontId="51" fillId="34" borderId="0" xfId="0" applyNumberFormat="1" applyFont="1" applyFill="1" applyAlignment="1">
      <alignment horizontal="center"/>
    </xf>
    <xf numFmtId="179" fontId="114" fillId="34" borderId="40" xfId="0" applyNumberFormat="1" applyFont="1" applyFill="1" applyBorder="1" applyAlignment="1">
      <alignment wrapText="1"/>
    </xf>
    <xf numFmtId="0" fontId="51" fillId="34" borderId="67" xfId="0" applyFont="1" applyFill="1" applyBorder="1" applyAlignment="1">
      <alignment horizontal="left" indent="1"/>
    </xf>
    <xf numFmtId="181" fontId="51" fillId="34" borderId="7" xfId="0" applyNumberFormat="1" applyFont="1" applyFill="1" applyBorder="1" applyAlignment="1">
      <alignment horizontal="right"/>
    </xf>
    <xf numFmtId="181" fontId="51" fillId="34" borderId="73" xfId="0" applyNumberFormat="1" applyFont="1" applyFill="1" applyBorder="1" applyAlignment="1">
      <alignment horizontal="right"/>
    </xf>
    <xf numFmtId="0" fontId="129" fillId="34" borderId="0" xfId="0" applyFont="1" applyFill="1"/>
    <xf numFmtId="181" fontId="114" fillId="34" borderId="7" xfId="0" applyNumberFormat="1" applyFont="1" applyFill="1" applyBorder="1" applyAlignment="1">
      <alignment horizontal="right"/>
    </xf>
    <xf numFmtId="181" fontId="114" fillId="34" borderId="73" xfId="0" applyNumberFormat="1" applyFont="1" applyFill="1" applyBorder="1" applyAlignment="1">
      <alignment horizontal="right"/>
    </xf>
    <xf numFmtId="0" fontId="129" fillId="34" borderId="5" xfId="0" applyFont="1" applyFill="1" applyBorder="1"/>
    <xf numFmtId="181" fontId="204" fillId="34" borderId="7" xfId="0" applyNumberFormat="1" applyFont="1" applyFill="1" applyBorder="1" applyAlignment="1">
      <alignment horizontal="right"/>
    </xf>
    <xf numFmtId="181" fontId="42" fillId="34" borderId="7" xfId="0" applyNumberFormat="1" applyFont="1" applyFill="1" applyBorder="1" applyAlignment="1">
      <alignment horizontal="right"/>
    </xf>
    <xf numFmtId="181" fontId="42" fillId="34" borderId="73" xfId="0" applyNumberFormat="1" applyFont="1" applyFill="1" applyBorder="1" applyAlignment="1">
      <alignment horizontal="right"/>
    </xf>
    <xf numFmtId="181" fontId="114" fillId="34" borderId="9" xfId="0" applyNumberFormat="1" applyFont="1" applyFill="1" applyBorder="1"/>
    <xf numFmtId="181" fontId="114" fillId="34" borderId="1" xfId="0" applyNumberFormat="1" applyFont="1" applyFill="1" applyBorder="1"/>
    <xf numFmtId="181" fontId="114" fillId="34" borderId="40" xfId="0" applyNumberFormat="1" applyFont="1" applyFill="1" applyBorder="1"/>
    <xf numFmtId="0" fontId="129" fillId="34" borderId="9" xfId="0" applyFont="1" applyFill="1" applyBorder="1"/>
    <xf numFmtId="181" fontId="144" fillId="34" borderId="7" xfId="0" applyNumberFormat="1" applyFont="1" applyFill="1" applyBorder="1" applyAlignment="1">
      <alignment horizontal="right"/>
    </xf>
    <xf numFmtId="181" fontId="42" fillId="34" borderId="1" xfId="0" applyNumberFormat="1" applyFont="1" applyFill="1" applyBorder="1" applyAlignment="1">
      <alignment horizontal="right"/>
    </xf>
    <xf numFmtId="181" fontId="42" fillId="34" borderId="40" xfId="0" applyNumberFormat="1" applyFont="1" applyFill="1" applyBorder="1" applyAlignment="1">
      <alignment horizontal="right"/>
    </xf>
    <xf numFmtId="0" fontId="51" fillId="34" borderId="9" xfId="0" applyFont="1" applyFill="1" applyBorder="1"/>
    <xf numFmtId="181" fontId="132" fillId="34" borderId="7" xfId="0" applyNumberFormat="1" applyFont="1" applyFill="1" applyBorder="1" applyAlignment="1">
      <alignment horizontal="right"/>
    </xf>
    <xf numFmtId="0" fontId="42" fillId="34" borderId="68" xfId="0" applyFont="1" applyFill="1" applyBorder="1" applyAlignment="1">
      <alignment horizontal="left" indent="3"/>
    </xf>
    <xf numFmtId="181" fontId="42" fillId="34" borderId="54" xfId="0" applyNumberFormat="1" applyFont="1" applyFill="1" applyBorder="1" applyAlignment="1">
      <alignment horizontal="right"/>
    </xf>
    <xf numFmtId="181" fontId="42" fillId="34" borderId="72" xfId="0" applyNumberFormat="1" applyFont="1" applyFill="1" applyBorder="1" applyAlignment="1">
      <alignment horizontal="right"/>
    </xf>
    <xf numFmtId="0" fontId="144" fillId="34" borderId="23" xfId="0" applyFont="1" applyFill="1" applyBorder="1" applyAlignment="1">
      <alignment wrapText="1"/>
    </xf>
    <xf numFmtId="181" fontId="132" fillId="34" borderId="86" xfId="0" applyNumberFormat="1" applyFont="1" applyFill="1" applyBorder="1" applyAlignment="1">
      <alignment horizontal="right"/>
    </xf>
    <xf numFmtId="181" fontId="42" fillId="34" borderId="86" xfId="0" applyNumberFormat="1" applyFont="1" applyFill="1" applyBorder="1" applyAlignment="1">
      <alignment horizontal="right"/>
    </xf>
    <xf numFmtId="0" fontId="51" fillId="34" borderId="23" xfId="0" applyFont="1" applyFill="1" applyBorder="1" applyAlignment="1">
      <alignment wrapText="1"/>
    </xf>
    <xf numFmtId="175" fontId="51" fillId="34" borderId="86" xfId="0" applyNumberFormat="1" applyFont="1" applyFill="1" applyBorder="1"/>
    <xf numFmtId="2" fontId="51" fillId="34" borderId="86" xfId="0" applyNumberFormat="1" applyFont="1" applyFill="1" applyBorder="1"/>
    <xf numFmtId="0" fontId="51" fillId="34" borderId="66" xfId="0" applyFont="1" applyFill="1" applyBorder="1" applyAlignment="1">
      <alignment horizontal="left" wrapText="1" indent="1"/>
    </xf>
    <xf numFmtId="2" fontId="51" fillId="34" borderId="65" xfId="0" applyNumberFormat="1" applyFont="1" applyFill="1" applyBorder="1" applyAlignment="1">
      <alignment wrapText="1"/>
    </xf>
    <xf numFmtId="2" fontId="51" fillId="34" borderId="90" xfId="0" applyNumberFormat="1" applyFont="1" applyFill="1" applyBorder="1" applyAlignment="1">
      <alignment wrapText="1"/>
    </xf>
    <xf numFmtId="2" fontId="114" fillId="34" borderId="7" xfId="0" applyNumberFormat="1" applyFont="1" applyFill="1" applyBorder="1" applyAlignment="1">
      <alignment wrapText="1"/>
    </xf>
    <xf numFmtId="2" fontId="114" fillId="34" borderId="73" xfId="0" applyNumberFormat="1" applyFont="1" applyFill="1" applyBorder="1" applyAlignment="1">
      <alignment wrapText="1"/>
    </xf>
    <xf numFmtId="2" fontId="42" fillId="34" borderId="7" xfId="0" applyNumberFormat="1" applyFont="1" applyFill="1" applyBorder="1" applyAlignment="1">
      <alignment wrapText="1"/>
    </xf>
    <xf numFmtId="2" fontId="42" fillId="34" borderId="73" xfId="0" applyNumberFormat="1" applyFont="1" applyFill="1" applyBorder="1" applyAlignment="1">
      <alignment wrapText="1"/>
    </xf>
    <xf numFmtId="2" fontId="42" fillId="34" borderId="54" xfId="0" applyNumberFormat="1" applyFont="1" applyFill="1" applyBorder="1" applyAlignment="1">
      <alignment wrapText="1"/>
    </xf>
    <xf numFmtId="2" fontId="42" fillId="34" borderId="72" xfId="0" applyNumberFormat="1" applyFont="1" applyFill="1" applyBorder="1" applyAlignment="1">
      <alignment wrapText="1"/>
    </xf>
    <xf numFmtId="0" fontId="51" fillId="34" borderId="6" xfId="0" applyFont="1" applyFill="1" applyBorder="1" applyAlignment="1">
      <alignment horizontal="left" wrapText="1" indent="1"/>
    </xf>
    <xf numFmtId="2" fontId="51" fillId="34" borderId="63" xfId="0" applyNumberFormat="1" applyFont="1" applyFill="1" applyBorder="1" applyAlignment="1">
      <alignment wrapText="1"/>
    </xf>
    <xf numFmtId="2" fontId="51" fillId="34" borderId="31" xfId="0" applyNumberFormat="1" applyFont="1" applyFill="1" applyBorder="1" applyAlignment="1">
      <alignment wrapText="1"/>
    </xf>
    <xf numFmtId="0" fontId="114" fillId="34" borderId="89" xfId="0" applyFont="1" applyFill="1" applyBorder="1" applyAlignment="1">
      <alignment horizontal="left" indent="2"/>
    </xf>
    <xf numFmtId="2" fontId="114" fillId="34" borderId="69" xfId="0" applyNumberFormat="1" applyFont="1" applyFill="1" applyBorder="1" applyAlignment="1">
      <alignment wrapText="1"/>
    </xf>
    <xf numFmtId="2" fontId="114" fillId="34" borderId="38" xfId="0" applyNumberFormat="1" applyFont="1" applyFill="1" applyBorder="1" applyAlignment="1">
      <alignment wrapText="1"/>
    </xf>
    <xf numFmtId="2" fontId="42" fillId="34" borderId="69" xfId="0" applyNumberFormat="1" applyFont="1" applyFill="1" applyBorder="1" applyAlignment="1">
      <alignment wrapText="1"/>
    </xf>
    <xf numFmtId="2" fontId="42" fillId="34" borderId="38" xfId="0" applyNumberFormat="1" applyFont="1" applyFill="1" applyBorder="1" applyAlignment="1">
      <alignment wrapText="1"/>
    </xf>
    <xf numFmtId="175" fontId="51" fillId="34" borderId="7" xfId="0" applyNumberFormat="1" applyFont="1" applyFill="1" applyBorder="1" applyAlignment="1">
      <alignment horizontal="right"/>
    </xf>
    <xf numFmtId="2" fontId="51" fillId="34" borderId="7" xfId="0" applyNumberFormat="1" applyFont="1" applyFill="1" applyBorder="1" applyAlignment="1">
      <alignment horizontal="right"/>
    </xf>
    <xf numFmtId="2" fontId="51" fillId="34" borderId="73" xfId="0" applyNumberFormat="1" applyFont="1" applyFill="1" applyBorder="1" applyAlignment="1">
      <alignment horizontal="right"/>
    </xf>
    <xf numFmtId="0" fontId="51" fillId="34" borderId="5" xfId="0" applyFont="1" applyFill="1" applyBorder="1"/>
    <xf numFmtId="2" fontId="42" fillId="34" borderId="0" xfId="0" applyNumberFormat="1" applyFont="1" applyFill="1" applyAlignment="1">
      <alignment wrapText="1"/>
    </xf>
    <xf numFmtId="0" fontId="42" fillId="34" borderId="0" xfId="0" applyFont="1" applyFill="1" applyAlignment="1">
      <alignment horizontal="left" indent="3"/>
    </xf>
    <xf numFmtId="0" fontId="92" fillId="34" borderId="0" xfId="0" applyFont="1" applyFill="1"/>
    <xf numFmtId="0" fontId="42" fillId="34" borderId="33" xfId="0" applyFont="1" applyFill="1" applyBorder="1"/>
    <xf numFmtId="0" fontId="51" fillId="34" borderId="6" xfId="0" applyFont="1" applyFill="1" applyBorder="1" applyAlignment="1">
      <alignment wrapText="1"/>
    </xf>
    <xf numFmtId="0" fontId="51" fillId="34" borderId="36" xfId="0" applyFont="1" applyFill="1" applyBorder="1" applyAlignment="1">
      <alignment horizontal="center" wrapText="1"/>
    </xf>
    <xf numFmtId="0" fontId="51" fillId="34" borderId="6" xfId="0" applyFont="1" applyFill="1" applyBorder="1" applyAlignment="1">
      <alignment horizontal="center" wrapText="1"/>
    </xf>
    <xf numFmtId="0" fontId="51" fillId="34" borderId="33" xfId="0" applyFont="1" applyFill="1" applyBorder="1"/>
    <xf numFmtId="177" fontId="51" fillId="34" borderId="33" xfId="0" applyNumberFormat="1" applyFont="1" applyFill="1" applyBorder="1" applyAlignment="1">
      <alignment horizontal="center"/>
    </xf>
    <xf numFmtId="0" fontId="187" fillId="34" borderId="0" xfId="0" applyFont="1" applyFill="1"/>
    <xf numFmtId="0" fontId="42" fillId="34" borderId="6" xfId="0" applyFont="1" applyFill="1" applyBorder="1"/>
    <xf numFmtId="177" fontId="42" fillId="34" borderId="6" xfId="0" applyNumberFormat="1" applyFont="1" applyFill="1" applyBorder="1" applyAlignment="1">
      <alignment horizontal="center"/>
    </xf>
    <xf numFmtId="177" fontId="51" fillId="34" borderId="6" xfId="0" applyNumberFormat="1" applyFont="1" applyFill="1" applyBorder="1" applyAlignment="1">
      <alignment horizontal="center"/>
    </xf>
    <xf numFmtId="0" fontId="197" fillId="34" borderId="0" xfId="0" applyFont="1" applyFill="1"/>
    <xf numFmtId="0" fontId="129" fillId="34" borderId="32" xfId="0" applyFont="1" applyFill="1" applyBorder="1" applyAlignment="1">
      <alignment horizontal="left" indent="1"/>
    </xf>
    <xf numFmtId="177" fontId="129" fillId="34" borderId="32" xfId="0" applyNumberFormat="1" applyFont="1" applyFill="1" applyBorder="1" applyAlignment="1">
      <alignment horizontal="center"/>
    </xf>
    <xf numFmtId="177" fontId="51" fillId="34" borderId="32" xfId="0" applyNumberFormat="1" applyFont="1" applyFill="1" applyBorder="1" applyAlignment="1">
      <alignment horizontal="center"/>
    </xf>
    <xf numFmtId="177" fontId="42" fillId="34" borderId="0" xfId="0" applyNumberFormat="1" applyFont="1" applyFill="1"/>
    <xf numFmtId="10" fontId="42" fillId="34" borderId="0" xfId="0" applyNumberFormat="1" applyFont="1" applyFill="1"/>
    <xf numFmtId="0" fontId="42" fillId="34" borderId="32" xfId="0" applyFont="1" applyFill="1" applyBorder="1" applyAlignment="1">
      <alignment horizontal="left" indent="2"/>
    </xf>
    <xf numFmtId="177" fontId="42" fillId="34" borderId="32" xfId="0" applyNumberFormat="1" applyFont="1" applyFill="1" applyBorder="1" applyAlignment="1">
      <alignment horizontal="center"/>
    </xf>
    <xf numFmtId="0" fontId="42" fillId="34" borderId="32" xfId="0" applyFont="1" applyFill="1" applyBorder="1" applyAlignment="1">
      <alignment horizontal="left" indent="1"/>
    </xf>
    <xf numFmtId="0" fontId="51" fillId="34" borderId="32" xfId="0" applyFont="1" applyFill="1" applyBorder="1" applyAlignment="1">
      <alignment horizontal="left" indent="1"/>
    </xf>
    <xf numFmtId="0" fontId="42" fillId="34" borderId="23" xfId="0" applyFont="1" applyFill="1" applyBorder="1" applyAlignment="1">
      <alignment horizontal="left" indent="2"/>
    </xf>
    <xf numFmtId="177" fontId="42" fillId="34" borderId="23" xfId="0" applyNumberFormat="1" applyFont="1" applyFill="1" applyBorder="1" applyAlignment="1">
      <alignment horizontal="center"/>
    </xf>
    <xf numFmtId="0" fontId="51" fillId="34" borderId="6" xfId="0" applyFont="1" applyFill="1" applyBorder="1"/>
    <xf numFmtId="0" fontId="42" fillId="34" borderId="89" xfId="0" applyFont="1" applyFill="1" applyBorder="1" applyAlignment="1">
      <alignment horizontal="left" indent="1"/>
    </xf>
    <xf numFmtId="177" fontId="42" fillId="34" borderId="89" xfId="0" applyNumberFormat="1" applyFont="1" applyFill="1" applyBorder="1" applyAlignment="1">
      <alignment horizontal="center"/>
    </xf>
    <xf numFmtId="179" fontId="42" fillId="34" borderId="0" xfId="0" applyNumberFormat="1" applyFont="1" applyFill="1"/>
    <xf numFmtId="0" fontId="42" fillId="34" borderId="67" xfId="0" applyFont="1" applyFill="1" applyBorder="1" applyAlignment="1">
      <alignment horizontal="left" indent="2"/>
    </xf>
    <xf numFmtId="177" fontId="42" fillId="34" borderId="67" xfId="0" applyNumberFormat="1" applyFont="1" applyFill="1" applyBorder="1" applyAlignment="1">
      <alignment horizontal="center"/>
    </xf>
    <xf numFmtId="0" fontId="42" fillId="34" borderId="67" xfId="0" applyFont="1" applyFill="1" applyBorder="1"/>
    <xf numFmtId="0" fontId="42" fillId="34" borderId="67" xfId="0" applyFont="1" applyFill="1" applyBorder="1" applyAlignment="1">
      <alignment horizontal="left" indent="1"/>
    </xf>
    <xf numFmtId="2" fontId="51" fillId="34" borderId="67" xfId="0" applyNumberFormat="1" applyFont="1" applyFill="1" applyBorder="1" applyAlignment="1">
      <alignment horizontal="center"/>
    </xf>
    <xf numFmtId="2" fontId="42" fillId="34" borderId="67" xfId="0" applyNumberFormat="1" applyFont="1" applyFill="1" applyBorder="1" applyAlignment="1">
      <alignment horizontal="center"/>
    </xf>
    <xf numFmtId="0" fontId="42" fillId="34" borderId="68" xfId="0" applyFont="1" applyFill="1" applyBorder="1" applyAlignment="1">
      <alignment horizontal="left" indent="2"/>
    </xf>
    <xf numFmtId="2" fontId="42" fillId="34" borderId="68" xfId="0" applyNumberFormat="1" applyFont="1" applyFill="1" applyBorder="1" applyAlignment="1">
      <alignment horizontal="center"/>
    </xf>
    <xf numFmtId="0" fontId="51" fillId="34" borderId="30" xfId="0" applyFont="1" applyFill="1" applyBorder="1"/>
    <xf numFmtId="177" fontId="42" fillId="34" borderId="6" xfId="0" applyNumberFormat="1" applyFont="1" applyFill="1" applyBorder="1"/>
    <xf numFmtId="177" fontId="42" fillId="34" borderId="36" xfId="0" applyNumberFormat="1" applyFont="1" applyFill="1" applyBorder="1"/>
    <xf numFmtId="0" fontId="51" fillId="34" borderId="28" xfId="0" applyFont="1" applyFill="1" applyBorder="1"/>
    <xf numFmtId="177" fontId="51" fillId="34" borderId="32" xfId="0" applyNumberFormat="1" applyFont="1" applyFill="1" applyBorder="1"/>
    <xf numFmtId="0" fontId="42" fillId="34" borderId="28" xfId="0" applyFont="1" applyFill="1" applyBorder="1" applyAlignment="1">
      <alignment horizontal="left" indent="1"/>
    </xf>
    <xf numFmtId="177" fontId="42" fillId="34" borderId="32" xfId="0" applyNumberFormat="1" applyFont="1" applyFill="1" applyBorder="1"/>
    <xf numFmtId="0" fontId="51" fillId="34" borderId="29" xfId="0" applyFont="1" applyFill="1" applyBorder="1"/>
    <xf numFmtId="177" fontId="51" fillId="34" borderId="23" xfId="0" applyNumberFormat="1" applyFont="1" applyFill="1" applyBorder="1"/>
    <xf numFmtId="177" fontId="51" fillId="34" borderId="35" xfId="0" applyNumberFormat="1" applyFont="1" applyFill="1" applyBorder="1"/>
    <xf numFmtId="177" fontId="51" fillId="34" borderId="56" xfId="0" applyNumberFormat="1" applyFont="1" applyFill="1" applyBorder="1"/>
    <xf numFmtId="2" fontId="42" fillId="34" borderId="87" xfId="0" applyNumberFormat="1" applyFont="1" applyFill="1" applyBorder="1" applyAlignment="1">
      <alignment wrapText="1"/>
    </xf>
    <xf numFmtId="2" fontId="42" fillId="34" borderId="24" xfId="0" applyNumberFormat="1" applyFont="1" applyFill="1" applyBorder="1" applyAlignment="1">
      <alignment wrapText="1"/>
    </xf>
    <xf numFmtId="0" fontId="51" fillId="34" borderId="1" xfId="0" applyFont="1" applyFill="1" applyBorder="1" applyAlignment="1">
      <alignment horizontal="left" indent="1"/>
    </xf>
    <xf numFmtId="2" fontId="42" fillId="34" borderId="1" xfId="0" applyNumberFormat="1" applyFont="1" applyFill="1" applyBorder="1" applyAlignment="1">
      <alignment wrapText="1"/>
    </xf>
    <xf numFmtId="0" fontId="51" fillId="34" borderId="7" xfId="0" applyFont="1" applyFill="1" applyBorder="1" applyAlignment="1">
      <alignment horizontal="left" indent="1"/>
    </xf>
    <xf numFmtId="2" fontId="42" fillId="34" borderId="45" xfId="0" applyNumberFormat="1" applyFont="1" applyFill="1" applyBorder="1" applyAlignment="1">
      <alignment wrapText="1"/>
    </xf>
    <xf numFmtId="0" fontId="51" fillId="34" borderId="40" xfId="0" applyFont="1" applyFill="1" applyBorder="1" applyAlignment="1">
      <alignment horizontal="left" indent="1"/>
    </xf>
    <xf numFmtId="2" fontId="42" fillId="34" borderId="40" xfId="0" applyNumberFormat="1" applyFont="1" applyFill="1" applyBorder="1" applyAlignment="1">
      <alignment wrapText="1"/>
    </xf>
    <xf numFmtId="2" fontId="42" fillId="34" borderId="46" xfId="0" applyNumberFormat="1" applyFont="1" applyFill="1" applyBorder="1" applyAlignment="1">
      <alignment wrapText="1"/>
    </xf>
    <xf numFmtId="0" fontId="100" fillId="34" borderId="0" xfId="116" applyFont="1" applyFill="1" applyAlignment="1">
      <alignment horizontal="left"/>
    </xf>
    <xf numFmtId="0" fontId="50" fillId="34" borderId="0" xfId="116" applyFont="1" applyFill="1" applyAlignment="1">
      <alignment horizontal="center"/>
    </xf>
    <xf numFmtId="0" fontId="100" fillId="34" borderId="0" xfId="116" applyFont="1" applyFill="1"/>
    <xf numFmtId="0" fontId="158" fillId="34" borderId="0" xfId="116" applyFont="1" applyFill="1"/>
    <xf numFmtId="0" fontId="166" fillId="34" borderId="0" xfId="116" applyFont="1" applyFill="1" applyAlignment="1">
      <alignment horizontal="left"/>
    </xf>
    <xf numFmtId="0" fontId="167" fillId="34" borderId="0" xfId="116" applyFont="1" applyFill="1"/>
    <xf numFmtId="4" fontId="166" fillId="34" borderId="0" xfId="116" applyNumberFormat="1" applyFont="1" applyFill="1" applyAlignment="1">
      <alignment horizontal="left"/>
    </xf>
    <xf numFmtId="0" fontId="158" fillId="34" borderId="0" xfId="116" applyFont="1" applyFill="1" applyAlignment="1">
      <alignment horizontal="left"/>
    </xf>
    <xf numFmtId="0" fontId="135" fillId="34" borderId="0" xfId="116" applyFont="1" applyFill="1" applyAlignment="1">
      <alignment horizontal="left"/>
    </xf>
    <xf numFmtId="0" fontId="158" fillId="34" borderId="0" xfId="116" applyFont="1" applyFill="1" applyAlignment="1">
      <alignment horizontal="center"/>
    </xf>
    <xf numFmtId="182" fontId="158" fillId="34" borderId="0" xfId="116" applyNumberFormat="1" applyFont="1" applyFill="1" applyAlignment="1">
      <alignment horizontal="left"/>
    </xf>
    <xf numFmtId="180" fontId="158" fillId="34" borderId="0" xfId="116" applyNumberFormat="1" applyFont="1" applyFill="1" applyAlignment="1">
      <alignment horizontal="right"/>
    </xf>
    <xf numFmtId="0" fontId="154" fillId="34" borderId="0" xfId="116" applyFont="1" applyFill="1"/>
    <xf numFmtId="187" fontId="154" fillId="34" borderId="0" xfId="116" applyNumberFormat="1" applyFont="1" applyFill="1" applyAlignment="1">
      <alignment horizontal="right"/>
    </xf>
    <xf numFmtId="187" fontId="154" fillId="34" borderId="0" xfId="116" applyNumberFormat="1" applyFont="1" applyFill="1" applyAlignment="1">
      <alignment horizontal="center"/>
    </xf>
    <xf numFmtId="0" fontId="158" fillId="34" borderId="6" xfId="116" applyFont="1" applyFill="1" applyBorder="1" applyAlignment="1">
      <alignment horizontal="center" vertical="center" wrapText="1"/>
    </xf>
    <xf numFmtId="0" fontId="135" fillId="34" borderId="0" xfId="116" applyFont="1" applyFill="1" applyAlignment="1">
      <alignment horizontal="left" vertical="center" wrapText="1"/>
    </xf>
    <xf numFmtId="0" fontId="158" fillId="34" borderId="0" xfId="116" applyFont="1" applyFill="1" applyAlignment="1">
      <alignment horizontal="center" vertical="center" wrapText="1"/>
    </xf>
    <xf numFmtId="0" fontId="159" fillId="34" borderId="6" xfId="116" applyFont="1" applyFill="1" applyBorder="1" applyAlignment="1">
      <alignment horizontal="center" vertical="center" wrapText="1"/>
    </xf>
    <xf numFmtId="0" fontId="160" fillId="34" borderId="6" xfId="116" applyFont="1" applyFill="1" applyBorder="1" applyAlignment="1">
      <alignment horizontal="center" vertical="center" wrapText="1"/>
    </xf>
    <xf numFmtId="0" fontId="160" fillId="34" borderId="0" xfId="116" applyFont="1" applyFill="1" applyAlignment="1">
      <alignment horizontal="center" vertical="center" wrapText="1"/>
    </xf>
    <xf numFmtId="0" fontId="158" fillId="34" borderId="102" xfId="116" applyFont="1" applyFill="1" applyBorder="1" applyAlignment="1">
      <alignment vertical="justify" wrapText="1"/>
    </xf>
    <xf numFmtId="2" fontId="135" fillId="34" borderId="0" xfId="116" applyNumberFormat="1" applyFont="1" applyFill="1" applyAlignment="1">
      <alignment horizontal="left"/>
    </xf>
    <xf numFmtId="2" fontId="158" fillId="34" borderId="0" xfId="116" applyNumberFormat="1" applyFont="1" applyFill="1" applyAlignment="1">
      <alignment horizontal="center"/>
    </xf>
    <xf numFmtId="0" fontId="158" fillId="34" borderId="106" xfId="116" applyFont="1" applyFill="1" applyBorder="1" applyAlignment="1">
      <alignment horizontal="left" vertical="justify" wrapText="1"/>
    </xf>
    <xf numFmtId="0" fontId="154" fillId="34" borderId="106" xfId="116" applyFont="1" applyFill="1" applyBorder="1" applyAlignment="1">
      <alignment horizontal="left" wrapText="1" indent="1"/>
    </xf>
    <xf numFmtId="2" fontId="100" fillId="34" borderId="0" xfId="116" applyNumberFormat="1" applyFont="1" applyFill="1" applyAlignment="1">
      <alignment horizontal="left"/>
    </xf>
    <xf numFmtId="2" fontId="154" fillId="34" borderId="0" xfId="116" applyNumberFormat="1" applyFont="1" applyFill="1" applyAlignment="1">
      <alignment horizontal="center"/>
    </xf>
    <xf numFmtId="0" fontId="154" fillId="34" borderId="106" xfId="116" applyFont="1" applyFill="1" applyBorder="1" applyAlignment="1">
      <alignment horizontal="left" wrapText="1" indent="2"/>
    </xf>
    <xf numFmtId="177" fontId="158" fillId="34" borderId="0" xfId="116" applyNumberFormat="1" applyFont="1" applyFill="1" applyAlignment="1">
      <alignment horizontal="center"/>
    </xf>
    <xf numFmtId="4" fontId="132" fillId="34" borderId="28" xfId="116" applyNumberFormat="1" applyFont="1" applyFill="1" applyBorder="1" applyAlignment="1">
      <alignment horizontal="left"/>
    </xf>
    <xf numFmtId="2" fontId="154" fillId="34" borderId="106" xfId="116" applyNumberFormat="1" applyFont="1" applyFill="1" applyBorder="1"/>
    <xf numFmtId="175" fontId="50" fillId="34" borderId="0" xfId="116" applyNumberFormat="1" applyFont="1" applyFill="1"/>
    <xf numFmtId="2" fontId="154" fillId="34" borderId="106" xfId="116" applyNumberFormat="1" applyFont="1" applyFill="1" applyBorder="1" applyAlignment="1">
      <alignment wrapText="1"/>
    </xf>
    <xf numFmtId="0" fontId="158" fillId="34" borderId="106" xfId="116" applyFont="1" applyFill="1" applyBorder="1" applyAlignment="1">
      <alignment horizontal="left" wrapText="1"/>
    </xf>
    <xf numFmtId="2" fontId="158" fillId="34" borderId="106" xfId="116" applyNumberFormat="1" applyFont="1" applyFill="1" applyBorder="1"/>
    <xf numFmtId="0" fontId="136" fillId="34" borderId="0" xfId="116" applyFont="1" applyFill="1"/>
    <xf numFmtId="4" fontId="132" fillId="34" borderId="0" xfId="116" applyNumberFormat="1" applyFont="1" applyFill="1"/>
    <xf numFmtId="0" fontId="154" fillId="34" borderId="106" xfId="116" applyFont="1" applyFill="1" applyBorder="1" applyAlignment="1">
      <alignment horizontal="left" vertical="justify" wrapText="1" indent="1"/>
    </xf>
    <xf numFmtId="2" fontId="154" fillId="34" borderId="106" xfId="116" applyNumberFormat="1" applyFont="1" applyFill="1" applyBorder="1" applyAlignment="1">
      <alignment horizontal="right" wrapText="1"/>
    </xf>
    <xf numFmtId="2" fontId="154" fillId="34" borderId="106" xfId="116" applyNumberFormat="1" applyFont="1" applyFill="1" applyBorder="1" applyAlignment="1">
      <alignment vertical="center"/>
    </xf>
    <xf numFmtId="2" fontId="154" fillId="34" borderId="106" xfId="116" applyNumberFormat="1" applyFont="1" applyFill="1" applyBorder="1" applyAlignment="1">
      <alignment horizontal="right" vertical="center"/>
    </xf>
    <xf numFmtId="177" fontId="154" fillId="34" borderId="106" xfId="116" applyNumberFormat="1" applyFont="1" applyFill="1" applyBorder="1" applyAlignment="1">
      <alignment horizontal="right" vertical="center"/>
    </xf>
    <xf numFmtId="2" fontId="100" fillId="34" borderId="0" xfId="116" applyNumberFormat="1" applyFont="1" applyFill="1" applyAlignment="1">
      <alignment horizontal="left" vertical="center"/>
    </xf>
    <xf numFmtId="2" fontId="95" fillId="34" borderId="0" xfId="116" applyNumberFormat="1" applyFont="1" applyFill="1"/>
    <xf numFmtId="0" fontId="154" fillId="34" borderId="106" xfId="116" applyFont="1" applyFill="1" applyBorder="1" applyAlignment="1">
      <alignment horizontal="left" vertical="center" wrapText="1" indent="1"/>
    </xf>
    <xf numFmtId="0" fontId="100" fillId="34" borderId="0" xfId="116" applyFont="1" applyFill="1" applyAlignment="1">
      <alignment horizontal="center"/>
    </xf>
    <xf numFmtId="0" fontId="154" fillId="34" borderId="106" xfId="116" applyFont="1" applyFill="1" applyBorder="1" applyAlignment="1">
      <alignment horizontal="left" vertical="justify" indent="1"/>
    </xf>
    <xf numFmtId="177" fontId="154" fillId="34" borderId="106" xfId="116" applyNumberFormat="1" applyFont="1" applyFill="1" applyBorder="1"/>
    <xf numFmtId="2" fontId="154" fillId="34" borderId="114" xfId="116" applyNumberFormat="1" applyFont="1" applyFill="1" applyBorder="1"/>
    <xf numFmtId="177" fontId="154" fillId="34" borderId="114" xfId="116" applyNumberFormat="1" applyFont="1" applyFill="1" applyBorder="1"/>
    <xf numFmtId="2" fontId="154" fillId="34" borderId="114" xfId="116" applyNumberFormat="1" applyFont="1" applyFill="1" applyBorder="1" applyAlignment="1">
      <alignment horizontal="right" wrapText="1"/>
    </xf>
    <xf numFmtId="2" fontId="100" fillId="34" borderId="0" xfId="116" applyNumberFormat="1" applyFont="1" applyFill="1" applyAlignment="1">
      <alignment horizontal="center"/>
    </xf>
    <xf numFmtId="0" fontId="154" fillId="34" borderId="111" xfId="116" applyFont="1" applyFill="1" applyBorder="1" applyAlignment="1">
      <alignment horizontal="left" wrapText="1" indent="1"/>
    </xf>
    <xf numFmtId="2" fontId="154" fillId="34" borderId="111" xfId="116" applyNumberFormat="1" applyFont="1" applyFill="1" applyBorder="1"/>
    <xf numFmtId="0" fontId="50" fillId="34" borderId="0" xfId="116" applyFont="1" applyFill="1" applyAlignment="1">
      <alignment horizontal="left"/>
    </xf>
    <xf numFmtId="2" fontId="100" fillId="34" borderId="0" xfId="116" applyNumberFormat="1" applyFont="1" applyFill="1" applyAlignment="1">
      <alignment horizontal="right"/>
    </xf>
    <xf numFmtId="0" fontId="95" fillId="34" borderId="0" xfId="116" applyFont="1" applyFill="1"/>
    <xf numFmtId="0" fontId="95" fillId="34" borderId="0" xfId="116" applyFont="1" applyFill="1" applyAlignment="1">
      <alignment horizontal="right"/>
    </xf>
    <xf numFmtId="0" fontId="104" fillId="34" borderId="0" xfId="116" applyFont="1" applyFill="1" applyAlignment="1">
      <alignment horizontal="left"/>
    </xf>
    <xf numFmtId="0" fontId="95" fillId="34" borderId="0" xfId="116" applyFont="1" applyFill="1" applyAlignment="1">
      <alignment horizontal="center"/>
    </xf>
    <xf numFmtId="179" fontId="154" fillId="34" borderId="0" xfId="116" applyNumberFormat="1" applyFont="1" applyFill="1" applyAlignment="1">
      <alignment horizontal="center"/>
    </xf>
    <xf numFmtId="176" fontId="50" fillId="34" borderId="0" xfId="116" applyNumberFormat="1" applyFont="1" applyFill="1"/>
    <xf numFmtId="176" fontId="100" fillId="34" borderId="0" xfId="116" applyNumberFormat="1" applyFont="1" applyFill="1" applyAlignment="1">
      <alignment horizontal="left"/>
    </xf>
    <xf numFmtId="176" fontId="50" fillId="34" borderId="0" xfId="116" applyNumberFormat="1" applyFont="1" applyFill="1" applyAlignment="1">
      <alignment horizontal="center"/>
    </xf>
    <xf numFmtId="4" fontId="158" fillId="34" borderId="0" xfId="116" applyNumberFormat="1" applyFont="1" applyFill="1" applyAlignment="1">
      <alignment horizontal="left"/>
    </xf>
    <xf numFmtId="186" fontId="158" fillId="34" borderId="0" xfId="116" applyNumberFormat="1" applyFont="1" applyFill="1" applyAlignment="1">
      <alignment horizontal="left"/>
    </xf>
    <xf numFmtId="0" fontId="135" fillId="34" borderId="29" xfId="116" applyFont="1" applyFill="1" applyBorder="1" applyAlignment="1">
      <alignment horizontal="center" vertical="center" wrapText="1"/>
    </xf>
    <xf numFmtId="2" fontId="158" fillId="34" borderId="102" xfId="116" applyNumberFormat="1" applyFont="1" applyFill="1" applyBorder="1" applyAlignment="1">
      <alignment horizontal="right"/>
    </xf>
    <xf numFmtId="2" fontId="154" fillId="34" borderId="103" xfId="116" applyNumberFormat="1" applyFont="1" applyFill="1" applyBorder="1" applyAlignment="1">
      <alignment horizontal="right"/>
    </xf>
    <xf numFmtId="2" fontId="158" fillId="34" borderId="103" xfId="116" applyNumberFormat="1" applyFont="1" applyFill="1" applyBorder="1" applyAlignment="1">
      <alignment horizontal="right"/>
    </xf>
    <xf numFmtId="177" fontId="50" fillId="34" borderId="0" xfId="116" applyNumberFormat="1" applyFont="1" applyFill="1"/>
    <xf numFmtId="177" fontId="154" fillId="34" borderId="103" xfId="116" applyNumberFormat="1" applyFont="1" applyFill="1" applyBorder="1" applyAlignment="1">
      <alignment horizontal="right"/>
    </xf>
    <xf numFmtId="177" fontId="154" fillId="34" borderId="106" xfId="116" applyNumberFormat="1" applyFont="1" applyFill="1" applyBorder="1" applyAlignment="1">
      <alignment horizontal="right"/>
    </xf>
    <xf numFmtId="4" fontId="132" fillId="34" borderId="28" xfId="116" applyNumberFormat="1" applyFont="1" applyFill="1" applyBorder="1"/>
    <xf numFmtId="0" fontId="50" fillId="34" borderId="28" xfId="116" applyFont="1" applyFill="1" applyBorder="1"/>
    <xf numFmtId="2" fontId="154" fillId="34" borderId="114" xfId="116" applyNumberFormat="1" applyFont="1" applyFill="1" applyBorder="1" applyAlignment="1">
      <alignment horizontal="right"/>
    </xf>
    <xf numFmtId="2" fontId="154" fillId="34" borderId="122" xfId="116" applyNumberFormat="1" applyFont="1" applyFill="1" applyBorder="1" applyAlignment="1">
      <alignment horizontal="right"/>
    </xf>
    <xf numFmtId="2" fontId="154" fillId="34" borderId="108" xfId="116" applyNumberFormat="1" applyFont="1" applyFill="1" applyBorder="1" applyAlignment="1">
      <alignment horizontal="right"/>
    </xf>
    <xf numFmtId="170" fontId="100" fillId="34" borderId="0" xfId="116" applyNumberFormat="1" applyFont="1" applyFill="1" applyAlignment="1">
      <alignment horizontal="left"/>
    </xf>
    <xf numFmtId="0" fontId="100" fillId="34" borderId="0" xfId="0" applyFont="1" applyFill="1"/>
    <xf numFmtId="0" fontId="100" fillId="34" borderId="1" xfId="0" applyFont="1" applyFill="1" applyBorder="1" applyAlignment="1">
      <alignment horizontal="center"/>
    </xf>
    <xf numFmtId="0" fontId="43" fillId="34" borderId="1" xfId="0" applyFont="1" applyFill="1" applyBorder="1"/>
    <xf numFmtId="10" fontId="43" fillId="34" borderId="1" xfId="558" applyNumberFormat="1" applyFont="1" applyFill="1" applyBorder="1"/>
    <xf numFmtId="2" fontId="100" fillId="34" borderId="1" xfId="0" applyNumberFormat="1" applyFont="1" applyFill="1" applyBorder="1"/>
    <xf numFmtId="10" fontId="100" fillId="34" borderId="1" xfId="558" applyNumberFormat="1" applyFont="1" applyFill="1" applyBorder="1"/>
    <xf numFmtId="0" fontId="92" fillId="34" borderId="1" xfId="0" applyFont="1" applyFill="1" applyBorder="1"/>
    <xf numFmtId="9" fontId="92" fillId="34" borderId="1" xfId="0" applyNumberFormat="1" applyFont="1" applyFill="1" applyBorder="1"/>
    <xf numFmtId="0" fontId="100" fillId="34" borderId="8" xfId="0" applyFont="1" applyFill="1" applyBorder="1" applyAlignment="1">
      <alignment horizontal="center"/>
    </xf>
    <xf numFmtId="0" fontId="100" fillId="34" borderId="8" xfId="0" applyFont="1" applyFill="1" applyBorder="1"/>
    <xf numFmtId="0" fontId="43" fillId="34" borderId="1" xfId="0" applyFont="1" applyFill="1" applyBorder="1" applyAlignment="1">
      <alignment wrapText="1"/>
    </xf>
    <xf numFmtId="0" fontId="43" fillId="0" borderId="33" xfId="0" applyFont="1" applyBorder="1" applyAlignment="1">
      <alignment horizontal="center" vertical="center" wrapText="1"/>
    </xf>
    <xf numFmtId="0" fontId="39" fillId="0" borderId="6" xfId="0" applyFont="1" applyBorder="1"/>
    <xf numFmtId="0" fontId="273" fillId="0" borderId="23" xfId="0" applyFont="1" applyBorder="1" applyAlignment="1">
      <alignment horizontal="center" vertical="center" wrapText="1"/>
    </xf>
    <xf numFmtId="0" fontId="274" fillId="0" borderId="56" xfId="0" applyFont="1" applyBorder="1" applyAlignment="1">
      <alignment vertical="center" wrapText="1"/>
    </xf>
    <xf numFmtId="0" fontId="275" fillId="0" borderId="56" xfId="0" applyFont="1" applyBorder="1" applyAlignment="1">
      <alignment vertical="center" wrapText="1"/>
    </xf>
    <xf numFmtId="0" fontId="178" fillId="0" borderId="23" xfId="0" applyFont="1" applyBorder="1" applyAlignment="1">
      <alignment vertical="center" wrapText="1"/>
    </xf>
    <xf numFmtId="0" fontId="175" fillId="0" borderId="6" xfId="0" applyFont="1" applyBorder="1"/>
    <xf numFmtId="0" fontId="178" fillId="0" borderId="23" xfId="0" applyFont="1" applyBorder="1" applyAlignment="1">
      <alignment horizontal="left" vertical="center" wrapText="1"/>
    </xf>
    <xf numFmtId="0" fontId="275" fillId="0" borderId="23" xfId="0" applyFont="1" applyBorder="1" applyAlignment="1">
      <alignment vertical="center" wrapText="1"/>
    </xf>
    <xf numFmtId="0" fontId="275" fillId="34" borderId="56" xfId="0" applyFont="1" applyFill="1" applyBorder="1" applyAlignment="1">
      <alignment vertical="center" wrapText="1"/>
    </xf>
    <xf numFmtId="4" fontId="158" fillId="34" borderId="102" xfId="116" applyNumberFormat="1" applyFont="1" applyFill="1" applyBorder="1"/>
    <xf numFmtId="4" fontId="158" fillId="34" borderId="106" xfId="116" applyNumberFormat="1" applyFont="1" applyFill="1" applyBorder="1" applyAlignment="1">
      <alignment horizontal="right"/>
    </xf>
    <xf numFmtId="4" fontId="154" fillId="34" borderId="106" xfId="116" applyNumberFormat="1" applyFont="1" applyFill="1" applyBorder="1" applyAlignment="1">
      <alignment wrapText="1"/>
    </xf>
    <xf numFmtId="2" fontId="100" fillId="34" borderId="106" xfId="116" applyNumberFormat="1" applyFont="1" applyFill="1" applyBorder="1" applyAlignment="1">
      <alignment wrapText="1"/>
    </xf>
    <xf numFmtId="2" fontId="100" fillId="34" borderId="106" xfId="116" applyNumberFormat="1" applyFont="1" applyFill="1" applyBorder="1"/>
    <xf numFmtId="4" fontId="154" fillId="34" borderId="106" xfId="116" applyNumberFormat="1" applyFont="1" applyFill="1" applyBorder="1" applyAlignment="1">
      <alignment horizontal="right"/>
    </xf>
    <xf numFmtId="4" fontId="158" fillId="34" borderId="106" xfId="116" applyNumberFormat="1" applyFont="1" applyFill="1" applyBorder="1"/>
    <xf numFmtId="4" fontId="154" fillId="34" borderId="106" xfId="116" applyNumberFormat="1" applyFont="1" applyFill="1" applyBorder="1"/>
    <xf numFmtId="4" fontId="154" fillId="34" borderId="106" xfId="116" applyNumberFormat="1" applyFont="1" applyFill="1" applyBorder="1" applyAlignment="1">
      <alignment horizontal="right" wrapText="1"/>
    </xf>
    <xf numFmtId="4" fontId="154" fillId="34" borderId="114" xfId="116" applyNumberFormat="1" applyFont="1" applyFill="1" applyBorder="1"/>
    <xf numFmtId="0" fontId="154" fillId="34" borderId="114" xfId="116" applyFont="1" applyFill="1" applyBorder="1" applyAlignment="1">
      <alignment horizontal="left" wrapText="1" indent="1"/>
    </xf>
    <xf numFmtId="0" fontId="154" fillId="34" borderId="128" xfId="116" applyFont="1" applyFill="1" applyBorder="1" applyAlignment="1">
      <alignment horizontal="left" wrapText="1" indent="2"/>
    </xf>
    <xf numFmtId="2" fontId="154" fillId="34" borderId="128" xfId="116" applyNumberFormat="1" applyFont="1" applyFill="1" applyBorder="1" applyAlignment="1">
      <alignment horizontal="right"/>
    </xf>
    <xf numFmtId="2" fontId="154" fillId="34" borderId="127" xfId="116" applyNumberFormat="1" applyFont="1" applyFill="1" applyBorder="1" applyAlignment="1">
      <alignment horizontal="right"/>
    </xf>
    <xf numFmtId="0" fontId="154" fillId="34" borderId="111" xfId="116" applyFont="1" applyFill="1" applyBorder="1" applyAlignment="1">
      <alignment horizontal="left" wrapText="1" indent="2"/>
    </xf>
    <xf numFmtId="0" fontId="154" fillId="34" borderId="0" xfId="116" applyFont="1" applyFill="1" applyAlignment="1">
      <alignment horizontal="center"/>
    </xf>
    <xf numFmtId="0" fontId="92" fillId="0" borderId="1" xfId="0" applyFont="1" applyBorder="1" applyAlignment="1">
      <alignment vertical="center" wrapText="1"/>
    </xf>
    <xf numFmtId="0" fontId="92" fillId="0" borderId="1" xfId="0" applyFont="1" applyBorder="1" applyAlignment="1">
      <alignment vertical="center"/>
    </xf>
    <xf numFmtId="2" fontId="92" fillId="0" borderId="1" xfId="0" applyNumberFormat="1" applyFont="1" applyBorder="1"/>
    <xf numFmtId="2" fontId="175" fillId="0" borderId="1" xfId="0" applyNumberFormat="1" applyFont="1" applyBorder="1"/>
    <xf numFmtId="0" fontId="205" fillId="0" borderId="1" xfId="0" applyFont="1" applyBorder="1" applyAlignment="1">
      <alignment vertical="center" wrapText="1"/>
    </xf>
    <xf numFmtId="0" fontId="205" fillId="0" borderId="1" xfId="0" applyFont="1" applyBorder="1" applyAlignment="1">
      <alignment vertical="center"/>
    </xf>
    <xf numFmtId="0" fontId="276" fillId="0" borderId="0" xfId="0" applyFont="1"/>
    <xf numFmtId="0" fontId="205" fillId="0" borderId="0" xfId="0" applyFont="1" applyAlignment="1">
      <alignment wrapText="1"/>
    </xf>
    <xf numFmtId="2" fontId="276" fillId="0" borderId="0" xfId="0" applyNumberFormat="1" applyFont="1"/>
    <xf numFmtId="0" fontId="277" fillId="0" borderId="0" xfId="0" applyFont="1" applyAlignment="1">
      <alignment wrapText="1"/>
    </xf>
    <xf numFmtId="0" fontId="277" fillId="0" borderId="0" xfId="0" applyFont="1"/>
    <xf numFmtId="2" fontId="277" fillId="0" borderId="0" xfId="0" applyNumberFormat="1" applyFont="1"/>
    <xf numFmtId="0" fontId="175" fillId="0" borderId="0" xfId="0" applyFont="1" applyAlignment="1">
      <alignment horizontal="right" wrapText="1"/>
    </xf>
    <xf numFmtId="2" fontId="135" fillId="0" borderId="0" xfId="0" applyNumberFormat="1" applyFont="1"/>
    <xf numFmtId="0" fontId="135" fillId="34" borderId="0" xfId="533" applyFont="1" applyFill="1" applyAlignment="1">
      <alignment horizontal="center" wrapText="1"/>
    </xf>
    <xf numFmtId="0" fontId="135" fillId="34" borderId="0" xfId="533" applyFont="1" applyFill="1" applyAlignment="1">
      <alignment wrapText="1"/>
    </xf>
    <xf numFmtId="0" fontId="42" fillId="34" borderId="0" xfId="506" applyFont="1" applyFill="1"/>
    <xf numFmtId="0" fontId="132" fillId="34" borderId="0" xfId="533" applyFont="1" applyFill="1"/>
    <xf numFmtId="0" fontId="100" fillId="34" borderId="0" xfId="533" applyFont="1" applyFill="1" applyAlignment="1">
      <alignment horizontal="center" vertical="center"/>
    </xf>
    <xf numFmtId="0" fontId="50" fillId="34" borderId="0" xfId="533" applyFont="1" applyFill="1" applyAlignment="1">
      <alignment horizontal="left" vertical="center"/>
    </xf>
    <xf numFmtId="0" fontId="100" fillId="34" borderId="6" xfId="533" applyFont="1" applyFill="1" applyBorder="1" applyAlignment="1">
      <alignment horizontal="center" vertical="center" wrapText="1"/>
    </xf>
    <xf numFmtId="0" fontId="100" fillId="34" borderId="23" xfId="533" applyFont="1" applyFill="1" applyBorder="1" applyAlignment="1">
      <alignment horizontal="center" vertical="center" wrapText="1"/>
    </xf>
    <xf numFmtId="0" fontId="135" fillId="34" borderId="66" xfId="533" applyFont="1" applyFill="1" applyBorder="1" applyAlignment="1">
      <alignment horizontal="center" vertical="center" wrapText="1"/>
    </xf>
    <xf numFmtId="0" fontId="144" fillId="34" borderId="89" xfId="533" applyFont="1" applyFill="1" applyBorder="1" applyAlignment="1">
      <alignment horizontal="center" vertical="center" wrapText="1"/>
    </xf>
    <xf numFmtId="4" fontId="144" fillId="34" borderId="89" xfId="533" applyNumberFormat="1" applyFont="1" applyFill="1" applyBorder="1" applyAlignment="1">
      <alignment horizontal="center" vertical="center" wrapText="1"/>
    </xf>
    <xf numFmtId="180" fontId="144" fillId="34" borderId="89" xfId="533" applyNumberFormat="1" applyFont="1" applyFill="1" applyBorder="1" applyAlignment="1">
      <alignment horizontal="center" vertical="center" wrapText="1"/>
    </xf>
    <xf numFmtId="0" fontId="135" fillId="34" borderId="89" xfId="533" applyFont="1" applyFill="1" applyBorder="1" applyAlignment="1">
      <alignment horizontal="center" vertical="center" wrapText="1"/>
    </xf>
    <xf numFmtId="0" fontId="132" fillId="34" borderId="89" xfId="533" applyFont="1" applyFill="1" applyBorder="1" applyAlignment="1">
      <alignment horizontal="center" vertical="center" wrapText="1"/>
    </xf>
    <xf numFmtId="4" fontId="132" fillId="34" borderId="89" xfId="533" applyNumberFormat="1" applyFont="1" applyFill="1" applyBorder="1" applyAlignment="1">
      <alignment horizontal="center" vertical="center" wrapText="1"/>
    </xf>
    <xf numFmtId="0" fontId="144" fillId="34" borderId="89" xfId="177" applyFont="1" applyFill="1" applyBorder="1" applyAlignment="1">
      <alignment horizontal="center" vertical="center" wrapText="1"/>
    </xf>
    <xf numFmtId="4" fontId="132" fillId="34" borderId="89" xfId="177" applyNumberFormat="1" applyFont="1" applyFill="1" applyBorder="1" applyAlignment="1">
      <alignment horizontal="center" vertical="center" wrapText="1"/>
    </xf>
    <xf numFmtId="0" fontId="144" fillId="34" borderId="89" xfId="533" applyFont="1" applyFill="1" applyBorder="1" applyAlignment="1">
      <alignment horizontal="left" vertical="center" wrapText="1"/>
    </xf>
    <xf numFmtId="4" fontId="144" fillId="34" borderId="89" xfId="177" applyNumberFormat="1" applyFont="1" applyFill="1" applyBorder="1" applyAlignment="1">
      <alignment horizontal="center" vertical="center" wrapText="1"/>
    </xf>
    <xf numFmtId="0" fontId="132" fillId="34" borderId="89" xfId="533" applyFont="1" applyFill="1" applyBorder="1" applyAlignment="1">
      <alignment horizontal="left" vertical="center" wrapText="1"/>
    </xf>
    <xf numFmtId="9" fontId="132" fillId="34" borderId="89" xfId="533" applyNumberFormat="1" applyFont="1" applyFill="1" applyBorder="1" applyAlignment="1">
      <alignment horizontal="center" vertical="center" wrapText="1"/>
    </xf>
    <xf numFmtId="0" fontId="132" fillId="34" borderId="89" xfId="177" applyFont="1" applyFill="1" applyBorder="1" applyAlignment="1">
      <alignment horizontal="center" vertical="center" wrapText="1"/>
    </xf>
    <xf numFmtId="10" fontId="132" fillId="34" borderId="89" xfId="533" applyNumberFormat="1" applyFont="1" applyFill="1" applyBorder="1" applyAlignment="1">
      <alignment horizontal="center" vertical="center" wrapText="1"/>
    </xf>
    <xf numFmtId="0" fontId="144" fillId="34" borderId="67" xfId="533" applyFont="1" applyFill="1" applyBorder="1" applyAlignment="1">
      <alignment horizontal="center" vertical="center" wrapText="1"/>
    </xf>
    <xf numFmtId="2" fontId="144" fillId="34" borderId="67" xfId="533" applyNumberFormat="1" applyFont="1" applyFill="1" applyBorder="1" applyAlignment="1">
      <alignment horizontal="center" vertical="center"/>
    </xf>
    <xf numFmtId="4" fontId="144" fillId="34" borderId="67" xfId="533" applyNumberFormat="1" applyFont="1" applyFill="1" applyBorder="1" applyAlignment="1">
      <alignment horizontal="center" vertical="center"/>
    </xf>
    <xf numFmtId="180" fontId="144" fillId="34" borderId="67" xfId="533" applyNumberFormat="1" applyFont="1" applyFill="1" applyBorder="1" applyAlignment="1">
      <alignment horizontal="center" vertical="center"/>
    </xf>
    <xf numFmtId="0" fontId="188" fillId="34" borderId="89" xfId="177" applyFont="1" applyFill="1" applyBorder="1" applyAlignment="1">
      <alignment horizontal="center" vertical="center" wrapText="1"/>
    </xf>
    <xf numFmtId="0" fontId="189" fillId="34" borderId="89" xfId="177" applyFont="1" applyFill="1" applyBorder="1" applyAlignment="1">
      <alignment horizontal="center" vertical="center" wrapText="1"/>
    </xf>
    <xf numFmtId="0" fontId="144" fillId="34" borderId="67" xfId="533" applyFont="1" applyFill="1" applyBorder="1" applyAlignment="1">
      <alignment horizontal="center" vertical="center"/>
    </xf>
    <xf numFmtId="2" fontId="144" fillId="34" borderId="89" xfId="533" applyNumberFormat="1" applyFont="1" applyFill="1" applyBorder="1" applyAlignment="1">
      <alignment horizontal="center" vertical="center" wrapText="1"/>
    </xf>
    <xf numFmtId="0" fontId="135" fillId="34" borderId="67" xfId="533" applyFont="1" applyFill="1" applyBorder="1" applyAlignment="1">
      <alignment horizontal="center" vertical="center"/>
    </xf>
    <xf numFmtId="0" fontId="144" fillId="87" borderId="67" xfId="506" applyFont="1" applyFill="1" applyBorder="1" applyAlignment="1">
      <alignment horizontal="center" vertical="center" wrapText="1"/>
    </xf>
    <xf numFmtId="3" fontId="144" fillId="34" borderId="67" xfId="533" applyNumberFormat="1" applyFont="1" applyFill="1" applyBorder="1" applyAlignment="1">
      <alignment horizontal="center" vertical="center"/>
    </xf>
    <xf numFmtId="0" fontId="144" fillId="34" borderId="67" xfId="177" applyFont="1" applyFill="1" applyBorder="1" applyAlignment="1">
      <alignment horizontal="center" vertical="center"/>
    </xf>
    <xf numFmtId="170" fontId="144" fillId="34" borderId="67" xfId="533" applyNumberFormat="1" applyFont="1" applyFill="1" applyBorder="1" applyAlignment="1">
      <alignment horizontal="center" vertical="center"/>
    </xf>
    <xf numFmtId="0" fontId="135" fillId="34" borderId="32" xfId="533" applyFont="1" applyFill="1" applyBorder="1" applyAlignment="1">
      <alignment horizontal="center" vertical="center" wrapText="1"/>
    </xf>
    <xf numFmtId="0" fontId="132" fillId="34" borderId="32" xfId="533" applyFont="1" applyFill="1" applyBorder="1" applyAlignment="1">
      <alignment horizontal="left" vertical="center" wrapText="1"/>
    </xf>
    <xf numFmtId="4" fontId="132" fillId="34" borderId="32" xfId="533" applyNumberFormat="1" applyFont="1" applyFill="1" applyBorder="1" applyAlignment="1">
      <alignment horizontal="center" vertical="center" wrapText="1"/>
    </xf>
    <xf numFmtId="0" fontId="132" fillId="34" borderId="32" xfId="177" applyFont="1" applyFill="1" applyBorder="1" applyAlignment="1">
      <alignment horizontal="center" vertical="center" wrapText="1"/>
    </xf>
    <xf numFmtId="4" fontId="132" fillId="34" borderId="32" xfId="177" applyNumberFormat="1" applyFont="1" applyFill="1" applyBorder="1" applyAlignment="1">
      <alignment horizontal="center" vertical="center" wrapText="1"/>
    </xf>
    <xf numFmtId="0" fontId="135" fillId="34" borderId="6" xfId="533" applyFont="1" applyFill="1" applyBorder="1" applyAlignment="1">
      <alignment horizontal="center" vertical="center" wrapText="1"/>
    </xf>
    <xf numFmtId="0" fontId="144" fillId="34" borderId="6" xfId="533" applyFont="1" applyFill="1" applyBorder="1" applyAlignment="1">
      <alignment horizontal="center" vertical="center"/>
    </xf>
    <xf numFmtId="4" fontId="144" fillId="34" borderId="6" xfId="533" applyNumberFormat="1" applyFont="1" applyFill="1" applyBorder="1" applyAlignment="1">
      <alignment horizontal="center" vertical="center" wrapText="1"/>
    </xf>
    <xf numFmtId="180" fontId="144" fillId="34" borderId="6" xfId="533" applyNumberFormat="1" applyFont="1" applyFill="1" applyBorder="1" applyAlignment="1">
      <alignment horizontal="center" vertical="center" wrapText="1"/>
    </xf>
    <xf numFmtId="170" fontId="144" fillId="34" borderId="6" xfId="533" applyNumberFormat="1" applyFont="1" applyFill="1" applyBorder="1" applyAlignment="1">
      <alignment horizontal="center" vertical="center" wrapText="1"/>
    </xf>
    <xf numFmtId="4" fontId="144" fillId="34" borderId="6" xfId="177" applyNumberFormat="1" applyFont="1" applyFill="1" applyBorder="1" applyAlignment="1">
      <alignment horizontal="center" vertical="center" wrapText="1"/>
    </xf>
    <xf numFmtId="0" fontId="132" fillId="34" borderId="6" xfId="506" applyFont="1" applyFill="1" applyBorder="1"/>
    <xf numFmtId="0" fontId="132" fillId="34" borderId="6" xfId="533" applyFont="1" applyFill="1" applyBorder="1" applyAlignment="1">
      <alignment horizontal="center" vertical="center" wrapText="1"/>
    </xf>
    <xf numFmtId="2" fontId="51" fillId="34" borderId="31" xfId="0" applyNumberFormat="1" applyFont="1" applyFill="1" applyBorder="1" applyAlignment="1">
      <alignment horizontal="center"/>
    </xf>
    <xf numFmtId="2" fontId="51" fillId="34" borderId="6" xfId="0" applyNumberFormat="1" applyFont="1" applyFill="1" applyBorder="1" applyAlignment="1">
      <alignment horizontal="center"/>
    </xf>
    <xf numFmtId="180" fontId="144" fillId="34" borderId="6" xfId="533" applyNumberFormat="1" applyFont="1" applyFill="1" applyBorder="1" applyAlignment="1">
      <alignment horizontal="center" vertical="center"/>
    </xf>
    <xf numFmtId="0" fontId="144" fillId="34" borderId="6" xfId="177" applyFont="1" applyFill="1" applyBorder="1" applyAlignment="1">
      <alignment horizontal="center" vertical="center"/>
    </xf>
    <xf numFmtId="4" fontId="144" fillId="34" borderId="6" xfId="177" applyNumberFormat="1" applyFont="1" applyFill="1" applyBorder="1" applyAlignment="1">
      <alignment horizontal="center" vertical="center"/>
    </xf>
    <xf numFmtId="0" fontId="135" fillId="34" borderId="33" xfId="533" applyFont="1" applyFill="1" applyBorder="1" applyAlignment="1">
      <alignment horizontal="center" vertical="center" wrapText="1"/>
    </xf>
    <xf numFmtId="0" fontId="135" fillId="34" borderId="23" xfId="533" applyFont="1" applyFill="1" applyBorder="1" applyAlignment="1">
      <alignment horizontal="center" vertical="center" wrapText="1"/>
    </xf>
    <xf numFmtId="0" fontId="100" fillId="34" borderId="0" xfId="533" applyFont="1" applyFill="1" applyAlignment="1">
      <alignment horizontal="center" vertical="top"/>
    </xf>
    <xf numFmtId="0" fontId="151" fillId="34" borderId="0" xfId="506" applyFont="1" applyFill="1" applyAlignment="1">
      <alignment vertical="top"/>
    </xf>
    <xf numFmtId="0" fontId="262" fillId="0" borderId="0" xfId="0" applyFont="1"/>
    <xf numFmtId="0" fontId="278" fillId="0" borderId="0" xfId="0" applyFont="1" applyAlignment="1">
      <alignment horizontal="center" vertical="center" wrapText="1"/>
    </xf>
    <xf numFmtId="0" fontId="278" fillId="0" borderId="0" xfId="0" applyFont="1" applyAlignment="1">
      <alignment horizontal="center" vertical="center"/>
    </xf>
    <xf numFmtId="4" fontId="262" fillId="0" borderId="0" xfId="0" applyNumberFormat="1" applyFont="1"/>
    <xf numFmtId="9" fontId="262" fillId="0" borderId="0" xfId="558" applyFont="1" applyFill="1" applyBorder="1"/>
    <xf numFmtId="0" fontId="42" fillId="0" borderId="7" xfId="0" applyFont="1" applyBorder="1"/>
    <xf numFmtId="0" fontId="41" fillId="0" borderId="7" xfId="0" applyFont="1" applyBorder="1" applyAlignment="1">
      <alignment horizontal="center" vertical="center"/>
    </xf>
    <xf numFmtId="2" fontId="42" fillId="0" borderId="7" xfId="0" applyNumberFormat="1" applyFont="1" applyBorder="1"/>
    <xf numFmtId="2" fontId="262" fillId="34" borderId="0" xfId="0" applyNumberFormat="1" applyFont="1" applyFill="1"/>
    <xf numFmtId="4" fontId="262" fillId="34" borderId="0" xfId="0" applyNumberFormat="1" applyFont="1" applyFill="1"/>
    <xf numFmtId="0" fontId="262" fillId="34" borderId="0" xfId="0" applyFont="1" applyFill="1"/>
    <xf numFmtId="0" fontId="278" fillId="34" borderId="0" xfId="0" applyFont="1" applyFill="1" applyAlignment="1">
      <alignment horizontal="center" vertical="center" wrapText="1"/>
    </xf>
    <xf numFmtId="0" fontId="278" fillId="34" borderId="0" xfId="0" applyFont="1" applyFill="1" applyAlignment="1">
      <alignment horizontal="center" vertical="center"/>
    </xf>
    <xf numFmtId="9" fontId="262" fillId="34" borderId="0" xfId="558" applyFont="1" applyFill="1" applyBorder="1"/>
    <xf numFmtId="0" fontId="279" fillId="34" borderId="0" xfId="0" applyFont="1" applyFill="1" applyAlignment="1">
      <alignment vertical="center" wrapText="1"/>
    </xf>
    <xf numFmtId="4" fontId="280" fillId="34" borderId="0" xfId="0" applyNumberFormat="1" applyFont="1" applyFill="1"/>
    <xf numFmtId="9" fontId="280" fillId="34" borderId="0" xfId="558" applyFont="1" applyFill="1" applyBorder="1"/>
    <xf numFmtId="2" fontId="39" fillId="3" borderId="7" xfId="5" applyNumberFormat="1" applyFont="1" applyFill="1" applyBorder="1" applyAlignment="1" applyProtection="1">
      <alignment horizontal="center" vertical="center"/>
      <protection locked="0"/>
    </xf>
    <xf numFmtId="2" fontId="39" fillId="34" borderId="47" xfId="5" applyNumberFormat="1" applyFont="1" applyFill="1" applyBorder="1" applyAlignment="1" applyProtection="1">
      <alignment horizontal="center" vertical="center"/>
      <protection locked="0"/>
    </xf>
    <xf numFmtId="49" fontId="39" fillId="34" borderId="7" xfId="5" applyNumberFormat="1" applyFont="1" applyFill="1" applyBorder="1" applyAlignment="1">
      <alignment horizontal="center" vertical="center" wrapText="1"/>
    </xf>
    <xf numFmtId="49" fontId="39" fillId="34" borderId="78" xfId="5" applyNumberFormat="1" applyFont="1" applyFill="1" applyBorder="1" applyAlignment="1">
      <alignment horizontal="center" vertical="center" wrapText="1"/>
    </xf>
    <xf numFmtId="49" fontId="45" fillId="34" borderId="65" xfId="5" applyNumberFormat="1" applyFont="1" applyFill="1" applyBorder="1" applyAlignment="1">
      <alignment horizontal="center" vertical="center" wrapText="1"/>
    </xf>
    <xf numFmtId="0" fontId="0" fillId="0" borderId="24" xfId="0" applyBorder="1"/>
    <xf numFmtId="177" fontId="39" fillId="34" borderId="40" xfId="5" applyNumberFormat="1" applyFont="1" applyFill="1" applyBorder="1" applyAlignment="1">
      <alignment horizontal="center" vertical="center"/>
    </xf>
    <xf numFmtId="177" fontId="39" fillId="34" borderId="46" xfId="5" applyNumberFormat="1" applyFont="1" applyFill="1" applyBorder="1" applyAlignment="1">
      <alignment horizontal="center" vertical="center"/>
    </xf>
    <xf numFmtId="0" fontId="0" fillId="0" borderId="28" xfId="0" applyBorder="1"/>
    <xf numFmtId="2" fontId="39" fillId="0" borderId="7" xfId="240" applyNumberFormat="1" applyFont="1" applyBorder="1" applyAlignment="1">
      <alignment horizontal="center" vertical="center"/>
    </xf>
    <xf numFmtId="2" fontId="39" fillId="0" borderId="54" xfId="240" applyNumberFormat="1" applyFont="1" applyBorder="1" applyAlignment="1">
      <alignment horizontal="center" vertical="center"/>
    </xf>
    <xf numFmtId="49" fontId="39" fillId="34" borderId="37" xfId="5" applyNumberFormat="1" applyFont="1" applyFill="1" applyBorder="1" applyAlignment="1">
      <alignment horizontal="center" vertical="center" wrapText="1"/>
    </xf>
    <xf numFmtId="0" fontId="39" fillId="34" borderId="3" xfId="5" applyFont="1" applyFill="1" applyBorder="1" applyAlignment="1">
      <alignment vertical="center" wrapText="1"/>
    </xf>
    <xf numFmtId="0" fontId="39" fillId="34" borderId="69" xfId="5" applyFont="1" applyFill="1" applyBorder="1" applyAlignment="1">
      <alignment horizontal="center" vertical="center"/>
    </xf>
    <xf numFmtId="2" fontId="39" fillId="34" borderId="3" xfId="5" applyNumberFormat="1" applyFont="1" applyFill="1" applyBorder="1" applyAlignment="1" applyProtection="1">
      <alignment horizontal="center" vertical="center" wrapText="1"/>
      <protection locked="0"/>
    </xf>
    <xf numFmtId="2" fontId="39" fillId="34" borderId="3" xfId="5" applyNumberFormat="1" applyFont="1" applyFill="1" applyBorder="1" applyAlignment="1" applyProtection="1">
      <alignment horizontal="center" vertical="center"/>
      <protection locked="0"/>
    </xf>
    <xf numFmtId="2" fontId="39" fillId="34" borderId="43" xfId="5" applyNumberFormat="1" applyFont="1" applyFill="1" applyBorder="1" applyAlignment="1" applyProtection="1">
      <alignment horizontal="center" vertical="center"/>
      <protection locked="0"/>
    </xf>
    <xf numFmtId="49" fontId="39" fillId="34" borderId="30" xfId="5" applyNumberFormat="1" applyFont="1" applyFill="1" applyBorder="1" applyAlignment="1">
      <alignment horizontal="center" vertical="center" wrapText="1"/>
    </xf>
    <xf numFmtId="0" fontId="39" fillId="34" borderId="61" xfId="5" applyFont="1" applyFill="1" applyBorder="1" applyAlignment="1">
      <alignment vertical="center" wrapText="1"/>
    </xf>
    <xf numFmtId="0" fontId="39" fillId="34" borderId="63" xfId="5" applyFont="1" applyFill="1" applyBorder="1" applyAlignment="1">
      <alignment horizontal="center" vertical="center"/>
    </xf>
    <xf numFmtId="2" fontId="39" fillId="34" borderId="61" xfId="5" applyNumberFormat="1" applyFont="1" applyFill="1" applyBorder="1" applyAlignment="1" applyProtection="1">
      <alignment horizontal="center" vertical="center" wrapText="1"/>
      <protection locked="0"/>
    </xf>
    <xf numFmtId="2" fontId="39" fillId="34" borderId="62" xfId="5" applyNumberFormat="1" applyFont="1" applyFill="1" applyBorder="1" applyAlignment="1" applyProtection="1">
      <alignment horizontal="center" vertical="center" wrapText="1"/>
      <protection locked="0"/>
    </xf>
    <xf numFmtId="49" fontId="39" fillId="34" borderId="69" xfId="5" applyNumberFormat="1" applyFont="1" applyFill="1" applyBorder="1" applyAlignment="1">
      <alignment horizontal="center" vertical="center" wrapText="1"/>
    </xf>
    <xf numFmtId="0" fontId="39" fillId="34" borderId="3" xfId="0" applyFont="1" applyFill="1" applyBorder="1" applyAlignment="1">
      <alignment horizontal="left" vertical="center" wrapText="1" indent="2"/>
    </xf>
    <xf numFmtId="0" fontId="39" fillId="34" borderId="3" xfId="5" applyFont="1" applyFill="1" applyBorder="1" applyAlignment="1">
      <alignment horizontal="center" vertical="center"/>
    </xf>
    <xf numFmtId="2" fontId="39" fillId="34" borderId="3" xfId="5" applyNumberFormat="1" applyFont="1" applyFill="1" applyBorder="1" applyAlignment="1">
      <alignment horizontal="center" vertical="center"/>
    </xf>
    <xf numFmtId="2" fontId="39" fillId="34" borderId="43" xfId="5" applyNumberFormat="1" applyFont="1" applyFill="1" applyBorder="1" applyAlignment="1">
      <alignment horizontal="center" vertical="center"/>
    </xf>
    <xf numFmtId="2" fontId="39" fillId="34" borderId="46" xfId="5" applyNumberFormat="1" applyFont="1" applyFill="1" applyBorder="1" applyAlignment="1">
      <alignment horizontal="center" vertical="center"/>
    </xf>
    <xf numFmtId="0" fontId="39" fillId="34" borderId="3" xfId="0" applyFont="1" applyFill="1" applyBorder="1" applyAlignment="1">
      <alignment vertical="center" wrapText="1"/>
    </xf>
    <xf numFmtId="2" fontId="39" fillId="34" borderId="43" xfId="5" applyNumberFormat="1" applyFont="1" applyFill="1" applyBorder="1" applyAlignment="1" applyProtection="1">
      <alignment horizontal="center" vertical="center" wrapText="1"/>
      <protection locked="0"/>
    </xf>
    <xf numFmtId="0" fontId="39" fillId="34" borderId="45" xfId="0" applyFont="1" applyFill="1" applyBorder="1" applyAlignment="1">
      <alignment horizontal="left" vertical="center" wrapText="1" indent="2"/>
    </xf>
    <xf numFmtId="2" fontId="39" fillId="34" borderId="45" xfId="5" applyNumberFormat="1" applyFont="1" applyFill="1" applyBorder="1" applyAlignment="1" applyProtection="1">
      <alignment horizontal="center" vertical="center"/>
      <protection locked="0"/>
    </xf>
    <xf numFmtId="2" fontId="39" fillId="34" borderId="46" xfId="5" applyNumberFormat="1" applyFont="1" applyFill="1" applyBorder="1" applyAlignment="1" applyProtection="1">
      <alignment horizontal="center" vertical="center"/>
      <protection locked="0"/>
    </xf>
    <xf numFmtId="2" fontId="39" fillId="0" borderId="7" xfId="5" applyNumberFormat="1" applyFont="1" applyBorder="1" applyAlignment="1" applyProtection="1">
      <alignment horizontal="center" vertical="center" wrapText="1"/>
      <protection locked="0"/>
    </xf>
    <xf numFmtId="177" fontId="39" fillId="34" borderId="46" xfId="5" applyNumberFormat="1" applyFont="1" applyFill="1" applyBorder="1" applyAlignment="1" applyProtection="1">
      <alignment horizontal="center" vertical="center" wrapText="1"/>
      <protection locked="0"/>
    </xf>
    <xf numFmtId="0" fontId="132" fillId="0" borderId="24" xfId="0" applyFont="1" applyBorder="1"/>
    <xf numFmtId="176" fontId="0" fillId="0" borderId="24" xfId="0" applyNumberFormat="1" applyBorder="1"/>
    <xf numFmtId="2" fontId="0" fillId="0" borderId="24" xfId="0" applyNumberFormat="1" applyBorder="1"/>
    <xf numFmtId="0" fontId="91" fillId="0" borderId="24" xfId="0" applyFont="1" applyBorder="1"/>
    <xf numFmtId="2" fontId="42" fillId="34" borderId="8" xfId="0" applyNumberFormat="1" applyFont="1" applyFill="1" applyBorder="1" applyAlignment="1">
      <alignment horizontal="center" vertical="center" wrapText="1"/>
    </xf>
    <xf numFmtId="49" fontId="42" fillId="34" borderId="42" xfId="0" applyNumberFormat="1" applyFont="1" applyFill="1" applyBorder="1" applyAlignment="1">
      <alignment horizontal="center" vertical="top" wrapText="1"/>
    </xf>
    <xf numFmtId="0" fontId="42" fillId="34" borderId="10" xfId="0" applyFont="1" applyFill="1" applyBorder="1" applyAlignment="1">
      <alignment vertical="center" wrapText="1"/>
    </xf>
    <xf numFmtId="0" fontId="42" fillId="34" borderId="46" xfId="0" applyFont="1" applyFill="1" applyBorder="1" applyAlignment="1">
      <alignment vertical="center" wrapText="1"/>
    </xf>
    <xf numFmtId="0" fontId="42" fillId="34" borderId="24" xfId="0" applyFont="1" applyFill="1" applyBorder="1"/>
    <xf numFmtId="0" fontId="51" fillId="34" borderId="24" xfId="0" applyFont="1" applyFill="1" applyBorder="1"/>
    <xf numFmtId="177" fontId="42" fillId="34" borderId="24" xfId="0" applyNumberFormat="1" applyFont="1" applyFill="1" applyBorder="1"/>
    <xf numFmtId="0" fontId="51" fillId="34" borderId="69" xfId="0" applyFont="1" applyFill="1" applyBorder="1" applyAlignment="1">
      <alignment horizontal="left" indent="1"/>
    </xf>
    <xf numFmtId="0" fontId="51" fillId="34" borderId="3" xfId="0" applyFont="1" applyFill="1" applyBorder="1" applyAlignment="1">
      <alignment horizontal="left" indent="1"/>
    </xf>
    <xf numFmtId="0" fontId="51" fillId="34" borderId="43" xfId="0" applyFont="1" applyFill="1" applyBorder="1" applyAlignment="1">
      <alignment horizontal="left" indent="1"/>
    </xf>
    <xf numFmtId="0" fontId="51" fillId="34" borderId="60" xfId="0" applyFont="1" applyFill="1" applyBorder="1" applyAlignment="1">
      <alignment wrapText="1"/>
    </xf>
    <xf numFmtId="0" fontId="51" fillId="34" borderId="61" xfId="0" applyFont="1" applyFill="1" applyBorder="1" applyAlignment="1">
      <alignment wrapText="1"/>
    </xf>
    <xf numFmtId="0" fontId="51" fillId="34" borderId="62" xfId="0" applyFont="1" applyFill="1" applyBorder="1" applyAlignment="1">
      <alignment wrapText="1"/>
    </xf>
    <xf numFmtId="0" fontId="42" fillId="34" borderId="89" xfId="0" applyFont="1" applyFill="1" applyBorder="1" applyAlignment="1">
      <alignment horizontal="left" indent="3"/>
    </xf>
    <xf numFmtId="0" fontId="114" fillId="34" borderId="68" xfId="0" applyFont="1" applyFill="1" applyBorder="1" applyAlignment="1">
      <alignment horizontal="left" indent="2"/>
    </xf>
    <xf numFmtId="2" fontId="114" fillId="34" borderId="54" xfId="0" applyNumberFormat="1" applyFont="1" applyFill="1" applyBorder="1" applyAlignment="1">
      <alignment wrapText="1"/>
    </xf>
    <xf numFmtId="2" fontId="114" fillId="34" borderId="72" xfId="0" applyNumberFormat="1" applyFont="1" applyFill="1" applyBorder="1" applyAlignment="1">
      <alignment wrapText="1"/>
    </xf>
    <xf numFmtId="181" fontId="114" fillId="34" borderId="69" xfId="0" applyNumberFormat="1" applyFont="1" applyFill="1" applyBorder="1" applyAlignment="1">
      <alignment horizontal="right"/>
    </xf>
    <xf numFmtId="181" fontId="114" fillId="34" borderId="38" xfId="0" applyNumberFormat="1" applyFont="1" applyFill="1" applyBorder="1" applyAlignment="1">
      <alignment horizontal="right"/>
    </xf>
    <xf numFmtId="181" fontId="132" fillId="34" borderId="54" xfId="0" applyNumberFormat="1" applyFont="1" applyFill="1" applyBorder="1" applyAlignment="1">
      <alignment horizontal="right"/>
    </xf>
    <xf numFmtId="181" fontId="42" fillId="34" borderId="45" xfId="0" applyNumberFormat="1" applyFont="1" applyFill="1" applyBorder="1" applyAlignment="1">
      <alignment horizontal="right"/>
    </xf>
    <xf numFmtId="181" fontId="42" fillId="34" borderId="46" xfId="0" applyNumberFormat="1" applyFont="1" applyFill="1" applyBorder="1" applyAlignment="1">
      <alignment horizontal="right"/>
    </xf>
    <xf numFmtId="0" fontId="154" fillId="34" borderId="128" xfId="116" applyFont="1" applyFill="1" applyBorder="1" applyAlignment="1">
      <alignment horizontal="left" vertical="justify" wrapText="1" indent="1"/>
    </xf>
    <xf numFmtId="0" fontId="154" fillId="34" borderId="111" xfId="116" applyFont="1" applyFill="1" applyBorder="1" applyAlignment="1">
      <alignment horizontal="left" vertical="justify" wrapText="1" indent="1"/>
    </xf>
    <xf numFmtId="2" fontId="154" fillId="34" borderId="130" xfId="116" applyNumberFormat="1" applyFont="1" applyFill="1" applyBorder="1" applyAlignment="1">
      <alignment horizontal="right"/>
    </xf>
    <xf numFmtId="0" fontId="50" fillId="34" borderId="24" xfId="116" applyFont="1" applyFill="1" applyBorder="1"/>
    <xf numFmtId="0" fontId="135" fillId="34" borderId="6" xfId="116" applyFont="1" applyFill="1" applyBorder="1" applyAlignment="1">
      <alignment horizontal="center" vertical="center" wrapText="1"/>
    </xf>
    <xf numFmtId="0" fontId="154" fillId="34" borderId="35" xfId="116" applyFont="1" applyFill="1" applyBorder="1"/>
    <xf numFmtId="187" fontId="154" fillId="34" borderId="35" xfId="116" applyNumberFormat="1" applyFont="1" applyFill="1" applyBorder="1" applyAlignment="1">
      <alignment horizontal="right"/>
    </xf>
    <xf numFmtId="187" fontId="154" fillId="34" borderId="35" xfId="116" applyNumberFormat="1" applyFont="1" applyFill="1" applyBorder="1" applyAlignment="1">
      <alignment horizontal="center"/>
    </xf>
    <xf numFmtId="2" fontId="154" fillId="34" borderId="146" xfId="116" applyNumberFormat="1" applyFont="1" applyFill="1" applyBorder="1" applyAlignment="1">
      <alignment horizontal="right"/>
    </xf>
    <xf numFmtId="2" fontId="154" fillId="34" borderId="32" xfId="116" applyNumberFormat="1" applyFont="1" applyFill="1" applyBorder="1" applyAlignment="1">
      <alignment horizontal="right"/>
    </xf>
    <xf numFmtId="0" fontId="154" fillId="0" borderId="128" xfId="116" applyFont="1" applyBorder="1" applyAlignment="1">
      <alignment horizontal="left" vertical="center" wrapText="1" indent="1"/>
    </xf>
    <xf numFmtId="2" fontId="154" fillId="0" borderId="128" xfId="116" applyNumberFormat="1" applyFont="1" applyBorder="1"/>
    <xf numFmtId="2" fontId="154" fillId="0" borderId="128" xfId="116" applyNumberFormat="1" applyFont="1" applyBorder="1" applyAlignment="1">
      <alignment horizontal="right"/>
    </xf>
    <xf numFmtId="0" fontId="154" fillId="0" borderId="111" xfId="116" applyFont="1" applyBorder="1" applyAlignment="1">
      <alignment horizontal="left" vertical="center" wrapText="1" indent="1"/>
    </xf>
    <xf numFmtId="0" fontId="42" fillId="0" borderId="0" xfId="0" applyFont="1" applyAlignment="1">
      <alignment horizontal="left" wrapText="1"/>
    </xf>
    <xf numFmtId="0" fontId="244" fillId="0" borderId="0" xfId="0" applyFont="1" applyAlignment="1">
      <alignment horizontal="center" vertical="center" wrapText="1"/>
    </xf>
    <xf numFmtId="4" fontId="42" fillId="0" borderId="1" xfId="0" applyNumberFormat="1" applyFont="1" applyBorder="1" applyAlignment="1">
      <alignment horizontal="center"/>
    </xf>
    <xf numFmtId="4" fontId="216" fillId="0" borderId="1" xfId="0" applyNumberFormat="1" applyFont="1" applyBorder="1" applyAlignment="1">
      <alignment horizontal="center"/>
    </xf>
    <xf numFmtId="9" fontId="42" fillId="0" borderId="7" xfId="0" applyNumberFormat="1" applyFont="1" applyBorder="1"/>
    <xf numFmtId="9" fontId="42" fillId="0" borderId="1" xfId="0" applyNumberFormat="1" applyFont="1" applyBorder="1"/>
    <xf numFmtId="9" fontId="42" fillId="0" borderId="1" xfId="558" applyFont="1" applyFill="1" applyBorder="1"/>
    <xf numFmtId="0" fontId="210" fillId="0" borderId="7" xfId="0" applyFont="1" applyBorder="1" applyAlignment="1">
      <alignment vertical="center" wrapText="1"/>
    </xf>
    <xf numFmtId="9" fontId="216" fillId="0" borderId="1" xfId="558" applyFont="1" applyFill="1" applyBorder="1"/>
    <xf numFmtId="9" fontId="103" fillId="0" borderId="1" xfId="558" applyFont="1" applyBorder="1" applyAlignment="1">
      <alignment horizontal="center"/>
    </xf>
    <xf numFmtId="4" fontId="41" fillId="0" borderId="1" xfId="0" applyNumberFormat="1" applyFont="1" applyBorder="1" applyAlignment="1">
      <alignment horizontal="center"/>
    </xf>
    <xf numFmtId="0" fontId="42" fillId="34" borderId="0" xfId="0" applyFont="1" applyFill="1" applyAlignment="1">
      <alignment horizontal="center" vertical="center"/>
    </xf>
    <xf numFmtId="2" fontId="132" fillId="0" borderId="67" xfId="0" applyNumberFormat="1" applyFont="1" applyBorder="1" applyAlignment="1">
      <alignment horizontal="center"/>
    </xf>
    <xf numFmtId="0" fontId="153" fillId="34" borderId="0" xfId="0" applyFont="1" applyFill="1"/>
    <xf numFmtId="0" fontId="51" fillId="34" borderId="0" xfId="0" applyFont="1" applyFill="1" applyAlignment="1">
      <alignment horizontal="center" vertical="top"/>
    </xf>
    <xf numFmtId="4" fontId="242" fillId="0" borderId="58" xfId="0" applyNumberFormat="1" applyFont="1" applyBorder="1" applyAlignment="1">
      <alignment horizontal="center" vertical="center" wrapText="1"/>
    </xf>
    <xf numFmtId="4" fontId="242" fillId="0" borderId="59" xfId="0" applyNumberFormat="1" applyFont="1" applyBorder="1" applyAlignment="1">
      <alignment horizontal="center" vertical="center" wrapText="1"/>
    </xf>
    <xf numFmtId="4" fontId="130" fillId="0" borderId="58" xfId="0" applyNumberFormat="1" applyFont="1" applyBorder="1" applyAlignment="1">
      <alignment horizontal="center" vertical="center" wrapText="1"/>
    </xf>
    <xf numFmtId="4" fontId="130" fillId="0" borderId="59" xfId="0" applyNumberFormat="1" applyFont="1" applyBorder="1" applyAlignment="1">
      <alignment horizontal="center" vertical="center" wrapText="1"/>
    </xf>
    <xf numFmtId="2" fontId="132" fillId="34" borderId="0" xfId="0" applyNumberFormat="1" applyFont="1" applyFill="1" applyAlignment="1">
      <alignment horizontal="right"/>
    </xf>
    <xf numFmtId="2" fontId="144" fillId="34" borderId="0" xfId="0" applyNumberFormat="1" applyFont="1" applyFill="1" applyAlignment="1">
      <alignment horizontal="right"/>
    </xf>
    <xf numFmtId="4" fontId="242" fillId="0" borderId="62" xfId="0" applyNumberFormat="1" applyFont="1" applyBorder="1" applyAlignment="1">
      <alignment horizontal="right" wrapText="1"/>
    </xf>
    <xf numFmtId="0" fontId="130" fillId="0" borderId="60" xfId="0" applyFont="1" applyBorder="1" applyAlignment="1">
      <alignment horizontal="left" vertical="center" wrapText="1"/>
    </xf>
    <xf numFmtId="0" fontId="130" fillId="0" borderId="61" xfId="0" applyFont="1" applyBorder="1" applyAlignment="1">
      <alignment horizontal="left" vertical="center" wrapText="1"/>
    </xf>
    <xf numFmtId="4" fontId="130" fillId="0" borderId="61" xfId="0" applyNumberFormat="1" applyFont="1" applyBorder="1" applyAlignment="1">
      <alignment horizontal="right" wrapText="1"/>
    </xf>
    <xf numFmtId="4" fontId="130" fillId="0" borderId="62" xfId="0" applyNumberFormat="1" applyFont="1" applyBorder="1" applyAlignment="1">
      <alignment horizontal="right" wrapText="1"/>
    </xf>
    <xf numFmtId="4" fontId="242" fillId="0" borderId="62" xfId="0" applyNumberFormat="1" applyFont="1" applyBorder="1" applyAlignment="1">
      <alignment horizontal="center" vertical="center" wrapText="1"/>
    </xf>
    <xf numFmtId="4" fontId="130" fillId="0" borderId="61" xfId="0" applyNumberFormat="1" applyFont="1" applyBorder="1" applyAlignment="1">
      <alignment horizontal="center" vertical="center" wrapText="1"/>
    </xf>
    <xf numFmtId="4" fontId="130" fillId="0" borderId="62" xfId="0" applyNumberFormat="1" applyFont="1" applyBorder="1" applyAlignment="1">
      <alignment horizontal="center" vertical="center" wrapText="1"/>
    </xf>
    <xf numFmtId="0" fontId="46" fillId="0" borderId="0" xfId="6" applyFont="1" applyAlignment="1">
      <alignment vertical="center" wrapText="1"/>
    </xf>
    <xf numFmtId="0" fontId="41" fillId="0" borderId="3" xfId="6" applyFont="1" applyBorder="1" applyAlignment="1">
      <alignment horizontal="left" vertical="center" wrapText="1"/>
    </xf>
    <xf numFmtId="177" fontId="53" fillId="0" borderId="3" xfId="6" applyNumberFormat="1" applyFont="1" applyBorder="1" applyAlignment="1">
      <alignment horizontal="center" vertical="center" wrapText="1"/>
    </xf>
    <xf numFmtId="0" fontId="41" fillId="34" borderId="6" xfId="6" applyFont="1" applyFill="1" applyBorder="1"/>
    <xf numFmtId="0" fontId="41" fillId="34" borderId="30" xfId="6" applyFont="1" applyFill="1" applyBorder="1" applyAlignment="1">
      <alignment horizontal="center" wrapText="1"/>
    </xf>
    <xf numFmtId="0" fontId="41" fillId="34" borderId="6" xfId="6" applyFont="1" applyFill="1" applyBorder="1" applyAlignment="1">
      <alignment horizontal="center" wrapText="1"/>
    </xf>
    <xf numFmtId="0" fontId="41" fillId="34" borderId="63" xfId="6" applyFont="1" applyFill="1" applyBorder="1" applyAlignment="1">
      <alignment horizontal="center" vertical="center" wrapText="1"/>
    </xf>
    <xf numFmtId="0" fontId="41" fillId="34" borderId="61" xfId="6" applyFont="1" applyFill="1" applyBorder="1" applyAlignment="1">
      <alignment horizontal="center" vertical="center" wrapText="1"/>
    </xf>
    <xf numFmtId="0" fontId="41" fillId="34" borderId="62" xfId="6" applyFont="1" applyFill="1" applyBorder="1" applyAlignment="1">
      <alignment horizontal="center" vertical="center" wrapText="1"/>
    </xf>
    <xf numFmtId="0" fontId="41" fillId="34" borderId="89" xfId="6" applyFont="1" applyFill="1" applyBorder="1" applyAlignment="1">
      <alignment wrapText="1"/>
    </xf>
    <xf numFmtId="0" fontId="41" fillId="34" borderId="37" xfId="6" applyFont="1" applyFill="1" applyBorder="1" applyAlignment="1">
      <alignment horizontal="center"/>
    </xf>
    <xf numFmtId="2" fontId="41" fillId="34" borderId="89" xfId="6" applyNumberFormat="1" applyFont="1" applyFill="1" applyBorder="1"/>
    <xf numFmtId="2" fontId="41" fillId="34" borderId="69" xfId="6" applyNumberFormat="1" applyFont="1" applyFill="1" applyBorder="1"/>
    <xf numFmtId="2" fontId="41" fillId="34" borderId="3" xfId="6" applyNumberFormat="1" applyFont="1" applyFill="1" applyBorder="1"/>
    <xf numFmtId="2" fontId="41" fillId="34" borderId="43" xfId="6" applyNumberFormat="1" applyFont="1" applyFill="1" applyBorder="1"/>
    <xf numFmtId="0" fontId="41" fillId="34" borderId="67" xfId="6" applyFont="1" applyFill="1" applyBorder="1" applyAlignment="1">
      <alignment horizontal="left" indent="1"/>
    </xf>
    <xf numFmtId="0" fontId="41" fillId="34" borderId="52" xfId="6" applyFont="1" applyFill="1" applyBorder="1" applyAlignment="1">
      <alignment horizontal="center"/>
    </xf>
    <xf numFmtId="4" fontId="41" fillId="34" borderId="67" xfId="6" applyNumberFormat="1" applyFont="1" applyFill="1" applyBorder="1"/>
    <xf numFmtId="2" fontId="41" fillId="34" borderId="40" xfId="6" applyNumberFormat="1" applyFont="1" applyFill="1" applyBorder="1" applyAlignment="1">
      <alignment horizontal="center" vertical="center"/>
    </xf>
    <xf numFmtId="2" fontId="41" fillId="34" borderId="7" xfId="6" applyNumberFormat="1" applyFont="1" applyFill="1" applyBorder="1"/>
    <xf numFmtId="0" fontId="41" fillId="34" borderId="52" xfId="6" applyFont="1" applyFill="1" applyBorder="1"/>
    <xf numFmtId="2" fontId="41" fillId="34" borderId="1" xfId="6" applyNumberFormat="1" applyFont="1" applyFill="1" applyBorder="1"/>
    <xf numFmtId="2" fontId="41" fillId="34" borderId="40" xfId="6" applyNumberFormat="1" applyFont="1" applyFill="1" applyBorder="1"/>
    <xf numFmtId="0" fontId="41" fillId="34" borderId="67" xfId="6" applyFont="1" applyFill="1" applyBorder="1" applyAlignment="1">
      <alignment horizontal="left" wrapText="1" indent="1"/>
    </xf>
    <xf numFmtId="0" fontId="41" fillId="34" borderId="52" xfId="6" applyFont="1" applyFill="1" applyBorder="1" applyAlignment="1">
      <alignment horizontal="center" wrapText="1"/>
    </xf>
    <xf numFmtId="0" fontId="46" fillId="34" borderId="67" xfId="6" applyFont="1" applyFill="1" applyBorder="1" applyAlignment="1">
      <alignment horizontal="left" indent="1"/>
    </xf>
    <xf numFmtId="4" fontId="46" fillId="34" borderId="67" xfId="6" applyNumberFormat="1" applyFont="1" applyFill="1" applyBorder="1"/>
    <xf numFmtId="2" fontId="46" fillId="34" borderId="7" xfId="6" applyNumberFormat="1" applyFont="1" applyFill="1" applyBorder="1"/>
    <xf numFmtId="2" fontId="46" fillId="34" borderId="1" xfId="6" applyNumberFormat="1" applyFont="1" applyFill="1" applyBorder="1"/>
    <xf numFmtId="2" fontId="46" fillId="34" borderId="40" xfId="6" applyNumberFormat="1" applyFont="1" applyFill="1" applyBorder="1"/>
    <xf numFmtId="0" fontId="46" fillId="34" borderId="23" xfId="6" applyFont="1" applyFill="1" applyBorder="1" applyAlignment="1">
      <alignment horizontal="left" wrapText="1" indent="1"/>
    </xf>
    <xf numFmtId="2" fontId="46" fillId="34" borderId="68" xfId="6" applyNumberFormat="1" applyFont="1" applyFill="1" applyBorder="1"/>
    <xf numFmtId="2" fontId="46" fillId="34" borderId="54" xfId="6" applyNumberFormat="1" applyFont="1" applyFill="1" applyBorder="1"/>
    <xf numFmtId="2" fontId="46" fillId="34" borderId="45" xfId="6" applyNumberFormat="1" applyFont="1" applyFill="1" applyBorder="1"/>
    <xf numFmtId="2" fontId="46" fillId="34" borderId="46" xfId="6" applyNumberFormat="1" applyFont="1" applyFill="1" applyBorder="1"/>
    <xf numFmtId="0" fontId="41" fillId="34" borderId="88" xfId="6" applyFont="1" applyFill="1" applyBorder="1" applyAlignment="1">
      <alignment horizontal="left" wrapText="1" indent="1"/>
    </xf>
    <xf numFmtId="0" fontId="41" fillId="34" borderId="66" xfId="6" applyFont="1" applyFill="1" applyBorder="1" applyAlignment="1">
      <alignment horizontal="center"/>
    </xf>
    <xf numFmtId="2" fontId="41" fillId="34" borderId="65" xfId="6" applyNumberFormat="1" applyFont="1" applyFill="1" applyBorder="1" applyAlignment="1">
      <alignment horizontal="center"/>
    </xf>
    <xf numFmtId="2" fontId="41" fillId="34" borderId="58" xfId="6" applyNumberFormat="1" applyFont="1" applyFill="1" applyBorder="1" applyAlignment="1">
      <alignment horizontal="center"/>
    </xf>
    <xf numFmtId="2" fontId="41" fillId="34" borderId="59" xfId="6" applyNumberFormat="1" applyFont="1" applyFill="1" applyBorder="1" applyAlignment="1">
      <alignment horizontal="center"/>
    </xf>
    <xf numFmtId="0" fontId="41" fillId="34" borderId="52" xfId="6" applyFont="1" applyFill="1" applyBorder="1" applyAlignment="1">
      <alignment horizontal="left" indent="2"/>
    </xf>
    <xf numFmtId="0" fontId="41" fillId="34" borderId="67" xfId="6" applyFont="1" applyFill="1" applyBorder="1" applyAlignment="1">
      <alignment horizontal="center"/>
    </xf>
    <xf numFmtId="2" fontId="41" fillId="34" borderId="7" xfId="6" applyNumberFormat="1" applyFont="1" applyFill="1" applyBorder="1" applyAlignment="1">
      <alignment horizontal="center"/>
    </xf>
    <xf numFmtId="2" fontId="41" fillId="34" borderId="1" xfId="6" applyNumberFormat="1" applyFont="1" applyFill="1" applyBorder="1" applyAlignment="1">
      <alignment horizontal="center"/>
    </xf>
    <xf numFmtId="10" fontId="41" fillId="34" borderId="7" xfId="6" applyNumberFormat="1" applyFont="1" applyFill="1" applyBorder="1" applyAlignment="1">
      <alignment horizontal="center"/>
    </xf>
    <xf numFmtId="10" fontId="41" fillId="34" borderId="1" xfId="6" applyNumberFormat="1" applyFont="1" applyFill="1" applyBorder="1" applyAlignment="1">
      <alignment horizontal="center"/>
    </xf>
    <xf numFmtId="10" fontId="41" fillId="34" borderId="40" xfId="6" applyNumberFormat="1" applyFont="1" applyFill="1" applyBorder="1" applyAlignment="1">
      <alignment horizontal="center"/>
    </xf>
    <xf numFmtId="0" fontId="41" fillId="34" borderId="52" xfId="6" applyFont="1" applyFill="1" applyBorder="1" applyAlignment="1">
      <alignment horizontal="left" wrapText="1" indent="1"/>
    </xf>
    <xf numFmtId="0" fontId="41" fillId="34" borderId="89" xfId="6" applyFont="1" applyFill="1" applyBorder="1" applyAlignment="1">
      <alignment horizontal="center"/>
    </xf>
    <xf numFmtId="2" fontId="41" fillId="34" borderId="40" xfId="6" applyNumberFormat="1" applyFont="1" applyFill="1" applyBorder="1" applyAlignment="1">
      <alignment horizontal="center"/>
    </xf>
    <xf numFmtId="2" fontId="41" fillId="34" borderId="78" xfId="6" applyNumberFormat="1" applyFont="1" applyFill="1" applyBorder="1" applyAlignment="1">
      <alignment horizontal="center"/>
    </xf>
    <xf numFmtId="2" fontId="41" fillId="34" borderId="79" xfId="6" applyNumberFormat="1" applyFont="1" applyFill="1" applyBorder="1" applyAlignment="1">
      <alignment horizontal="center"/>
    </xf>
    <xf numFmtId="2" fontId="41" fillId="34" borderId="47" xfId="6" applyNumberFormat="1" applyFont="1" applyFill="1" applyBorder="1" applyAlignment="1">
      <alignment horizontal="center"/>
    </xf>
    <xf numFmtId="0" fontId="41" fillId="34" borderId="92" xfId="6" applyFont="1" applyFill="1" applyBorder="1" applyAlignment="1">
      <alignment horizontal="left" wrapText="1" indent="1"/>
    </xf>
    <xf numFmtId="2" fontId="46" fillId="34" borderId="78" xfId="6" applyNumberFormat="1" applyFont="1" applyFill="1" applyBorder="1" applyAlignment="1">
      <alignment horizontal="center"/>
    </xf>
    <xf numFmtId="2" fontId="46" fillId="34" borderId="79" xfId="6" applyNumberFormat="1" applyFont="1" applyFill="1" applyBorder="1" applyAlignment="1">
      <alignment horizontal="center"/>
    </xf>
    <xf numFmtId="0" fontId="41" fillId="34" borderId="53" xfId="6" applyFont="1" applyFill="1" applyBorder="1" applyAlignment="1">
      <alignment horizontal="left" wrapText="1" indent="1"/>
    </xf>
    <xf numFmtId="0" fontId="41" fillId="34" borderId="68" xfId="6" applyFont="1" applyFill="1" applyBorder="1" applyAlignment="1">
      <alignment horizontal="center"/>
    </xf>
    <xf numFmtId="2" fontId="46" fillId="34" borderId="54" xfId="6" applyNumberFormat="1" applyFont="1" applyFill="1" applyBorder="1" applyAlignment="1">
      <alignment horizontal="center"/>
    </xf>
    <xf numFmtId="0" fontId="41" fillId="34" borderId="58" xfId="6" applyFont="1" applyFill="1" applyBorder="1" applyAlignment="1">
      <alignment horizontal="center" vertical="center" wrapText="1"/>
    </xf>
    <xf numFmtId="0" fontId="41" fillId="34" borderId="39" xfId="6" applyFont="1" applyFill="1" applyBorder="1" applyAlignment="1">
      <alignment horizontal="center" vertical="center"/>
    </xf>
    <xf numFmtId="0" fontId="41" fillId="34" borderId="40" xfId="6" applyFont="1" applyFill="1" applyBorder="1" applyAlignment="1">
      <alignment horizontal="center" vertical="center" wrapText="1"/>
    </xf>
    <xf numFmtId="0" fontId="41" fillId="34" borderId="39" xfId="6" applyFont="1" applyFill="1" applyBorder="1" applyAlignment="1">
      <alignment vertical="center" wrapText="1"/>
    </xf>
    <xf numFmtId="0" fontId="41" fillId="34" borderId="39" xfId="6" applyFont="1" applyFill="1" applyBorder="1" applyAlignment="1">
      <alignment horizontal="left" vertical="center" wrapText="1" indent="1"/>
    </xf>
    <xf numFmtId="2" fontId="42" fillId="34" borderId="1" xfId="0" applyNumberFormat="1" applyFont="1" applyFill="1" applyBorder="1" applyAlignment="1">
      <alignment horizontal="center" vertical="center"/>
    </xf>
    <xf numFmtId="0" fontId="41" fillId="34" borderId="39" xfId="6" applyFont="1" applyFill="1" applyBorder="1" applyAlignment="1">
      <alignment horizontal="left" vertical="center" wrapText="1"/>
    </xf>
    <xf numFmtId="175" fontId="49" fillId="34" borderId="40" xfId="6" applyNumberFormat="1" applyFont="1" applyFill="1" applyBorder="1" applyAlignment="1">
      <alignment horizontal="center" vertical="center" wrapText="1"/>
    </xf>
    <xf numFmtId="2" fontId="49" fillId="34" borderId="40" xfId="6" applyNumberFormat="1" applyFont="1" applyFill="1" applyBorder="1" applyAlignment="1">
      <alignment horizontal="center" vertical="center" wrapText="1"/>
    </xf>
    <xf numFmtId="0" fontId="49" fillId="34" borderId="40" xfId="6" applyFont="1" applyFill="1" applyBorder="1" applyAlignment="1">
      <alignment horizontal="center" vertical="center"/>
    </xf>
    <xf numFmtId="2" fontId="49" fillId="34" borderId="40" xfId="6" applyNumberFormat="1" applyFont="1" applyFill="1" applyBorder="1" applyAlignment="1">
      <alignment horizontal="center" vertical="center"/>
    </xf>
    <xf numFmtId="179" fontId="49" fillId="34" borderId="40" xfId="6" applyNumberFormat="1" applyFont="1" applyFill="1" applyBorder="1" applyAlignment="1">
      <alignment horizontal="center" vertical="center"/>
    </xf>
    <xf numFmtId="0" fontId="41" fillId="34" borderId="44" xfId="6" applyFont="1" applyFill="1" applyBorder="1" applyAlignment="1">
      <alignment vertical="center" wrapText="1"/>
    </xf>
    <xf numFmtId="0" fontId="41" fillId="34" borderId="45" xfId="6" applyFont="1" applyFill="1" applyBorder="1" applyAlignment="1">
      <alignment horizontal="center" vertical="center" wrapText="1"/>
    </xf>
    <xf numFmtId="2" fontId="41" fillId="34" borderId="45" xfId="6" applyNumberFormat="1" applyFont="1" applyFill="1" applyBorder="1" applyAlignment="1">
      <alignment horizontal="center" vertical="center"/>
    </xf>
    <xf numFmtId="2" fontId="41" fillId="34" borderId="46" xfId="6" applyNumberFormat="1" applyFont="1" applyFill="1" applyBorder="1" applyAlignment="1">
      <alignment horizontal="center" vertical="center"/>
    </xf>
    <xf numFmtId="0" fontId="50" fillId="34" borderId="7" xfId="6" applyFont="1" applyFill="1" applyBorder="1" applyAlignment="1">
      <alignment horizontal="center" vertical="center" wrapText="1"/>
    </xf>
    <xf numFmtId="0" fontId="144" fillId="34" borderId="3" xfId="6" applyFont="1" applyFill="1" applyBorder="1"/>
    <xf numFmtId="0" fontId="136" fillId="34" borderId="3" xfId="6" applyFont="1" applyFill="1" applyBorder="1" applyAlignment="1">
      <alignment horizontal="center" vertical="center" wrapText="1"/>
    </xf>
    <xf numFmtId="2" fontId="144" fillId="34" borderId="1" xfId="6" applyNumberFormat="1" applyFont="1" applyFill="1" applyBorder="1"/>
    <xf numFmtId="0" fontId="132" fillId="34" borderId="1" xfId="6" applyFont="1" applyFill="1" applyBorder="1"/>
    <xf numFmtId="0" fontId="50" fillId="34" borderId="1" xfId="6" applyFont="1" applyFill="1" applyBorder="1" applyAlignment="1">
      <alignment horizontal="center" vertical="center" wrapText="1"/>
    </xf>
    <xf numFmtId="2" fontId="132" fillId="34" borderId="1" xfId="6" applyNumberFormat="1" applyFont="1" applyFill="1" applyBorder="1"/>
    <xf numFmtId="0" fontId="133" fillId="34" borderId="1" xfId="6" applyFont="1" applyFill="1" applyBorder="1" applyAlignment="1">
      <alignment horizontal="right"/>
    </xf>
    <xf numFmtId="0" fontId="226" fillId="34" borderId="1" xfId="6" applyFont="1" applyFill="1" applyBorder="1" applyAlignment="1">
      <alignment horizontal="center" vertical="center" wrapText="1"/>
    </xf>
    <xf numFmtId="2" fontId="133" fillId="34" borderId="1" xfId="6" applyNumberFormat="1" applyFont="1" applyFill="1" applyBorder="1"/>
    <xf numFmtId="0" fontId="132" fillId="34" borderId="0" xfId="6" applyFont="1" applyFill="1"/>
    <xf numFmtId="177" fontId="132" fillId="34" borderId="1" xfId="6" applyNumberFormat="1" applyFont="1" applyFill="1" applyBorder="1"/>
    <xf numFmtId="0" fontId="132" fillId="0" borderId="32" xfId="0" applyFont="1" applyBorder="1" applyAlignment="1">
      <alignment horizontal="center" vertical="center" wrapText="1"/>
    </xf>
    <xf numFmtId="0" fontId="43" fillId="0" borderId="32" xfId="0" applyFont="1" applyBorder="1" applyAlignment="1">
      <alignment horizontal="center" vertical="center"/>
    </xf>
    <xf numFmtId="177" fontId="161" fillId="0" borderId="3" xfId="6" applyNumberFormat="1" applyFont="1" applyBorder="1" applyAlignment="1">
      <alignment horizontal="center" vertical="center" wrapText="1"/>
    </xf>
    <xf numFmtId="2" fontId="53" fillId="34" borderId="1" xfId="240" applyNumberFormat="1" applyFont="1" applyFill="1" applyBorder="1" applyAlignment="1">
      <alignment horizontal="center" vertical="center" wrapText="1"/>
    </xf>
    <xf numFmtId="2" fontId="53" fillId="34" borderId="1" xfId="240" applyNumberFormat="1" applyFont="1" applyFill="1" applyBorder="1" applyAlignment="1" applyProtection="1">
      <alignment horizontal="center" vertical="center" wrapText="1"/>
      <protection locked="0"/>
    </xf>
    <xf numFmtId="2" fontId="211" fillId="34" borderId="106" xfId="116" applyNumberFormat="1" applyFont="1" applyFill="1" applyBorder="1"/>
    <xf numFmtId="2" fontId="211" fillId="34" borderId="106" xfId="116" applyNumberFormat="1" applyFont="1" applyFill="1" applyBorder="1" applyAlignment="1">
      <alignment horizontal="right"/>
    </xf>
    <xf numFmtId="1" fontId="42" fillId="0" borderId="0" xfId="6" applyNumberFormat="1" applyFont="1" applyAlignment="1">
      <alignment horizontal="center" vertical="center"/>
    </xf>
    <xf numFmtId="2" fontId="132" fillId="0" borderId="0" xfId="0" applyNumberFormat="1" applyFont="1" applyAlignment="1">
      <alignment horizontal="right"/>
    </xf>
    <xf numFmtId="0" fontId="43" fillId="0" borderId="8" xfId="0" applyFont="1" applyBorder="1" applyAlignment="1">
      <alignment horizontal="center" vertical="center"/>
    </xf>
    <xf numFmtId="0" fontId="149" fillId="34" borderId="0" xfId="506" applyFont="1" applyFill="1" applyAlignment="1">
      <alignment horizontal="center" vertical="top"/>
    </xf>
    <xf numFmtId="0" fontId="151" fillId="34" borderId="0" xfId="506" applyFont="1" applyFill="1" applyAlignment="1">
      <alignment horizontal="center" vertical="top"/>
    </xf>
    <xf numFmtId="0" fontId="43" fillId="0" borderId="25" xfId="0" applyFont="1" applyBorder="1"/>
    <xf numFmtId="0" fontId="41" fillId="34" borderId="0" xfId="0" applyFont="1" applyFill="1" applyAlignment="1">
      <alignment wrapText="1"/>
    </xf>
    <xf numFmtId="0" fontId="50" fillId="34" borderId="1" xfId="0" applyFont="1" applyFill="1" applyBorder="1" applyAlignment="1">
      <alignment horizontal="center" vertical="center" wrapText="1"/>
    </xf>
    <xf numFmtId="0" fontId="39" fillId="34" borderId="1" xfId="0" applyFont="1" applyFill="1" applyBorder="1" applyAlignment="1">
      <alignment horizontal="center" vertical="center" wrapText="1"/>
    </xf>
    <xf numFmtId="0" fontId="161" fillId="34" borderId="40" xfId="556" applyFont="1" applyFill="1" applyBorder="1" applyAlignment="1">
      <alignment horizontal="center" vertical="center" wrapText="1"/>
    </xf>
    <xf numFmtId="4" fontId="161" fillId="34" borderId="1" xfId="0" applyNumberFormat="1" applyFont="1" applyFill="1" applyBorder="1" applyAlignment="1">
      <alignment horizontal="center"/>
    </xf>
    <xf numFmtId="0" fontId="53" fillId="34" borderId="40" xfId="556" applyFont="1" applyFill="1" applyBorder="1" applyAlignment="1">
      <alignment horizontal="center" vertical="center" wrapText="1"/>
    </xf>
    <xf numFmtId="4" fontId="133" fillId="34" borderId="1" xfId="0" applyNumberFormat="1" applyFont="1" applyFill="1" applyBorder="1"/>
    <xf numFmtId="4" fontId="248" fillId="34" borderId="1" xfId="0" applyNumberFormat="1" applyFont="1" applyFill="1" applyBorder="1"/>
    <xf numFmtId="0" fontId="42" fillId="34" borderId="0" xfId="0" applyFont="1" applyFill="1" applyAlignment="1">
      <alignment horizontal="center" vertical="center" wrapText="1"/>
    </xf>
    <xf numFmtId="4" fontId="132" fillId="34" borderId="0" xfId="0" applyNumberFormat="1" applyFont="1" applyFill="1"/>
    <xf numFmtId="4" fontId="161" fillId="34" borderId="1" xfId="0" applyNumberFormat="1" applyFont="1" applyFill="1" applyBorder="1" applyAlignment="1">
      <alignment horizontal="center" vertical="center"/>
    </xf>
    <xf numFmtId="0" fontId="42" fillId="34" borderId="0" xfId="0" applyFont="1" applyFill="1" applyAlignment="1">
      <alignment wrapText="1"/>
    </xf>
    <xf numFmtId="0" fontId="39" fillId="34" borderId="1" xfId="0" applyFont="1" applyFill="1" applyBorder="1" applyAlignment="1">
      <alignment horizontal="center" wrapText="1"/>
    </xf>
    <xf numFmtId="4" fontId="197" fillId="34" borderId="0" xfId="0" applyNumberFormat="1" applyFont="1" applyFill="1"/>
    <xf numFmtId="0" fontId="42" fillId="34" borderId="0" xfId="0" applyFont="1" applyFill="1" applyAlignment="1">
      <alignment horizontal="right"/>
    </xf>
    <xf numFmtId="4" fontId="133" fillId="34" borderId="1" xfId="0" applyNumberFormat="1" applyFont="1" applyFill="1" applyBorder="1" applyAlignment="1">
      <alignment horizontal="right"/>
    </xf>
    <xf numFmtId="4" fontId="132" fillId="34" borderId="1" xfId="0" applyNumberFormat="1" applyFont="1" applyFill="1" applyBorder="1"/>
    <xf numFmtId="4" fontId="194" fillId="34" borderId="40" xfId="240" applyNumberFormat="1" applyFont="1" applyFill="1" applyBorder="1" applyAlignment="1">
      <alignment horizontal="center" vertical="center" wrapText="1"/>
    </xf>
    <xf numFmtId="4" fontId="48" fillId="34" borderId="46" xfId="240" applyNumberFormat="1" applyFont="1" applyFill="1" applyBorder="1" applyAlignment="1" applyProtection="1">
      <alignment horizontal="center" vertical="center" wrapText="1"/>
      <protection locked="0"/>
    </xf>
    <xf numFmtId="2" fontId="39" fillId="34" borderId="55" xfId="5" applyNumberFormat="1" applyFont="1" applyFill="1" applyBorder="1" applyAlignment="1">
      <alignment horizontal="center" vertical="center"/>
    </xf>
    <xf numFmtId="2" fontId="154" fillId="34" borderId="128" xfId="116" applyNumberFormat="1" applyFont="1" applyFill="1" applyBorder="1"/>
    <xf numFmtId="2" fontId="42" fillId="34" borderId="106" xfId="0" applyNumberFormat="1" applyFont="1" applyFill="1" applyBorder="1" applyAlignment="1">
      <alignment horizontal="center"/>
    </xf>
    <xf numFmtId="10" fontId="42" fillId="34" borderId="106" xfId="0" applyNumberFormat="1" applyFont="1" applyFill="1" applyBorder="1" applyAlignment="1">
      <alignment horizontal="center"/>
    </xf>
    <xf numFmtId="10" fontId="42" fillId="34" borderId="111" xfId="0" applyNumberFormat="1" applyFont="1" applyFill="1" applyBorder="1" applyAlignment="1">
      <alignment horizontal="center"/>
    </xf>
    <xf numFmtId="2" fontId="42" fillId="34" borderId="111" xfId="0" applyNumberFormat="1" applyFont="1" applyFill="1" applyBorder="1" applyAlignment="1">
      <alignment horizontal="center"/>
    </xf>
    <xf numFmtId="177" fontId="42" fillId="34" borderId="33" xfId="0" applyNumberFormat="1" applyFont="1" applyFill="1" applyBorder="1" applyAlignment="1">
      <alignment horizontal="center"/>
    </xf>
    <xf numFmtId="2" fontId="42" fillId="34" borderId="102" xfId="0" applyNumberFormat="1" applyFont="1" applyFill="1" applyBorder="1" applyAlignment="1">
      <alignment horizontal="center"/>
    </xf>
    <xf numFmtId="177" fontId="42" fillId="34" borderId="102" xfId="0" applyNumberFormat="1" applyFont="1" applyFill="1" applyBorder="1" applyAlignment="1">
      <alignment horizontal="center"/>
    </xf>
    <xf numFmtId="177" fontId="42" fillId="34" borderId="106" xfId="0" applyNumberFormat="1" applyFont="1" applyFill="1" applyBorder="1" applyAlignment="1">
      <alignment horizontal="center"/>
    </xf>
    <xf numFmtId="177" fontId="42" fillId="34" borderId="111" xfId="0" applyNumberFormat="1" applyFont="1" applyFill="1" applyBorder="1" applyAlignment="1">
      <alignment horizontal="center"/>
    </xf>
    <xf numFmtId="179" fontId="42" fillId="34" borderId="111" xfId="0" applyNumberFormat="1" applyFont="1" applyFill="1" applyBorder="1" applyAlignment="1">
      <alignment horizontal="center"/>
    </xf>
    <xf numFmtId="10" fontId="42" fillId="34" borderId="32" xfId="0" applyNumberFormat="1" applyFont="1" applyFill="1" applyBorder="1" applyAlignment="1">
      <alignment horizontal="center"/>
    </xf>
    <xf numFmtId="10" fontId="42" fillId="34" borderId="102" xfId="0" applyNumberFormat="1" applyFont="1" applyFill="1" applyBorder="1" applyAlignment="1">
      <alignment horizontal="center"/>
    </xf>
    <xf numFmtId="187" fontId="42" fillId="34" borderId="106" xfId="0" applyNumberFormat="1" applyFont="1" applyFill="1" applyBorder="1" applyAlignment="1">
      <alignment horizontal="center"/>
    </xf>
    <xf numFmtId="179" fontId="100" fillId="34" borderId="0" xfId="116" applyNumberFormat="1" applyFont="1" applyFill="1" applyAlignment="1">
      <alignment horizontal="center"/>
    </xf>
    <xf numFmtId="2" fontId="151" fillId="34" borderId="0" xfId="506" applyNumberFormat="1" applyFont="1" applyFill="1" applyAlignment="1" applyProtection="1">
      <alignment vertical="center" wrapText="1"/>
      <protection hidden="1"/>
    </xf>
    <xf numFmtId="0" fontId="92" fillId="34" borderId="0" xfId="0" applyFont="1" applyFill="1" applyAlignment="1">
      <alignment horizontal="center"/>
    </xf>
    <xf numFmtId="0" fontId="155" fillId="34" borderId="0" xfId="116" applyFont="1" applyFill="1"/>
    <xf numFmtId="4" fontId="50" fillId="34" borderId="0" xfId="116" applyNumberFormat="1" applyFont="1" applyFill="1"/>
    <xf numFmtId="4" fontId="50" fillId="2" borderId="0" xfId="116" applyNumberFormat="1" applyFont="1" applyFill="1"/>
    <xf numFmtId="2" fontId="50" fillId="35" borderId="0" xfId="116" applyNumberFormat="1" applyFont="1" applyFill="1"/>
    <xf numFmtId="0" fontId="27" fillId="34" borderId="0" xfId="240" applyFill="1" applyAlignment="1" applyProtection="1">
      <alignment horizontal="right"/>
      <protection locked="0"/>
    </xf>
    <xf numFmtId="0" fontId="43" fillId="0" borderId="28" xfId="0" applyFont="1" applyBorder="1" applyAlignment="1">
      <alignment horizontal="left" wrapText="1" indent="1"/>
    </xf>
    <xf numFmtId="0" fontId="103" fillId="34" borderId="0" xfId="240" applyFont="1" applyFill="1" applyAlignment="1" applyProtection="1">
      <alignment vertical="center" wrapText="1"/>
      <protection locked="0"/>
    </xf>
    <xf numFmtId="0" fontId="102" fillId="34" borderId="0" xfId="240" applyFont="1" applyFill="1" applyAlignment="1" applyProtection="1">
      <alignment horizontal="left" wrapText="1"/>
      <protection locked="0"/>
    </xf>
    <xf numFmtId="0" fontId="102" fillId="34" borderId="0" xfId="240" applyFont="1" applyFill="1" applyAlignment="1" applyProtection="1">
      <alignment horizontal="left" vertical="top" wrapText="1"/>
      <protection locked="0"/>
    </xf>
    <xf numFmtId="0" fontId="102" fillId="34" borderId="0" xfId="6" applyFont="1" applyFill="1" applyAlignment="1">
      <alignment vertical="center" wrapText="1"/>
    </xf>
    <xf numFmtId="0" fontId="102" fillId="34" borderId="0" xfId="6" applyFont="1" applyFill="1" applyAlignment="1">
      <alignment vertical="top" wrapText="1"/>
    </xf>
    <xf numFmtId="0" fontId="154" fillId="34" borderId="0" xfId="116" applyFont="1" applyFill="1" applyAlignment="1">
      <alignment horizontal="left" wrapText="1"/>
    </xf>
    <xf numFmtId="0" fontId="191" fillId="34" borderId="0" xfId="556" applyFont="1" applyFill="1" applyAlignment="1">
      <alignment horizontal="left" vertical="center" wrapText="1"/>
    </xf>
    <xf numFmtId="2" fontId="51" fillId="34" borderId="67" xfId="0" applyNumberFormat="1" applyFont="1" applyFill="1" applyBorder="1" applyAlignment="1">
      <alignment horizontal="center" vertical="center"/>
    </xf>
    <xf numFmtId="0" fontId="132" fillId="34" borderId="0" xfId="0" applyFont="1" applyFill="1"/>
    <xf numFmtId="0" fontId="175" fillId="0" borderId="23" xfId="0" applyFont="1" applyBorder="1"/>
    <xf numFmtId="0" fontId="273" fillId="0" borderId="32" xfId="0" applyFont="1" applyBorder="1" applyAlignment="1">
      <alignment horizontal="center" vertical="center" wrapText="1"/>
    </xf>
    <xf numFmtId="0" fontId="274" fillId="0" borderId="24" xfId="0" applyFont="1" applyBorder="1" applyAlignment="1">
      <alignment vertical="center" wrapText="1"/>
    </xf>
    <xf numFmtId="0" fontId="275" fillId="34" borderId="24" xfId="0" applyFont="1" applyFill="1" applyBorder="1" applyAlignment="1">
      <alignment vertical="center" wrapText="1"/>
    </xf>
    <xf numFmtId="0" fontId="178" fillId="0" borderId="32" xfId="0" applyFont="1" applyBorder="1" applyAlignment="1">
      <alignment vertical="center" wrapText="1"/>
    </xf>
    <xf numFmtId="0" fontId="175" fillId="0" borderId="33" xfId="0" applyFont="1" applyBorder="1"/>
    <xf numFmtId="0" fontId="273" fillId="0" borderId="1" xfId="0" applyFont="1" applyBorder="1" applyAlignment="1">
      <alignment horizontal="center" vertical="center" wrapText="1"/>
    </xf>
    <xf numFmtId="0" fontId="274" fillId="0" borderId="1" xfId="0" applyFont="1" applyBorder="1" applyAlignment="1">
      <alignment vertical="center" wrapText="1"/>
    </xf>
    <xf numFmtId="0" fontId="275" fillId="34" borderId="1" xfId="0" applyFont="1" applyFill="1" applyBorder="1" applyAlignment="1">
      <alignment vertical="center" wrapText="1"/>
    </xf>
    <xf numFmtId="0" fontId="178" fillId="0" borderId="1" xfId="0" applyFont="1" applyBorder="1" applyAlignment="1">
      <alignment vertical="center" wrapText="1"/>
    </xf>
    <xf numFmtId="0" fontId="175" fillId="0" borderId="1" xfId="0" applyFont="1" applyBorder="1"/>
    <xf numFmtId="0" fontId="132" fillId="0" borderId="32" xfId="0" applyFont="1" applyBorder="1" applyAlignment="1">
      <alignment horizontal="left" wrapText="1"/>
    </xf>
    <xf numFmtId="0" fontId="42" fillId="0" borderId="32" xfId="0" applyFont="1" applyBorder="1" applyAlignment="1">
      <alignment horizontal="center" wrapText="1"/>
    </xf>
    <xf numFmtId="0" fontId="110" fillId="0" borderId="0" xfId="0" applyFont="1" applyAlignment="1">
      <alignment horizontal="center" vertical="center"/>
    </xf>
    <xf numFmtId="0" fontId="178" fillId="0" borderId="0" xfId="0" applyFont="1" applyAlignment="1">
      <alignment horizontal="left" vertical="center" wrapText="1"/>
    </xf>
    <xf numFmtId="0" fontId="111" fillId="0" borderId="0" xfId="0" applyFont="1" applyAlignment="1">
      <alignment horizontal="left" vertical="center" wrapText="1"/>
    </xf>
    <xf numFmtId="0" fontId="41" fillId="0" borderId="0" xfId="0" applyFont="1" applyAlignment="1">
      <alignment horizontal="center" vertical="center"/>
    </xf>
    <xf numFmtId="0" fontId="111" fillId="0" borderId="5" xfId="0" applyFont="1" applyBorder="1" applyAlignment="1">
      <alignment horizontal="left" wrapText="1"/>
    </xf>
    <xf numFmtId="0" fontId="111" fillId="0" borderId="5" xfId="0" applyFont="1" applyBorder="1" applyAlignment="1">
      <alignment horizontal="center" vertical="center" wrapText="1"/>
    </xf>
    <xf numFmtId="0" fontId="41" fillId="0" borderId="77" xfId="0" applyFont="1" applyBorder="1" applyAlignment="1">
      <alignment horizontal="center" vertical="center"/>
    </xf>
    <xf numFmtId="0" fontId="111" fillId="0" borderId="5" xfId="0" applyFont="1" applyBorder="1" applyAlignment="1">
      <alignment horizontal="left" vertical="center" wrapText="1"/>
    </xf>
    <xf numFmtId="0" fontId="50" fillId="0" borderId="0" xfId="0" applyFont="1" applyAlignment="1">
      <alignment horizontal="center" vertical="center"/>
    </xf>
    <xf numFmtId="0" fontId="111" fillId="0" borderId="0" xfId="0" applyFont="1" applyAlignment="1">
      <alignment horizontal="left" vertical="center"/>
    </xf>
    <xf numFmtId="0" fontId="43" fillId="0" borderId="0" xfId="0" applyFont="1" applyAlignment="1">
      <alignment horizontal="right" vertical="center"/>
    </xf>
    <xf numFmtId="0" fontId="43" fillId="0" borderId="77" xfId="0" applyFont="1" applyBorder="1" applyAlignment="1">
      <alignment horizontal="center" vertical="center"/>
    </xf>
    <xf numFmtId="0" fontId="103" fillId="0" borderId="0" xfId="0" applyFont="1" applyAlignment="1">
      <alignment horizontal="left" vertical="center"/>
    </xf>
    <xf numFmtId="0" fontId="43" fillId="0" borderId="0" xfId="0" applyFont="1" applyAlignment="1">
      <alignment horizontal="left" vertical="center"/>
    </xf>
    <xf numFmtId="0" fontId="41" fillId="0" borderId="0" xfId="0" applyFont="1" applyAlignment="1">
      <alignment horizontal="center" vertical="center" wrapText="1"/>
    </xf>
    <xf numFmtId="0" fontId="0" fillId="0" borderId="58" xfId="0" applyBorder="1" applyAlignment="1">
      <alignment horizontal="center"/>
    </xf>
    <xf numFmtId="0" fontId="0" fillId="0" borderId="59" xfId="0" applyBorder="1" applyAlignment="1">
      <alignment horizontal="center"/>
    </xf>
    <xf numFmtId="0" fontId="0" fillId="0" borderId="1" xfId="0" applyBorder="1" applyAlignment="1">
      <alignment horizontal="center"/>
    </xf>
    <xf numFmtId="0" fontId="0" fillId="0" borderId="58" xfId="0" applyBorder="1" applyAlignment="1">
      <alignment horizontal="center" vertical="center" wrapText="1"/>
    </xf>
    <xf numFmtId="0" fontId="0" fillId="0" borderId="33" xfId="0" applyBorder="1" applyAlignment="1">
      <alignment horizontal="center" vertical="center"/>
    </xf>
    <xf numFmtId="0" fontId="0" fillId="0" borderId="23" xfId="0" applyBorder="1" applyAlignment="1">
      <alignment horizontal="center" vertical="center"/>
    </xf>
    <xf numFmtId="0" fontId="0" fillId="0" borderId="93" xfId="0" applyBorder="1" applyAlignment="1">
      <alignment horizontal="center" vertical="center"/>
    </xf>
    <xf numFmtId="0" fontId="0" fillId="0" borderId="65" xfId="0" applyBorder="1" applyAlignment="1">
      <alignment horizontal="center" vertical="center"/>
    </xf>
    <xf numFmtId="0" fontId="0" fillId="0" borderId="58" xfId="0" applyBorder="1" applyAlignment="1">
      <alignment horizontal="center" vertical="center"/>
    </xf>
    <xf numFmtId="0" fontId="0" fillId="59" borderId="48" xfId="0" applyFill="1" applyBorder="1" applyAlignment="1">
      <alignment horizontal="center" vertical="center"/>
    </xf>
    <xf numFmtId="0" fontId="0" fillId="59" borderId="42" xfId="0" applyFill="1" applyBorder="1" applyAlignment="1">
      <alignment horizontal="center" vertical="center"/>
    </xf>
    <xf numFmtId="0" fontId="0" fillId="0" borderId="58" xfId="0" applyBorder="1" applyAlignment="1">
      <alignment horizontal="center" wrapText="1"/>
    </xf>
    <xf numFmtId="0" fontId="0" fillId="78" borderId="26" xfId="0" applyFill="1" applyBorder="1" applyAlignment="1">
      <alignment horizontal="center" vertical="center"/>
    </xf>
    <xf numFmtId="0" fontId="0" fillId="78" borderId="29" xfId="0" applyFill="1" applyBorder="1" applyAlignment="1">
      <alignment horizontal="center" vertical="center"/>
    </xf>
    <xf numFmtId="0" fontId="215" fillId="0" borderId="1" xfId="0" applyFont="1" applyBorder="1" applyAlignment="1">
      <alignment horizontal="center" vertical="center"/>
    </xf>
    <xf numFmtId="0" fontId="0" fillId="34" borderId="0" xfId="0" applyFill="1" applyAlignment="1">
      <alignment horizontal="center" vertical="center"/>
    </xf>
    <xf numFmtId="0" fontId="43" fillId="34" borderId="0" xfId="240" applyFont="1" applyFill="1" applyAlignment="1">
      <alignment horizontal="center"/>
    </xf>
    <xf numFmtId="0" fontId="43" fillId="34" borderId="0" xfId="240" applyFont="1" applyFill="1" applyAlignment="1">
      <alignment horizontal="left" vertical="top" wrapText="1"/>
    </xf>
    <xf numFmtId="0" fontId="41" fillId="34" borderId="48" xfId="240" applyFont="1" applyFill="1" applyBorder="1" applyAlignment="1">
      <alignment horizontal="center" vertical="center" wrapText="1"/>
    </xf>
    <xf numFmtId="0" fontId="41" fillId="34" borderId="49" xfId="240" applyFont="1" applyFill="1" applyBorder="1" applyAlignment="1">
      <alignment horizontal="center" vertical="center" wrapText="1"/>
    </xf>
    <xf numFmtId="0" fontId="41" fillId="34" borderId="124" xfId="240" applyFont="1" applyFill="1" applyBorder="1" applyAlignment="1">
      <alignment horizontal="center" vertical="center" wrapText="1"/>
    </xf>
    <xf numFmtId="0" fontId="41" fillId="34" borderId="42" xfId="240" applyFont="1" applyFill="1" applyBorder="1" applyAlignment="1">
      <alignment horizontal="center" vertical="center" wrapText="1"/>
    </xf>
    <xf numFmtId="0" fontId="41" fillId="34" borderId="3" xfId="240" applyFont="1" applyFill="1" applyBorder="1" applyAlignment="1">
      <alignment horizontal="center" vertical="center" wrapText="1"/>
    </xf>
    <xf numFmtId="0" fontId="41" fillId="34" borderId="43" xfId="240" applyFont="1" applyFill="1" applyBorder="1" applyAlignment="1">
      <alignment horizontal="center" vertical="center" wrapText="1"/>
    </xf>
    <xf numFmtId="0" fontId="40" fillId="34" borderId="0" xfId="240" applyFont="1" applyFill="1" applyAlignment="1">
      <alignment horizontal="left" vertical="center" wrapText="1"/>
    </xf>
    <xf numFmtId="0" fontId="40" fillId="34" borderId="0" xfId="240" applyFont="1" applyFill="1" applyAlignment="1">
      <alignment horizontal="left" vertical="top" wrapText="1"/>
    </xf>
    <xf numFmtId="0" fontId="43" fillId="34" borderId="0" xfId="240" applyFont="1" applyFill="1"/>
    <xf numFmtId="0" fontId="43" fillId="34" borderId="0" xfId="0" applyFont="1" applyFill="1"/>
    <xf numFmtId="0" fontId="103" fillId="34" borderId="0" xfId="240" applyFont="1" applyFill="1" applyAlignment="1" applyProtection="1">
      <alignment horizontal="left" vertical="center" wrapText="1"/>
      <protection locked="0"/>
    </xf>
    <xf numFmtId="0" fontId="41" fillId="34" borderId="0" xfId="240" applyFont="1" applyFill="1" applyAlignment="1">
      <alignment horizontal="left" vertical="top" wrapText="1"/>
    </xf>
    <xf numFmtId="0" fontId="51" fillId="34" borderId="0" xfId="240" applyFont="1" applyFill="1" applyAlignment="1">
      <alignment horizontal="center"/>
    </xf>
    <xf numFmtId="0" fontId="144" fillId="34" borderId="0" xfId="240" applyFont="1" applyFill="1" applyAlignment="1">
      <alignment horizontal="center"/>
    </xf>
    <xf numFmtId="0" fontId="42" fillId="34" borderId="0" xfId="240" applyFont="1" applyFill="1" applyAlignment="1">
      <alignment horizontal="right"/>
    </xf>
    <xf numFmtId="49" fontId="40" fillId="0" borderId="8" xfId="240" applyNumberFormat="1" applyFont="1" applyBorder="1" applyAlignment="1">
      <alignment vertical="center" wrapText="1"/>
    </xf>
    <xf numFmtId="49" fontId="40" fillId="34" borderId="48" xfId="240" applyNumberFormat="1" applyFont="1" applyFill="1" applyBorder="1" applyAlignment="1">
      <alignment horizontal="center" vertical="center" wrapText="1"/>
    </xf>
    <xf numFmtId="49" fontId="40" fillId="34" borderId="51" xfId="240" applyNumberFormat="1" applyFont="1" applyFill="1" applyBorder="1" applyAlignment="1">
      <alignment horizontal="center" vertical="center" wrapText="1"/>
    </xf>
    <xf numFmtId="49" fontId="40" fillId="34" borderId="42" xfId="240" applyNumberFormat="1" applyFont="1" applyFill="1" applyBorder="1" applyAlignment="1">
      <alignment horizontal="center" vertical="center" wrapText="1"/>
    </xf>
    <xf numFmtId="0" fontId="43" fillId="34" borderId="49" xfId="240" applyFont="1" applyFill="1" applyBorder="1" applyAlignment="1">
      <alignment horizontal="center" vertical="center" wrapText="1"/>
    </xf>
    <xf numFmtId="0" fontId="43" fillId="34" borderId="4" xfId="240" applyFont="1" applyFill="1" applyBorder="1" applyAlignment="1">
      <alignment horizontal="center" vertical="center" wrapText="1"/>
    </xf>
    <xf numFmtId="0" fontId="43" fillId="34" borderId="3" xfId="240" applyFont="1" applyFill="1" applyBorder="1" applyAlignment="1">
      <alignment horizontal="center" vertical="center" wrapText="1"/>
    </xf>
    <xf numFmtId="0" fontId="41" fillId="34" borderId="50" xfId="240" applyFont="1" applyFill="1" applyBorder="1" applyAlignment="1">
      <alignment horizontal="center" vertical="center" wrapText="1"/>
    </xf>
    <xf numFmtId="0" fontId="41" fillId="34" borderId="25" xfId="240" applyFont="1" applyFill="1" applyBorder="1" applyAlignment="1">
      <alignment horizontal="center" vertical="center" wrapText="1"/>
    </xf>
    <xf numFmtId="0" fontId="41" fillId="34" borderId="10" xfId="240" applyFont="1" applyFill="1" applyBorder="1" applyAlignment="1">
      <alignment horizontal="center" vertical="center" wrapText="1"/>
    </xf>
    <xf numFmtId="0" fontId="39" fillId="34" borderId="0" xfId="240" applyFont="1" applyFill="1" applyAlignment="1">
      <alignment horizontal="left" wrapText="1"/>
    </xf>
    <xf numFmtId="0" fontId="41" fillId="34" borderId="0" xfId="240" applyFont="1" applyFill="1" applyAlignment="1" applyProtection="1">
      <alignment horizontal="right" vertical="top" wrapText="1"/>
      <protection locked="0"/>
    </xf>
    <xf numFmtId="0" fontId="42" fillId="34" borderId="0" xfId="0" applyFont="1" applyFill="1" applyAlignment="1">
      <alignment horizontal="right" vertical="top" wrapText="1"/>
    </xf>
    <xf numFmtId="0" fontId="41" fillId="34" borderId="0" xfId="240" applyFont="1" applyFill="1" applyAlignment="1" applyProtection="1">
      <alignment horizontal="right"/>
      <protection locked="0"/>
    </xf>
    <xf numFmtId="0" fontId="42" fillId="34" borderId="0" xfId="0" applyFont="1" applyFill="1" applyAlignment="1">
      <alignment horizontal="right"/>
    </xf>
    <xf numFmtId="0" fontId="102" fillId="34" borderId="0" xfId="240" applyFont="1" applyFill="1" applyAlignment="1" applyProtection="1">
      <alignment horizontal="center" wrapText="1"/>
      <protection locked="0"/>
    </xf>
    <xf numFmtId="0" fontId="40" fillId="34" borderId="0" xfId="240" applyFont="1" applyFill="1" applyAlignment="1">
      <alignment horizontal="center" vertical="top"/>
    </xf>
    <xf numFmtId="0" fontId="41" fillId="34" borderId="0" xfId="240" applyFont="1" applyFill="1" applyAlignment="1" applyProtection="1">
      <alignment horizontal="center" vertical="top" wrapText="1"/>
      <protection locked="0"/>
    </xf>
    <xf numFmtId="0" fontId="40" fillId="34" borderId="8" xfId="240" applyFont="1" applyFill="1" applyBorder="1" applyAlignment="1">
      <alignment horizontal="center" vertical="center" wrapText="1"/>
    </xf>
    <xf numFmtId="0" fontId="40" fillId="34" borderId="9" xfId="240" applyFont="1" applyFill="1" applyBorder="1" applyAlignment="1">
      <alignment horizontal="center" vertical="center" wrapText="1"/>
    </xf>
    <xf numFmtId="0" fontId="40" fillId="34" borderId="7" xfId="240" applyFont="1" applyFill="1" applyBorder="1" applyAlignment="1">
      <alignment horizontal="center" vertical="center" wrapText="1"/>
    </xf>
    <xf numFmtId="0" fontId="44" fillId="34" borderId="5" xfId="240" applyFont="1" applyFill="1" applyBorder="1" applyAlignment="1">
      <alignment horizontal="right"/>
    </xf>
    <xf numFmtId="49" fontId="40" fillId="34" borderId="79" xfId="240" applyNumberFormat="1" applyFont="1" applyFill="1" applyBorder="1" applyAlignment="1">
      <alignment horizontal="center" vertical="center" wrapText="1"/>
    </xf>
    <xf numFmtId="49" fontId="40" fillId="34" borderId="4" xfId="240" applyNumberFormat="1" applyFont="1" applyFill="1" applyBorder="1" applyAlignment="1">
      <alignment horizontal="center" vertical="center" wrapText="1"/>
    </xf>
    <xf numFmtId="49" fontId="40" fillId="34" borderId="3" xfId="240" applyNumberFormat="1" applyFont="1" applyFill="1" applyBorder="1" applyAlignment="1">
      <alignment horizontal="center" vertical="center" wrapText="1"/>
    </xf>
    <xf numFmtId="0" fontId="42" fillId="34" borderId="79" xfId="240" applyFont="1" applyFill="1" applyBorder="1" applyAlignment="1">
      <alignment horizontal="center" vertical="center" wrapText="1"/>
    </xf>
    <xf numFmtId="0" fontId="42" fillId="34" borderId="4" xfId="240" applyFont="1" applyFill="1" applyBorder="1" applyAlignment="1">
      <alignment horizontal="center" vertical="center" wrapText="1"/>
    </xf>
    <xf numFmtId="0" fontId="42" fillId="34" borderId="3" xfId="240" applyFont="1" applyFill="1" applyBorder="1" applyAlignment="1">
      <alignment horizontal="center" vertical="center" wrapText="1"/>
    </xf>
    <xf numFmtId="0" fontId="40" fillId="34" borderId="79" xfId="240" applyFont="1" applyFill="1" applyBorder="1" applyAlignment="1">
      <alignment horizontal="center" vertical="center" wrapText="1"/>
    </xf>
    <xf numFmtId="0" fontId="40" fillId="34" borderId="4" xfId="240" applyFont="1" applyFill="1" applyBorder="1" applyAlignment="1">
      <alignment horizontal="center" vertical="center" wrapText="1"/>
    </xf>
    <xf numFmtId="0" fontId="40" fillId="34" borderId="3" xfId="240" applyFont="1" applyFill="1" applyBorder="1" applyAlignment="1">
      <alignment horizontal="center" vertical="center" wrapText="1"/>
    </xf>
    <xf numFmtId="0" fontId="41" fillId="34" borderId="8" xfId="240" applyFont="1" applyFill="1" applyBorder="1" applyAlignment="1">
      <alignment horizontal="center" vertical="center" wrapText="1"/>
    </xf>
    <xf numFmtId="0" fontId="41" fillId="34" borderId="9" xfId="240" applyFont="1" applyFill="1" applyBorder="1" applyAlignment="1">
      <alignment horizontal="center" vertical="center" wrapText="1"/>
    </xf>
    <xf numFmtId="0" fontId="40" fillId="34" borderId="1" xfId="240" applyFont="1" applyFill="1" applyBorder="1" applyAlignment="1">
      <alignment horizontal="center" vertical="center" wrapText="1"/>
    </xf>
    <xf numFmtId="0" fontId="42" fillId="34" borderId="0" xfId="0" applyFont="1" applyFill="1" applyAlignment="1">
      <alignment horizontal="center" vertical="top" wrapText="1"/>
    </xf>
    <xf numFmtId="0" fontId="51" fillId="34" borderId="5" xfId="240" applyFont="1" applyFill="1" applyBorder="1" applyAlignment="1">
      <alignment horizontal="right"/>
    </xf>
    <xf numFmtId="0" fontId="41" fillId="34" borderId="0" xfId="240" applyFont="1" applyFill="1" applyAlignment="1" applyProtection="1">
      <alignment horizontal="center"/>
      <protection locked="0"/>
    </xf>
    <xf numFmtId="0" fontId="42" fillId="34" borderId="0" xfId="0" applyFont="1" applyFill="1" applyAlignment="1">
      <alignment horizontal="center"/>
    </xf>
    <xf numFmtId="0" fontId="39" fillId="34" borderId="0" xfId="240" applyFont="1" applyFill="1" applyAlignment="1">
      <alignment horizontal="center" vertical="top" wrapText="1"/>
    </xf>
    <xf numFmtId="0" fontId="41" fillId="34" borderId="0" xfId="0" applyFont="1" applyFill="1" applyAlignment="1">
      <alignment horizontal="left" vertical="top" wrapText="1"/>
    </xf>
    <xf numFmtId="0" fontId="39" fillId="34" borderId="0" xfId="240" applyFont="1" applyFill="1" applyAlignment="1">
      <alignment horizontal="left" vertical="top" wrapText="1"/>
    </xf>
    <xf numFmtId="0" fontId="42" fillId="34" borderId="0" xfId="240" applyFont="1" applyFill="1" applyAlignment="1">
      <alignment horizontal="center"/>
    </xf>
    <xf numFmtId="0" fontId="41" fillId="0" borderId="1" xfId="240" applyFont="1" applyBorder="1" applyAlignment="1">
      <alignment horizontal="center" vertical="center" wrapText="1"/>
    </xf>
    <xf numFmtId="0" fontId="39" fillId="34" borderId="0" xfId="240" applyFont="1" applyFill="1" applyAlignment="1" applyProtection="1">
      <alignment horizontal="center" wrapText="1"/>
      <protection locked="0"/>
    </xf>
    <xf numFmtId="0" fontId="51" fillId="34" borderId="0" xfId="240" applyFont="1" applyFill="1" applyAlignment="1">
      <alignment horizontal="center" wrapText="1"/>
    </xf>
    <xf numFmtId="0" fontId="51" fillId="34" borderId="5" xfId="0" applyFont="1" applyFill="1" applyBorder="1"/>
    <xf numFmtId="0" fontId="41" fillId="34" borderId="1" xfId="240" applyFont="1" applyFill="1" applyBorder="1" applyAlignment="1">
      <alignment horizontal="center" vertical="center" wrapText="1"/>
    </xf>
    <xf numFmtId="0" fontId="41" fillId="34" borderId="0" xfId="240" applyFont="1" applyFill="1" applyAlignment="1">
      <alignment horizontal="center" wrapText="1"/>
    </xf>
    <xf numFmtId="0" fontId="102" fillId="34" borderId="0" xfId="240" applyFont="1" applyFill="1" applyAlignment="1">
      <alignment horizontal="center" wrapText="1"/>
    </xf>
    <xf numFmtId="0" fontId="41" fillId="34" borderId="0" xfId="240" applyFont="1" applyFill="1" applyAlignment="1">
      <alignment horizontal="center" vertical="top" wrapText="1"/>
    </xf>
    <xf numFmtId="0" fontId="39" fillId="34" borderId="5" xfId="240" applyFont="1" applyFill="1" applyBorder="1" applyAlignment="1">
      <alignment horizontal="right"/>
    </xf>
    <xf numFmtId="0" fontId="39" fillId="34" borderId="5" xfId="0" applyFont="1" applyFill="1" applyBorder="1"/>
    <xf numFmtId="0" fontId="42" fillId="34" borderId="1" xfId="240" applyFont="1" applyFill="1" applyBorder="1" applyAlignment="1">
      <alignment horizontal="center" vertical="center" wrapText="1"/>
    </xf>
    <xf numFmtId="0" fontId="50" fillId="34" borderId="0" xfId="240" applyFont="1" applyFill="1" applyAlignment="1">
      <alignment horizontal="center" wrapText="1"/>
    </xf>
    <xf numFmtId="0" fontId="196" fillId="34" borderId="0" xfId="240" applyFont="1" applyFill="1" applyAlignment="1">
      <alignment horizontal="center" wrapText="1"/>
    </xf>
    <xf numFmtId="0" fontId="50" fillId="34" borderId="0" xfId="240" applyFont="1" applyFill="1" applyAlignment="1">
      <alignment horizontal="center" vertical="top" wrapText="1"/>
    </xf>
    <xf numFmtId="0" fontId="50" fillId="34" borderId="0" xfId="240" applyFont="1" applyFill="1" applyAlignment="1">
      <alignment horizontal="left" vertical="top" wrapText="1"/>
    </xf>
    <xf numFmtId="0" fontId="53" fillId="34" borderId="0" xfId="240" applyFont="1" applyFill="1" applyAlignment="1">
      <alignment horizontal="center" vertical="top"/>
    </xf>
    <xf numFmtId="0" fontId="161" fillId="34" borderId="5" xfId="240" applyFont="1" applyFill="1" applyBorder="1" applyAlignment="1">
      <alignment horizontal="right"/>
    </xf>
    <xf numFmtId="0" fontId="161" fillId="34" borderId="5" xfId="0" applyFont="1" applyFill="1" applyBorder="1"/>
    <xf numFmtId="0" fontId="53" fillId="34" borderId="1" xfId="240" applyFont="1" applyFill="1" applyBorder="1" applyAlignment="1">
      <alignment horizontal="center" vertical="center" wrapText="1"/>
    </xf>
    <xf numFmtId="0" fontId="132" fillId="34" borderId="1" xfId="240" applyFont="1" applyFill="1" applyBorder="1" applyAlignment="1">
      <alignment horizontal="center" vertical="center" wrapText="1"/>
    </xf>
    <xf numFmtId="0" fontId="161" fillId="34" borderId="0" xfId="240" applyFont="1" applyFill="1" applyAlignment="1">
      <alignment horizontal="left" vertical="top" wrapText="1"/>
    </xf>
    <xf numFmtId="0" fontId="144" fillId="34" borderId="0" xfId="240" applyFont="1" applyFill="1" applyAlignment="1">
      <alignment horizontal="center" wrapText="1"/>
    </xf>
    <xf numFmtId="0" fontId="196" fillId="34" borderId="0" xfId="240" applyFont="1" applyFill="1" applyAlignment="1" applyProtection="1">
      <alignment horizontal="left" vertical="top" wrapText="1"/>
      <protection locked="0"/>
    </xf>
    <xf numFmtId="0" fontId="187" fillId="0" borderId="8" xfId="0" applyFont="1" applyBorder="1" applyAlignment="1">
      <alignment horizontal="center" vertical="center" wrapText="1"/>
    </xf>
    <xf numFmtId="0" fontId="187" fillId="0" borderId="7" xfId="0" applyFont="1" applyBorder="1" applyAlignment="1">
      <alignment horizontal="center" vertical="center" wrapText="1"/>
    </xf>
    <xf numFmtId="0" fontId="197" fillId="0" borderId="8" xfId="0" applyFont="1" applyBorder="1" applyAlignment="1">
      <alignment horizontal="center" vertical="center" wrapText="1"/>
    </xf>
    <xf numFmtId="0" fontId="197" fillId="0" borderId="9" xfId="0" applyFont="1" applyBorder="1" applyAlignment="1">
      <alignment horizontal="center" vertical="center" wrapText="1"/>
    </xf>
    <xf numFmtId="0" fontId="197" fillId="0" borderId="141" xfId="0" applyFont="1" applyBorder="1" applyAlignment="1">
      <alignment horizontal="center" vertical="center" wrapText="1"/>
    </xf>
    <xf numFmtId="0" fontId="197" fillId="60" borderId="77" xfId="0" applyFont="1" applyFill="1" applyBorder="1" applyAlignment="1">
      <alignment horizontal="center"/>
    </xf>
    <xf numFmtId="0" fontId="187" fillId="0" borderId="0" xfId="0" applyFont="1" applyAlignment="1">
      <alignment horizontal="center"/>
    </xf>
    <xf numFmtId="0" fontId="197" fillId="0" borderId="79" xfId="0" applyFont="1" applyBorder="1" applyAlignment="1">
      <alignment horizontal="center" vertical="center" wrapText="1"/>
    </xf>
    <xf numFmtId="0" fontId="197" fillId="0" borderId="3" xfId="0" applyFont="1" applyBorder="1" applyAlignment="1">
      <alignment horizontal="center" vertical="center" wrapText="1"/>
    </xf>
    <xf numFmtId="0" fontId="197" fillId="0" borderId="140" xfId="0" applyFont="1" applyBorder="1" applyAlignment="1">
      <alignment horizontal="center" vertical="center" wrapText="1"/>
    </xf>
    <xf numFmtId="0" fontId="197" fillId="0" borderId="7" xfId="0" applyFont="1" applyBorder="1" applyAlignment="1">
      <alignment horizontal="center" vertical="center" wrapText="1"/>
    </xf>
    <xf numFmtId="0" fontId="51" fillId="0" borderId="1" xfId="0" applyFont="1" applyBorder="1" applyAlignment="1">
      <alignment horizontal="center" vertical="center" wrapText="1"/>
    </xf>
    <xf numFmtId="0" fontId="42"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187" fillId="60" borderId="0" xfId="0" applyFont="1" applyFill="1" applyAlignment="1">
      <alignment horizontal="center"/>
    </xf>
    <xf numFmtId="0" fontId="42" fillId="3" borderId="5" xfId="5" applyFont="1" applyFill="1" applyBorder="1" applyAlignment="1">
      <alignment horizontal="center"/>
    </xf>
    <xf numFmtId="0" fontId="42" fillId="31" borderId="0" xfId="5" applyFont="1" applyFill="1" applyAlignment="1">
      <alignment horizontal="center"/>
    </xf>
    <xf numFmtId="0" fontId="51" fillId="0" borderId="0" xfId="5" applyFont="1" applyAlignment="1">
      <alignment horizontal="center"/>
    </xf>
    <xf numFmtId="0" fontId="42" fillId="0" borderId="79" xfId="0" applyFont="1" applyBorder="1" applyAlignment="1">
      <alignment horizontal="center" vertical="center" wrapText="1"/>
    </xf>
    <xf numFmtId="0" fontId="42" fillId="0" borderId="4" xfId="0" applyFont="1" applyBorder="1" applyAlignment="1">
      <alignment horizontal="center" vertical="center" wrapText="1"/>
    </xf>
    <xf numFmtId="0" fontId="42" fillId="0" borderId="2" xfId="0" applyFont="1" applyBorder="1" applyAlignment="1">
      <alignment horizontal="center" vertical="center" wrapText="1"/>
    </xf>
    <xf numFmtId="0" fontId="42" fillId="0" borderId="3" xfId="0" applyFont="1" applyBorder="1" applyAlignment="1">
      <alignment horizontal="center" vertical="center" wrapText="1"/>
    </xf>
    <xf numFmtId="0" fontId="42" fillId="0" borderId="1" xfId="0" applyFont="1" applyBorder="1" applyAlignment="1">
      <alignment horizontal="center" vertical="center" wrapText="1"/>
    </xf>
    <xf numFmtId="0" fontId="51" fillId="31" borderId="0" xfId="5" applyFont="1" applyFill="1" applyAlignment="1">
      <alignment horizontal="center"/>
    </xf>
    <xf numFmtId="0" fontId="42" fillId="31" borderId="0" xfId="0" applyFont="1" applyFill="1" applyAlignment="1">
      <alignment vertical="top" wrapText="1"/>
    </xf>
    <xf numFmtId="0" fontId="42" fillId="3" borderId="5" xfId="0" applyFont="1" applyFill="1" applyBorder="1" applyAlignment="1">
      <alignment horizontal="left" wrapText="1"/>
    </xf>
    <xf numFmtId="0" fontId="102" fillId="3" borderId="0" xfId="5" applyFont="1" applyFill="1" applyAlignment="1">
      <alignment horizontal="center" vertical="top" wrapText="1"/>
    </xf>
    <xf numFmtId="0" fontId="41" fillId="0" borderId="0" xfId="5" applyFont="1" applyAlignment="1">
      <alignment horizontal="center" vertical="top" wrapText="1"/>
    </xf>
    <xf numFmtId="49" fontId="53" fillId="34" borderId="58" xfId="5" applyNumberFormat="1" applyFont="1" applyFill="1" applyBorder="1" applyAlignment="1">
      <alignment horizontal="center" vertical="center" wrapText="1"/>
    </xf>
    <xf numFmtId="49" fontId="53" fillId="34" borderId="1" xfId="5" applyNumberFormat="1" applyFont="1" applyFill="1" applyBorder="1" applyAlignment="1">
      <alignment horizontal="center" vertical="center" wrapText="1"/>
    </xf>
    <xf numFmtId="0" fontId="40" fillId="34" borderId="0" xfId="5" applyFont="1" applyFill="1" applyAlignment="1">
      <alignment horizontal="center" vertical="top" wrapText="1"/>
    </xf>
    <xf numFmtId="0" fontId="46" fillId="34" borderId="0" xfId="5" applyFont="1" applyFill="1" applyProtection="1">
      <protection locked="0"/>
    </xf>
    <xf numFmtId="0" fontId="41" fillId="34" borderId="0" xfId="5" applyFont="1" applyFill="1" applyAlignment="1" applyProtection="1">
      <alignment horizontal="center"/>
      <protection locked="0"/>
    </xf>
    <xf numFmtId="0" fontId="39" fillId="34" borderId="0" xfId="0" applyFont="1" applyFill="1" applyAlignment="1">
      <alignment horizontal="left" vertical="top" wrapText="1"/>
    </xf>
    <xf numFmtId="0" fontId="43" fillId="34" borderId="0" xfId="5" applyFont="1" applyFill="1" applyAlignment="1">
      <alignment horizontal="center"/>
    </xf>
    <xf numFmtId="0" fontId="43" fillId="34" borderId="0" xfId="0" applyFont="1" applyFill="1" applyAlignment="1">
      <alignment horizontal="center"/>
    </xf>
    <xf numFmtId="0" fontId="43" fillId="34" borderId="0" xfId="5" applyFont="1" applyFill="1" applyAlignment="1">
      <alignment horizontal="left"/>
    </xf>
    <xf numFmtId="0" fontId="43" fillId="34" borderId="0" xfId="0" applyFont="1" applyFill="1" applyAlignment="1">
      <alignment horizontal="left"/>
    </xf>
    <xf numFmtId="0" fontId="43" fillId="34" borderId="0" xfId="5" applyFont="1" applyFill="1"/>
    <xf numFmtId="0" fontId="103" fillId="34" borderId="0" xfId="5" applyFont="1" applyFill="1"/>
    <xf numFmtId="0" fontId="103" fillId="34" borderId="0" xfId="0" applyFont="1" applyFill="1"/>
    <xf numFmtId="0" fontId="50" fillId="34" borderId="64" xfId="5" applyFont="1" applyFill="1" applyBorder="1" applyAlignment="1">
      <alignment horizontal="center" vertical="center"/>
    </xf>
    <xf numFmtId="0" fontId="50" fillId="34" borderId="93" xfId="5" applyFont="1" applyFill="1" applyBorder="1" applyAlignment="1">
      <alignment horizontal="center" vertical="center"/>
    </xf>
    <xf numFmtId="0" fontId="50" fillId="34" borderId="90" xfId="5" applyFont="1" applyFill="1" applyBorder="1" applyAlignment="1">
      <alignment horizontal="center" vertical="center"/>
    </xf>
    <xf numFmtId="0" fontId="102" fillId="34" borderId="0" xfId="5" applyFont="1" applyFill="1" applyAlignment="1">
      <alignment horizontal="center" vertical="center" wrapText="1"/>
    </xf>
    <xf numFmtId="0" fontId="103" fillId="34" borderId="0" xfId="5" applyFont="1" applyFill="1" applyAlignment="1">
      <alignment horizontal="left" vertical="center" wrapText="1"/>
    </xf>
    <xf numFmtId="49" fontId="53" fillId="34" borderId="49" xfId="5" applyNumberFormat="1" applyFont="1" applyFill="1" applyBorder="1" applyAlignment="1">
      <alignment horizontal="center" vertical="center" wrapText="1"/>
    </xf>
    <xf numFmtId="49" fontId="53" fillId="34" borderId="4" xfId="5" applyNumberFormat="1" applyFont="1" applyFill="1" applyBorder="1" applyAlignment="1">
      <alignment horizontal="center" vertical="center" wrapText="1"/>
    </xf>
    <xf numFmtId="49" fontId="53" fillId="34" borderId="3" xfId="5" applyNumberFormat="1" applyFont="1" applyFill="1" applyBorder="1" applyAlignment="1">
      <alignment horizontal="center" vertical="center" wrapText="1"/>
    </xf>
    <xf numFmtId="0" fontId="102" fillId="34" borderId="0" xfId="6" applyFont="1" applyFill="1" applyAlignment="1">
      <alignment horizontal="left" vertical="center" wrapText="1"/>
    </xf>
    <xf numFmtId="0" fontId="51" fillId="0" borderId="0" xfId="6" applyFont="1" applyAlignment="1">
      <alignment horizontal="center" vertical="center" wrapText="1"/>
    </xf>
    <xf numFmtId="0" fontId="42" fillId="0" borderId="0" xfId="6" applyFont="1" applyAlignment="1">
      <alignment horizontal="center" vertical="center" wrapText="1"/>
    </xf>
    <xf numFmtId="0" fontId="41" fillId="34" borderId="0" xfId="6" applyFont="1" applyFill="1" applyAlignment="1">
      <alignment horizontal="center" vertical="center" wrapText="1"/>
    </xf>
    <xf numFmtId="0" fontId="46" fillId="0" borderId="30" xfId="6" applyFont="1" applyBorder="1" applyAlignment="1">
      <alignment horizontal="center" vertical="center" wrapText="1"/>
    </xf>
    <xf numFmtId="0" fontId="46" fillId="0" borderId="36" xfId="6" applyFont="1" applyBorder="1" applyAlignment="1">
      <alignment horizontal="center" vertical="center" wrapText="1"/>
    </xf>
    <xf numFmtId="0" fontId="46" fillId="0" borderId="31" xfId="6" applyFont="1" applyBorder="1" applyAlignment="1">
      <alignment horizontal="center" vertical="center" wrapText="1"/>
    </xf>
    <xf numFmtId="0" fontId="39" fillId="0" borderId="0" xfId="0" applyFont="1" applyAlignment="1">
      <alignment horizontal="left" vertical="top" wrapText="1"/>
    </xf>
    <xf numFmtId="0" fontId="42" fillId="59" borderId="0" xfId="6" applyFont="1" applyFill="1" applyAlignment="1">
      <alignment horizontal="center" vertical="center" wrapText="1"/>
    </xf>
    <xf numFmtId="0" fontId="41" fillId="0" borderId="0" xfId="0" applyFont="1" applyAlignment="1">
      <alignment horizontal="left" vertical="top" wrapText="1"/>
    </xf>
    <xf numFmtId="0" fontId="51" fillId="0" borderId="0" xfId="6" applyFont="1" applyAlignment="1">
      <alignment horizontal="center"/>
    </xf>
    <xf numFmtId="0" fontId="91" fillId="0" borderId="0" xfId="0" applyFont="1" applyAlignment="1">
      <alignment horizontal="center" vertical="center" wrapText="1"/>
    </xf>
    <xf numFmtId="0" fontId="39" fillId="0" borderId="0" xfId="6" applyFont="1" applyAlignment="1">
      <alignment horizontal="right"/>
    </xf>
    <xf numFmtId="0" fontId="185" fillId="0" borderId="0" xfId="0" applyFont="1" applyAlignment="1">
      <alignment horizontal="right"/>
    </xf>
    <xf numFmtId="0" fontId="41" fillId="0" borderId="0" xfId="6" applyFont="1" applyAlignment="1">
      <alignment horizontal="center" vertical="center" wrapText="1"/>
    </xf>
    <xf numFmtId="0" fontId="102" fillId="34" borderId="0" xfId="6" applyFont="1" applyFill="1" applyAlignment="1">
      <alignment horizontal="center" vertical="center" wrapText="1"/>
    </xf>
    <xf numFmtId="0" fontId="43" fillId="0" borderId="0" xfId="6" applyFont="1" applyAlignment="1">
      <alignment horizontal="center" wrapText="1"/>
    </xf>
    <xf numFmtId="0" fontId="41" fillId="0" borderId="33" xfId="6" applyFont="1" applyBorder="1" applyAlignment="1">
      <alignment horizontal="center" vertical="center" wrapText="1"/>
    </xf>
    <xf numFmtId="0" fontId="41" fillId="0" borderId="23" xfId="6" applyFont="1" applyBorder="1" applyAlignment="1">
      <alignment horizontal="center" vertical="center" wrapText="1"/>
    </xf>
    <xf numFmtId="0" fontId="50" fillId="0" borderId="91" xfId="124" applyFont="1" applyBorder="1" applyAlignment="1">
      <alignment horizontal="center" vertical="center" wrapText="1"/>
    </xf>
    <xf numFmtId="0" fontId="50" fillId="0" borderId="86" xfId="124" applyFont="1" applyBorder="1" applyAlignment="1">
      <alignment horizontal="center" vertical="center" wrapText="1"/>
    </xf>
    <xf numFmtId="0" fontId="50" fillId="0" borderId="64" xfId="124" applyFont="1" applyBorder="1" applyAlignment="1">
      <alignment horizontal="center" wrapText="1"/>
    </xf>
    <xf numFmtId="0" fontId="50" fillId="0" borderId="93" xfId="124" applyFont="1" applyBorder="1" applyAlignment="1">
      <alignment horizontal="center" wrapText="1"/>
    </xf>
    <xf numFmtId="0" fontId="50" fillId="0" borderId="90" xfId="124" applyFont="1" applyBorder="1" applyAlignment="1">
      <alignment horizontal="center" wrapText="1"/>
    </xf>
    <xf numFmtId="0" fontId="41" fillId="34" borderId="1" xfId="6" applyFont="1" applyFill="1" applyBorder="1" applyAlignment="1">
      <alignment horizontal="center" vertical="center" wrapText="1"/>
    </xf>
    <xf numFmtId="0" fontId="42" fillId="34" borderId="1" xfId="0" applyFont="1" applyFill="1" applyBorder="1"/>
    <xf numFmtId="0" fontId="46" fillId="34" borderId="8" xfId="6" applyFont="1" applyFill="1" applyBorder="1" applyAlignment="1">
      <alignment horizontal="center" vertical="center" wrapText="1"/>
    </xf>
    <xf numFmtId="0" fontId="46" fillId="34" borderId="9" xfId="6" applyFont="1" applyFill="1" applyBorder="1" applyAlignment="1">
      <alignment horizontal="center" vertical="center" wrapText="1"/>
    </xf>
    <xf numFmtId="0" fontId="46" fillId="34" borderId="7" xfId="6" applyFont="1" applyFill="1" applyBorder="1" applyAlignment="1">
      <alignment horizontal="center" vertical="center" wrapText="1"/>
    </xf>
    <xf numFmtId="0" fontId="46" fillId="34" borderId="8" xfId="6" applyFont="1" applyFill="1" applyBorder="1" applyAlignment="1">
      <alignment horizontal="center" vertical="center"/>
    </xf>
    <xf numFmtId="0" fontId="46" fillId="34" borderId="9" xfId="6" applyFont="1" applyFill="1" applyBorder="1" applyAlignment="1">
      <alignment horizontal="center" vertical="center"/>
    </xf>
    <xf numFmtId="0" fontId="46" fillId="34" borderId="7" xfId="6" applyFont="1" applyFill="1" applyBorder="1" applyAlignment="1">
      <alignment horizontal="center" vertical="center"/>
    </xf>
    <xf numFmtId="0" fontId="41" fillId="34" borderId="0" xfId="6" applyFont="1" applyFill="1" applyAlignment="1">
      <alignment horizontal="center" vertical="center"/>
    </xf>
    <xf numFmtId="0" fontId="42" fillId="34" borderId="0" xfId="0" applyFont="1" applyFill="1" applyAlignment="1">
      <alignment horizontal="center" vertical="center"/>
    </xf>
    <xf numFmtId="0" fontId="102" fillId="34" borderId="0" xfId="6" applyFont="1" applyFill="1" applyAlignment="1">
      <alignment horizontal="center" vertical="center"/>
    </xf>
    <xf numFmtId="0" fontId="46" fillId="0" borderId="33" xfId="6" applyFont="1" applyBorder="1" applyAlignment="1">
      <alignment horizontal="center" vertical="center" wrapText="1"/>
    </xf>
    <xf numFmtId="0" fontId="46" fillId="0" borderId="23" xfId="6" applyFont="1" applyBorder="1" applyAlignment="1">
      <alignment horizontal="center" vertical="center" wrapText="1"/>
    </xf>
    <xf numFmtId="0" fontId="102" fillId="34" borderId="0" xfId="6" applyFont="1" applyFill="1" applyAlignment="1">
      <alignment horizontal="left" vertical="top" wrapText="1"/>
    </xf>
    <xf numFmtId="0" fontId="51" fillId="34" borderId="0" xfId="6" applyFont="1" applyFill="1" applyAlignment="1">
      <alignment horizontal="center"/>
    </xf>
    <xf numFmtId="0" fontId="41" fillId="34" borderId="5" xfId="6" applyFont="1" applyFill="1" applyBorder="1" applyAlignment="1">
      <alignment horizontal="right"/>
    </xf>
    <xf numFmtId="0" fontId="41" fillId="34" borderId="5" xfId="0" applyFont="1" applyFill="1" applyBorder="1" applyAlignment="1">
      <alignment horizontal="right"/>
    </xf>
    <xf numFmtId="0" fontId="41" fillId="34" borderId="79" xfId="6" applyFont="1" applyFill="1" applyBorder="1" applyAlignment="1">
      <alignment horizontal="center" vertical="center" wrapText="1"/>
    </xf>
    <xf numFmtId="0" fontId="41" fillId="34" borderId="3" xfId="6" applyFont="1" applyFill="1" applyBorder="1" applyAlignment="1">
      <alignment horizontal="center" vertical="center" wrapText="1"/>
    </xf>
    <xf numFmtId="0" fontId="41" fillId="34" borderId="58" xfId="6" applyFont="1" applyFill="1" applyBorder="1" applyAlignment="1">
      <alignment horizontal="center" vertical="center" wrapText="1"/>
    </xf>
    <xf numFmtId="0" fontId="50" fillId="34" borderId="1" xfId="6" applyFont="1" applyFill="1" applyBorder="1" applyAlignment="1">
      <alignment horizontal="center" vertical="center" wrapText="1"/>
    </xf>
    <xf numFmtId="0" fontId="132" fillId="34" borderId="1" xfId="0" applyFont="1" applyFill="1" applyBorder="1"/>
    <xf numFmtId="0" fontId="41" fillId="34" borderId="52" xfId="6" applyFont="1" applyFill="1" applyBorder="1" applyAlignment="1">
      <alignment horizontal="center" wrapText="1"/>
    </xf>
    <xf numFmtId="0" fontId="41" fillId="34" borderId="59" xfId="6" applyFont="1" applyFill="1" applyBorder="1" applyAlignment="1">
      <alignment horizontal="center" vertical="center" wrapText="1"/>
    </xf>
    <xf numFmtId="0" fontId="42" fillId="34" borderId="40" xfId="0" applyFont="1" applyFill="1" applyBorder="1"/>
    <xf numFmtId="0" fontId="92" fillId="34" borderId="0" xfId="6" applyFont="1" applyFill="1" applyAlignment="1">
      <alignment horizontal="center"/>
    </xf>
    <xf numFmtId="0" fontId="41" fillId="34" borderId="0" xfId="6" applyFont="1" applyFill="1" applyAlignment="1">
      <alignment horizontal="right"/>
    </xf>
    <xf numFmtId="0" fontId="41" fillId="34" borderId="0" xfId="0" applyFont="1" applyFill="1" applyAlignment="1">
      <alignment horizontal="right"/>
    </xf>
    <xf numFmtId="0" fontId="41" fillId="34" borderId="57" xfId="6" applyFont="1" applyFill="1" applyBorder="1" applyAlignment="1">
      <alignment horizontal="center" vertical="center" wrapText="1"/>
    </xf>
    <xf numFmtId="0" fontId="41" fillId="34" borderId="39" xfId="6" applyFont="1" applyFill="1" applyBorder="1" applyAlignment="1">
      <alignment horizontal="center" vertical="center" wrapText="1"/>
    </xf>
    <xf numFmtId="0" fontId="132" fillId="34" borderId="26" xfId="6" applyFont="1" applyFill="1" applyBorder="1" applyAlignment="1">
      <alignment horizontal="center" vertical="center"/>
    </xf>
    <xf numFmtId="0" fontId="132" fillId="34" borderId="27" xfId="6" applyFont="1" applyFill="1" applyBorder="1" applyAlignment="1">
      <alignment horizontal="center" vertical="center"/>
    </xf>
    <xf numFmtId="0" fontId="132" fillId="34" borderId="29" xfId="6" applyFont="1" applyFill="1" applyBorder="1" applyAlignment="1">
      <alignment horizontal="center" vertical="center"/>
    </xf>
    <xf numFmtId="0" fontId="132" fillId="34" borderId="56" xfId="6" applyFont="1" applyFill="1" applyBorder="1" applyAlignment="1">
      <alignment horizontal="center" vertical="center"/>
    </xf>
    <xf numFmtId="0" fontId="41" fillId="31" borderId="1" xfId="6" applyFont="1" applyFill="1" applyBorder="1" applyAlignment="1">
      <alignment horizontal="center" vertical="center" wrapText="1"/>
    </xf>
    <xf numFmtId="0" fontId="42" fillId="31" borderId="1" xfId="0" applyFont="1" applyFill="1" applyBorder="1"/>
    <xf numFmtId="0" fontId="51" fillId="34" borderId="0" xfId="6" applyFont="1" applyFill="1" applyAlignment="1">
      <alignment horizontal="center" vertical="top" wrapText="1"/>
    </xf>
    <xf numFmtId="0" fontId="93" fillId="34" borderId="5" xfId="0" applyFont="1" applyFill="1" applyBorder="1" applyAlignment="1">
      <alignment horizontal="right"/>
    </xf>
    <xf numFmtId="49" fontId="41" fillId="34" borderId="2" xfId="6" applyNumberFormat="1" applyFont="1" applyFill="1" applyBorder="1" applyAlignment="1">
      <alignment horizontal="center" vertical="center" wrapText="1"/>
    </xf>
    <xf numFmtId="49" fontId="41" fillId="34" borderId="3" xfId="6" applyNumberFormat="1" applyFont="1" applyFill="1" applyBorder="1" applyAlignment="1">
      <alignment horizontal="center" vertical="center" wrapText="1"/>
    </xf>
    <xf numFmtId="0" fontId="42" fillId="34" borderId="2" xfId="6" applyFont="1" applyFill="1" applyBorder="1" applyAlignment="1">
      <alignment horizontal="center" vertical="center" wrapText="1"/>
    </xf>
    <xf numFmtId="0" fontId="42" fillId="34" borderId="3" xfId="6" applyFont="1" applyFill="1" applyBorder="1" applyAlignment="1">
      <alignment horizontal="center" vertical="center" wrapText="1"/>
    </xf>
    <xf numFmtId="0" fontId="41" fillId="34" borderId="2" xfId="6" applyFont="1" applyFill="1" applyBorder="1" applyAlignment="1">
      <alignment horizontal="center" vertical="center" wrapText="1"/>
    </xf>
    <xf numFmtId="0" fontId="51" fillId="34" borderId="0" xfId="6" applyFont="1" applyFill="1" applyAlignment="1">
      <alignment horizontal="center" wrapText="1"/>
    </xf>
    <xf numFmtId="0" fontId="51" fillId="34" borderId="1" xfId="6" applyFont="1" applyFill="1" applyBorder="1" applyAlignment="1">
      <alignment horizontal="center" vertical="center" wrapText="1"/>
    </xf>
    <xf numFmtId="0" fontId="51" fillId="34" borderId="2" xfId="6" applyFont="1" applyFill="1" applyBorder="1" applyAlignment="1">
      <alignment horizontal="center" vertical="center" wrapText="1"/>
    </xf>
    <xf numFmtId="0" fontId="102" fillId="34" borderId="0" xfId="6" applyFont="1" applyFill="1" applyAlignment="1">
      <alignment horizontal="center" wrapText="1"/>
    </xf>
    <xf numFmtId="0" fontId="42" fillId="34" borderId="0" xfId="6" applyFont="1" applyFill="1" applyAlignment="1">
      <alignment horizontal="center" vertical="top" wrapText="1"/>
    </xf>
    <xf numFmtId="0" fontId="42" fillId="0" borderId="0" xfId="0" applyFont="1" applyAlignment="1">
      <alignment vertical="top" wrapText="1"/>
    </xf>
    <xf numFmtId="49" fontId="51" fillId="0" borderId="1" xfId="0" applyNumberFormat="1" applyFont="1" applyBorder="1" applyAlignment="1">
      <alignment horizontal="center" vertical="center" wrapText="1"/>
    </xf>
    <xf numFmtId="0" fontId="42" fillId="31" borderId="0" xfId="0" applyFont="1" applyFill="1" applyAlignment="1">
      <alignment vertical="top"/>
    </xf>
    <xf numFmtId="49" fontId="51" fillId="31" borderId="0" xfId="0" applyNumberFormat="1" applyFont="1" applyFill="1" applyAlignment="1">
      <alignment horizontal="center"/>
    </xf>
    <xf numFmtId="0" fontId="51" fillId="31" borderId="0" xfId="0" applyFont="1" applyFill="1" applyAlignment="1">
      <alignment horizontal="center"/>
    </xf>
    <xf numFmtId="49" fontId="51" fillId="0" borderId="0" xfId="0" applyNumberFormat="1" applyFont="1" applyAlignment="1">
      <alignment horizontal="center"/>
    </xf>
    <xf numFmtId="0" fontId="51" fillId="0" borderId="0" xfId="0" applyFont="1" applyAlignment="1">
      <alignment horizontal="center"/>
    </xf>
    <xf numFmtId="2" fontId="102" fillId="31" borderId="0" xfId="0" applyNumberFormat="1" applyFont="1" applyFill="1" applyAlignment="1">
      <alignment horizontal="center"/>
    </xf>
    <xf numFmtId="49" fontId="42" fillId="0" borderId="0" xfId="0" applyNumberFormat="1" applyFont="1" applyAlignment="1">
      <alignment horizontal="center" vertical="top"/>
    </xf>
    <xf numFmtId="0" fontId="42" fillId="0" borderId="0" xfId="0" applyFont="1" applyAlignment="1">
      <alignment horizontal="center" vertical="top"/>
    </xf>
    <xf numFmtId="170" fontId="42" fillId="34" borderId="44" xfId="0" applyNumberFormat="1" applyFont="1" applyFill="1" applyBorder="1" applyAlignment="1">
      <alignment horizontal="center" vertical="center" wrapText="1"/>
    </xf>
    <xf numFmtId="170" fontId="42" fillId="34" borderId="45" xfId="0" applyNumberFormat="1" applyFont="1" applyFill="1" applyBorder="1" applyAlignment="1">
      <alignment horizontal="center" vertical="center" wrapText="1"/>
    </xf>
    <xf numFmtId="170" fontId="42" fillId="34" borderId="46" xfId="0" applyNumberFormat="1" applyFont="1" applyFill="1" applyBorder="1" applyAlignment="1">
      <alignment horizontal="center" vertical="center" wrapText="1"/>
    </xf>
    <xf numFmtId="0" fontId="42" fillId="34" borderId="42" xfId="0" applyFont="1" applyFill="1" applyBorder="1" applyAlignment="1">
      <alignment horizontal="center" vertical="center" wrapText="1"/>
    </xf>
    <xf numFmtId="0" fontId="42" fillId="34" borderId="3" xfId="0" applyFont="1" applyFill="1" applyBorder="1" applyAlignment="1">
      <alignment horizontal="center" vertical="center" wrapText="1"/>
    </xf>
    <xf numFmtId="0" fontId="42" fillId="34" borderId="43" xfId="0" applyFont="1" applyFill="1" applyBorder="1" applyAlignment="1">
      <alignment horizontal="center" vertical="center" wrapText="1"/>
    </xf>
    <xf numFmtId="49" fontId="51" fillId="34" borderId="0" xfId="0" applyNumberFormat="1" applyFont="1" applyFill="1" applyAlignment="1">
      <alignment horizontal="center"/>
    </xf>
    <xf numFmtId="2" fontId="102" fillId="34" borderId="0" xfId="0" applyNumberFormat="1" applyFont="1" applyFill="1" applyAlignment="1">
      <alignment horizontal="center"/>
    </xf>
    <xf numFmtId="49" fontId="51" fillId="34" borderId="0" xfId="0" applyNumberFormat="1" applyFont="1" applyFill="1" applyAlignment="1">
      <alignment horizontal="center" wrapText="1"/>
    </xf>
    <xf numFmtId="0" fontId="42" fillId="34" borderId="39" xfId="0" applyFont="1" applyFill="1" applyBorder="1" applyAlignment="1">
      <alignment horizontal="center" vertical="center" wrapText="1"/>
    </xf>
    <xf numFmtId="0" fontId="42" fillId="34" borderId="1" xfId="0" applyFont="1" applyFill="1" applyBorder="1" applyAlignment="1">
      <alignment horizontal="center" vertical="center" wrapText="1"/>
    </xf>
    <xf numFmtId="0" fontId="42" fillId="34" borderId="40" xfId="0" applyFont="1" applyFill="1" applyBorder="1" applyAlignment="1">
      <alignment horizontal="center" vertical="center" wrapText="1"/>
    </xf>
    <xf numFmtId="170" fontId="42" fillId="34" borderId="39" xfId="0" applyNumberFormat="1" applyFont="1" applyFill="1" applyBorder="1" applyAlignment="1">
      <alignment horizontal="center" vertical="center" wrapText="1"/>
    </xf>
    <xf numFmtId="170" fontId="42" fillId="34" borderId="1" xfId="0" applyNumberFormat="1" applyFont="1" applyFill="1" applyBorder="1" applyAlignment="1">
      <alignment horizontal="center" vertical="center" wrapText="1"/>
    </xf>
    <xf numFmtId="170" fontId="42" fillId="34" borderId="40" xfId="0" applyNumberFormat="1" applyFont="1" applyFill="1" applyBorder="1" applyAlignment="1">
      <alignment horizontal="center" vertical="center" wrapText="1"/>
    </xf>
    <xf numFmtId="2" fontId="42" fillId="34" borderId="42" xfId="0" applyNumberFormat="1" applyFont="1" applyFill="1" applyBorder="1" applyAlignment="1">
      <alignment horizontal="center" vertical="center" wrapText="1"/>
    </xf>
    <xf numFmtId="2" fontId="42" fillId="34" borderId="3" xfId="0" applyNumberFormat="1" applyFont="1" applyFill="1" applyBorder="1" applyAlignment="1">
      <alignment horizontal="center" vertical="center" wrapText="1"/>
    </xf>
    <xf numFmtId="2" fontId="42" fillId="34" borderId="43" xfId="0" applyNumberFormat="1" applyFont="1" applyFill="1" applyBorder="1" applyAlignment="1">
      <alignment horizontal="center" vertical="center" wrapText="1"/>
    </xf>
    <xf numFmtId="0" fontId="42" fillId="34" borderId="58" xfId="0" applyFont="1" applyFill="1" applyBorder="1" applyAlignment="1">
      <alignment horizontal="center" vertical="center" wrapText="1"/>
    </xf>
    <xf numFmtId="0" fontId="42" fillId="34" borderId="59" xfId="0" applyFont="1" applyFill="1" applyBorder="1" applyAlignment="1">
      <alignment horizontal="center" vertical="center" wrapText="1"/>
    </xf>
    <xf numFmtId="2" fontId="42" fillId="34" borderId="44" xfId="0" applyNumberFormat="1" applyFont="1" applyFill="1" applyBorder="1" applyAlignment="1">
      <alignment horizontal="center" vertical="center" wrapText="1"/>
    </xf>
    <xf numFmtId="2" fontId="42" fillId="34" borderId="45" xfId="0" applyNumberFormat="1" applyFont="1" applyFill="1" applyBorder="1" applyAlignment="1">
      <alignment horizontal="center" vertical="center" wrapText="1"/>
    </xf>
    <xf numFmtId="2" fontId="42" fillId="34" borderId="46" xfId="0" applyNumberFormat="1" applyFont="1" applyFill="1" applyBorder="1" applyAlignment="1">
      <alignment horizontal="center" vertical="center" wrapText="1"/>
    </xf>
    <xf numFmtId="49" fontId="42" fillId="34" borderId="0" xfId="0" applyNumberFormat="1" applyFont="1" applyFill="1" applyAlignment="1">
      <alignment horizontal="center"/>
    </xf>
    <xf numFmtId="49" fontId="42" fillId="34" borderId="57" xfId="0" applyNumberFormat="1" applyFont="1" applyFill="1" applyBorder="1" applyAlignment="1">
      <alignment horizontal="center" vertical="center" wrapText="1"/>
    </xf>
    <xf numFmtId="49" fontId="42" fillId="34" borderId="39" xfId="0" applyNumberFormat="1" applyFont="1" applyFill="1" applyBorder="1" applyAlignment="1">
      <alignment horizontal="center" vertical="center" wrapText="1"/>
    </xf>
    <xf numFmtId="0" fontId="42" fillId="34" borderId="64" xfId="0" applyFont="1" applyFill="1" applyBorder="1" applyAlignment="1">
      <alignment horizontal="center" vertical="center" wrapText="1"/>
    </xf>
    <xf numFmtId="0" fontId="42" fillId="34" borderId="8" xfId="0" applyFont="1" applyFill="1" applyBorder="1" applyAlignment="1">
      <alignment horizontal="center" vertical="center" wrapText="1"/>
    </xf>
    <xf numFmtId="0" fontId="103" fillId="34" borderId="0" xfId="0" applyFont="1" applyFill="1" applyAlignment="1">
      <alignment horizontal="left" wrapText="1"/>
    </xf>
    <xf numFmtId="0" fontId="272" fillId="34" borderId="0" xfId="240" applyFont="1" applyFill="1" applyAlignment="1">
      <alignment horizontal="left" wrapText="1"/>
    </xf>
    <xf numFmtId="0" fontId="103" fillId="34" borderId="0" xfId="0" applyFont="1" applyFill="1" applyAlignment="1">
      <alignment horizontal="center"/>
    </xf>
    <xf numFmtId="0" fontId="98" fillId="0" borderId="1" xfId="0" applyFont="1" applyBorder="1" applyAlignment="1">
      <alignment horizontal="center" vertical="center" wrapText="1"/>
    </xf>
    <xf numFmtId="49" fontId="51" fillId="31" borderId="0" xfId="0" applyNumberFormat="1" applyFont="1" applyFill="1" applyAlignment="1">
      <alignment horizontal="center" wrapText="1"/>
    </xf>
    <xf numFmtId="0" fontId="91" fillId="31" borderId="0" xfId="0" applyFont="1" applyFill="1" applyAlignment="1">
      <alignment horizontal="center" wrapText="1"/>
    </xf>
    <xf numFmtId="49" fontId="51" fillId="0" borderId="0" xfId="0" applyNumberFormat="1" applyFont="1" applyAlignment="1">
      <alignment horizontal="center" wrapText="1"/>
    </xf>
    <xf numFmtId="0" fontId="91" fillId="0" borderId="0" xfId="0" applyFont="1" applyAlignment="1">
      <alignment horizontal="center" wrapText="1"/>
    </xf>
    <xf numFmtId="49" fontId="42" fillId="0" borderId="0" xfId="0" applyNumberFormat="1" applyFont="1" applyAlignment="1">
      <alignment horizontal="center"/>
    </xf>
    <xf numFmtId="0" fontId="42" fillId="0" borderId="0" xfId="0" applyFont="1" applyAlignment="1">
      <alignment horizontal="center"/>
    </xf>
    <xf numFmtId="0" fontId="41" fillId="0" borderId="0" xfId="0" applyFont="1" applyAlignment="1">
      <alignment vertical="top" wrapText="1"/>
    </xf>
    <xf numFmtId="0" fontId="102" fillId="31" borderId="0" xfId="0" applyFont="1" applyFill="1" applyAlignment="1">
      <alignment horizontal="center"/>
    </xf>
    <xf numFmtId="0" fontId="42" fillId="0" borderId="0" xfId="0" applyFont="1" applyAlignment="1">
      <alignment wrapText="1"/>
    </xf>
    <xf numFmtId="0" fontId="30" fillId="0" borderId="1" xfId="0" applyFont="1" applyBorder="1" applyAlignment="1">
      <alignment vertical="top" wrapText="1"/>
    </xf>
    <xf numFmtId="0" fontId="98" fillId="0" borderId="0" xfId="0" applyFont="1" applyAlignment="1">
      <alignment vertical="center" wrapText="1"/>
    </xf>
    <xf numFmtId="0" fontId="0" fillId="0" borderId="0" xfId="0" applyAlignment="1">
      <alignment wrapText="1"/>
    </xf>
    <xf numFmtId="49" fontId="98" fillId="0" borderId="1" xfId="0" applyNumberFormat="1" applyFont="1" applyBorder="1" applyAlignment="1">
      <alignment horizontal="center" vertical="center" wrapText="1"/>
    </xf>
    <xf numFmtId="0" fontId="42" fillId="0" borderId="0" xfId="0" applyFont="1" applyAlignment="1">
      <alignment vertical="top"/>
    </xf>
    <xf numFmtId="0" fontId="0" fillId="0" borderId="0" xfId="0" applyAlignment="1">
      <alignment vertical="top"/>
    </xf>
    <xf numFmtId="0" fontId="51" fillId="0" borderId="0" xfId="0" applyFont="1" applyAlignment="1">
      <alignment horizontal="center" vertical="top"/>
    </xf>
    <xf numFmtId="0" fontId="91" fillId="0" borderId="0" xfId="0" applyFont="1" applyAlignment="1">
      <alignment horizontal="center" vertical="top"/>
    </xf>
    <xf numFmtId="0" fontId="119" fillId="0" borderId="0" xfId="124" applyFont="1" applyAlignment="1">
      <alignment horizontal="center"/>
    </xf>
    <xf numFmtId="0" fontId="132" fillId="0" borderId="8" xfId="124" applyFont="1" applyBorder="1" applyAlignment="1">
      <alignment horizontal="center" wrapText="1"/>
    </xf>
    <xf numFmtId="0" fontId="132" fillId="0" borderId="9" xfId="124" applyFont="1" applyBorder="1" applyAlignment="1">
      <alignment horizontal="center" wrapText="1"/>
    </xf>
    <xf numFmtId="0" fontId="132" fillId="0" borderId="7" xfId="124" applyFont="1" applyBorder="1" applyAlignment="1">
      <alignment horizontal="center" wrapText="1"/>
    </xf>
    <xf numFmtId="2" fontId="132" fillId="34" borderId="79" xfId="124" applyNumberFormat="1" applyFont="1" applyFill="1" applyBorder="1" applyAlignment="1">
      <alignment horizontal="center" vertical="center"/>
    </xf>
    <xf numFmtId="2" fontId="132" fillId="34" borderId="3" xfId="124" applyNumberFormat="1" applyFont="1" applyFill="1" applyBorder="1" applyAlignment="1">
      <alignment horizontal="center" vertical="center"/>
    </xf>
    <xf numFmtId="2" fontId="262" fillId="34" borderId="79" xfId="124" applyNumberFormat="1" applyFont="1" applyFill="1" applyBorder="1" applyAlignment="1">
      <alignment horizontal="right"/>
    </xf>
    <xf numFmtId="2" fontId="262" fillId="34" borderId="3" xfId="124" applyNumberFormat="1" applyFont="1" applyFill="1" applyBorder="1" applyAlignment="1">
      <alignment horizontal="right"/>
    </xf>
    <xf numFmtId="0" fontId="132" fillId="34" borderId="55" xfId="124" applyFont="1" applyFill="1" applyBorder="1" applyAlignment="1">
      <alignment horizontal="center"/>
    </xf>
    <xf numFmtId="0" fontId="132" fillId="34" borderId="80" xfId="124" applyFont="1" applyFill="1" applyBorder="1" applyAlignment="1">
      <alignment horizontal="center"/>
    </xf>
    <xf numFmtId="0" fontId="132" fillId="34" borderId="58" xfId="124" applyFont="1" applyFill="1" applyBorder="1" applyAlignment="1">
      <alignment horizontal="center"/>
    </xf>
    <xf numFmtId="0" fontId="132" fillId="34" borderId="58" xfId="124" applyFont="1" applyFill="1" applyBorder="1" applyAlignment="1">
      <alignment horizontal="center" wrapText="1"/>
    </xf>
    <xf numFmtId="0" fontId="132" fillId="34" borderId="59" xfId="124" applyFont="1" applyFill="1" applyBorder="1" applyAlignment="1">
      <alignment horizontal="center" wrapText="1"/>
    </xf>
    <xf numFmtId="179" fontId="262" fillId="34" borderId="47" xfId="124" applyNumberFormat="1" applyFont="1" applyFill="1" applyBorder="1" applyAlignment="1">
      <alignment horizontal="right"/>
    </xf>
    <xf numFmtId="179" fontId="262" fillId="34" borderId="43" xfId="124" applyNumberFormat="1" applyFont="1" applyFill="1" applyBorder="1" applyAlignment="1">
      <alignment horizontal="right"/>
    </xf>
    <xf numFmtId="0" fontId="158" fillId="0" borderId="0" xfId="124" applyFont="1" applyAlignment="1">
      <alignment horizontal="center"/>
    </xf>
    <xf numFmtId="0" fontId="152" fillId="34" borderId="1" xfId="124" applyFont="1" applyFill="1" applyBorder="1" applyAlignment="1">
      <alignment horizontal="center"/>
    </xf>
    <xf numFmtId="0" fontId="152" fillId="0" borderId="1" xfId="124" applyFont="1" applyBorder="1" applyAlignment="1">
      <alignment horizontal="center"/>
    </xf>
    <xf numFmtId="0" fontId="132" fillId="0" borderId="1" xfId="124" applyFont="1" applyBorder="1" applyAlignment="1">
      <alignment horizontal="center" wrapText="1"/>
    </xf>
    <xf numFmtId="177" fontId="132" fillId="34" borderId="79" xfId="124" applyNumberFormat="1" applyFont="1" applyFill="1" applyBorder="1" applyAlignment="1">
      <alignment horizontal="right"/>
    </xf>
    <xf numFmtId="177" fontId="132" fillId="34" borderId="3" xfId="124" applyNumberFormat="1" applyFont="1" applyFill="1" applyBorder="1" applyAlignment="1">
      <alignment horizontal="right"/>
    </xf>
    <xf numFmtId="1" fontId="132" fillId="34" borderId="79" xfId="124" applyNumberFormat="1" applyFont="1" applyFill="1" applyBorder="1" applyAlignment="1">
      <alignment horizontal="right"/>
    </xf>
    <xf numFmtId="1" fontId="132" fillId="34" borderId="3" xfId="124" applyNumberFormat="1" applyFont="1" applyFill="1" applyBorder="1" applyAlignment="1">
      <alignment horizontal="right"/>
    </xf>
    <xf numFmtId="0" fontId="184" fillId="34" borderId="0" xfId="116" applyFont="1" applyFill="1" applyAlignment="1">
      <alignment horizontal="center"/>
    </xf>
    <xf numFmtId="0" fontId="135" fillId="34" borderId="30" xfId="116" applyFont="1" applyFill="1" applyBorder="1" applyAlignment="1">
      <alignment horizontal="center" vertical="center" wrapText="1"/>
    </xf>
    <xf numFmtId="0" fontId="135" fillId="34" borderId="31" xfId="116" applyFont="1" applyFill="1" applyBorder="1" applyAlignment="1">
      <alignment horizontal="center" vertical="center" wrapText="1"/>
    </xf>
    <xf numFmtId="0" fontId="158" fillId="34" borderId="26" xfId="116" applyFont="1" applyFill="1" applyBorder="1" applyAlignment="1">
      <alignment horizontal="center" vertical="center"/>
    </xf>
    <xf numFmtId="0" fontId="158" fillId="34" borderId="29" xfId="116" applyFont="1" applyFill="1" applyBorder="1" applyAlignment="1">
      <alignment horizontal="center" vertical="center"/>
    </xf>
    <xf numFmtId="0" fontId="158" fillId="34" borderId="30" xfId="116" applyFont="1" applyFill="1" applyBorder="1" applyAlignment="1">
      <alignment horizontal="center" vertical="center" wrapText="1"/>
    </xf>
    <xf numFmtId="0" fontId="158" fillId="34" borderId="36" xfId="116" applyFont="1" applyFill="1" applyBorder="1" applyAlignment="1">
      <alignment horizontal="center" vertical="center" wrapText="1"/>
    </xf>
    <xf numFmtId="0" fontId="158" fillId="34" borderId="31" xfId="116" applyFont="1" applyFill="1" applyBorder="1" applyAlignment="1">
      <alignment horizontal="center" vertical="center" wrapText="1"/>
    </xf>
    <xf numFmtId="2" fontId="149" fillId="34" borderId="5" xfId="506" applyNumberFormat="1" applyFont="1" applyFill="1" applyBorder="1" applyAlignment="1" applyProtection="1">
      <alignment horizontal="center" vertical="center" wrapText="1"/>
      <protection hidden="1"/>
    </xf>
    <xf numFmtId="0" fontId="149" fillId="34" borderId="77" xfId="506" applyFont="1" applyFill="1" applyBorder="1" applyAlignment="1">
      <alignment horizontal="center" vertical="top"/>
    </xf>
    <xf numFmtId="0" fontId="154" fillId="34" borderId="0" xfId="116" applyFont="1" applyFill="1" applyAlignment="1">
      <alignment horizontal="left" wrapText="1"/>
    </xf>
    <xf numFmtId="0" fontId="133" fillId="34" borderId="5" xfId="0" applyFont="1" applyFill="1" applyBorder="1" applyAlignment="1">
      <alignment horizontal="center"/>
    </xf>
    <xf numFmtId="0" fontId="100" fillId="34" borderId="0" xfId="0" applyFont="1" applyFill="1" applyAlignment="1">
      <alignment horizontal="center" vertical="top" wrapText="1"/>
    </xf>
    <xf numFmtId="0" fontId="100" fillId="34" borderId="1" xfId="0" applyFont="1" applyFill="1" applyBorder="1" applyAlignment="1">
      <alignment horizontal="center"/>
    </xf>
    <xf numFmtId="0" fontId="100" fillId="0" borderId="1" xfId="0" applyFont="1" applyBorder="1" applyAlignment="1">
      <alignment horizontal="center"/>
    </xf>
    <xf numFmtId="0" fontId="100" fillId="0" borderId="0" xfId="0" applyFont="1" applyAlignment="1">
      <alignment horizontal="center" vertical="top" wrapText="1"/>
    </xf>
    <xf numFmtId="0" fontId="133" fillId="0" borderId="5" xfId="0" applyFont="1" applyBorder="1" applyAlignment="1">
      <alignment horizontal="center"/>
    </xf>
    <xf numFmtId="0" fontId="158" fillId="32" borderId="26" xfId="116" applyFont="1" applyFill="1" applyBorder="1" applyAlignment="1">
      <alignment horizontal="center" vertical="center"/>
    </xf>
    <xf numFmtId="0" fontId="158" fillId="32" borderId="29" xfId="116" applyFont="1" applyFill="1" applyBorder="1" applyAlignment="1">
      <alignment horizontal="center" vertical="center"/>
    </xf>
    <xf numFmtId="0" fontId="158" fillId="32" borderId="30" xfId="116" applyFont="1" applyFill="1" applyBorder="1" applyAlignment="1">
      <alignment horizontal="center" vertical="center" wrapText="1"/>
    </xf>
    <xf numFmtId="0" fontId="158" fillId="32" borderId="36" xfId="116" applyFont="1" applyFill="1" applyBorder="1" applyAlignment="1">
      <alignment horizontal="center" vertical="center" wrapText="1"/>
    </xf>
    <xf numFmtId="0" fontId="158" fillId="32" borderId="31" xfId="116" applyFont="1" applyFill="1" applyBorder="1" applyAlignment="1">
      <alignment horizontal="center" vertical="center" wrapText="1"/>
    </xf>
    <xf numFmtId="4" fontId="161" fillId="0" borderId="0" xfId="116" applyNumberFormat="1" applyFont="1" applyAlignment="1">
      <alignment horizontal="left"/>
    </xf>
    <xf numFmtId="2" fontId="151" fillId="34" borderId="5" xfId="506" applyNumberFormat="1" applyFont="1" applyFill="1" applyBorder="1" applyAlignment="1" applyProtection="1">
      <alignment horizontal="center" vertical="center" wrapText="1"/>
      <protection hidden="1"/>
    </xf>
    <xf numFmtId="0" fontId="151" fillId="34" borderId="77" xfId="506" applyFont="1" applyFill="1" applyBorder="1" applyAlignment="1">
      <alignment horizontal="center" vertical="top"/>
    </xf>
    <xf numFmtId="0" fontId="42" fillId="0" borderId="30" xfId="0" applyFont="1" applyBorder="1" applyAlignment="1">
      <alignment horizontal="center"/>
    </xf>
    <xf numFmtId="0" fontId="42" fillId="0" borderId="36"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23" xfId="0" applyFont="1" applyBorder="1" applyAlignment="1">
      <alignment horizontal="center"/>
    </xf>
    <xf numFmtId="0" fontId="42" fillId="0" borderId="33" xfId="0" applyFont="1" applyBorder="1" applyAlignment="1">
      <alignment horizontal="center" wrapText="1"/>
    </xf>
    <xf numFmtId="0" fontId="42" fillId="0" borderId="23" xfId="0" applyFont="1" applyBorder="1" applyAlignment="1">
      <alignment horizontal="center" wrapText="1"/>
    </xf>
    <xf numFmtId="0" fontId="43" fillId="0" borderId="0" xfId="556" applyFont="1" applyAlignment="1">
      <alignment vertical="center" wrapText="1"/>
    </xf>
    <xf numFmtId="0" fontId="191" fillId="34" borderId="0" xfId="556" applyFont="1" applyFill="1" applyAlignment="1">
      <alignment horizontal="center" vertical="center"/>
    </xf>
    <xf numFmtId="0" fontId="50" fillId="0" borderId="0" xfId="556" applyFont="1" applyAlignment="1">
      <alignment horizontal="center" vertical="center"/>
    </xf>
    <xf numFmtId="0" fontId="42" fillId="34" borderId="0" xfId="557" applyFont="1" applyFill="1" applyAlignment="1">
      <alignment horizontal="left" vertical="top" wrapText="1"/>
    </xf>
    <xf numFmtId="0" fontId="100" fillId="34" borderId="0" xfId="556" applyFont="1" applyFill="1" applyAlignment="1">
      <alignment vertical="top" wrapText="1"/>
    </xf>
    <xf numFmtId="0" fontId="100" fillId="34" borderId="0" xfId="556" applyFont="1" applyFill="1" applyAlignment="1">
      <alignment horizontal="left" vertical="center" wrapText="1"/>
    </xf>
    <xf numFmtId="0" fontId="190" fillId="34" borderId="0" xfId="556" applyFont="1" applyFill="1" applyAlignment="1">
      <alignment horizontal="center" vertical="center"/>
    </xf>
    <xf numFmtId="0" fontId="190" fillId="34" borderId="0" xfId="556" applyFont="1" applyFill="1" applyAlignment="1">
      <alignment horizontal="center" vertical="center" wrapText="1"/>
    </xf>
    <xf numFmtId="0" fontId="135" fillId="0" borderId="58" xfId="556" applyFont="1" applyBorder="1" applyAlignment="1">
      <alignment horizontal="center" vertical="center" wrapText="1"/>
    </xf>
    <xf numFmtId="0" fontId="135" fillId="0" borderId="1" xfId="556" applyFont="1" applyBorder="1" applyAlignment="1">
      <alignment horizontal="center" vertical="center" wrapText="1"/>
    </xf>
    <xf numFmtId="0" fontId="135" fillId="34" borderId="58" xfId="556" applyFont="1" applyFill="1" applyBorder="1" applyAlignment="1">
      <alignment horizontal="center" vertical="center" wrapText="1"/>
    </xf>
    <xf numFmtId="0" fontId="135" fillId="34" borderId="1" xfId="556" applyFont="1" applyFill="1" applyBorder="1" applyAlignment="1">
      <alignment horizontal="center" vertical="center" wrapText="1"/>
    </xf>
    <xf numFmtId="0" fontId="50" fillId="0" borderId="0" xfId="556" applyFont="1" applyAlignment="1">
      <alignment horizontal="left" vertical="center"/>
    </xf>
    <xf numFmtId="0" fontId="135" fillId="0" borderId="0" xfId="556" applyFont="1" applyAlignment="1">
      <alignment vertical="center"/>
    </xf>
    <xf numFmtId="0" fontId="135" fillId="0" borderId="59" xfId="556" applyFont="1" applyBorder="1" applyAlignment="1">
      <alignment horizontal="center" vertical="center" wrapText="1"/>
    </xf>
    <xf numFmtId="0" fontId="100" fillId="0" borderId="1" xfId="556" applyFont="1" applyBorder="1" applyAlignment="1">
      <alignment horizontal="center" vertical="center" wrapText="1"/>
    </xf>
    <xf numFmtId="0" fontId="100" fillId="0" borderId="40" xfId="556" applyFont="1" applyBorder="1" applyAlignment="1">
      <alignment horizontal="center" vertical="center" wrapText="1"/>
    </xf>
    <xf numFmtId="0" fontId="100" fillId="34" borderId="8" xfId="556" applyFont="1" applyFill="1" applyBorder="1" applyAlignment="1">
      <alignment horizontal="center" vertical="center" wrapText="1"/>
    </xf>
    <xf numFmtId="0" fontId="100" fillId="34" borderId="9" xfId="556" applyFont="1" applyFill="1" applyBorder="1" applyAlignment="1">
      <alignment horizontal="center" vertical="center" wrapText="1"/>
    </xf>
    <xf numFmtId="0" fontId="100" fillId="34" borderId="73" xfId="556" applyFont="1" applyFill="1" applyBorder="1" applyAlignment="1">
      <alignment horizontal="center" vertical="center" wrapText="1"/>
    </xf>
    <xf numFmtId="49" fontId="135" fillId="0" borderId="57" xfId="556" applyNumberFormat="1" applyFont="1" applyBorder="1" applyAlignment="1">
      <alignment horizontal="center" vertical="center" wrapText="1"/>
    </xf>
    <xf numFmtId="49" fontId="135" fillId="0" borderId="39" xfId="556" applyNumberFormat="1" applyFont="1" applyBorder="1" applyAlignment="1">
      <alignment horizontal="center" vertical="center" wrapText="1"/>
    </xf>
    <xf numFmtId="0" fontId="100" fillId="0" borderId="79" xfId="556" applyFont="1" applyBorder="1" applyAlignment="1">
      <alignment horizontal="center" vertical="center" wrapText="1"/>
    </xf>
    <xf numFmtId="0" fontId="100" fillId="0" borderId="4" xfId="556" applyFont="1" applyBorder="1" applyAlignment="1">
      <alignment horizontal="center" vertical="center" wrapText="1"/>
    </xf>
    <xf numFmtId="0" fontId="100" fillId="0" borderId="3" xfId="556" applyFont="1" applyBorder="1" applyAlignment="1">
      <alignment horizontal="center" vertical="center" wrapText="1"/>
    </xf>
    <xf numFmtId="0" fontId="43" fillId="31" borderId="0" xfId="0" applyFont="1" applyFill="1" applyAlignment="1">
      <alignment horizontal="center" vertical="center"/>
    </xf>
    <xf numFmtId="0" fontId="51" fillId="0" borderId="30" xfId="0" applyFont="1" applyBorder="1" applyAlignment="1">
      <alignment horizontal="center" vertical="center"/>
    </xf>
    <xf numFmtId="0" fontId="51" fillId="0" borderId="34" xfId="0" applyFont="1" applyBorder="1" applyAlignment="1">
      <alignment horizontal="center" vertical="center"/>
    </xf>
    <xf numFmtId="0" fontId="51" fillId="0" borderId="27" xfId="0" applyFont="1" applyBorder="1" applyAlignment="1">
      <alignment horizontal="center" vertical="center"/>
    </xf>
    <xf numFmtId="0" fontId="51" fillId="0" borderId="35" xfId="0" applyFont="1" applyBorder="1" applyAlignment="1">
      <alignment horizontal="center" vertical="center"/>
    </xf>
    <xf numFmtId="0" fontId="51" fillId="0" borderId="56" xfId="0" applyFont="1" applyBorder="1" applyAlignment="1">
      <alignment horizontal="center" vertical="center"/>
    </xf>
    <xf numFmtId="0" fontId="51" fillId="0" borderId="36" xfId="0" applyFont="1" applyBorder="1" applyAlignment="1">
      <alignment horizontal="center" vertical="center"/>
    </xf>
    <xf numFmtId="0" fontId="51" fillId="0" borderId="31" xfId="0" applyFont="1" applyBorder="1" applyAlignment="1">
      <alignment horizontal="center" vertical="center"/>
    </xf>
    <xf numFmtId="0" fontId="51" fillId="0" borderId="30" xfId="0" applyFont="1" applyBorder="1" applyAlignment="1">
      <alignment horizontal="center" vertical="center" wrapText="1"/>
    </xf>
    <xf numFmtId="0" fontId="51" fillId="0" borderId="36" xfId="0" applyFont="1" applyBorder="1" applyAlignment="1">
      <alignment horizontal="center" vertical="center" wrapText="1"/>
    </xf>
    <xf numFmtId="0" fontId="51" fillId="0" borderId="31" xfId="0" applyFont="1" applyBorder="1" applyAlignment="1">
      <alignment horizontal="center" vertical="center" wrapText="1"/>
    </xf>
    <xf numFmtId="0" fontId="42" fillId="0" borderId="0" xfId="0" applyFont="1" applyAlignment="1">
      <alignment horizontal="left" wrapText="1"/>
    </xf>
    <xf numFmtId="0" fontId="51" fillId="0" borderId="0" xfId="0" applyFont="1" applyAlignment="1">
      <alignment horizontal="center" wrapText="1"/>
    </xf>
    <xf numFmtId="0" fontId="42" fillId="0" borderId="66" xfId="0" applyFont="1" applyBorder="1" applyAlignment="1">
      <alignment horizontal="center" vertical="center" wrapText="1"/>
    </xf>
    <xf numFmtId="0" fontId="42" fillId="0" borderId="71" xfId="0" applyFont="1" applyBorder="1" applyAlignment="1">
      <alignment horizontal="center" vertical="center" wrapText="1"/>
    </xf>
    <xf numFmtId="0" fontId="42" fillId="0" borderId="68" xfId="0" applyFont="1" applyBorder="1" applyAlignment="1">
      <alignment horizontal="center" vertical="center" wrapText="1"/>
    </xf>
    <xf numFmtId="0" fontId="42" fillId="0" borderId="91" xfId="0" applyFont="1" applyBorder="1" applyAlignment="1">
      <alignment horizontal="center" vertical="center" wrapText="1"/>
    </xf>
    <xf numFmtId="0" fontId="42" fillId="0" borderId="49" xfId="0" applyFont="1" applyBorder="1" applyAlignment="1">
      <alignment horizontal="center" vertical="center" wrapText="1"/>
    </xf>
    <xf numFmtId="0" fontId="42" fillId="0" borderId="124" xfId="0" applyFont="1" applyBorder="1" applyAlignment="1">
      <alignment horizontal="center" vertical="center" wrapText="1"/>
    </xf>
    <xf numFmtId="0" fontId="42" fillId="0" borderId="0" xfId="0" applyFont="1" applyAlignment="1">
      <alignment horizontal="center" wrapText="1"/>
    </xf>
    <xf numFmtId="0" fontId="41" fillId="0" borderId="1" xfId="0" applyFont="1" applyBorder="1" applyAlignment="1">
      <alignment horizontal="center"/>
    </xf>
    <xf numFmtId="0" fontId="41" fillId="0" borderId="8" xfId="0" applyFont="1" applyBorder="1" applyAlignment="1">
      <alignment horizontal="center"/>
    </xf>
    <xf numFmtId="0" fontId="41" fillId="0" borderId="9" xfId="0" applyFont="1" applyBorder="1" applyAlignment="1">
      <alignment horizontal="center"/>
    </xf>
    <xf numFmtId="0" fontId="41" fillId="0" borderId="7" xfId="0" applyFont="1" applyBorder="1" applyAlignment="1">
      <alignment horizontal="center"/>
    </xf>
    <xf numFmtId="0" fontId="43" fillId="0" borderId="0" xfId="0" applyFont="1" applyAlignment="1">
      <alignment horizontal="right"/>
    </xf>
    <xf numFmtId="0" fontId="42" fillId="0" borderId="1" xfId="0" applyFont="1" applyBorder="1" applyAlignment="1">
      <alignment horizontal="center" vertical="center"/>
    </xf>
    <xf numFmtId="0" fontId="42" fillId="0" borderId="79" xfId="0" applyFont="1" applyBorder="1" applyAlignment="1">
      <alignment horizontal="center" vertical="center"/>
    </xf>
    <xf numFmtId="0" fontId="180" fillId="0" borderId="1" xfId="0" applyFont="1" applyBorder="1" applyAlignment="1">
      <alignment horizontal="center" vertical="center"/>
    </xf>
    <xf numFmtId="0" fontId="243" fillId="0" borderId="0" xfId="0" applyFont="1" applyAlignment="1">
      <alignment horizontal="center"/>
    </xf>
    <xf numFmtId="0" fontId="244" fillId="0" borderId="0" xfId="0" applyFont="1" applyAlignment="1">
      <alignment horizontal="center"/>
    </xf>
    <xf numFmtId="0" fontId="244" fillId="0" borderId="0" xfId="0" applyFont="1" applyAlignment="1">
      <alignment horizontal="center" wrapText="1"/>
    </xf>
    <xf numFmtId="0" fontId="41" fillId="0" borderId="8" xfId="0" applyFont="1" applyBorder="1" applyAlignment="1">
      <alignment horizontal="center" vertical="center"/>
    </xf>
    <xf numFmtId="0" fontId="41" fillId="0" borderId="9" xfId="0" applyFont="1" applyBorder="1" applyAlignment="1">
      <alignment horizontal="center" vertical="center"/>
    </xf>
    <xf numFmtId="0" fontId="41" fillId="0" borderId="7" xfId="0" applyFont="1" applyBorder="1" applyAlignment="1">
      <alignment horizontal="center" vertical="center"/>
    </xf>
    <xf numFmtId="0" fontId="130" fillId="0" borderId="5" xfId="0" applyFont="1" applyBorder="1" applyAlignment="1">
      <alignment horizontal="center" vertical="center" wrapText="1"/>
    </xf>
    <xf numFmtId="0" fontId="242" fillId="0" borderId="0" xfId="0" applyFont="1" applyAlignment="1">
      <alignment horizontal="center" vertical="center"/>
    </xf>
    <xf numFmtId="0" fontId="41" fillId="0" borderId="79" xfId="0" applyFont="1" applyBorder="1" applyAlignment="1">
      <alignment horizontal="center" vertical="center" wrapText="1"/>
    </xf>
    <xf numFmtId="0" fontId="41" fillId="0" borderId="3" xfId="0" applyFont="1" applyBorder="1" applyAlignment="1">
      <alignment horizontal="center" vertical="center" wrapText="1"/>
    </xf>
    <xf numFmtId="0" fontId="40" fillId="0" borderId="79" xfId="0" applyFont="1" applyBorder="1" applyAlignment="1">
      <alignment horizontal="center" vertical="center"/>
    </xf>
    <xf numFmtId="0" fontId="40" fillId="0" borderId="3" xfId="0" applyFont="1" applyBorder="1" applyAlignment="1">
      <alignment horizontal="center" vertical="center"/>
    </xf>
    <xf numFmtId="0" fontId="180" fillId="0" borderId="97" xfId="0" applyFont="1" applyBorder="1" applyAlignment="1">
      <alignment horizontal="center" vertical="center"/>
    </xf>
    <xf numFmtId="0" fontId="180" fillId="0" borderId="9" xfId="0" applyFont="1" applyBorder="1" applyAlignment="1">
      <alignment horizontal="center" vertical="center"/>
    </xf>
    <xf numFmtId="0" fontId="180" fillId="0" borderId="7" xfId="0" applyFont="1" applyBorder="1" applyAlignment="1">
      <alignment horizontal="center" vertical="center"/>
    </xf>
    <xf numFmtId="0" fontId="41" fillId="0" borderId="79" xfId="0" applyFont="1" applyBorder="1" applyAlignment="1">
      <alignment horizontal="center" vertical="center"/>
    </xf>
    <xf numFmtId="0" fontId="41" fillId="0" borderId="3" xfId="0" applyFont="1" applyBorder="1" applyAlignment="1">
      <alignment horizontal="center" vertical="center"/>
    </xf>
    <xf numFmtId="0" fontId="41" fillId="0" borderId="79" xfId="0" applyFont="1" applyBorder="1" applyAlignment="1">
      <alignment vertical="top" wrapText="1"/>
    </xf>
    <xf numFmtId="0" fontId="41" fillId="0" borderId="3" xfId="0" applyFont="1" applyBorder="1" applyAlignment="1">
      <alignment vertical="top" wrapText="1"/>
    </xf>
    <xf numFmtId="0" fontId="242" fillId="0" borderId="1" xfId="0" applyFont="1" applyBorder="1" applyAlignment="1">
      <alignment horizontal="left" vertical="center" wrapText="1"/>
    </xf>
    <xf numFmtId="0" fontId="241" fillId="0" borderId="8" xfId="0" applyFont="1" applyBorder="1" applyAlignment="1">
      <alignment wrapText="1"/>
    </xf>
    <xf numFmtId="0" fontId="241" fillId="0" borderId="9" xfId="0" applyFont="1" applyBorder="1" applyAlignment="1">
      <alignment wrapText="1"/>
    </xf>
    <xf numFmtId="0" fontId="241" fillId="0" borderId="7" xfId="0" applyFont="1" applyBorder="1" applyAlignment="1">
      <alignment wrapText="1"/>
    </xf>
    <xf numFmtId="0" fontId="130" fillId="0" borderId="1" xfId="0" applyFont="1" applyBorder="1" applyAlignment="1">
      <alignment horizontal="left" vertical="center" wrapText="1"/>
    </xf>
    <xf numFmtId="0" fontId="130" fillId="0" borderId="0" xfId="0" applyFont="1" applyAlignment="1">
      <alignment horizontal="center" vertical="center" wrapText="1"/>
    </xf>
    <xf numFmtId="0" fontId="241" fillId="0" borderId="1" xfId="0" applyFont="1" applyBorder="1" applyAlignment="1">
      <alignment wrapText="1"/>
    </xf>
    <xf numFmtId="0" fontId="92" fillId="0" borderId="5" xfId="0" applyFont="1" applyBorder="1" applyAlignment="1">
      <alignment horizontal="center"/>
    </xf>
    <xf numFmtId="0" fontId="40" fillId="0" borderId="77" xfId="0" applyFont="1" applyBorder="1" applyAlignment="1">
      <alignment horizontal="center" vertical="top"/>
    </xf>
    <xf numFmtId="0" fontId="43" fillId="0" borderId="0" xfId="0" applyFont="1" applyAlignment="1">
      <alignment horizontal="center"/>
    </xf>
    <xf numFmtId="0" fontId="43" fillId="0" borderId="0" xfId="0" applyFont="1" applyAlignment="1">
      <alignment horizontal="center" vertical="top" wrapText="1"/>
    </xf>
    <xf numFmtId="0" fontId="261" fillId="0" borderId="0" xfId="0" applyFont="1" applyAlignment="1">
      <alignment horizontal="center"/>
    </xf>
    <xf numFmtId="0" fontId="92" fillId="0" borderId="0" xfId="0" applyFont="1" applyAlignment="1">
      <alignment horizontal="center"/>
    </xf>
    <xf numFmtId="0" fontId="92" fillId="0" borderId="5" xfId="0" applyFont="1" applyBorder="1" applyAlignment="1">
      <alignment horizontal="center" wrapText="1"/>
    </xf>
    <xf numFmtId="0" fontId="183" fillId="0" borderId="0" xfId="0" applyFont="1" applyAlignment="1">
      <alignment horizontal="center"/>
    </xf>
    <xf numFmtId="49" fontId="135" fillId="0" borderId="57" xfId="0" applyNumberFormat="1" applyFont="1" applyBorder="1" applyAlignment="1">
      <alignment horizontal="center" vertical="center" wrapText="1"/>
    </xf>
    <xf numFmtId="49" fontId="135" fillId="0" borderId="48" xfId="0" applyNumberFormat="1" applyFont="1" applyBorder="1" applyAlignment="1">
      <alignment horizontal="center" vertical="center" wrapText="1"/>
    </xf>
    <xf numFmtId="49" fontId="135" fillId="0" borderId="60" xfId="0" applyNumberFormat="1" applyFont="1" applyBorder="1" applyAlignment="1">
      <alignment horizontal="center" vertical="center" wrapText="1"/>
    </xf>
    <xf numFmtId="0" fontId="135" fillId="0" borderId="58" xfId="0" applyFont="1" applyBorder="1" applyAlignment="1">
      <alignment horizontal="center" vertical="center" wrapText="1"/>
    </xf>
    <xf numFmtId="0" fontId="135" fillId="0" borderId="49" xfId="0" applyFont="1" applyBorder="1" applyAlignment="1">
      <alignment horizontal="center" vertical="center" wrapText="1"/>
    </xf>
    <xf numFmtId="0" fontId="135" fillId="0" borderId="61" xfId="0" applyFont="1" applyBorder="1" applyAlignment="1">
      <alignment horizontal="center" vertical="center" wrapText="1"/>
    </xf>
    <xf numFmtId="0" fontId="135" fillId="0" borderId="64" xfId="0" applyFont="1" applyBorder="1" applyAlignment="1">
      <alignment horizontal="center" vertical="center" wrapText="1"/>
    </xf>
    <xf numFmtId="0" fontId="135" fillId="0" borderId="93" xfId="0" applyFont="1" applyBorder="1" applyAlignment="1">
      <alignment horizontal="center" vertical="center" wrapText="1"/>
    </xf>
    <xf numFmtId="0" fontId="135" fillId="0" borderId="65" xfId="0" applyFont="1" applyBorder="1" applyAlignment="1">
      <alignment horizontal="center" vertical="center" wrapText="1"/>
    </xf>
    <xf numFmtId="0" fontId="135" fillId="0" borderId="1" xfId="0" applyFont="1" applyBorder="1" applyAlignment="1">
      <alignment horizontal="center" vertical="center" wrapText="1"/>
    </xf>
    <xf numFmtId="0" fontId="135" fillId="0" borderId="8" xfId="0" applyFont="1" applyBorder="1" applyAlignment="1">
      <alignment horizontal="center" vertical="center" wrapText="1"/>
    </xf>
    <xf numFmtId="0" fontId="135" fillId="0" borderId="7" xfId="0" applyFont="1" applyBorder="1" applyAlignment="1">
      <alignment horizontal="center" vertical="center" wrapText="1"/>
    </xf>
    <xf numFmtId="0" fontId="205" fillId="0" borderId="79" xfId="0" applyFont="1" applyBorder="1" applyAlignment="1">
      <alignment horizontal="center" vertical="center"/>
    </xf>
    <xf numFmtId="0" fontId="205" fillId="0" borderId="3" xfId="0" applyFont="1" applyBorder="1" applyAlignment="1">
      <alignment horizontal="center" vertical="center"/>
    </xf>
    <xf numFmtId="2" fontId="152" fillId="3" borderId="5" xfId="506" applyNumberFormat="1" applyFont="1" applyFill="1" applyBorder="1" applyAlignment="1" applyProtection="1">
      <alignment horizontal="center" vertical="center" wrapText="1"/>
      <protection hidden="1"/>
    </xf>
    <xf numFmtId="0" fontId="152" fillId="0" borderId="77" xfId="506" applyFont="1" applyBorder="1" applyAlignment="1">
      <alignment horizontal="center" vertical="top"/>
    </xf>
    <xf numFmtId="0" fontId="132" fillId="34" borderId="35" xfId="448" applyFont="1" applyFill="1" applyBorder="1" applyAlignment="1">
      <alignment horizontal="right" vertical="center"/>
    </xf>
    <xf numFmtId="0" fontId="136" fillId="31" borderId="48" xfId="448" applyFont="1" applyFill="1" applyBorder="1" applyAlignment="1">
      <alignment horizontal="center" vertical="center" wrapText="1"/>
    </xf>
    <xf numFmtId="0" fontId="136" fillId="31" borderId="51" xfId="448" applyFont="1" applyFill="1" applyBorder="1" applyAlignment="1">
      <alignment horizontal="center" vertical="center" wrapText="1"/>
    </xf>
    <xf numFmtId="0" fontId="136" fillId="31" borderId="95" xfId="448" applyFont="1" applyFill="1" applyBorder="1" applyAlignment="1">
      <alignment horizontal="center" vertical="center" wrapText="1"/>
    </xf>
    <xf numFmtId="4" fontId="136" fillId="31" borderId="58" xfId="449" applyNumberFormat="1" applyFont="1" applyFill="1" applyBorder="1" applyAlignment="1">
      <alignment horizontal="center" vertical="center" wrapText="1"/>
    </xf>
    <xf numFmtId="4" fontId="136" fillId="31" borderId="1" xfId="449" applyNumberFormat="1" applyFont="1" applyFill="1" applyBorder="1" applyAlignment="1">
      <alignment horizontal="center" vertical="center" wrapText="1"/>
    </xf>
    <xf numFmtId="4" fontId="136" fillId="31" borderId="45" xfId="449" applyNumberFormat="1" applyFont="1" applyFill="1" applyBorder="1" applyAlignment="1">
      <alignment horizontal="center" vertical="center" wrapText="1"/>
    </xf>
    <xf numFmtId="4" fontId="136" fillId="31" borderId="50" xfId="449" applyNumberFormat="1" applyFont="1" applyFill="1" applyBorder="1" applyAlignment="1">
      <alignment horizontal="center" vertical="center" wrapText="1"/>
    </xf>
    <xf numFmtId="4" fontId="136" fillId="31" borderId="25" xfId="449" applyNumberFormat="1" applyFont="1" applyFill="1" applyBorder="1" applyAlignment="1">
      <alignment horizontal="center" vertical="center" wrapText="1"/>
    </xf>
    <xf numFmtId="4" fontId="136" fillId="31" borderId="116" xfId="449" applyNumberFormat="1" applyFont="1" applyFill="1" applyBorder="1" applyAlignment="1">
      <alignment horizontal="center" vertical="center" wrapText="1"/>
    </xf>
    <xf numFmtId="4" fontId="136" fillId="31" borderId="66" xfId="449" applyNumberFormat="1" applyFont="1" applyFill="1" applyBorder="1" applyAlignment="1">
      <alignment horizontal="center" vertical="center" wrapText="1"/>
    </xf>
    <xf numFmtId="4" fontId="136" fillId="31" borderId="67" xfId="449" applyNumberFormat="1" applyFont="1" applyFill="1" applyBorder="1" applyAlignment="1">
      <alignment horizontal="center" vertical="center" wrapText="1"/>
    </xf>
    <xf numFmtId="4" fontId="136" fillId="31" borderId="68" xfId="449" applyNumberFormat="1" applyFont="1" applyFill="1" applyBorder="1" applyAlignment="1">
      <alignment horizontal="center" vertical="center" wrapText="1"/>
    </xf>
    <xf numFmtId="0" fontId="136" fillId="31" borderId="65" xfId="448" applyFont="1" applyFill="1" applyBorder="1" applyAlignment="1">
      <alignment horizontal="center" vertical="center"/>
    </xf>
    <xf numFmtId="0" fontId="136" fillId="31" borderId="58" xfId="448" applyFont="1" applyFill="1" applyBorder="1" applyAlignment="1">
      <alignment horizontal="center" vertical="center"/>
    </xf>
    <xf numFmtId="0" fontId="136" fillId="31" borderId="64" xfId="448" applyFont="1" applyFill="1" applyBorder="1" applyAlignment="1">
      <alignment vertical="center"/>
    </xf>
    <xf numFmtId="0" fontId="137" fillId="31" borderId="33" xfId="448" applyFont="1" applyFill="1" applyBorder="1" applyAlignment="1">
      <alignment horizontal="center" vertical="center" wrapText="1"/>
    </xf>
    <xf numFmtId="0" fontId="137" fillId="31" borderId="32" xfId="448" applyFont="1" applyFill="1" applyBorder="1" applyAlignment="1">
      <alignment horizontal="center" vertical="center" wrapText="1"/>
    </xf>
    <xf numFmtId="0" fontId="137" fillId="31" borderId="23" xfId="448" applyFont="1" applyFill="1" applyBorder="1" applyAlignment="1">
      <alignment horizontal="center" vertical="center" wrapText="1"/>
    </xf>
    <xf numFmtId="0" fontId="135" fillId="34" borderId="0" xfId="448" applyFont="1" applyFill="1" applyAlignment="1">
      <alignment horizontal="center" wrapText="1"/>
    </xf>
    <xf numFmtId="0" fontId="100" fillId="3" borderId="0" xfId="448" applyFont="1" applyFill="1" applyAlignment="1">
      <alignment horizontal="center"/>
    </xf>
    <xf numFmtId="0" fontId="136" fillId="31" borderId="7" xfId="448" applyFont="1" applyFill="1" applyBorder="1" applyAlignment="1">
      <alignment horizontal="center" vertical="center"/>
    </xf>
    <xf numFmtId="0" fontId="136" fillId="31" borderId="1" xfId="448" applyFont="1" applyFill="1" applyBorder="1" applyAlignment="1">
      <alignment horizontal="center" vertical="center"/>
    </xf>
    <xf numFmtId="0" fontId="136" fillId="31" borderId="1" xfId="448" applyFont="1" applyFill="1" applyBorder="1" applyAlignment="1">
      <alignment vertical="center"/>
    </xf>
    <xf numFmtId="0" fontId="137" fillId="31" borderId="79" xfId="448" applyFont="1" applyFill="1" applyBorder="1" applyAlignment="1">
      <alignment horizontal="center" vertical="center" wrapText="1"/>
    </xf>
    <xf numFmtId="0" fontId="137" fillId="31" borderId="4" xfId="448" applyFont="1" applyFill="1" applyBorder="1" applyAlignment="1">
      <alignment horizontal="center" vertical="center" wrapText="1"/>
    </xf>
    <xf numFmtId="0" fontId="137" fillId="31" borderId="3" xfId="448" applyFont="1" applyFill="1" applyBorder="1" applyAlignment="1">
      <alignment horizontal="center" vertical="center" wrapText="1"/>
    </xf>
    <xf numFmtId="0" fontId="136" fillId="31" borderId="78" xfId="448" applyFont="1" applyFill="1" applyBorder="1" applyAlignment="1">
      <alignment horizontal="center" vertical="center" wrapText="1"/>
    </xf>
    <xf numFmtId="0" fontId="136" fillId="31" borderId="86" xfId="448" applyFont="1" applyFill="1" applyBorder="1" applyAlignment="1">
      <alignment horizontal="center" vertical="center" wrapText="1"/>
    </xf>
    <xf numFmtId="0" fontId="136" fillId="31" borderId="79" xfId="448" applyFont="1" applyFill="1" applyBorder="1" applyAlignment="1">
      <alignment horizontal="center" vertical="center" wrapText="1"/>
    </xf>
    <xf numFmtId="0" fontId="136" fillId="31" borderId="94" xfId="448" applyFont="1" applyFill="1" applyBorder="1" applyAlignment="1">
      <alignment horizontal="center" vertical="center" wrapText="1"/>
    </xf>
    <xf numFmtId="0" fontId="136" fillId="31" borderId="1" xfId="448" applyFont="1" applyFill="1" applyBorder="1" applyAlignment="1">
      <alignment horizontal="center" vertical="center" wrapText="1"/>
    </xf>
    <xf numFmtId="0" fontId="136" fillId="31" borderId="45" xfId="448" applyFont="1" applyFill="1" applyBorder="1" applyAlignment="1">
      <alignment horizontal="center" vertical="center" wrapText="1"/>
    </xf>
    <xf numFmtId="0" fontId="136" fillId="31" borderId="8" xfId="448" applyFont="1" applyFill="1" applyBorder="1" applyAlignment="1">
      <alignment horizontal="center" vertical="center" wrapText="1"/>
    </xf>
    <xf numFmtId="0" fontId="136" fillId="31" borderId="55" xfId="448" applyFont="1" applyFill="1" applyBorder="1" applyAlignment="1">
      <alignment horizontal="center" vertical="center" wrapText="1"/>
    </xf>
    <xf numFmtId="0" fontId="136" fillId="31" borderId="69" xfId="448" applyFont="1" applyFill="1" applyBorder="1" applyAlignment="1">
      <alignment horizontal="center" vertical="center" wrapText="1"/>
    </xf>
    <xf numFmtId="0" fontId="136" fillId="31" borderId="3" xfId="448" applyFont="1" applyFill="1" applyBorder="1" applyAlignment="1">
      <alignment horizontal="center" vertical="center" wrapText="1"/>
    </xf>
    <xf numFmtId="0" fontId="145" fillId="66" borderId="1" xfId="506" applyFont="1" applyFill="1" applyBorder="1" applyAlignment="1">
      <alignment horizontal="center" vertical="center" wrapText="1"/>
    </xf>
    <xf numFmtId="0" fontId="197" fillId="0" borderId="0" xfId="506" applyFont="1" applyAlignment="1">
      <alignment horizontal="center" vertical="center" wrapText="1"/>
    </xf>
    <xf numFmtId="0" fontId="42" fillId="0" borderId="0" xfId="506" applyFont="1" applyAlignment="1">
      <alignment horizontal="center" vertical="center" wrapText="1"/>
    </xf>
    <xf numFmtId="0" fontId="41" fillId="0" borderId="0" xfId="506" applyFont="1" applyAlignment="1">
      <alignment horizontal="center" vertical="center" wrapText="1"/>
    </xf>
    <xf numFmtId="0" fontId="42" fillId="0" borderId="0" xfId="506" applyFont="1" applyAlignment="1">
      <alignment horizontal="left" vertical="center" wrapText="1"/>
    </xf>
    <xf numFmtId="0" fontId="51" fillId="0" borderId="0" xfId="506" applyFont="1" applyAlignment="1" applyProtection="1">
      <alignment horizontal="center" vertical="center" wrapText="1"/>
      <protection locked="0"/>
    </xf>
    <xf numFmtId="0" fontId="51" fillId="3" borderId="0" xfId="506" applyFont="1" applyFill="1" applyAlignment="1" applyProtection="1">
      <alignment horizontal="center" vertical="center" wrapText="1"/>
      <protection locked="0"/>
    </xf>
    <xf numFmtId="0" fontId="151" fillId="3" borderId="0" xfId="506" applyFont="1" applyFill="1" applyAlignment="1">
      <alignment horizontal="center" vertical="center"/>
    </xf>
    <xf numFmtId="2" fontId="43" fillId="0" borderId="45" xfId="506" applyNumberFormat="1" applyFont="1" applyBorder="1" applyAlignment="1">
      <alignment horizontal="right"/>
    </xf>
    <xf numFmtId="2" fontId="43" fillId="0" borderId="46" xfId="506" applyNumberFormat="1" applyFont="1" applyBorder="1" applyAlignment="1">
      <alignment horizontal="right"/>
    </xf>
    <xf numFmtId="0" fontId="43" fillId="0" borderId="41" xfId="506" applyFont="1" applyBorder="1" applyAlignment="1">
      <alignment horizontal="center" vertical="center"/>
    </xf>
    <xf numFmtId="0" fontId="43" fillId="0" borderId="42" xfId="506" applyFont="1" applyBorder="1" applyAlignment="1">
      <alignment horizontal="center" vertical="center"/>
    </xf>
    <xf numFmtId="2" fontId="43" fillId="0" borderId="80" xfId="506" applyNumberFormat="1" applyFont="1" applyBorder="1" applyAlignment="1">
      <alignment horizontal="right"/>
    </xf>
    <xf numFmtId="2" fontId="43" fillId="0" borderId="54" xfId="506" applyNumberFormat="1" applyFont="1" applyBorder="1" applyAlignment="1">
      <alignment horizontal="right"/>
    </xf>
    <xf numFmtId="2" fontId="43" fillId="0" borderId="55" xfId="506" applyNumberFormat="1" applyFont="1" applyBorder="1" applyAlignment="1">
      <alignment horizontal="right"/>
    </xf>
    <xf numFmtId="0" fontId="43" fillId="0" borderId="39" xfId="506" applyFont="1" applyBorder="1" applyAlignment="1">
      <alignment horizontal="center" vertical="center"/>
    </xf>
    <xf numFmtId="0" fontId="43" fillId="0" borderId="0" xfId="506" applyFont="1" applyAlignment="1">
      <alignment horizontal="center" vertical="center" wrapText="1"/>
    </xf>
    <xf numFmtId="0" fontId="43" fillId="0" borderId="28" xfId="506" applyFont="1" applyBorder="1" applyAlignment="1">
      <alignment horizontal="center" vertical="center"/>
    </xf>
    <xf numFmtId="0" fontId="43" fillId="0" borderId="29" xfId="506" applyFont="1" applyBorder="1" applyAlignment="1">
      <alignment horizontal="center" vertical="center"/>
    </xf>
    <xf numFmtId="0" fontId="43" fillId="0" borderId="48" xfId="506" applyFont="1" applyBorder="1" applyAlignment="1">
      <alignment horizontal="center" vertical="center"/>
    </xf>
    <xf numFmtId="0" fontId="43" fillId="0" borderId="95" xfId="506" applyFont="1" applyBorder="1" applyAlignment="1">
      <alignment horizontal="center" vertical="center"/>
    </xf>
    <xf numFmtId="0" fontId="43" fillId="0" borderId="51" xfId="506" applyFont="1" applyBorder="1" applyAlignment="1">
      <alignment horizontal="center" vertical="center"/>
    </xf>
    <xf numFmtId="0" fontId="43" fillId="0" borderId="48" xfId="0" applyFont="1" applyBorder="1" applyAlignment="1">
      <alignment horizontal="center" vertical="center"/>
    </xf>
    <xf numFmtId="0" fontId="43" fillId="0" borderId="95" xfId="0" applyFont="1" applyBorder="1" applyAlignment="1">
      <alignment horizontal="center" vertical="center"/>
    </xf>
    <xf numFmtId="2" fontId="43" fillId="0" borderId="80" xfId="0" applyNumberFormat="1" applyFont="1" applyBorder="1" applyAlignment="1">
      <alignment horizontal="right" vertical="center"/>
    </xf>
    <xf numFmtId="2" fontId="43" fillId="0" borderId="54" xfId="0" applyNumberFormat="1" applyFont="1" applyBorder="1" applyAlignment="1">
      <alignment horizontal="right" vertical="center"/>
    </xf>
    <xf numFmtId="0" fontId="43" fillId="0" borderId="91" xfId="506" applyFont="1" applyBorder="1" applyAlignment="1">
      <alignment horizontal="center" vertical="center"/>
    </xf>
    <xf numFmtId="0" fontId="43" fillId="0" borderId="49" xfId="506" applyFont="1" applyBorder="1" applyAlignment="1">
      <alignment horizontal="center" vertical="center"/>
    </xf>
    <xf numFmtId="0" fontId="43" fillId="0" borderId="50" xfId="506" applyFont="1" applyBorder="1" applyAlignment="1">
      <alignment horizontal="center" vertical="center"/>
    </xf>
    <xf numFmtId="2" fontId="43" fillId="0" borderId="45" xfId="0" applyNumberFormat="1" applyFont="1" applyBorder="1" applyAlignment="1">
      <alignment horizontal="right" vertical="center"/>
    </xf>
    <xf numFmtId="2" fontId="43" fillId="0" borderId="46" xfId="0" applyNumberFormat="1" applyFont="1" applyBorder="1" applyAlignment="1">
      <alignment horizontal="right" vertical="center"/>
    </xf>
    <xf numFmtId="2" fontId="92" fillId="0" borderId="98" xfId="0" applyNumberFormat="1" applyFont="1" applyBorder="1" applyAlignment="1">
      <alignment horizontal="right" vertical="center"/>
    </xf>
    <xf numFmtId="0" fontId="92" fillId="0" borderId="31" xfId="0" applyFont="1" applyBorder="1" applyAlignment="1">
      <alignment horizontal="right" vertical="center"/>
    </xf>
    <xf numFmtId="0" fontId="109" fillId="0" borderId="0" xfId="0" applyFont="1" applyAlignment="1">
      <alignment horizontal="center" vertical="top" wrapText="1"/>
    </xf>
    <xf numFmtId="0" fontId="43" fillId="0" borderId="0" xfId="506" applyFont="1" applyAlignment="1">
      <alignment horizontal="left" vertical="top" wrapText="1"/>
    </xf>
    <xf numFmtId="0" fontId="43" fillId="0" borderId="124" xfId="506" applyFont="1" applyBorder="1" applyAlignment="1">
      <alignment horizontal="center" vertical="top" wrapText="1"/>
    </xf>
    <xf numFmtId="0" fontId="43" fillId="0" borderId="70" xfId="506" applyFont="1" applyBorder="1" applyAlignment="1">
      <alignment horizontal="center" vertical="top" wrapText="1"/>
    </xf>
    <xf numFmtId="2" fontId="92" fillId="0" borderId="36" xfId="0" applyNumberFormat="1" applyFont="1" applyBorder="1" applyAlignment="1">
      <alignment horizontal="right" vertical="center"/>
    </xf>
    <xf numFmtId="0" fontId="92" fillId="0" borderId="63" xfId="0" applyFont="1" applyBorder="1" applyAlignment="1">
      <alignment horizontal="right" vertical="center"/>
    </xf>
    <xf numFmtId="0" fontId="43" fillId="0" borderId="51" xfId="0" applyFont="1" applyBorder="1" applyAlignment="1">
      <alignment horizontal="center" vertical="center"/>
    </xf>
    <xf numFmtId="2" fontId="43" fillId="0" borderId="77" xfId="0" applyNumberFormat="1" applyFont="1" applyBorder="1" applyAlignment="1">
      <alignment horizontal="right" vertical="center"/>
    </xf>
    <xf numFmtId="2" fontId="43" fillId="0" borderId="78" xfId="0" applyNumberFormat="1" applyFont="1" applyBorder="1" applyAlignment="1">
      <alignment horizontal="right" vertical="center"/>
    </xf>
    <xf numFmtId="0" fontId="43" fillId="0" borderId="58" xfId="506" applyFont="1" applyBorder="1" applyAlignment="1">
      <alignment horizontal="center"/>
    </xf>
    <xf numFmtId="0" fontId="43" fillId="0" borderId="59" xfId="506" applyFont="1" applyBorder="1" applyAlignment="1">
      <alignment horizontal="center"/>
    </xf>
    <xf numFmtId="4" fontId="43" fillId="0" borderId="9" xfId="506" applyNumberFormat="1" applyFont="1" applyBorder="1" applyAlignment="1">
      <alignment horizontal="right" vertical="center"/>
    </xf>
    <xf numFmtId="4" fontId="43" fillId="0" borderId="7" xfId="506" applyNumberFormat="1" applyFont="1" applyBorder="1" applyAlignment="1">
      <alignment horizontal="right" vertical="center"/>
    </xf>
    <xf numFmtId="0" fontId="92" fillId="0" borderId="57" xfId="506" applyFont="1" applyBorder="1" applyAlignment="1">
      <alignment horizontal="center" vertical="center"/>
    </xf>
    <xf numFmtId="0" fontId="92" fillId="0" borderId="44" xfId="506" applyFont="1" applyBorder="1" applyAlignment="1">
      <alignment horizontal="center" vertical="center"/>
    </xf>
    <xf numFmtId="0" fontId="92" fillId="0" borderId="64" xfId="506" applyFont="1" applyBorder="1" applyAlignment="1">
      <alignment horizontal="center" vertical="center" wrapText="1"/>
    </xf>
    <xf numFmtId="0" fontId="92" fillId="0" borderId="55" xfId="506" applyFont="1" applyBorder="1" applyAlignment="1">
      <alignment horizontal="center" vertical="center" wrapText="1"/>
    </xf>
    <xf numFmtId="0" fontId="92" fillId="0" borderId="59" xfId="506" applyFont="1" applyBorder="1" applyAlignment="1">
      <alignment horizontal="center" vertical="center"/>
    </xf>
    <xf numFmtId="0" fontId="92" fillId="0" borderId="64" xfId="506" applyFont="1" applyBorder="1" applyAlignment="1">
      <alignment horizontal="center" vertical="center"/>
    </xf>
    <xf numFmtId="0" fontId="92" fillId="0" borderId="65" xfId="506" applyFont="1" applyBorder="1" applyAlignment="1">
      <alignment horizontal="center" vertical="center"/>
    </xf>
    <xf numFmtId="0" fontId="43" fillId="0" borderId="125" xfId="506" applyFont="1" applyBorder="1" applyAlignment="1">
      <alignment horizontal="center" vertical="top" wrapText="1"/>
    </xf>
    <xf numFmtId="0" fontId="92" fillId="32" borderId="57" xfId="506" applyFont="1" applyFill="1" applyBorder="1" applyAlignment="1">
      <alignment horizontal="center" vertical="center"/>
    </xf>
    <xf numFmtId="0" fontId="92" fillId="32" borderId="59" xfId="506" applyFont="1" applyFill="1" applyBorder="1" applyAlignment="1">
      <alignment horizontal="center" vertical="center"/>
    </xf>
    <xf numFmtId="0" fontId="92" fillId="0" borderId="0" xfId="506" applyFont="1" applyAlignment="1">
      <alignment horizontal="center" vertical="center"/>
    </xf>
    <xf numFmtId="4" fontId="92" fillId="32" borderId="30" xfId="506" applyNumberFormat="1" applyFont="1" applyFill="1" applyBorder="1" applyAlignment="1">
      <alignment horizontal="center" vertical="center"/>
    </xf>
    <xf numFmtId="4" fontId="92" fillId="32" borderId="31" xfId="506" applyNumberFormat="1" applyFont="1" applyFill="1" applyBorder="1" applyAlignment="1">
      <alignment horizontal="center" vertical="center"/>
    </xf>
    <xf numFmtId="0" fontId="43" fillId="0" borderId="47" xfId="506" applyFont="1" applyBorder="1" applyAlignment="1">
      <alignment horizontal="left" vertical="top" wrapText="1"/>
    </xf>
    <xf numFmtId="0" fontId="43" fillId="0" borderId="43" xfId="506" applyFont="1" applyBorder="1" applyAlignment="1">
      <alignment horizontal="left" vertical="top" wrapText="1"/>
    </xf>
    <xf numFmtId="0" fontId="43" fillId="0" borderId="0" xfId="506" applyFont="1" applyAlignment="1">
      <alignment horizontal="left" vertical="center" wrapText="1"/>
    </xf>
    <xf numFmtId="4" fontId="43" fillId="0" borderId="9" xfId="0" applyNumberFormat="1" applyFont="1" applyBorder="1" applyAlignment="1">
      <alignment horizontal="right" vertical="center"/>
    </xf>
    <xf numFmtId="4" fontId="43" fillId="0" borderId="7" xfId="0" applyNumberFormat="1" applyFont="1" applyBorder="1" applyAlignment="1">
      <alignment horizontal="right" vertical="center"/>
    </xf>
    <xf numFmtId="4" fontId="43" fillId="0" borderId="73" xfId="506" applyNumberFormat="1" applyFont="1" applyBorder="1" applyAlignment="1">
      <alignment horizontal="right" vertical="center"/>
    </xf>
    <xf numFmtId="4" fontId="43" fillId="0" borderId="77" xfId="506" applyNumberFormat="1" applyFont="1" applyBorder="1" applyAlignment="1">
      <alignment horizontal="right" vertical="center"/>
    </xf>
    <xf numFmtId="4" fontId="43" fillId="0" borderId="78" xfId="506" applyNumberFormat="1" applyFont="1" applyBorder="1" applyAlignment="1">
      <alignment horizontal="right" vertical="center"/>
    </xf>
    <xf numFmtId="4" fontId="43" fillId="0" borderId="126" xfId="506" applyNumberFormat="1" applyFont="1" applyBorder="1" applyAlignment="1">
      <alignment horizontal="right" vertical="center"/>
    </xf>
    <xf numFmtId="4" fontId="92" fillId="0" borderId="98" xfId="506" applyNumberFormat="1" applyFont="1" applyBorder="1" applyAlignment="1">
      <alignment horizontal="right" vertical="center"/>
    </xf>
    <xf numFmtId="4" fontId="92" fillId="0" borderId="63" xfId="506" applyNumberFormat="1" applyFont="1" applyBorder="1" applyAlignment="1">
      <alignment horizontal="right" vertical="center"/>
    </xf>
    <xf numFmtId="0" fontId="43" fillId="0" borderId="63" xfId="0" applyFont="1" applyBorder="1" applyAlignment="1">
      <alignment horizontal="center" vertical="center"/>
    </xf>
    <xf numFmtId="0" fontId="43" fillId="0" borderId="124" xfId="0" applyFont="1" applyBorder="1" applyAlignment="1">
      <alignment horizontal="center" vertical="center"/>
    </xf>
    <xf numFmtId="0" fontId="43" fillId="0" borderId="60" xfId="0" applyFont="1" applyBorder="1" applyAlignment="1">
      <alignment horizontal="center" vertical="center"/>
    </xf>
    <xf numFmtId="0" fontId="43" fillId="0" borderId="62" xfId="0" applyFont="1" applyBorder="1" applyAlignment="1">
      <alignment horizontal="center" vertical="center"/>
    </xf>
    <xf numFmtId="4" fontId="92" fillId="0" borderId="36" xfId="506" applyNumberFormat="1" applyFont="1" applyBorder="1" applyAlignment="1">
      <alignment horizontal="right" vertical="center"/>
    </xf>
    <xf numFmtId="0" fontId="43" fillId="0" borderId="60" xfId="0" applyFont="1" applyBorder="1" applyAlignment="1">
      <alignment horizontal="center"/>
    </xf>
    <xf numFmtId="0" fontId="43" fillId="0" borderId="62" xfId="0" applyFont="1" applyBorder="1" applyAlignment="1">
      <alignment horizontal="center"/>
    </xf>
    <xf numFmtId="0" fontId="92" fillId="0" borderId="0" xfId="506" applyFont="1" applyAlignment="1">
      <alignment horizontal="center" vertical="center" wrapText="1"/>
    </xf>
    <xf numFmtId="0" fontId="43" fillId="0" borderId="33" xfId="0" applyFont="1" applyBorder="1" applyAlignment="1">
      <alignment horizontal="center" vertical="center"/>
    </xf>
    <xf numFmtId="0" fontId="43" fillId="0" borderId="23" xfId="0" applyFont="1" applyBorder="1" applyAlignment="1">
      <alignment horizontal="center" vertical="center"/>
    </xf>
    <xf numFmtId="0" fontId="43" fillId="0" borderId="33" xfId="0" applyFont="1" applyBorder="1" applyAlignment="1">
      <alignment horizontal="center" vertical="center" wrapText="1"/>
    </xf>
    <xf numFmtId="0" fontId="43" fillId="0" borderId="23" xfId="0" applyFont="1" applyBorder="1" applyAlignment="1">
      <alignment horizontal="center" vertical="center" wrapText="1"/>
    </xf>
    <xf numFmtId="175" fontId="92" fillId="0" borderId="25" xfId="506" applyNumberFormat="1" applyFont="1" applyBorder="1" applyAlignment="1">
      <alignment horizontal="center"/>
    </xf>
    <xf numFmtId="175" fontId="92" fillId="0" borderId="0" xfId="506" applyNumberFormat="1" applyFont="1" applyAlignment="1">
      <alignment horizontal="center"/>
    </xf>
    <xf numFmtId="0" fontId="51" fillId="31" borderId="63" xfId="0" applyFont="1" applyFill="1" applyBorder="1" applyAlignment="1">
      <alignment horizontal="center"/>
    </xf>
    <xf numFmtId="0" fontId="51" fillId="31" borderId="98" xfId="0" applyFont="1" applyFill="1" applyBorder="1" applyAlignment="1">
      <alignment horizontal="center"/>
    </xf>
    <xf numFmtId="0" fontId="51" fillId="31" borderId="30" xfId="0" applyFont="1" applyFill="1" applyBorder="1" applyAlignment="1">
      <alignment horizontal="center"/>
    </xf>
    <xf numFmtId="0" fontId="51" fillId="31" borderId="36" xfId="0" applyFont="1" applyFill="1" applyBorder="1" applyAlignment="1">
      <alignment horizontal="center"/>
    </xf>
    <xf numFmtId="0" fontId="51" fillId="31" borderId="31" xfId="0" applyFont="1" applyFill="1" applyBorder="1" applyAlignment="1">
      <alignment horizontal="center"/>
    </xf>
    <xf numFmtId="4" fontId="92" fillId="0" borderId="80" xfId="506" applyNumberFormat="1" applyFont="1" applyBorder="1" applyAlignment="1">
      <alignment horizontal="right" vertical="center"/>
    </xf>
    <xf numFmtId="4" fontId="92" fillId="0" borderId="54" xfId="506" applyNumberFormat="1" applyFont="1" applyBorder="1" applyAlignment="1">
      <alignment horizontal="right" vertical="center"/>
    </xf>
    <xf numFmtId="4" fontId="92" fillId="0" borderId="55" xfId="506" applyNumberFormat="1" applyFont="1" applyBorder="1" applyAlignment="1">
      <alignment horizontal="right" vertical="center"/>
    </xf>
    <xf numFmtId="4" fontId="92" fillId="0" borderId="72" xfId="506" applyNumberFormat="1" applyFont="1" applyBorder="1" applyAlignment="1">
      <alignment horizontal="right" vertical="center"/>
    </xf>
    <xf numFmtId="0" fontId="151" fillId="34" borderId="0" xfId="506" applyFont="1" applyFill="1" applyAlignment="1">
      <alignment horizontal="center" vertical="top"/>
    </xf>
    <xf numFmtId="0" fontId="155" fillId="34" borderId="0" xfId="116" applyFont="1" applyFill="1" applyAlignment="1">
      <alignment horizontal="center"/>
    </xf>
    <xf numFmtId="0" fontId="155" fillId="34" borderId="0" xfId="533" applyFont="1" applyFill="1" applyAlignment="1">
      <alignment horizontal="left" vertical="center" wrapText="1"/>
    </xf>
    <xf numFmtId="0" fontId="182" fillId="0" borderId="0" xfId="533" applyFont="1" applyAlignment="1">
      <alignment horizontal="center" vertical="center" wrapText="1"/>
    </xf>
    <xf numFmtId="0" fontId="135" fillId="34" borderId="0" xfId="533" applyFont="1" applyFill="1" applyAlignment="1">
      <alignment horizontal="center" wrapText="1"/>
    </xf>
    <xf numFmtId="0" fontId="100" fillId="34" borderId="33" xfId="533" applyFont="1" applyFill="1" applyBorder="1" applyAlignment="1">
      <alignment horizontal="center" vertical="center" wrapText="1"/>
    </xf>
    <xf numFmtId="0" fontId="100" fillId="34" borderId="23" xfId="533" applyFont="1" applyFill="1" applyBorder="1" applyAlignment="1">
      <alignment horizontal="center" vertical="center" wrapText="1"/>
    </xf>
    <xf numFmtId="0" fontId="135" fillId="34" borderId="6" xfId="533" applyFont="1" applyFill="1" applyBorder="1" applyAlignment="1">
      <alignment horizontal="center" vertical="center" wrapText="1"/>
    </xf>
    <xf numFmtId="0" fontId="155" fillId="34" borderId="0" xfId="533" applyFont="1" applyFill="1" applyAlignment="1">
      <alignment horizontal="center"/>
    </xf>
    <xf numFmtId="0" fontId="151" fillId="0" borderId="77" xfId="506" applyFont="1" applyBorder="1" applyAlignment="1">
      <alignment horizontal="center" vertical="top"/>
    </xf>
    <xf numFmtId="0" fontId="43" fillId="0" borderId="1" xfId="506" applyFont="1" applyBorder="1" applyAlignment="1" applyProtection="1">
      <alignment horizontal="center" vertical="center" wrapText="1"/>
      <protection hidden="1"/>
    </xf>
    <xf numFmtId="0" fontId="43" fillId="0" borderId="79" xfId="506" applyFont="1" applyBorder="1" applyAlignment="1" applyProtection="1">
      <alignment horizontal="center" vertical="center" textRotation="90" wrapText="1"/>
      <protection hidden="1"/>
    </xf>
    <xf numFmtId="0" fontId="43" fillId="0" borderId="3" xfId="506" applyFont="1" applyBorder="1" applyAlignment="1" applyProtection="1">
      <alignment horizontal="center" vertical="center" textRotation="90" wrapText="1"/>
      <protection hidden="1"/>
    </xf>
    <xf numFmtId="2" fontId="43" fillId="0" borderId="1" xfId="506" applyNumberFormat="1" applyFont="1" applyBorder="1" applyAlignment="1" applyProtection="1">
      <alignment horizontal="center" vertical="center" wrapText="1"/>
      <protection hidden="1"/>
    </xf>
    <xf numFmtId="2" fontId="92" fillId="0" borderId="1" xfId="506" applyNumberFormat="1" applyFont="1" applyBorder="1" applyAlignment="1" applyProtection="1">
      <alignment horizontal="center" vertical="center" textRotation="90" wrapText="1"/>
      <protection hidden="1"/>
    </xf>
    <xf numFmtId="0" fontId="163" fillId="0" borderId="0" xfId="506" applyFont="1" applyAlignment="1" applyProtection="1">
      <alignment horizontal="center" vertical="center" wrapText="1"/>
      <protection locked="0"/>
    </xf>
    <xf numFmtId="0" fontId="163" fillId="3" borderId="0" xfId="506" applyFont="1" applyFill="1" applyAlignment="1" applyProtection="1">
      <alignment horizontal="left" vertical="center" wrapText="1"/>
      <protection locked="0"/>
    </xf>
    <xf numFmtId="0" fontId="163" fillId="0" borderId="0" xfId="506" applyFont="1" applyAlignment="1" applyProtection="1">
      <alignment horizontal="left" vertical="center" wrapText="1"/>
      <protection locked="0"/>
    </xf>
    <xf numFmtId="2" fontId="151" fillId="3" borderId="5" xfId="506" applyNumberFormat="1" applyFont="1" applyFill="1" applyBorder="1" applyAlignment="1" applyProtection="1">
      <alignment horizontal="center" vertical="center" wrapText="1"/>
      <protection hidden="1"/>
    </xf>
    <xf numFmtId="2" fontId="150" fillId="0" borderId="1" xfId="506" applyNumberFormat="1" applyFont="1" applyBorder="1" applyAlignment="1" applyProtection="1">
      <alignment horizontal="center" vertical="center" wrapText="1"/>
      <protection hidden="1"/>
    </xf>
    <xf numFmtId="2" fontId="157" fillId="31" borderId="1" xfId="506" applyNumberFormat="1" applyFont="1" applyFill="1" applyBorder="1" applyAlignment="1" applyProtection="1">
      <alignment horizontal="center" vertical="center" wrapText="1"/>
      <protection hidden="1"/>
    </xf>
    <xf numFmtId="0" fontId="163" fillId="0" borderId="5" xfId="506" applyFont="1" applyBorder="1" applyAlignment="1" applyProtection="1">
      <alignment horizontal="center" vertical="center" wrapText="1"/>
      <protection locked="0"/>
    </xf>
    <xf numFmtId="0" fontId="150" fillId="0" borderId="1" xfId="506" applyFont="1" applyBorder="1" applyAlignment="1" applyProtection="1">
      <alignment horizontal="center" vertical="center" wrapText="1"/>
      <protection hidden="1"/>
    </xf>
    <xf numFmtId="0" fontId="150" fillId="0" borderId="97" xfId="506" applyFont="1" applyBorder="1" applyAlignment="1" applyProtection="1">
      <alignment horizontal="center" vertical="center" wrapText="1"/>
      <protection hidden="1"/>
    </xf>
    <xf numFmtId="0" fontId="150" fillId="0" borderId="78" xfId="506" applyFont="1" applyBorder="1" applyAlignment="1" applyProtection="1">
      <alignment horizontal="center" vertical="center" wrapText="1"/>
      <protection hidden="1"/>
    </xf>
    <xf numFmtId="2" fontId="150" fillId="75" borderId="10" xfId="506" applyNumberFormat="1" applyFont="1" applyFill="1" applyBorder="1" applyAlignment="1" applyProtection="1">
      <alignment horizontal="center" vertical="center" wrapText="1"/>
      <protection hidden="1"/>
    </xf>
    <xf numFmtId="2" fontId="150" fillId="75" borderId="69" xfId="506" applyNumberFormat="1" applyFont="1" applyFill="1" applyBorder="1" applyAlignment="1" applyProtection="1">
      <alignment horizontal="center" vertical="center" wrapText="1"/>
      <protection hidden="1"/>
    </xf>
    <xf numFmtId="0" fontId="43" fillId="0" borderId="0" xfId="546" applyFont="1" applyAlignment="1">
      <alignment horizontal="center" vertical="center" wrapText="1"/>
    </xf>
    <xf numFmtId="0" fontId="43" fillId="3" borderId="0" xfId="546" applyFont="1" applyFill="1" applyAlignment="1">
      <alignment horizontal="center" vertical="center" wrapText="1"/>
    </xf>
    <xf numFmtId="0" fontId="92" fillId="0" borderId="0" xfId="546" applyFont="1" applyAlignment="1">
      <alignment horizontal="center" vertical="center" wrapText="1"/>
    </xf>
    <xf numFmtId="0" fontId="92" fillId="3" borderId="0" xfId="546" applyFont="1" applyFill="1" applyAlignment="1">
      <alignment horizontal="center" vertical="center" wrapText="1"/>
    </xf>
    <xf numFmtId="4" fontId="43" fillId="0" borderId="8" xfId="551" applyNumberFormat="1" applyFont="1" applyBorder="1" applyAlignment="1">
      <alignment horizontal="right" vertical="center"/>
    </xf>
    <xf numFmtId="4" fontId="43" fillId="0" borderId="7" xfId="551" applyNumberFormat="1" applyFont="1" applyBorder="1" applyAlignment="1">
      <alignment horizontal="right" vertical="center"/>
    </xf>
    <xf numFmtId="4" fontId="43" fillId="0" borderId="9" xfId="551" applyNumberFormat="1" applyFont="1" applyBorder="1" applyAlignment="1">
      <alignment horizontal="right" vertical="center"/>
    </xf>
    <xf numFmtId="4" fontId="92" fillId="63" borderId="55" xfId="551" applyNumberFormat="1" applyFont="1" applyFill="1" applyBorder="1" applyAlignment="1">
      <alignment horizontal="right" vertical="center"/>
    </xf>
    <xf numFmtId="4" fontId="92" fillId="63" borderId="54" xfId="551" applyNumberFormat="1" applyFont="1" applyFill="1" applyBorder="1" applyAlignment="1">
      <alignment horizontal="right" vertical="center"/>
    </xf>
    <xf numFmtId="4" fontId="92" fillId="63" borderId="80" xfId="551" applyNumberFormat="1" applyFont="1" applyFill="1" applyBorder="1" applyAlignment="1">
      <alignment horizontal="right" vertical="center"/>
    </xf>
    <xf numFmtId="0" fontId="42" fillId="0" borderId="41" xfId="551" applyFont="1" applyBorder="1" applyAlignment="1">
      <alignment horizontal="center" vertical="center"/>
    </xf>
    <xf numFmtId="0" fontId="42" fillId="0" borderId="42" xfId="551" applyFont="1" applyBorder="1" applyAlignment="1">
      <alignment horizontal="center" vertical="center"/>
    </xf>
    <xf numFmtId="0" fontId="42" fillId="34" borderId="41" xfId="551" applyFont="1" applyFill="1" applyBorder="1" applyAlignment="1">
      <alignment horizontal="center" vertical="center"/>
    </xf>
    <xf numFmtId="0" fontId="42" fillId="34" borderId="42" xfId="551" applyFont="1" applyFill="1" applyBorder="1" applyAlignment="1">
      <alignment horizontal="center" vertical="center"/>
    </xf>
    <xf numFmtId="0" fontId="43" fillId="0" borderId="58" xfId="551" applyFont="1" applyBorder="1" applyAlignment="1">
      <alignment horizontal="center" vertical="center"/>
    </xf>
    <xf numFmtId="0" fontId="94" fillId="0" borderId="0" xfId="551" applyFont="1" applyAlignment="1">
      <alignment horizontal="center" wrapText="1"/>
    </xf>
    <xf numFmtId="0" fontId="43" fillId="0" borderId="64" xfId="551" applyFont="1" applyBorder="1" applyAlignment="1">
      <alignment horizontal="center" vertical="center"/>
    </xf>
    <xf numFmtId="0" fontId="42" fillId="34" borderId="51" xfId="551" applyFont="1" applyFill="1" applyBorder="1" applyAlignment="1">
      <alignment horizontal="center" vertical="center"/>
    </xf>
    <xf numFmtId="0" fontId="42" fillId="34" borderId="4" xfId="551" applyFont="1" applyFill="1" applyBorder="1" applyAlignment="1">
      <alignment horizontal="center" vertical="center" wrapText="1"/>
    </xf>
    <xf numFmtId="0" fontId="42" fillId="34" borderId="3" xfId="551" applyFont="1" applyFill="1" applyBorder="1" applyAlignment="1">
      <alignment horizontal="center" vertical="center" wrapText="1"/>
    </xf>
    <xf numFmtId="0" fontId="100" fillId="0" borderId="33" xfId="551" applyFont="1" applyBorder="1" applyAlignment="1">
      <alignment horizontal="center" vertical="center"/>
    </xf>
    <xf numFmtId="0" fontId="100" fillId="0" borderId="23" xfId="551" applyFont="1" applyBorder="1" applyAlignment="1">
      <alignment horizontal="center" vertical="center"/>
    </xf>
    <xf numFmtId="0" fontId="42" fillId="0" borderId="48" xfId="551" applyFont="1" applyBorder="1" applyAlignment="1">
      <alignment horizontal="center" vertical="center"/>
    </xf>
    <xf numFmtId="0" fontId="42" fillId="0" borderId="95" xfId="551" applyFont="1" applyBorder="1" applyAlignment="1">
      <alignment horizontal="center" vertical="center"/>
    </xf>
    <xf numFmtId="0" fontId="42" fillId="0" borderId="49" xfId="551" applyFont="1" applyBorder="1" applyAlignment="1">
      <alignment horizontal="center" vertical="center"/>
    </xf>
    <xf numFmtId="0" fontId="42" fillId="0" borderId="94" xfId="551" applyFont="1" applyBorder="1" applyAlignment="1">
      <alignment vertical="center"/>
    </xf>
    <xf numFmtId="0" fontId="181" fillId="62" borderId="0" xfId="552" applyFont="1" applyFill="1" applyAlignment="1">
      <alignment horizontal="center" wrapText="1"/>
    </xf>
    <xf numFmtId="4" fontId="51" fillId="0" borderId="61" xfId="552" applyNumberFormat="1" applyFont="1" applyBorder="1" applyAlignment="1">
      <alignment horizontal="center" vertical="center"/>
    </xf>
    <xf numFmtId="4" fontId="51" fillId="0" borderId="98" xfId="552" applyNumberFormat="1" applyFont="1" applyBorder="1" applyAlignment="1">
      <alignment horizontal="center" vertical="center"/>
    </xf>
    <xf numFmtId="0" fontId="109" fillId="62" borderId="48" xfId="0" applyFont="1" applyFill="1" applyBorder="1" applyAlignment="1">
      <alignment horizontal="center" vertical="center" wrapText="1"/>
    </xf>
    <xf numFmtId="0" fontId="109" fillId="62" borderId="95" xfId="0" applyFont="1" applyFill="1" applyBorder="1" applyAlignment="1">
      <alignment horizontal="center" vertical="center" wrapText="1"/>
    </xf>
    <xf numFmtId="0" fontId="109" fillId="62" borderId="58" xfId="0" applyFont="1" applyFill="1" applyBorder="1" applyAlignment="1">
      <alignment horizontal="center" vertical="center"/>
    </xf>
    <xf numFmtId="0" fontId="109" fillId="62" borderId="45" xfId="0" applyFont="1" applyFill="1" applyBorder="1" applyAlignment="1">
      <alignment horizontal="center" vertical="center"/>
    </xf>
    <xf numFmtId="0" fontId="92" fillId="0" borderId="58" xfId="0" applyFont="1" applyBorder="1" applyAlignment="1">
      <alignment horizontal="center" vertical="center"/>
    </xf>
    <xf numFmtId="0" fontId="92" fillId="0" borderId="64" xfId="0" applyFont="1" applyBorder="1" applyAlignment="1">
      <alignment horizontal="center" vertical="center"/>
    </xf>
    <xf numFmtId="0" fontId="51" fillId="0" borderId="58" xfId="552" applyFont="1" applyBorder="1" applyAlignment="1">
      <alignment horizontal="center" vertical="center"/>
    </xf>
    <xf numFmtId="0" fontId="51" fillId="0" borderId="64" xfId="552" applyFont="1" applyBorder="1" applyAlignment="1">
      <alignment horizontal="center" vertical="center"/>
    </xf>
    <xf numFmtId="0" fontId="162" fillId="62" borderId="0" xfId="552" applyFont="1" applyFill="1" applyAlignment="1">
      <alignment horizontal="center" wrapText="1"/>
    </xf>
    <xf numFmtId="0" fontId="98" fillId="62" borderId="66" xfId="552" applyFont="1" applyFill="1" applyBorder="1" applyAlignment="1">
      <alignment horizontal="center" vertical="center"/>
    </xf>
    <xf numFmtId="0" fontId="98" fillId="62" borderId="68" xfId="552" applyFont="1" applyFill="1" applyBorder="1" applyAlignment="1">
      <alignment horizontal="center" vertical="center"/>
    </xf>
    <xf numFmtId="0" fontId="98" fillId="62" borderId="65" xfId="552" applyFont="1" applyFill="1" applyBorder="1"/>
    <xf numFmtId="0" fontId="98" fillId="62" borderId="54" xfId="552" applyFont="1" applyFill="1" applyBorder="1"/>
    <xf numFmtId="0" fontId="51" fillId="0" borderId="0" xfId="0" applyFont="1" applyAlignment="1">
      <alignment horizontal="center" vertical="center"/>
    </xf>
    <xf numFmtId="0" fontId="151" fillId="0" borderId="77" xfId="552" applyFont="1" applyBorder="1" applyAlignment="1">
      <alignment horizontal="center"/>
    </xf>
    <xf numFmtId="0" fontId="151" fillId="0" borderId="0" xfId="552" applyFont="1" applyAlignment="1">
      <alignment horizontal="left"/>
    </xf>
    <xf numFmtId="0" fontId="222" fillId="0" borderId="28" xfId="0" applyFont="1" applyBorder="1" applyAlignment="1">
      <alignment horizontal="center"/>
    </xf>
    <xf numFmtId="0" fontId="222" fillId="0" borderId="0" xfId="0" applyFont="1" applyAlignment="1">
      <alignment horizontal="center"/>
    </xf>
    <xf numFmtId="0" fontId="222" fillId="0" borderId="24" xfId="0" applyFont="1" applyBorder="1" applyAlignment="1">
      <alignment horizontal="center"/>
    </xf>
    <xf numFmtId="0" fontId="151" fillId="0" borderId="1" xfId="552" applyFont="1" applyBorder="1" applyAlignment="1">
      <alignment horizontal="center"/>
    </xf>
    <xf numFmtId="0" fontId="151" fillId="0" borderId="8" xfId="552" applyFont="1" applyBorder="1" applyAlignment="1">
      <alignment horizontal="center"/>
    </xf>
    <xf numFmtId="0" fontId="151" fillId="0" borderId="9" xfId="552" applyFont="1" applyBorder="1" applyAlignment="1">
      <alignment horizontal="center"/>
    </xf>
    <xf numFmtId="0" fontId="151" fillId="0" borderId="7" xfId="552" applyFont="1" applyBorder="1" applyAlignment="1">
      <alignment horizontal="center"/>
    </xf>
    <xf numFmtId="0" fontId="163" fillId="0" borderId="45" xfId="552" applyFont="1" applyBorder="1" applyAlignment="1">
      <alignment horizontal="center"/>
    </xf>
    <xf numFmtId="0" fontId="151" fillId="0" borderId="3" xfId="552" applyFont="1" applyBorder="1" applyAlignment="1">
      <alignment horizontal="center"/>
    </xf>
    <xf numFmtId="0" fontId="151" fillId="0" borderId="50" xfId="552" applyFont="1" applyBorder="1" applyAlignment="1">
      <alignment horizontal="center" vertical="center" wrapText="1"/>
    </xf>
    <xf numFmtId="0" fontId="151" fillId="0" borderId="10" xfId="552" applyFont="1" applyBorder="1" applyAlignment="1">
      <alignment horizontal="center" vertical="center" wrapText="1"/>
    </xf>
    <xf numFmtId="0" fontId="163" fillId="0" borderId="33" xfId="552" applyFont="1" applyBorder="1" applyAlignment="1">
      <alignment horizontal="center" vertical="center" wrapText="1"/>
    </xf>
    <xf numFmtId="0" fontId="163" fillId="0" borderId="89" xfId="552" applyFont="1" applyBorder="1" applyAlignment="1">
      <alignment horizontal="center" vertical="center" wrapText="1"/>
    </xf>
    <xf numFmtId="0" fontId="163" fillId="0" borderId="8" xfId="552" applyFont="1" applyBorder="1" applyAlignment="1">
      <alignment horizontal="center"/>
    </xf>
    <xf numFmtId="0" fontId="163" fillId="0" borderId="9" xfId="552" applyFont="1" applyBorder="1" applyAlignment="1">
      <alignment horizontal="center"/>
    </xf>
    <xf numFmtId="0" fontId="163" fillId="0" borderId="7" xfId="552" applyFont="1" applyBorder="1" applyAlignment="1">
      <alignment horizontal="center"/>
    </xf>
    <xf numFmtId="0" fontId="151" fillId="0" borderId="50" xfId="552" applyFont="1" applyBorder="1" applyAlignment="1">
      <alignment horizontal="center" wrapText="1"/>
    </xf>
    <xf numFmtId="0" fontId="151" fillId="0" borderId="10" xfId="552" applyFont="1" applyBorder="1" applyAlignment="1">
      <alignment horizontal="center" wrapText="1"/>
    </xf>
    <xf numFmtId="0" fontId="151" fillId="0" borderId="58" xfId="552" applyFont="1" applyBorder="1" applyAlignment="1">
      <alignment horizontal="center" wrapText="1"/>
    </xf>
    <xf numFmtId="0" fontId="151" fillId="0" borderId="1" xfId="552" applyFont="1" applyBorder="1" applyAlignment="1">
      <alignment horizontal="center" wrapText="1"/>
    </xf>
    <xf numFmtId="0" fontId="151" fillId="0" borderId="49" xfId="552" applyFont="1" applyBorder="1" applyAlignment="1">
      <alignment horizontal="center" wrapText="1"/>
    </xf>
    <xf numFmtId="0" fontId="151" fillId="0" borderId="3" xfId="552" applyFont="1" applyBorder="1" applyAlignment="1">
      <alignment horizontal="center" wrapText="1"/>
    </xf>
    <xf numFmtId="0" fontId="151" fillId="0" borderId="48" xfId="552" applyFont="1" applyBorder="1" applyAlignment="1">
      <alignment horizontal="center" wrapText="1"/>
    </xf>
    <xf numFmtId="0" fontId="151" fillId="0" borderId="42" xfId="552" applyFont="1" applyBorder="1" applyAlignment="1">
      <alignment horizontal="center" wrapText="1"/>
    </xf>
    <xf numFmtId="0" fontId="151" fillId="0" borderId="64" xfId="552" applyFont="1" applyBorder="1" applyAlignment="1">
      <alignment horizontal="center"/>
    </xf>
    <xf numFmtId="0" fontId="151" fillId="0" borderId="93" xfId="552" applyFont="1" applyBorder="1" applyAlignment="1">
      <alignment horizontal="center"/>
    </xf>
    <xf numFmtId="0" fontId="151" fillId="0" borderId="65" xfId="552" applyFont="1" applyBorder="1" applyAlignment="1">
      <alignment horizontal="center"/>
    </xf>
    <xf numFmtId="0" fontId="151" fillId="0" borderId="49" xfId="552" applyFont="1" applyBorder="1" applyAlignment="1">
      <alignment horizontal="center" vertical="center" textRotation="90" wrapText="1"/>
    </xf>
    <xf numFmtId="0" fontId="151" fillId="0" borderId="3" xfId="552" applyFont="1" applyBorder="1" applyAlignment="1">
      <alignment horizontal="center" vertical="center" textRotation="90" wrapText="1"/>
    </xf>
    <xf numFmtId="0" fontId="50" fillId="0" borderId="0" xfId="0" quotePrefix="1" applyFont="1" applyAlignment="1">
      <alignment vertical="top" wrapText="1"/>
    </xf>
    <xf numFmtId="0" fontId="50" fillId="0" borderId="0" xfId="0" applyFont="1" applyAlignment="1">
      <alignment vertical="top" wrapText="1"/>
    </xf>
    <xf numFmtId="0" fontId="135" fillId="0" borderId="0" xfId="0" applyFont="1" applyAlignment="1">
      <alignment vertical="top" wrapText="1"/>
    </xf>
    <xf numFmtId="0" fontId="92" fillId="0" borderId="0" xfId="0" applyFont="1" applyAlignment="1">
      <alignment wrapText="1"/>
    </xf>
    <xf numFmtId="49" fontId="135" fillId="0" borderId="33" xfId="0" applyNumberFormat="1" applyFont="1" applyBorder="1" applyAlignment="1">
      <alignment horizontal="center" vertical="center" wrapText="1"/>
    </xf>
    <xf numFmtId="49" fontId="135" fillId="0" borderId="32" xfId="0" applyNumberFormat="1" applyFont="1" applyBorder="1" applyAlignment="1">
      <alignment horizontal="center" vertical="center" wrapText="1"/>
    </xf>
    <xf numFmtId="49" fontId="135" fillId="0" borderId="23" xfId="0" applyNumberFormat="1" applyFont="1" applyBorder="1" applyAlignment="1">
      <alignment horizontal="center" vertical="center" wrapText="1"/>
    </xf>
    <xf numFmtId="0" fontId="135" fillId="0" borderId="33" xfId="0" applyFont="1" applyBorder="1" applyAlignment="1">
      <alignment horizontal="center" vertical="center" wrapText="1"/>
    </xf>
    <xf numFmtId="0" fontId="135" fillId="0" borderId="32" xfId="0" applyFont="1" applyBorder="1" applyAlignment="1">
      <alignment horizontal="center" vertical="center" wrapText="1"/>
    </xf>
    <xf numFmtId="0" fontId="135" fillId="0" borderId="23" xfId="0" applyFont="1" applyBorder="1" applyAlignment="1">
      <alignment horizontal="center" vertical="center" wrapText="1"/>
    </xf>
    <xf numFmtId="0" fontId="135" fillId="0" borderId="34" xfId="0" applyFont="1" applyBorder="1" applyAlignment="1">
      <alignment horizontal="center" vertical="center" wrapText="1"/>
    </xf>
    <xf numFmtId="0" fontId="135" fillId="0" borderId="0" xfId="0" applyFont="1" applyAlignment="1">
      <alignment horizontal="center" vertical="center" wrapText="1"/>
    </xf>
    <xf numFmtId="0" fontId="135" fillId="0" borderId="35" xfId="0" applyFont="1" applyBorder="1" applyAlignment="1">
      <alignment horizontal="center" vertical="center" wrapText="1"/>
    </xf>
    <xf numFmtId="0" fontId="135" fillId="0" borderId="26" xfId="0" applyFont="1" applyBorder="1" applyAlignment="1">
      <alignment horizontal="center" vertical="center" wrapText="1"/>
    </xf>
    <xf numFmtId="0" fontId="135" fillId="0" borderId="28" xfId="0" applyFont="1" applyBorder="1" applyAlignment="1">
      <alignment horizontal="center" vertical="center" wrapText="1"/>
    </xf>
    <xf numFmtId="0" fontId="135" fillId="0" borderId="29" xfId="0" applyFont="1" applyBorder="1" applyAlignment="1">
      <alignment horizontal="center" vertical="center" wrapText="1"/>
    </xf>
    <xf numFmtId="0" fontId="135" fillId="0" borderId="27" xfId="0" applyFont="1" applyBorder="1" applyAlignment="1">
      <alignment horizontal="center" vertical="center" wrapText="1"/>
    </xf>
    <xf numFmtId="0" fontId="135" fillId="0" borderId="24" xfId="0" applyFont="1" applyBorder="1" applyAlignment="1">
      <alignment horizontal="center" vertical="center" wrapText="1"/>
    </xf>
    <xf numFmtId="0" fontId="135" fillId="0" borderId="56" xfId="0" applyFont="1" applyBorder="1" applyAlignment="1">
      <alignment horizontal="center" vertical="center" wrapText="1"/>
    </xf>
    <xf numFmtId="0" fontId="92" fillId="0" borderId="33" xfId="0" applyFont="1" applyBorder="1" applyAlignment="1">
      <alignment horizontal="center" vertical="center" wrapText="1"/>
    </xf>
    <xf numFmtId="0" fontId="92" fillId="0" borderId="32" xfId="0" applyFont="1" applyBorder="1" applyAlignment="1">
      <alignment horizontal="center" vertical="center" wrapText="1"/>
    </xf>
    <xf numFmtId="0" fontId="92" fillId="0" borderId="23" xfId="0" applyFont="1" applyBorder="1" applyAlignment="1">
      <alignment horizontal="center" vertical="center" wrapText="1"/>
    </xf>
    <xf numFmtId="0" fontId="230" fillId="0" borderId="0" xfId="0" applyFont="1" applyAlignment="1">
      <alignment horizontal="left" wrapText="1"/>
    </xf>
    <xf numFmtId="0" fontId="0" fillId="0" borderId="79" xfId="0" applyBorder="1" applyAlignment="1">
      <alignment horizontal="center"/>
    </xf>
    <xf numFmtId="0" fontId="0" fillId="0" borderId="4" xfId="0" applyBorder="1" applyAlignment="1">
      <alignment horizontal="center"/>
    </xf>
    <xf numFmtId="0" fontId="0" fillId="0" borderId="3" xfId="0" applyBorder="1" applyAlignment="1">
      <alignment horizontal="center"/>
    </xf>
    <xf numFmtId="0" fontId="43" fillId="0" borderId="0" xfId="0" applyFont="1" applyAlignment="1">
      <alignment horizontal="center" wrapText="1"/>
    </xf>
    <xf numFmtId="0" fontId="43" fillId="0" borderId="79"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8" xfId="0" applyFont="1" applyBorder="1" applyAlignment="1">
      <alignment horizontal="center" wrapText="1"/>
    </xf>
    <xf numFmtId="0" fontId="43" fillId="0" borderId="7" xfId="0" applyFont="1" applyBorder="1" applyAlignment="1">
      <alignment horizontal="center" wrapText="1"/>
    </xf>
    <xf numFmtId="0" fontId="43" fillId="0" borderId="4"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7" xfId="0" applyFont="1" applyBorder="1" applyAlignment="1">
      <alignment horizontal="center" vertical="center" wrapText="1"/>
    </xf>
    <xf numFmtId="0" fontId="253" fillId="0" borderId="8" xfId="0" applyFont="1" applyBorder="1" applyAlignment="1">
      <alignment horizontal="center" vertical="center"/>
    </xf>
    <xf numFmtId="0" fontId="253" fillId="0" borderId="7" xfId="0" applyFont="1" applyBorder="1" applyAlignment="1">
      <alignment horizontal="center" vertical="center"/>
    </xf>
    <xf numFmtId="0" fontId="254" fillId="0" borderId="8" xfId="0" applyFont="1" applyBorder="1" applyAlignment="1">
      <alignment horizontal="center" vertical="center" wrapText="1"/>
    </xf>
    <xf numFmtId="0" fontId="254" fillId="0" borderId="7" xfId="0" applyFont="1" applyBorder="1" applyAlignment="1">
      <alignment horizontal="center" vertical="center" wrapText="1"/>
    </xf>
    <xf numFmtId="0" fontId="43" fillId="0" borderId="8" xfId="0" applyFont="1" applyBorder="1" applyAlignment="1">
      <alignment horizontal="center" vertical="center"/>
    </xf>
    <xf numFmtId="0" fontId="43" fillId="0" borderId="7" xfId="0" applyFont="1" applyBorder="1" applyAlignment="1">
      <alignment horizontal="center" vertical="center"/>
    </xf>
    <xf numFmtId="0" fontId="252" fillId="0" borderId="0" xfId="0" applyFont="1" applyAlignment="1">
      <alignment horizontal="center" vertical="center" wrapText="1"/>
    </xf>
    <xf numFmtId="0" fontId="92" fillId="0" borderId="1" xfId="0" applyFont="1" applyBorder="1" applyAlignment="1">
      <alignment horizontal="center" vertical="center" wrapText="1"/>
    </xf>
    <xf numFmtId="0" fontId="254" fillId="0" borderId="1" xfId="0" applyFont="1" applyBorder="1" applyAlignment="1">
      <alignment horizontal="center" vertical="center" wrapText="1"/>
    </xf>
    <xf numFmtId="0" fontId="255" fillId="0" borderId="1" xfId="0" applyFont="1" applyBorder="1" applyAlignment="1">
      <alignment horizontal="center" vertical="center" wrapText="1"/>
    </xf>
    <xf numFmtId="4" fontId="100" fillId="62" borderId="1" xfId="0" applyNumberFormat="1" applyFont="1" applyFill="1" applyBorder="1" applyAlignment="1">
      <alignment horizontal="center" vertical="center" wrapText="1"/>
    </xf>
    <xf numFmtId="0" fontId="255" fillId="0" borderId="8" xfId="0" applyFont="1" applyBorder="1" applyAlignment="1">
      <alignment horizontal="center" vertical="center"/>
    </xf>
    <xf numFmtId="0" fontId="255" fillId="0" borderId="7" xfId="0" applyFont="1" applyBorder="1" applyAlignment="1">
      <alignment horizontal="center" vertical="center"/>
    </xf>
    <xf numFmtId="0" fontId="254" fillId="0" borderId="8" xfId="0" applyFont="1" applyBorder="1" applyAlignment="1">
      <alignment horizontal="center" vertical="center"/>
    </xf>
    <xf numFmtId="0" fontId="254" fillId="0" borderId="7" xfId="0" applyFont="1" applyBorder="1" applyAlignment="1">
      <alignment horizontal="center" vertical="center"/>
    </xf>
    <xf numFmtId="0" fontId="92" fillId="2" borderId="0" xfId="0" applyFont="1" applyFill="1" applyAlignment="1">
      <alignment horizontal="center"/>
    </xf>
    <xf numFmtId="0" fontId="253" fillId="0" borderId="1" xfId="0" applyFont="1" applyBorder="1" applyAlignment="1">
      <alignment horizontal="center" vertical="center"/>
    </xf>
    <xf numFmtId="0" fontId="41" fillId="0" borderId="8" xfId="0" applyFont="1" applyBorder="1" applyAlignment="1">
      <alignment horizontal="center" vertical="center" wrapText="1"/>
    </xf>
    <xf numFmtId="0" fontId="41" fillId="0" borderId="7" xfId="0" applyFont="1" applyBorder="1" applyAlignment="1">
      <alignment horizontal="center" vertical="center" wrapText="1"/>
    </xf>
    <xf numFmtId="4" fontId="271" fillId="0" borderId="8" xfId="0" applyNumberFormat="1" applyFont="1" applyBorder="1" applyAlignment="1">
      <alignment horizontal="center"/>
    </xf>
    <xf numFmtId="4" fontId="271" fillId="0" borderId="9" xfId="0" applyNumberFormat="1" applyFont="1" applyBorder="1" applyAlignment="1">
      <alignment horizontal="center"/>
    </xf>
    <xf numFmtId="4" fontId="271" fillId="0" borderId="7" xfId="0" applyNumberFormat="1" applyFont="1" applyBorder="1" applyAlignment="1">
      <alignment horizontal="center"/>
    </xf>
    <xf numFmtId="0" fontId="270" fillId="0" borderId="8" xfId="0" applyFont="1" applyBorder="1" applyAlignment="1">
      <alignment horizontal="center" vertical="center" wrapText="1"/>
    </xf>
    <xf numFmtId="0" fontId="270" fillId="0" borderId="9" xfId="0" applyFont="1" applyBorder="1" applyAlignment="1">
      <alignment horizontal="center" vertical="center" wrapText="1"/>
    </xf>
    <xf numFmtId="0" fontId="270" fillId="0" borderId="7" xfId="0" applyFont="1" applyBorder="1" applyAlignment="1">
      <alignment horizontal="center" vertical="center" wrapText="1"/>
    </xf>
    <xf numFmtId="0" fontId="267" fillId="0" borderId="8" xfId="0" applyFont="1" applyBorder="1" applyAlignment="1">
      <alignment horizontal="center" vertical="center" wrapText="1"/>
    </xf>
    <xf numFmtId="0" fontId="267" fillId="0" borderId="9" xfId="0" applyFont="1" applyBorder="1" applyAlignment="1">
      <alignment horizontal="center" vertical="center" wrapText="1"/>
    </xf>
    <xf numFmtId="0" fontId="267" fillId="0" borderId="7" xfId="0" applyFont="1" applyBorder="1" applyAlignment="1">
      <alignment horizontal="center" vertical="center" wrapText="1"/>
    </xf>
    <xf numFmtId="0" fontId="42" fillId="0" borderId="8" xfId="0" applyFont="1" applyBorder="1" applyAlignment="1">
      <alignment horizontal="center" vertical="center"/>
    </xf>
    <xf numFmtId="0" fontId="42" fillId="0" borderId="9" xfId="0" applyFont="1" applyBorder="1" applyAlignment="1">
      <alignment horizontal="center" vertical="center"/>
    </xf>
    <xf numFmtId="0" fontId="42" fillId="0" borderId="7" xfId="0" applyFont="1" applyBorder="1" applyAlignment="1">
      <alignment horizontal="center" vertical="center"/>
    </xf>
    <xf numFmtId="0" fontId="103" fillId="0" borderId="8" xfId="0" applyFont="1" applyBorder="1" applyAlignment="1">
      <alignment horizontal="center" vertical="center" wrapText="1"/>
    </xf>
    <xf numFmtId="0" fontId="103" fillId="0" borderId="9" xfId="0" applyFont="1" applyBorder="1" applyAlignment="1">
      <alignment horizontal="center" vertical="center" wrapText="1"/>
    </xf>
    <xf numFmtId="0" fontId="103" fillId="0" borderId="7" xfId="0" applyFont="1" applyBorder="1" applyAlignment="1">
      <alignment horizontal="center" vertical="center" wrapText="1"/>
    </xf>
    <xf numFmtId="2" fontId="269" fillId="0" borderId="1" xfId="0" applyNumberFormat="1" applyFont="1" applyBorder="1" applyAlignment="1">
      <alignment horizontal="center" vertical="center" wrapText="1"/>
    </xf>
    <xf numFmtId="0" fontId="269" fillId="0" borderId="1" xfId="0" applyFont="1" applyBorder="1" applyAlignment="1">
      <alignment horizontal="center" vertical="center" wrapText="1"/>
    </xf>
    <xf numFmtId="0" fontId="43" fillId="0" borderId="0" xfId="0" applyFont="1" applyAlignment="1">
      <alignment horizontal="left" wrapText="1"/>
    </xf>
    <xf numFmtId="0" fontId="43" fillId="0" borderId="1" xfId="0" applyFont="1" applyBorder="1" applyAlignment="1">
      <alignment horizontal="center"/>
    </xf>
    <xf numFmtId="0" fontId="43" fillId="0" borderId="9" xfId="0" applyFont="1" applyBorder="1" applyAlignment="1">
      <alignment horizontal="center" wrapText="1"/>
    </xf>
    <xf numFmtId="0" fontId="43" fillId="0" borderId="1" xfId="0" applyFont="1" applyBorder="1" applyAlignment="1">
      <alignment horizontal="center" vertical="center" wrapText="1"/>
    </xf>
    <xf numFmtId="0" fontId="43" fillId="0" borderId="97" xfId="0" applyFont="1" applyBorder="1" applyAlignment="1">
      <alignment horizontal="center" vertical="center" wrapText="1"/>
    </xf>
    <xf numFmtId="0" fontId="43" fillId="0" borderId="77" xfId="0" applyFont="1" applyBorder="1" applyAlignment="1">
      <alignment horizontal="center" vertical="center" wrapText="1"/>
    </xf>
    <xf numFmtId="0" fontId="43" fillId="0" borderId="78" xfId="0" applyFont="1" applyBorder="1" applyAlignment="1">
      <alignment horizontal="center" vertical="center" wrapText="1"/>
    </xf>
    <xf numFmtId="0" fontId="43" fillId="0" borderId="10" xfId="0" applyFont="1" applyBorder="1" applyAlignment="1">
      <alignment horizontal="center" vertical="center" wrapText="1"/>
    </xf>
    <xf numFmtId="0" fontId="43" fillId="0" borderId="5" xfId="0" applyFont="1" applyBorder="1" applyAlignment="1">
      <alignment horizontal="center" vertical="center" wrapText="1"/>
    </xf>
    <xf numFmtId="0" fontId="43" fillId="0" borderId="69" xfId="0" applyFont="1" applyBorder="1" applyAlignment="1">
      <alignment horizontal="center" vertical="center" wrapText="1"/>
    </xf>
    <xf numFmtId="4" fontId="42" fillId="0" borderId="8" xfId="0" applyNumberFormat="1" applyFont="1" applyBorder="1" applyAlignment="1">
      <alignment horizontal="center"/>
    </xf>
    <xf numFmtId="4" fontId="42" fillId="0" borderId="7" xfId="0" applyNumberFormat="1" applyFont="1" applyBorder="1" applyAlignment="1">
      <alignment horizontal="center"/>
    </xf>
    <xf numFmtId="4" fontId="216" fillId="0" borderId="8" xfId="0" applyNumberFormat="1" applyFont="1" applyBorder="1" applyAlignment="1">
      <alignment horizontal="center"/>
    </xf>
    <xf numFmtId="4" fontId="216" fillId="0" borderId="7" xfId="0" applyNumberFormat="1" applyFont="1" applyBorder="1" applyAlignment="1">
      <alignment horizontal="center"/>
    </xf>
    <xf numFmtId="0" fontId="210" fillId="0" borderId="8" xfId="0" applyFont="1" applyBorder="1" applyAlignment="1">
      <alignment horizontal="center" vertical="center" wrapText="1"/>
    </xf>
    <xf numFmtId="0" fontId="210" fillId="0" borderId="9" xfId="0" applyFont="1" applyBorder="1" applyAlignment="1">
      <alignment horizontal="center" vertical="center" wrapText="1"/>
    </xf>
    <xf numFmtId="4" fontId="132" fillId="0" borderId="8" xfId="0" applyNumberFormat="1" applyFont="1" applyBorder="1" applyAlignment="1">
      <alignment horizontal="center"/>
    </xf>
    <xf numFmtId="4" fontId="132" fillId="0" borderId="7" xfId="0" applyNumberFormat="1" applyFont="1" applyBorder="1" applyAlignment="1">
      <alignment horizontal="center"/>
    </xf>
    <xf numFmtId="0" fontId="42" fillId="0" borderId="8" xfId="0" applyFont="1" applyBorder="1" applyAlignment="1">
      <alignment horizontal="center"/>
    </xf>
    <xf numFmtId="0" fontId="42" fillId="0" borderId="9" xfId="0" applyFont="1" applyBorder="1" applyAlignment="1">
      <alignment horizontal="center"/>
    </xf>
    <xf numFmtId="0" fontId="41" fillId="0" borderId="97" xfId="0" applyFont="1" applyBorder="1" applyAlignment="1">
      <alignment horizontal="center" vertical="center" wrapText="1"/>
    </xf>
    <xf numFmtId="0" fontId="41" fillId="0" borderId="77"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5" xfId="0" applyFont="1" applyBorder="1" applyAlignment="1">
      <alignment horizontal="center" vertical="center" wrapText="1"/>
    </xf>
    <xf numFmtId="0" fontId="42" fillId="0" borderId="79" xfId="0" applyFont="1" applyBorder="1" applyAlignment="1">
      <alignment horizontal="center" vertical="top" wrapText="1"/>
    </xf>
    <xf numFmtId="0" fontId="42" fillId="0" borderId="4" xfId="0" applyFont="1" applyBorder="1" applyAlignment="1">
      <alignment horizontal="center" vertical="top" wrapText="1"/>
    </xf>
    <xf numFmtId="0" fontId="42" fillId="0" borderId="3" xfId="0" applyFont="1" applyBorder="1" applyAlignment="1">
      <alignment horizontal="center" vertical="top" wrapText="1"/>
    </xf>
    <xf numFmtId="0" fontId="278" fillId="34" borderId="0" xfId="0" applyFont="1" applyFill="1" applyAlignment="1">
      <alignment horizontal="center" vertical="center" wrapText="1"/>
    </xf>
    <xf numFmtId="0" fontId="278" fillId="34" borderId="0" xfId="0" applyFont="1" applyFill="1" applyAlignment="1">
      <alignment horizontal="center" wrapText="1"/>
    </xf>
    <xf numFmtId="0" fontId="42" fillId="0" borderId="79" xfId="0" applyFont="1" applyBorder="1" applyAlignment="1">
      <alignment horizontal="center" vertical="top"/>
    </xf>
    <xf numFmtId="0" fontId="42" fillId="0" borderId="4" xfId="0" applyFont="1" applyBorder="1" applyAlignment="1">
      <alignment horizontal="center" vertical="top"/>
    </xf>
    <xf numFmtId="0" fontId="42" fillId="0" borderId="3" xfId="0" applyFont="1" applyBorder="1" applyAlignment="1">
      <alignment horizontal="center" vertical="top"/>
    </xf>
    <xf numFmtId="0" fontId="41" fillId="0" borderId="1" xfId="0" applyFont="1" applyBorder="1" applyAlignment="1">
      <alignment horizontal="center" vertical="center" wrapText="1"/>
    </xf>
    <xf numFmtId="0" fontId="278" fillId="0" borderId="0" xfId="0" applyFont="1" applyAlignment="1">
      <alignment horizontal="center" vertical="center" wrapText="1"/>
    </xf>
    <xf numFmtId="0" fontId="278" fillId="0" borderId="0" xfId="0" applyFont="1" applyAlignment="1">
      <alignment horizontal="center" wrapText="1"/>
    </xf>
    <xf numFmtId="0" fontId="41" fillId="0" borderId="4" xfId="0" applyFont="1" applyBorder="1" applyAlignment="1">
      <alignment horizontal="center" vertical="center" wrapText="1"/>
    </xf>
    <xf numFmtId="0" fontId="216" fillId="34" borderId="5" xfId="0" applyFont="1" applyFill="1" applyBorder="1" applyAlignment="1">
      <alignment horizontal="left" wrapText="1"/>
    </xf>
    <xf numFmtId="0" fontId="132" fillId="0" borderId="79" xfId="0" applyFont="1" applyBorder="1" applyAlignment="1">
      <alignment horizontal="center" vertical="center" wrapText="1"/>
    </xf>
    <xf numFmtId="0" fontId="132" fillId="0" borderId="3" xfId="0" applyFont="1" applyBorder="1" applyAlignment="1">
      <alignment horizontal="center" vertical="center" wrapText="1"/>
    </xf>
    <xf numFmtId="4" fontId="132" fillId="0" borderId="8" xfId="0" applyNumberFormat="1" applyFont="1" applyBorder="1" applyAlignment="1">
      <alignment horizontal="center" vertical="center" wrapText="1"/>
    </xf>
    <xf numFmtId="4" fontId="132" fillId="0" borderId="9" xfId="0" applyNumberFormat="1" applyFont="1" applyBorder="1" applyAlignment="1">
      <alignment horizontal="center" vertical="center" wrapText="1"/>
    </xf>
    <xf numFmtId="4" fontId="132" fillId="0" borderId="7" xfId="0" applyNumberFormat="1" applyFont="1" applyBorder="1" applyAlignment="1">
      <alignment horizontal="center" vertical="center" wrapText="1"/>
    </xf>
    <xf numFmtId="0" fontId="132" fillId="34" borderId="79" xfId="0" applyFont="1" applyFill="1" applyBorder="1" applyAlignment="1">
      <alignment horizontal="center" vertical="center" wrapText="1"/>
    </xf>
    <xf numFmtId="0" fontId="132" fillId="34" borderId="3" xfId="0" applyFont="1" applyFill="1" applyBorder="1" applyAlignment="1">
      <alignment horizontal="center" vertical="center" wrapText="1"/>
    </xf>
    <xf numFmtId="4" fontId="132" fillId="34" borderId="8" xfId="0" applyNumberFormat="1" applyFont="1" applyFill="1" applyBorder="1" applyAlignment="1">
      <alignment horizontal="center" vertical="center" wrapText="1"/>
    </xf>
    <xf numFmtId="4" fontId="132" fillId="34" borderId="9" xfId="0" applyNumberFormat="1" applyFont="1" applyFill="1" applyBorder="1" applyAlignment="1">
      <alignment horizontal="center" vertical="center" wrapText="1"/>
    </xf>
    <xf numFmtId="4" fontId="132" fillId="34" borderId="7" xfId="0" applyNumberFormat="1" applyFont="1" applyFill="1" applyBorder="1" applyAlignment="1">
      <alignment horizontal="center" vertical="center" wrapText="1"/>
    </xf>
    <xf numFmtId="0" fontId="238" fillId="0" borderId="10" xfId="0" applyFont="1" applyBorder="1" applyAlignment="1">
      <alignment horizontal="left" vertical="center" wrapText="1"/>
    </xf>
    <xf numFmtId="0" fontId="238" fillId="0" borderId="5" xfId="0" applyFont="1" applyBorder="1" applyAlignment="1">
      <alignment horizontal="left" vertical="center" wrapText="1"/>
    </xf>
    <xf numFmtId="0" fontId="94" fillId="0" borderId="5" xfId="0" applyFont="1" applyBorder="1" applyAlignment="1">
      <alignment horizontal="center"/>
    </xf>
    <xf numFmtId="0" fontId="94" fillId="0" borderId="5" xfId="0" applyFont="1" applyBorder="1" applyAlignment="1">
      <alignment horizontal="center" wrapText="1"/>
    </xf>
    <xf numFmtId="0" fontId="44" fillId="0" borderId="0" xfId="0" applyFont="1" applyAlignment="1">
      <alignment horizontal="left" vertical="center" wrapText="1"/>
    </xf>
    <xf numFmtId="49" fontId="51" fillId="0" borderId="0" xfId="240" applyNumberFormat="1" applyFont="1" applyAlignment="1">
      <alignment horizontal="center"/>
    </xf>
    <xf numFmtId="49" fontId="40" fillId="0" borderId="88" xfId="240" applyNumberFormat="1" applyFont="1" applyBorder="1" applyAlignment="1">
      <alignment horizontal="center" vertical="center" wrapText="1"/>
    </xf>
    <xf numFmtId="49" fontId="40" fillId="0" borderId="52" xfId="240" applyNumberFormat="1" applyFont="1" applyBorder="1" applyAlignment="1">
      <alignment horizontal="center" vertical="center" wrapText="1"/>
    </xf>
    <xf numFmtId="49" fontId="40" fillId="0" borderId="53" xfId="240" applyNumberFormat="1" applyFont="1" applyBorder="1" applyAlignment="1">
      <alignment horizontal="center" vertical="center" wrapText="1"/>
    </xf>
    <xf numFmtId="0" fontId="43" fillId="0" borderId="1" xfId="240" applyFont="1" applyBorder="1" applyAlignment="1">
      <alignment horizontal="center" vertical="center" wrapText="1"/>
    </xf>
    <xf numFmtId="0" fontId="0" fillId="76" borderId="1" xfId="0" applyFill="1" applyBorder="1" applyAlignment="1">
      <alignment horizontal="center"/>
    </xf>
    <xf numFmtId="0" fontId="0" fillId="33" borderId="1" xfId="0" applyFill="1" applyBorder="1" applyAlignment="1">
      <alignment horizontal="center"/>
    </xf>
    <xf numFmtId="0" fontId="0" fillId="2" borderId="1" xfId="0" applyFill="1" applyBorder="1" applyAlignment="1">
      <alignment horizontal="center"/>
    </xf>
    <xf numFmtId="0" fontId="129" fillId="0" borderId="9" xfId="0" applyFont="1" applyBorder="1" applyAlignment="1">
      <alignment horizontal="center" vertical="center"/>
    </xf>
    <xf numFmtId="0" fontId="42" fillId="0" borderId="9" xfId="240" applyFont="1" applyBorder="1" applyAlignment="1">
      <alignment horizontal="center" vertical="center" wrapText="1"/>
    </xf>
    <xf numFmtId="0" fontId="42" fillId="0" borderId="1" xfId="0" applyFont="1" applyBorder="1" applyAlignment="1">
      <alignment horizontal="center"/>
    </xf>
    <xf numFmtId="0" fontId="51" fillId="0" borderId="1" xfId="0" applyFont="1" applyBorder="1" applyAlignment="1">
      <alignment horizontal="center"/>
    </xf>
    <xf numFmtId="0" fontId="129" fillId="0" borderId="7" xfId="0" applyFont="1" applyBorder="1" applyAlignment="1">
      <alignment horizontal="center" vertical="center"/>
    </xf>
    <xf numFmtId="0" fontId="51" fillId="0" borderId="33" xfId="0" applyFont="1" applyBorder="1" applyAlignment="1">
      <alignment horizontal="center" vertical="center" wrapText="1"/>
    </xf>
    <xf numFmtId="0" fontId="51" fillId="0" borderId="32" xfId="0" applyFont="1" applyBorder="1" applyAlignment="1">
      <alignment horizontal="center" vertical="center" wrapText="1"/>
    </xf>
    <xf numFmtId="0" fontId="51" fillId="0" borderId="23" xfId="0" applyFont="1" applyBorder="1" applyAlignment="1">
      <alignment horizontal="center" vertical="center" wrapText="1"/>
    </xf>
    <xf numFmtId="0" fontId="92" fillId="0" borderId="30" xfId="0" applyFont="1" applyBorder="1" applyAlignment="1">
      <alignment horizontal="center" vertical="center" wrapText="1"/>
    </xf>
    <xf numFmtId="0" fontId="92" fillId="0" borderId="31" xfId="0" applyFont="1" applyBorder="1" applyAlignment="1">
      <alignment horizontal="center" vertical="center" wrapText="1"/>
    </xf>
    <xf numFmtId="0" fontId="50" fillId="0" borderId="0" xfId="0" quotePrefix="1" applyFont="1" applyAlignment="1">
      <alignment horizontal="left" vertical="top" wrapText="1"/>
    </xf>
    <xf numFmtId="0" fontId="50" fillId="0" borderId="0" xfId="0" applyFont="1" applyAlignment="1">
      <alignment horizontal="left" vertical="top" wrapText="1"/>
    </xf>
    <xf numFmtId="0" fontId="135" fillId="0" borderId="0" xfId="0" applyFont="1" applyAlignment="1">
      <alignment horizontal="center" vertical="top" wrapText="1"/>
    </xf>
    <xf numFmtId="0" fontId="135" fillId="0" borderId="1" xfId="116" applyFont="1" applyBorder="1" applyAlignment="1">
      <alignment horizontal="center" vertical="center"/>
    </xf>
    <xf numFmtId="0" fontId="92" fillId="0" borderId="7" xfId="0" applyFont="1" applyBorder="1" applyAlignment="1">
      <alignment horizontal="center"/>
    </xf>
    <xf numFmtId="0" fontId="92" fillId="0" borderId="1" xfId="0" applyFont="1" applyBorder="1" applyAlignment="1">
      <alignment horizontal="center"/>
    </xf>
    <xf numFmtId="0" fontId="92" fillId="0" borderId="1" xfId="0" applyFont="1" applyBorder="1" applyAlignment="1">
      <alignment horizontal="center" vertical="center"/>
    </xf>
    <xf numFmtId="0" fontId="135" fillId="0" borderId="79" xfId="116" applyFont="1" applyBorder="1" applyAlignment="1">
      <alignment horizontal="center" vertical="center" wrapText="1"/>
    </xf>
    <xf numFmtId="0" fontId="135" fillId="0" borderId="4" xfId="116" applyFont="1" applyBorder="1" applyAlignment="1">
      <alignment horizontal="center" vertical="center" wrapText="1"/>
    </xf>
    <xf numFmtId="0" fontId="135" fillId="0" borderId="3" xfId="116" applyFont="1" applyBorder="1" applyAlignment="1">
      <alignment horizontal="center" vertical="center" wrapText="1"/>
    </xf>
    <xf numFmtId="0" fontId="92" fillId="0" borderId="0" xfId="0" applyFont="1" applyAlignment="1">
      <alignment horizontal="center" wrapText="1"/>
    </xf>
    <xf numFmtId="0" fontId="135" fillId="0" borderId="33" xfId="0" applyFont="1" applyBorder="1" applyAlignment="1">
      <alignment vertical="center" wrapText="1"/>
    </xf>
    <xf numFmtId="0" fontId="135" fillId="0" borderId="32" xfId="0" applyFont="1" applyBorder="1" applyAlignment="1">
      <alignment vertical="center" wrapText="1"/>
    </xf>
    <xf numFmtId="0" fontId="135" fillId="0" borderId="23" xfId="0" applyFont="1" applyBorder="1" applyAlignment="1">
      <alignment vertical="center" wrapText="1"/>
    </xf>
    <xf numFmtId="2" fontId="51" fillId="0" borderId="98" xfId="552" applyNumberFormat="1" applyFont="1" applyBorder="1" applyAlignment="1">
      <alignment horizontal="center"/>
    </xf>
    <xf numFmtId="2" fontId="51" fillId="0" borderId="63" xfId="552" applyNumberFormat="1" applyFont="1" applyBorder="1" applyAlignment="1">
      <alignment horizontal="center"/>
    </xf>
    <xf numFmtId="2" fontId="51" fillId="0" borderId="31" xfId="552" applyNumberFormat="1" applyFont="1" applyBorder="1" applyAlignment="1">
      <alignment horizontal="center"/>
    </xf>
    <xf numFmtId="2" fontId="51" fillId="0" borderId="30" xfId="552" applyNumberFormat="1" applyFont="1" applyBorder="1" applyAlignment="1">
      <alignment horizontal="center"/>
    </xf>
    <xf numFmtId="0" fontId="42" fillId="0" borderId="1" xfId="552" applyFont="1" applyBorder="1" applyAlignment="1">
      <alignment horizontal="center"/>
    </xf>
    <xf numFmtId="0" fontId="42" fillId="0" borderId="8" xfId="552" applyFont="1" applyBorder="1" applyAlignment="1">
      <alignment horizontal="center"/>
    </xf>
    <xf numFmtId="0" fontId="42" fillId="0" borderId="7" xfId="552" applyFont="1" applyBorder="1" applyAlignment="1">
      <alignment horizontal="center"/>
    </xf>
    <xf numFmtId="0" fontId="42" fillId="0" borderId="0" xfId="552" applyFont="1" applyAlignment="1">
      <alignment horizontal="center"/>
    </xf>
    <xf numFmtId="4" fontId="205" fillId="0" borderId="5" xfId="0" applyNumberFormat="1" applyFont="1" applyBorder="1" applyAlignment="1">
      <alignment horizontal="center"/>
    </xf>
    <xf numFmtId="0" fontId="43" fillId="0" borderId="5" xfId="0" applyFont="1" applyBorder="1" applyAlignment="1">
      <alignment horizontal="center" wrapText="1"/>
    </xf>
    <xf numFmtId="0" fontId="43" fillId="0" borderId="8" xfId="0" applyFont="1" applyBorder="1" applyAlignment="1">
      <alignment horizontal="center"/>
    </xf>
    <xf numFmtId="0" fontId="43" fillId="0" borderId="9" xfId="0" applyFont="1" applyBorder="1" applyAlignment="1">
      <alignment horizontal="center"/>
    </xf>
    <xf numFmtId="0" fontId="43" fillId="0" borderId="7" xfId="0" applyFont="1" applyBorder="1" applyAlignment="1">
      <alignment horizontal="center"/>
    </xf>
    <xf numFmtId="0" fontId="43" fillId="0" borderId="1" xfId="546" applyFont="1" applyBorder="1" applyAlignment="1">
      <alignment horizontal="center" vertical="center"/>
    </xf>
    <xf numFmtId="0" fontId="43" fillId="3" borderId="0" xfId="546" applyFont="1" applyFill="1" applyAlignment="1">
      <alignment horizontal="left" vertical="center" wrapText="1"/>
    </xf>
    <xf numFmtId="0" fontId="43" fillId="0" borderId="48" xfId="546" applyFont="1" applyBorder="1" applyAlignment="1">
      <alignment horizontal="center" vertical="center"/>
    </xf>
    <xf numFmtId="0" fontId="43" fillId="0" borderId="95" xfId="546" applyFont="1" applyBorder="1" applyAlignment="1">
      <alignment horizontal="center" vertical="center"/>
    </xf>
    <xf numFmtId="0" fontId="43" fillId="0" borderId="49" xfId="546" applyFont="1" applyBorder="1" applyAlignment="1">
      <alignment horizontal="center" vertical="center"/>
    </xf>
    <xf numFmtId="0" fontId="43" fillId="0" borderId="94" xfId="546" applyFont="1" applyBorder="1" applyAlignment="1">
      <alignment horizontal="center" vertical="center"/>
    </xf>
    <xf numFmtId="0" fontId="43" fillId="0" borderId="50" xfId="546" applyFont="1" applyBorder="1" applyAlignment="1">
      <alignment horizontal="center" vertical="center"/>
    </xf>
    <xf numFmtId="0" fontId="43" fillId="0" borderId="116" xfId="546" applyFont="1" applyBorder="1" applyAlignment="1">
      <alignment horizontal="center" vertical="center"/>
    </xf>
    <xf numFmtId="0" fontId="165" fillId="0" borderId="0" xfId="546" applyFont="1" applyAlignment="1">
      <alignment horizontal="center" vertical="center"/>
    </xf>
    <xf numFmtId="0" fontId="51" fillId="0" borderId="0" xfId="546" applyFont="1" applyAlignment="1">
      <alignment horizontal="center"/>
    </xf>
    <xf numFmtId="0" fontId="175" fillId="0" borderId="5" xfId="0" applyFont="1" applyBorder="1" applyAlignment="1">
      <alignment horizontal="right"/>
    </xf>
    <xf numFmtId="0" fontId="43" fillId="0" borderId="0" xfId="546" applyFont="1" applyAlignment="1">
      <alignment horizontal="center"/>
    </xf>
    <xf numFmtId="0" fontId="0" fillId="0" borderId="0" xfId="0" applyAlignment="1">
      <alignment horizontal="left" wrapText="1"/>
    </xf>
    <xf numFmtId="0" fontId="50" fillId="64" borderId="0" xfId="134" applyFont="1" applyFill="1" applyAlignment="1">
      <alignment horizontal="left" wrapText="1"/>
    </xf>
    <xf numFmtId="0" fontId="50" fillId="64" borderId="87" xfId="134" applyFont="1" applyFill="1" applyBorder="1" applyAlignment="1">
      <alignment horizontal="left" wrapText="1"/>
    </xf>
    <xf numFmtId="4" fontId="154" fillId="71" borderId="52" xfId="134" applyNumberFormat="1" applyFont="1" applyFill="1" applyBorder="1" applyAlignment="1">
      <alignment horizontal="center" vertical="center"/>
    </xf>
    <xf numFmtId="0" fontId="154" fillId="71" borderId="73" xfId="134" applyFont="1" applyFill="1" applyBorder="1" applyAlignment="1">
      <alignment horizontal="center" vertical="center"/>
    </xf>
    <xf numFmtId="0" fontId="50" fillId="0" borderId="0" xfId="134" applyFont="1" applyAlignment="1">
      <alignment horizontal="center"/>
    </xf>
    <xf numFmtId="0" fontId="154" fillId="71" borderId="52" xfId="134" applyFont="1" applyFill="1" applyBorder="1" applyAlignment="1">
      <alignment horizontal="center" vertical="center"/>
    </xf>
    <xf numFmtId="0" fontId="154" fillId="71" borderId="53" xfId="134" applyFont="1" applyFill="1" applyBorder="1" applyAlignment="1">
      <alignment horizontal="center" vertical="center"/>
    </xf>
    <xf numFmtId="0" fontId="154" fillId="71" borderId="72" xfId="134" applyFont="1" applyFill="1" applyBorder="1" applyAlignment="1">
      <alignment horizontal="center" vertical="center"/>
    </xf>
    <xf numFmtId="3" fontId="154" fillId="71" borderId="52" xfId="134" applyNumberFormat="1" applyFont="1" applyFill="1" applyBorder="1" applyAlignment="1">
      <alignment horizontal="center" vertical="center"/>
    </xf>
    <xf numFmtId="3" fontId="154" fillId="71" borderId="73" xfId="134" applyNumberFormat="1" applyFont="1" applyFill="1" applyBorder="1" applyAlignment="1">
      <alignment horizontal="center" vertical="center"/>
    </xf>
    <xf numFmtId="16" fontId="161" fillId="64" borderId="71" xfId="134" applyNumberFormat="1" applyFont="1" applyFill="1" applyBorder="1" applyAlignment="1">
      <alignment horizontal="center" vertical="center" wrapText="1"/>
    </xf>
    <xf numFmtId="16" fontId="161" fillId="64" borderId="32" xfId="134" applyNumberFormat="1" applyFont="1" applyFill="1" applyBorder="1" applyAlignment="1">
      <alignment horizontal="center" vertical="center" wrapText="1"/>
    </xf>
    <xf numFmtId="16" fontId="161" fillId="64" borderId="89" xfId="134" applyNumberFormat="1" applyFont="1" applyFill="1" applyBorder="1" applyAlignment="1">
      <alignment horizontal="center" vertical="center" wrapText="1"/>
    </xf>
    <xf numFmtId="0" fontId="136" fillId="34" borderId="28" xfId="134" applyFont="1" applyFill="1" applyBorder="1" applyAlignment="1">
      <alignment horizontal="left"/>
    </xf>
    <xf numFmtId="0" fontId="136" fillId="34" borderId="0" xfId="134" applyFont="1" applyFill="1" applyAlignment="1">
      <alignment horizontal="left"/>
    </xf>
    <xf numFmtId="4" fontId="154" fillId="71" borderId="88" xfId="134" applyNumberFormat="1" applyFont="1" applyFill="1" applyBorder="1" applyAlignment="1">
      <alignment horizontal="center" vertical="center"/>
    </xf>
    <xf numFmtId="0" fontId="154" fillId="71" borderId="90" xfId="134" applyFont="1" applyFill="1" applyBorder="1" applyAlignment="1">
      <alignment horizontal="center" vertical="center"/>
    </xf>
    <xf numFmtId="0" fontId="212" fillId="0" borderId="10" xfId="134" applyFont="1" applyBorder="1" applyAlignment="1">
      <alignment horizontal="center" vertical="center"/>
    </xf>
    <xf numFmtId="0" fontId="212" fillId="0" borderId="5" xfId="134" applyFont="1" applyBorder="1" applyAlignment="1">
      <alignment horizontal="center" vertical="center"/>
    </xf>
    <xf numFmtId="0" fontId="212" fillId="0" borderId="9" xfId="134" applyFont="1" applyBorder="1" applyAlignment="1">
      <alignment horizontal="center" vertical="center"/>
    </xf>
    <xf numFmtId="0" fontId="212" fillId="0" borderId="7" xfId="134" applyFont="1" applyBorder="1" applyAlignment="1">
      <alignment horizontal="center" vertical="center"/>
    </xf>
    <xf numFmtId="0" fontId="212" fillId="0" borderId="8" xfId="134" applyFont="1" applyBorder="1" applyAlignment="1">
      <alignment horizontal="center" vertical="center"/>
    </xf>
    <xf numFmtId="0" fontId="136" fillId="67" borderId="97" xfId="134" applyFont="1" applyFill="1" applyBorder="1" applyAlignment="1">
      <alignment horizontal="center"/>
    </xf>
    <xf numFmtId="0" fontId="136" fillId="67" borderId="77" xfId="134" applyFont="1" applyFill="1" applyBorder="1" applyAlignment="1">
      <alignment horizontal="center"/>
    </xf>
    <xf numFmtId="0" fontId="136" fillId="67" borderId="0" xfId="134" applyFont="1" applyFill="1" applyAlignment="1">
      <alignment horizontal="center"/>
    </xf>
    <xf numFmtId="0" fontId="161" fillId="0" borderId="57" xfId="549" applyFont="1" applyBorder="1" applyAlignment="1">
      <alignment horizontal="center" vertical="center" wrapText="1"/>
    </xf>
    <xf numFmtId="0" fontId="161" fillId="0" borderId="59" xfId="549" applyFont="1" applyBorder="1" applyAlignment="1">
      <alignment horizontal="center" vertical="center" wrapText="1"/>
    </xf>
    <xf numFmtId="0" fontId="161" fillId="0" borderId="57" xfId="134" applyFont="1" applyBorder="1" applyAlignment="1">
      <alignment horizontal="center" vertical="center" wrapText="1"/>
    </xf>
    <xf numFmtId="0" fontId="161" fillId="0" borderId="59" xfId="134" applyFont="1" applyBorder="1" applyAlignment="1">
      <alignment horizontal="center" vertical="center" wrapText="1"/>
    </xf>
    <xf numFmtId="0" fontId="50" fillId="0" borderId="57" xfId="134" applyFont="1" applyBorder="1" applyAlignment="1">
      <alignment horizontal="center" vertical="center"/>
    </xf>
    <xf numFmtId="0" fontId="50" fillId="0" borderId="39" xfId="134" applyFont="1" applyBorder="1" applyAlignment="1">
      <alignment horizontal="center" vertical="center"/>
    </xf>
    <xf numFmtId="0" fontId="50" fillId="0" borderId="44" xfId="134" applyFont="1" applyBorder="1" applyAlignment="1">
      <alignment horizontal="center" vertical="center"/>
    </xf>
    <xf numFmtId="0" fontId="132" fillId="0" borderId="58" xfId="134" applyFont="1" applyBorder="1" applyAlignment="1">
      <alignment horizontal="center" vertical="center"/>
    </xf>
    <xf numFmtId="0" fontId="132" fillId="0" borderId="1" xfId="134" applyFont="1" applyBorder="1" applyAlignment="1">
      <alignment horizontal="center" vertical="center"/>
    </xf>
    <xf numFmtId="0" fontId="132" fillId="0" borderId="45" xfId="134" applyFont="1" applyBorder="1" applyAlignment="1">
      <alignment horizontal="center" vertical="center"/>
    </xf>
    <xf numFmtId="0" fontId="169" fillId="0" borderId="59" xfId="134" applyFont="1" applyBorder="1" applyAlignment="1">
      <alignment horizontal="center" textRotation="90" wrapText="1"/>
    </xf>
    <xf numFmtId="0" fontId="169" fillId="0" borderId="40" xfId="134" applyFont="1" applyBorder="1" applyAlignment="1">
      <alignment horizontal="center" textRotation="90" wrapText="1"/>
    </xf>
    <xf numFmtId="0" fontId="169" fillId="0" borderId="46" xfId="134" applyFont="1" applyBorder="1" applyAlignment="1">
      <alignment horizontal="center" textRotation="90" wrapText="1"/>
    </xf>
    <xf numFmtId="0" fontId="161" fillId="0" borderId="57" xfId="134" applyFont="1" applyBorder="1" applyAlignment="1">
      <alignment horizontal="center"/>
    </xf>
    <xf numFmtId="0" fontId="161" fillId="0" borderId="59" xfId="134" applyFont="1" applyBorder="1" applyAlignment="1">
      <alignment horizontal="center"/>
    </xf>
    <xf numFmtId="0" fontId="161" fillId="0" borderId="60" xfId="134" applyFont="1" applyBorder="1" applyAlignment="1">
      <alignment horizontal="center"/>
    </xf>
    <xf numFmtId="0" fontId="161" fillId="0" borderId="61" xfId="134" applyFont="1" applyBorder="1" applyAlignment="1">
      <alignment horizontal="center"/>
    </xf>
    <xf numFmtId="0" fontId="161" fillId="0" borderId="62" xfId="134" applyFont="1" applyBorder="1" applyAlignment="1">
      <alignment horizontal="center"/>
    </xf>
    <xf numFmtId="0" fontId="161" fillId="0" borderId="39" xfId="134" applyFont="1" applyBorder="1" applyAlignment="1">
      <alignment horizontal="center" vertical="center" wrapText="1"/>
    </xf>
    <xf numFmtId="0" fontId="161" fillId="0" borderId="40" xfId="134" applyFont="1" applyBorder="1" applyAlignment="1">
      <alignment horizontal="center" vertical="center" wrapText="1"/>
    </xf>
    <xf numFmtId="0" fontId="161" fillId="0" borderId="57" xfId="134" applyFont="1" applyBorder="1" applyAlignment="1">
      <alignment horizontal="center" vertical="center"/>
    </xf>
    <xf numFmtId="0" fontId="161" fillId="0" borderId="59" xfId="134" applyFont="1" applyBorder="1" applyAlignment="1">
      <alignment horizontal="center" vertical="center"/>
    </xf>
    <xf numFmtId="0" fontId="136" fillId="67" borderId="28" xfId="134" applyFont="1" applyFill="1" applyBorder="1" applyAlignment="1">
      <alignment horizontal="right"/>
    </xf>
    <xf numFmtId="0" fontId="136" fillId="67" borderId="0" xfId="134" applyFont="1" applyFill="1" applyAlignment="1">
      <alignment horizontal="right"/>
    </xf>
    <xf numFmtId="0" fontId="136" fillId="0" borderId="0" xfId="134" applyFont="1" applyAlignment="1">
      <alignment horizontal="center"/>
    </xf>
    <xf numFmtId="188" fontId="50" fillId="0" borderId="0" xfId="134" applyNumberFormat="1" applyFont="1" applyAlignment="1">
      <alignment horizontal="center"/>
    </xf>
    <xf numFmtId="0" fontId="41" fillId="0" borderId="0" xfId="547" applyFont="1" applyAlignment="1">
      <alignment horizontal="center" wrapText="1"/>
    </xf>
    <xf numFmtId="0" fontId="43" fillId="0" borderId="0" xfId="547" applyFont="1" applyAlignment="1">
      <alignment horizontal="center" wrapText="1"/>
    </xf>
    <xf numFmtId="0" fontId="42" fillId="0" borderId="57" xfId="547" applyFont="1" applyBorder="1" applyAlignment="1">
      <alignment horizontal="center" vertical="center" wrapText="1"/>
    </xf>
    <xf numFmtId="0" fontId="42" fillId="0" borderId="39" xfId="547" applyFont="1" applyBorder="1" applyAlignment="1">
      <alignment horizontal="center" vertical="center" wrapText="1"/>
    </xf>
    <xf numFmtId="0" fontId="42" fillId="0" borderId="44" xfId="547" applyFont="1" applyBorder="1" applyAlignment="1">
      <alignment horizontal="center" vertical="center" wrapText="1"/>
    </xf>
    <xf numFmtId="0" fontId="42" fillId="0" borderId="49" xfId="547" applyFont="1" applyBorder="1" applyAlignment="1">
      <alignment horizontal="center" vertical="center" wrapText="1"/>
    </xf>
    <xf numFmtId="0" fontId="42" fillId="0" borderId="4" xfId="547" applyFont="1" applyBorder="1" applyAlignment="1">
      <alignment horizontal="center" vertical="center" wrapText="1"/>
    </xf>
    <xf numFmtId="0" fontId="42" fillId="0" borderId="94" xfId="547" applyFont="1" applyBorder="1" applyAlignment="1">
      <alignment horizontal="center" vertical="center" wrapText="1"/>
    </xf>
    <xf numFmtId="0" fontId="42" fillId="0" borderId="58" xfId="547" applyFont="1" applyBorder="1" applyAlignment="1">
      <alignment horizontal="center" vertical="center" wrapText="1"/>
    </xf>
    <xf numFmtId="0" fontId="42" fillId="0" borderId="1" xfId="547" applyFont="1" applyBorder="1" applyAlignment="1">
      <alignment horizontal="center" vertical="center" wrapText="1"/>
    </xf>
    <xf numFmtId="0" fontId="42" fillId="0" borderId="45" xfId="547" applyFont="1" applyBorder="1" applyAlignment="1">
      <alignment horizontal="center" vertical="center" wrapText="1"/>
    </xf>
    <xf numFmtId="0" fontId="42" fillId="0" borderId="58" xfId="547" applyFont="1" applyBorder="1" applyAlignment="1">
      <alignment horizontal="center" vertical="center" textRotation="90" wrapText="1"/>
    </xf>
    <xf numFmtId="0" fontId="42" fillId="0" borderId="1" xfId="547" applyFont="1" applyBorder="1" applyAlignment="1">
      <alignment horizontal="center" vertical="center" textRotation="90" wrapText="1"/>
    </xf>
    <xf numFmtId="0" fontId="42" fillId="0" borderId="45" xfId="547" applyFont="1" applyBorder="1" applyAlignment="1">
      <alignment horizontal="center" vertical="center" textRotation="90" wrapText="1"/>
    </xf>
    <xf numFmtId="0" fontId="42" fillId="0" borderId="50" xfId="547" applyFont="1" applyBorder="1" applyAlignment="1">
      <alignment horizontal="center" vertical="center" wrapText="1"/>
    </xf>
    <xf numFmtId="0" fontId="42" fillId="0" borderId="25" xfId="547" applyFont="1" applyBorder="1" applyAlignment="1">
      <alignment horizontal="center" vertical="center" wrapText="1"/>
    </xf>
    <xf numFmtId="0" fontId="42" fillId="0" borderId="116" xfId="547" applyFont="1" applyBorder="1" applyAlignment="1">
      <alignment horizontal="center" vertical="center" wrapText="1"/>
    </xf>
    <xf numFmtId="0" fontId="43" fillId="3" borderId="0" xfId="547" applyFont="1" applyFill="1" applyAlignment="1">
      <alignment horizontal="center" wrapText="1"/>
    </xf>
    <xf numFmtId="0" fontId="42" fillId="0" borderId="64" xfId="547" applyFont="1" applyBorder="1" applyAlignment="1">
      <alignment horizontal="center" wrapText="1"/>
    </xf>
    <xf numFmtId="0" fontId="42" fillId="0" borderId="8" xfId="547" applyFont="1" applyBorder="1" applyAlignment="1">
      <alignment horizontal="center" wrapText="1"/>
    </xf>
    <xf numFmtId="0" fontId="42" fillId="0" borderId="55" xfId="547" applyFont="1" applyBorder="1" applyAlignment="1">
      <alignment horizontal="center" wrapText="1"/>
    </xf>
    <xf numFmtId="0" fontId="41" fillId="0" borderId="66" xfId="547" applyFont="1" applyBorder="1" applyAlignment="1">
      <alignment horizontal="center" vertical="center" wrapText="1"/>
    </xf>
    <xf numFmtId="0" fontId="41" fillId="0" borderId="67" xfId="547" applyFont="1" applyBorder="1" applyAlignment="1">
      <alignment horizontal="center" vertical="center" wrapText="1"/>
    </xf>
    <xf numFmtId="0" fontId="41" fillId="0" borderId="68" xfId="547" applyFont="1" applyBorder="1" applyAlignment="1">
      <alignment horizontal="center" vertical="center" wrapText="1"/>
    </xf>
    <xf numFmtId="0" fontId="42" fillId="0" borderId="0" xfId="0" applyFont="1" applyAlignment="1">
      <alignment horizontal="left" vertical="top" wrapText="1"/>
    </xf>
    <xf numFmtId="2" fontId="42" fillId="0" borderId="0" xfId="0" applyNumberFormat="1" applyFont="1" applyAlignment="1">
      <alignment horizontal="left"/>
    </xf>
    <xf numFmtId="0" fontId="241" fillId="0" borderId="29" xfId="0" applyFont="1" applyBorder="1" applyAlignment="1">
      <alignment wrapText="1"/>
    </xf>
    <xf numFmtId="0" fontId="241" fillId="0" borderId="35" xfId="0" applyFont="1" applyBorder="1" applyAlignment="1">
      <alignment wrapText="1"/>
    </xf>
    <xf numFmtId="0" fontId="241" fillId="0" borderId="56" xfId="0" applyFont="1" applyBorder="1" applyAlignment="1">
      <alignment wrapText="1"/>
    </xf>
    <xf numFmtId="0" fontId="244" fillId="0" borderId="0" xfId="0" applyFont="1" applyAlignment="1">
      <alignment horizontal="left" vertical="top" wrapText="1"/>
    </xf>
    <xf numFmtId="0" fontId="241" fillId="0" borderId="30" xfId="0" applyFont="1" applyBorder="1" applyAlignment="1">
      <alignment wrapText="1"/>
    </xf>
    <xf numFmtId="0" fontId="241" fillId="0" borderId="36" xfId="0" applyFont="1" applyBorder="1" applyAlignment="1">
      <alignment wrapText="1"/>
    </xf>
    <xf numFmtId="0" fontId="241" fillId="0" borderId="31" xfId="0" applyFont="1" applyBorder="1" applyAlignment="1">
      <alignment wrapText="1"/>
    </xf>
    <xf numFmtId="0" fontId="241" fillId="0" borderId="95" xfId="0" applyFont="1" applyBorder="1" applyAlignment="1">
      <alignment wrapText="1"/>
    </xf>
    <xf numFmtId="0" fontId="241" fillId="0" borderId="94" xfId="0" applyFont="1" applyBorder="1" applyAlignment="1">
      <alignment wrapText="1"/>
    </xf>
    <xf numFmtId="0" fontId="241" fillId="0" borderId="125" xfId="0" applyFont="1" applyBorder="1" applyAlignment="1">
      <alignment wrapText="1"/>
    </xf>
    <xf numFmtId="0" fontId="130" fillId="0" borderId="35" xfId="0" applyFont="1" applyBorder="1" applyAlignment="1">
      <alignment horizontal="center" vertical="center" wrapText="1"/>
    </xf>
    <xf numFmtId="0" fontId="241" fillId="0" borderId="51" xfId="0" applyFont="1" applyBorder="1" applyAlignment="1">
      <alignment wrapText="1"/>
    </xf>
    <xf numFmtId="0" fontId="241" fillId="0" borderId="4" xfId="0" applyFont="1" applyBorder="1" applyAlignment="1">
      <alignment wrapText="1"/>
    </xf>
    <xf numFmtId="0" fontId="241" fillId="0" borderId="70" xfId="0" applyFont="1" applyBorder="1" applyAlignment="1">
      <alignment wrapText="1"/>
    </xf>
    <xf numFmtId="0" fontId="241" fillId="0" borderId="44" xfId="0" applyFont="1" applyBorder="1" applyAlignment="1">
      <alignment wrapText="1"/>
    </xf>
    <xf numFmtId="0" fontId="241" fillId="0" borderId="45" xfId="0" applyFont="1" applyBorder="1" applyAlignment="1">
      <alignment wrapText="1"/>
    </xf>
    <xf numFmtId="0" fontId="241" fillId="0" borderId="46" xfId="0" applyFont="1" applyBorder="1" applyAlignment="1">
      <alignment wrapText="1"/>
    </xf>
    <xf numFmtId="0" fontId="241" fillId="0" borderId="53" xfId="0" applyFont="1" applyBorder="1" applyAlignment="1">
      <alignment wrapText="1"/>
    </xf>
    <xf numFmtId="0" fontId="241" fillId="0" borderId="80" xfId="0" applyFont="1" applyBorder="1" applyAlignment="1">
      <alignment wrapText="1"/>
    </xf>
    <xf numFmtId="0" fontId="241" fillId="0" borderId="72" xfId="0" applyFont="1" applyBorder="1" applyAlignment="1">
      <alignment wrapText="1"/>
    </xf>
    <xf numFmtId="0" fontId="249" fillId="0" borderId="0" xfId="0" applyFont="1" applyAlignment="1">
      <alignment horizontal="left" vertical="center" wrapText="1"/>
    </xf>
    <xf numFmtId="0" fontId="244" fillId="0" borderId="0" xfId="0" applyFont="1" applyAlignment="1">
      <alignment horizontal="left" wrapText="1"/>
    </xf>
    <xf numFmtId="0" fontId="273" fillId="0" borderId="0" xfId="0" applyFont="1" applyAlignment="1">
      <alignment horizontal="center" vertical="center" wrapText="1"/>
    </xf>
    <xf numFmtId="0" fontId="40" fillId="0" borderId="0" xfId="0" applyFont="1" applyAlignment="1">
      <alignment horizontal="center" vertical="top"/>
    </xf>
  </cellXfs>
  <cellStyles count="560">
    <cellStyle name="20% - Accent1" xfId="9" xr:uid="{00000000-0005-0000-0000-000000000000}"/>
    <cellStyle name="20% - Accent2" xfId="10" xr:uid="{00000000-0005-0000-0000-000001000000}"/>
    <cellStyle name="20% - Accent3" xfId="11" xr:uid="{00000000-0005-0000-0000-000002000000}"/>
    <cellStyle name="20% - Accent4" xfId="12" xr:uid="{00000000-0005-0000-0000-000003000000}"/>
    <cellStyle name="20% - Accent5" xfId="13" xr:uid="{00000000-0005-0000-0000-000004000000}"/>
    <cellStyle name="20% - Accent6" xfId="14" xr:uid="{00000000-0005-0000-0000-000005000000}"/>
    <cellStyle name="20% - Акцент1 2" xfId="15" xr:uid="{00000000-0005-0000-0000-000006000000}"/>
    <cellStyle name="20% - Акцент1 2 2" xfId="242" xr:uid="{00000000-0005-0000-0000-000007000000}"/>
    <cellStyle name="20% - Акцент1 2 2 2" xfId="451" xr:uid="{00000000-0005-0000-0000-000008000000}"/>
    <cellStyle name="20% - Акцент1 2 3" xfId="452" xr:uid="{00000000-0005-0000-0000-000009000000}"/>
    <cellStyle name="20% - Акцент1 2_КВ Чхім 0108 вар3" xfId="243" xr:uid="{00000000-0005-0000-0000-00000A000000}"/>
    <cellStyle name="20% - Акцент1 3" xfId="244" xr:uid="{00000000-0005-0000-0000-00000B000000}"/>
    <cellStyle name="20% - Акцент2 2" xfId="16" xr:uid="{00000000-0005-0000-0000-00000C000000}"/>
    <cellStyle name="20% - Акцент2 2 2" xfId="245" xr:uid="{00000000-0005-0000-0000-00000D000000}"/>
    <cellStyle name="20% - Акцент2 2 2 2" xfId="453" xr:uid="{00000000-0005-0000-0000-00000E000000}"/>
    <cellStyle name="20% - Акцент2 2 3" xfId="454" xr:uid="{00000000-0005-0000-0000-00000F000000}"/>
    <cellStyle name="20% - Акцент2 2_КВ Чхім 0108 вар3" xfId="246" xr:uid="{00000000-0005-0000-0000-000010000000}"/>
    <cellStyle name="20% - Акцент2 3" xfId="247" xr:uid="{00000000-0005-0000-0000-000011000000}"/>
    <cellStyle name="20% - Акцент3 2" xfId="17" xr:uid="{00000000-0005-0000-0000-000012000000}"/>
    <cellStyle name="20% - Акцент3 2 2" xfId="248" xr:uid="{00000000-0005-0000-0000-000013000000}"/>
    <cellStyle name="20% - Акцент3 2 2 2" xfId="455" xr:uid="{00000000-0005-0000-0000-000014000000}"/>
    <cellStyle name="20% - Акцент3 2 3" xfId="456" xr:uid="{00000000-0005-0000-0000-000015000000}"/>
    <cellStyle name="20% - Акцент3 2_КВ Чхім 0108 вар3" xfId="249" xr:uid="{00000000-0005-0000-0000-000016000000}"/>
    <cellStyle name="20% - Акцент3 3" xfId="250" xr:uid="{00000000-0005-0000-0000-000017000000}"/>
    <cellStyle name="20% - Акцент4 2" xfId="18" xr:uid="{00000000-0005-0000-0000-000018000000}"/>
    <cellStyle name="20% - Акцент4 2 2" xfId="251" xr:uid="{00000000-0005-0000-0000-000019000000}"/>
    <cellStyle name="20% - Акцент4 2 2 2" xfId="457" xr:uid="{00000000-0005-0000-0000-00001A000000}"/>
    <cellStyle name="20% - Акцент4 2 3" xfId="458" xr:uid="{00000000-0005-0000-0000-00001B000000}"/>
    <cellStyle name="20% - Акцент4 2_КВ Чхім 0108 вар3" xfId="252" xr:uid="{00000000-0005-0000-0000-00001C000000}"/>
    <cellStyle name="20% - Акцент4 3" xfId="253" xr:uid="{00000000-0005-0000-0000-00001D000000}"/>
    <cellStyle name="20% - Акцент5 2" xfId="19" xr:uid="{00000000-0005-0000-0000-00001E000000}"/>
    <cellStyle name="20% - Акцент5 2 2" xfId="254" xr:uid="{00000000-0005-0000-0000-00001F000000}"/>
    <cellStyle name="20% - Акцент5 2 2 2" xfId="459" xr:uid="{00000000-0005-0000-0000-000020000000}"/>
    <cellStyle name="20% - Акцент5 2 3" xfId="460" xr:uid="{00000000-0005-0000-0000-000021000000}"/>
    <cellStyle name="20% - Акцент5 2_КВ Чхім 0108 вар3" xfId="255" xr:uid="{00000000-0005-0000-0000-000022000000}"/>
    <cellStyle name="20% - Акцент5 3" xfId="256" xr:uid="{00000000-0005-0000-0000-000023000000}"/>
    <cellStyle name="20% - Акцент6 2" xfId="20" xr:uid="{00000000-0005-0000-0000-000024000000}"/>
    <cellStyle name="20% - Акцент6 2 2" xfId="257" xr:uid="{00000000-0005-0000-0000-000025000000}"/>
    <cellStyle name="20% - Акцент6 2 2 2" xfId="461" xr:uid="{00000000-0005-0000-0000-000026000000}"/>
    <cellStyle name="20% - Акцент6 2 3" xfId="462" xr:uid="{00000000-0005-0000-0000-000027000000}"/>
    <cellStyle name="20% - Акцент6 2_КВ Чхім 0108 вар3" xfId="258" xr:uid="{00000000-0005-0000-0000-000028000000}"/>
    <cellStyle name="20% - Акцент6 3" xfId="259" xr:uid="{00000000-0005-0000-0000-000029000000}"/>
    <cellStyle name="20% – Акцентування1" xfId="260" xr:uid="{00000000-0005-0000-0000-00002A000000}"/>
    <cellStyle name="20% – Акцентування2" xfId="261" xr:uid="{00000000-0005-0000-0000-00002B000000}"/>
    <cellStyle name="20% – Акцентування3" xfId="262" xr:uid="{00000000-0005-0000-0000-00002C000000}"/>
    <cellStyle name="20% – Акцентування4" xfId="263" xr:uid="{00000000-0005-0000-0000-00002D000000}"/>
    <cellStyle name="20% – Акцентування5" xfId="264" xr:uid="{00000000-0005-0000-0000-00002E000000}"/>
    <cellStyle name="20% – Акцентування6" xfId="265" xr:uid="{00000000-0005-0000-0000-00002F000000}"/>
    <cellStyle name="40% - Accent1" xfId="21" xr:uid="{00000000-0005-0000-0000-000030000000}"/>
    <cellStyle name="40% - Accent2" xfId="22" xr:uid="{00000000-0005-0000-0000-000031000000}"/>
    <cellStyle name="40% - Accent3" xfId="23" xr:uid="{00000000-0005-0000-0000-000032000000}"/>
    <cellStyle name="40% - Accent4" xfId="24" xr:uid="{00000000-0005-0000-0000-000033000000}"/>
    <cellStyle name="40% - Accent5" xfId="25" xr:uid="{00000000-0005-0000-0000-000034000000}"/>
    <cellStyle name="40% - Accent6" xfId="26" xr:uid="{00000000-0005-0000-0000-000035000000}"/>
    <cellStyle name="40% - Акцент1 2" xfId="27" xr:uid="{00000000-0005-0000-0000-000036000000}"/>
    <cellStyle name="40% - Акцент1 2 2" xfId="266" xr:uid="{00000000-0005-0000-0000-000037000000}"/>
    <cellStyle name="40% - Акцент1 2 2 2" xfId="463" xr:uid="{00000000-0005-0000-0000-000038000000}"/>
    <cellStyle name="40% - Акцент1 2 3" xfId="464" xr:uid="{00000000-0005-0000-0000-000039000000}"/>
    <cellStyle name="40% - Акцент1 2_КВ Чхім 0108 вар3" xfId="267" xr:uid="{00000000-0005-0000-0000-00003A000000}"/>
    <cellStyle name="40% - Акцент1 3" xfId="268" xr:uid="{00000000-0005-0000-0000-00003B000000}"/>
    <cellStyle name="40% - Акцент2 2" xfId="28" xr:uid="{00000000-0005-0000-0000-00003C000000}"/>
    <cellStyle name="40% - Акцент2 2 2" xfId="269" xr:uid="{00000000-0005-0000-0000-00003D000000}"/>
    <cellStyle name="40% - Акцент2 2 2 2" xfId="465" xr:uid="{00000000-0005-0000-0000-00003E000000}"/>
    <cellStyle name="40% - Акцент2 2 3" xfId="466" xr:uid="{00000000-0005-0000-0000-00003F000000}"/>
    <cellStyle name="40% - Акцент2 2_КВ Чхім 0108 вар3" xfId="270" xr:uid="{00000000-0005-0000-0000-000040000000}"/>
    <cellStyle name="40% - Акцент2 3" xfId="271" xr:uid="{00000000-0005-0000-0000-000041000000}"/>
    <cellStyle name="40% - Акцент3 2" xfId="29" xr:uid="{00000000-0005-0000-0000-000042000000}"/>
    <cellStyle name="40% - Акцент3 2 2" xfId="272" xr:uid="{00000000-0005-0000-0000-000043000000}"/>
    <cellStyle name="40% - Акцент3 2 2 2" xfId="467" xr:uid="{00000000-0005-0000-0000-000044000000}"/>
    <cellStyle name="40% - Акцент3 2 3" xfId="468" xr:uid="{00000000-0005-0000-0000-000045000000}"/>
    <cellStyle name="40% - Акцент3 2_КВ Чхім 0108 вар3" xfId="273" xr:uid="{00000000-0005-0000-0000-000046000000}"/>
    <cellStyle name="40% - Акцент3 3" xfId="274" xr:uid="{00000000-0005-0000-0000-000047000000}"/>
    <cellStyle name="40% - Акцент4 2" xfId="30" xr:uid="{00000000-0005-0000-0000-000048000000}"/>
    <cellStyle name="40% - Акцент4 2 2" xfId="275" xr:uid="{00000000-0005-0000-0000-000049000000}"/>
    <cellStyle name="40% - Акцент4 2 2 2" xfId="469" xr:uid="{00000000-0005-0000-0000-00004A000000}"/>
    <cellStyle name="40% - Акцент4 2 3" xfId="470" xr:uid="{00000000-0005-0000-0000-00004B000000}"/>
    <cellStyle name="40% - Акцент4 2_КВ Чхім 0108 вар3" xfId="276" xr:uid="{00000000-0005-0000-0000-00004C000000}"/>
    <cellStyle name="40% - Акцент4 3" xfId="277" xr:uid="{00000000-0005-0000-0000-00004D000000}"/>
    <cellStyle name="40% - Акцент5 2" xfId="31" xr:uid="{00000000-0005-0000-0000-00004E000000}"/>
    <cellStyle name="40% - Акцент5 2 2" xfId="278" xr:uid="{00000000-0005-0000-0000-00004F000000}"/>
    <cellStyle name="40% - Акцент5 2 2 2" xfId="471" xr:uid="{00000000-0005-0000-0000-000050000000}"/>
    <cellStyle name="40% - Акцент5 2 3" xfId="472" xr:uid="{00000000-0005-0000-0000-000051000000}"/>
    <cellStyle name="40% - Акцент5 2_КВ Чхім 0108 вар3" xfId="279" xr:uid="{00000000-0005-0000-0000-000052000000}"/>
    <cellStyle name="40% - Акцент5 3" xfId="280" xr:uid="{00000000-0005-0000-0000-000053000000}"/>
    <cellStyle name="40% - Акцент6 2" xfId="32" xr:uid="{00000000-0005-0000-0000-000054000000}"/>
    <cellStyle name="40% - Акцент6 2 2" xfId="281" xr:uid="{00000000-0005-0000-0000-000055000000}"/>
    <cellStyle name="40% - Акцент6 2 2 2" xfId="473" xr:uid="{00000000-0005-0000-0000-000056000000}"/>
    <cellStyle name="40% - Акцент6 2 3" xfId="474" xr:uid="{00000000-0005-0000-0000-000057000000}"/>
    <cellStyle name="40% - Акцент6 2_КВ Чхім 0108 вар3" xfId="282" xr:uid="{00000000-0005-0000-0000-000058000000}"/>
    <cellStyle name="40% - Акцент6 3" xfId="283" xr:uid="{00000000-0005-0000-0000-000059000000}"/>
    <cellStyle name="40% – Акцентування1" xfId="284" xr:uid="{00000000-0005-0000-0000-00005A000000}"/>
    <cellStyle name="40% – Акцентування2" xfId="285" xr:uid="{00000000-0005-0000-0000-00005B000000}"/>
    <cellStyle name="40% – Акцентування3" xfId="286" xr:uid="{00000000-0005-0000-0000-00005C000000}"/>
    <cellStyle name="40% – Акцентування4" xfId="287" xr:uid="{00000000-0005-0000-0000-00005D000000}"/>
    <cellStyle name="40% – Акцентування5" xfId="288" xr:uid="{00000000-0005-0000-0000-00005E000000}"/>
    <cellStyle name="40% – Акцентування6" xfId="289" xr:uid="{00000000-0005-0000-0000-00005F000000}"/>
    <cellStyle name="60% - Accent1" xfId="33" xr:uid="{00000000-0005-0000-0000-000060000000}"/>
    <cellStyle name="60% - Accent2" xfId="34" xr:uid="{00000000-0005-0000-0000-000061000000}"/>
    <cellStyle name="60% - Accent3" xfId="35" xr:uid="{00000000-0005-0000-0000-000062000000}"/>
    <cellStyle name="60% - Accent4" xfId="36" xr:uid="{00000000-0005-0000-0000-000063000000}"/>
    <cellStyle name="60% - Accent5" xfId="37" xr:uid="{00000000-0005-0000-0000-000064000000}"/>
    <cellStyle name="60% - Accent6" xfId="38" xr:uid="{00000000-0005-0000-0000-000065000000}"/>
    <cellStyle name="60% - Акцент1 2" xfId="39" xr:uid="{00000000-0005-0000-0000-000066000000}"/>
    <cellStyle name="60% - Акцент1 2 2" xfId="290" xr:uid="{00000000-0005-0000-0000-000067000000}"/>
    <cellStyle name="60% - Акцент1 2_КВ Чхім 0108 вар3" xfId="291" xr:uid="{00000000-0005-0000-0000-000068000000}"/>
    <cellStyle name="60% - Акцент1 3" xfId="292" xr:uid="{00000000-0005-0000-0000-000069000000}"/>
    <cellStyle name="60% - Акцент2 2" xfId="40" xr:uid="{00000000-0005-0000-0000-00006A000000}"/>
    <cellStyle name="60% - Акцент2 2 2" xfId="293" xr:uid="{00000000-0005-0000-0000-00006B000000}"/>
    <cellStyle name="60% - Акцент2 2_КВ Чхім 0108 вар3" xfId="294" xr:uid="{00000000-0005-0000-0000-00006C000000}"/>
    <cellStyle name="60% - Акцент2 3" xfId="295" xr:uid="{00000000-0005-0000-0000-00006D000000}"/>
    <cellStyle name="60% - Акцент3 2" xfId="41" xr:uid="{00000000-0005-0000-0000-00006E000000}"/>
    <cellStyle name="60% - Акцент3 2 2" xfId="296" xr:uid="{00000000-0005-0000-0000-00006F000000}"/>
    <cellStyle name="60% - Акцент3 2_КВ Чхім 0108 вар3" xfId="297" xr:uid="{00000000-0005-0000-0000-000070000000}"/>
    <cellStyle name="60% - Акцент3 3" xfId="298" xr:uid="{00000000-0005-0000-0000-000071000000}"/>
    <cellStyle name="60% - Акцент4 2" xfId="42" xr:uid="{00000000-0005-0000-0000-000072000000}"/>
    <cellStyle name="60% - Акцент4 2 2" xfId="299" xr:uid="{00000000-0005-0000-0000-000073000000}"/>
    <cellStyle name="60% - Акцент4 2_КВ Чхім 0108 вар3" xfId="300" xr:uid="{00000000-0005-0000-0000-000074000000}"/>
    <cellStyle name="60% - Акцент4 3" xfId="301" xr:uid="{00000000-0005-0000-0000-000075000000}"/>
    <cellStyle name="60% - Акцент5 2" xfId="43" xr:uid="{00000000-0005-0000-0000-000076000000}"/>
    <cellStyle name="60% - Акцент5 2 2" xfId="302" xr:uid="{00000000-0005-0000-0000-000077000000}"/>
    <cellStyle name="60% - Акцент5 2_КВ Чхім 0108 вар3" xfId="303" xr:uid="{00000000-0005-0000-0000-000078000000}"/>
    <cellStyle name="60% - Акцент5 3" xfId="304" xr:uid="{00000000-0005-0000-0000-000079000000}"/>
    <cellStyle name="60% - Акцент6 2" xfId="44" xr:uid="{00000000-0005-0000-0000-00007A000000}"/>
    <cellStyle name="60% - Акцент6 2 2" xfId="305" xr:uid="{00000000-0005-0000-0000-00007B000000}"/>
    <cellStyle name="60% - Акцент6 2_КВ Чхім 0108 вар3" xfId="306" xr:uid="{00000000-0005-0000-0000-00007C000000}"/>
    <cellStyle name="60% - Акцент6 3" xfId="307" xr:uid="{00000000-0005-0000-0000-00007D000000}"/>
    <cellStyle name="60% – Акцентування1" xfId="308" xr:uid="{00000000-0005-0000-0000-00007E000000}"/>
    <cellStyle name="60% – Акцентування2" xfId="309" xr:uid="{00000000-0005-0000-0000-00007F000000}"/>
    <cellStyle name="60% – Акцентування3" xfId="310" xr:uid="{00000000-0005-0000-0000-000080000000}"/>
    <cellStyle name="60% – Акцентування4" xfId="311" xr:uid="{00000000-0005-0000-0000-000081000000}"/>
    <cellStyle name="60% – Акцентування5" xfId="312" xr:uid="{00000000-0005-0000-0000-000082000000}"/>
    <cellStyle name="60% – Акцентування6" xfId="313" xr:uid="{00000000-0005-0000-0000-000083000000}"/>
    <cellStyle name="Accent1" xfId="45" xr:uid="{00000000-0005-0000-0000-000084000000}"/>
    <cellStyle name="Accent2" xfId="46" xr:uid="{00000000-0005-0000-0000-000085000000}"/>
    <cellStyle name="Accent3" xfId="47" xr:uid="{00000000-0005-0000-0000-000086000000}"/>
    <cellStyle name="Accent4" xfId="48" xr:uid="{00000000-0005-0000-0000-000087000000}"/>
    <cellStyle name="Accent5" xfId="49" xr:uid="{00000000-0005-0000-0000-000088000000}"/>
    <cellStyle name="Accent6" xfId="50" xr:uid="{00000000-0005-0000-0000-000089000000}"/>
    <cellStyle name="Bad" xfId="51" xr:uid="{00000000-0005-0000-0000-00008A000000}"/>
    <cellStyle name="Calculation" xfId="52" xr:uid="{00000000-0005-0000-0000-00008B000000}"/>
    <cellStyle name="Calculation 2" xfId="215" xr:uid="{00000000-0005-0000-0000-00008C000000}"/>
    <cellStyle name="Check Cell" xfId="53" xr:uid="{00000000-0005-0000-0000-00008D000000}"/>
    <cellStyle name="Comma 2" xfId="2" xr:uid="{00000000-0005-0000-0000-00008E000000}"/>
    <cellStyle name="DataCol1" xfId="314" xr:uid="{00000000-0005-0000-0000-00008F000000}"/>
    <cellStyle name="DataCol10" xfId="315" xr:uid="{00000000-0005-0000-0000-000090000000}"/>
    <cellStyle name="DataCol11" xfId="316" xr:uid="{00000000-0005-0000-0000-000091000000}"/>
    <cellStyle name="DataCol12" xfId="317" xr:uid="{00000000-0005-0000-0000-000092000000}"/>
    <cellStyle name="DataCol13" xfId="318" xr:uid="{00000000-0005-0000-0000-000093000000}"/>
    <cellStyle name="DataCol14" xfId="319" xr:uid="{00000000-0005-0000-0000-000094000000}"/>
    <cellStyle name="DataCol15" xfId="320" xr:uid="{00000000-0005-0000-0000-000095000000}"/>
    <cellStyle name="DataCol16" xfId="321" xr:uid="{00000000-0005-0000-0000-000096000000}"/>
    <cellStyle name="DataCol17" xfId="322" xr:uid="{00000000-0005-0000-0000-000097000000}"/>
    <cellStyle name="DataCol18" xfId="323" xr:uid="{00000000-0005-0000-0000-000098000000}"/>
    <cellStyle name="DataCol19" xfId="324" xr:uid="{00000000-0005-0000-0000-000099000000}"/>
    <cellStyle name="DataCol2" xfId="325" xr:uid="{00000000-0005-0000-0000-00009A000000}"/>
    <cellStyle name="DataCol20" xfId="326" xr:uid="{00000000-0005-0000-0000-00009B000000}"/>
    <cellStyle name="DataCol21" xfId="327" xr:uid="{00000000-0005-0000-0000-00009C000000}"/>
    <cellStyle name="DataCol22" xfId="328" xr:uid="{00000000-0005-0000-0000-00009D000000}"/>
    <cellStyle name="DataCol23" xfId="329" xr:uid="{00000000-0005-0000-0000-00009E000000}"/>
    <cellStyle name="DataCol24" xfId="330" xr:uid="{00000000-0005-0000-0000-00009F000000}"/>
    <cellStyle name="DataCol25" xfId="331" xr:uid="{00000000-0005-0000-0000-0000A0000000}"/>
    <cellStyle name="DataCol3" xfId="332" xr:uid="{00000000-0005-0000-0000-0000A1000000}"/>
    <cellStyle name="DataCol4" xfId="333" xr:uid="{00000000-0005-0000-0000-0000A2000000}"/>
    <cellStyle name="DataCol5" xfId="334" xr:uid="{00000000-0005-0000-0000-0000A3000000}"/>
    <cellStyle name="DataCol6" xfId="335" xr:uid="{00000000-0005-0000-0000-0000A4000000}"/>
    <cellStyle name="DataCol7" xfId="336" xr:uid="{00000000-0005-0000-0000-0000A5000000}"/>
    <cellStyle name="DataCol8" xfId="337" xr:uid="{00000000-0005-0000-0000-0000A6000000}"/>
    <cellStyle name="DataCol9" xfId="338" xr:uid="{00000000-0005-0000-0000-0000A7000000}"/>
    <cellStyle name="DataReportHeader_1_1" xfId="339" xr:uid="{00000000-0005-0000-0000-0000A8000000}"/>
    <cellStyle name="DataTableEndSum1" xfId="340" xr:uid="{00000000-0005-0000-0000-0000A9000000}"/>
    <cellStyle name="DataTableEndSum10" xfId="341" xr:uid="{00000000-0005-0000-0000-0000AA000000}"/>
    <cellStyle name="DataTableEndSum11" xfId="342" xr:uid="{00000000-0005-0000-0000-0000AB000000}"/>
    <cellStyle name="DataTableEndSum12" xfId="343" xr:uid="{00000000-0005-0000-0000-0000AC000000}"/>
    <cellStyle name="DataTableEndSum13" xfId="344" xr:uid="{00000000-0005-0000-0000-0000AD000000}"/>
    <cellStyle name="DataTableEndSum14" xfId="345" xr:uid="{00000000-0005-0000-0000-0000AE000000}"/>
    <cellStyle name="DataTableEndSum15" xfId="346" xr:uid="{00000000-0005-0000-0000-0000AF000000}"/>
    <cellStyle name="DataTableEndSum16" xfId="347" xr:uid="{00000000-0005-0000-0000-0000B0000000}"/>
    <cellStyle name="DataTableEndSum17" xfId="348" xr:uid="{00000000-0005-0000-0000-0000B1000000}"/>
    <cellStyle name="DataTableEndSum18" xfId="349" xr:uid="{00000000-0005-0000-0000-0000B2000000}"/>
    <cellStyle name="DataTableEndSum19" xfId="350" xr:uid="{00000000-0005-0000-0000-0000B3000000}"/>
    <cellStyle name="DataTableEndSum2" xfId="351" xr:uid="{00000000-0005-0000-0000-0000B4000000}"/>
    <cellStyle name="DataTableEndSum20" xfId="352" xr:uid="{00000000-0005-0000-0000-0000B5000000}"/>
    <cellStyle name="DataTableEndSum21" xfId="353" xr:uid="{00000000-0005-0000-0000-0000B6000000}"/>
    <cellStyle name="DataTableEndSum22" xfId="354" xr:uid="{00000000-0005-0000-0000-0000B7000000}"/>
    <cellStyle name="DataTableEndSum23" xfId="355" xr:uid="{00000000-0005-0000-0000-0000B8000000}"/>
    <cellStyle name="DataTableEndSum24" xfId="356" xr:uid="{00000000-0005-0000-0000-0000B9000000}"/>
    <cellStyle name="DataTableEndSum25" xfId="357" xr:uid="{00000000-0005-0000-0000-0000BA000000}"/>
    <cellStyle name="DataTableEndSum3" xfId="358" xr:uid="{00000000-0005-0000-0000-0000BB000000}"/>
    <cellStyle name="DataTableEndSum4" xfId="359" xr:uid="{00000000-0005-0000-0000-0000BC000000}"/>
    <cellStyle name="DataTableEndSum5" xfId="360" xr:uid="{00000000-0005-0000-0000-0000BD000000}"/>
    <cellStyle name="DataTableEndSum6" xfId="361" xr:uid="{00000000-0005-0000-0000-0000BE000000}"/>
    <cellStyle name="DataTableEndSum7" xfId="362" xr:uid="{00000000-0005-0000-0000-0000BF000000}"/>
    <cellStyle name="DataTableEndSum8" xfId="363" xr:uid="{00000000-0005-0000-0000-0000C0000000}"/>
    <cellStyle name="DataTableEndSum9" xfId="364" xr:uid="{00000000-0005-0000-0000-0000C1000000}"/>
    <cellStyle name="DataTitle" xfId="365" xr:uid="{00000000-0005-0000-0000-0000C2000000}"/>
    <cellStyle name="Excel Built-in Normal" xfId="54" xr:uid="{00000000-0005-0000-0000-0000C3000000}"/>
    <cellStyle name="Excel Built-in Normal 1" xfId="475" xr:uid="{00000000-0005-0000-0000-0000C4000000}"/>
    <cellStyle name="Excel Built-in Normal 2" xfId="366" xr:uid="{00000000-0005-0000-0000-0000C5000000}"/>
    <cellStyle name="Excel Built-in Normal 2 2" xfId="367" xr:uid="{00000000-0005-0000-0000-0000C6000000}"/>
    <cellStyle name="Excel Built-in Normal 2_КВ Чхім 0108 вар3" xfId="368" xr:uid="{00000000-0005-0000-0000-0000C7000000}"/>
    <cellStyle name="Excel Built-in Normal 3" xfId="369" xr:uid="{00000000-0005-0000-0000-0000C8000000}"/>
    <cellStyle name="Excel Built-in Normal_КВ Чхім 0108 вар3" xfId="370" xr:uid="{00000000-0005-0000-0000-0000C9000000}"/>
    <cellStyle name="Explanatory Text" xfId="55" xr:uid="{00000000-0005-0000-0000-0000CA000000}"/>
    <cellStyle name="Good" xfId="56" xr:uid="{00000000-0005-0000-0000-0000CB000000}"/>
    <cellStyle name="Heading" xfId="476" xr:uid="{00000000-0005-0000-0000-0000CC000000}"/>
    <cellStyle name="Heading 1" xfId="57" xr:uid="{00000000-0005-0000-0000-0000CD000000}"/>
    <cellStyle name="Heading 2" xfId="58" xr:uid="{00000000-0005-0000-0000-0000CE000000}"/>
    <cellStyle name="Heading 3" xfId="59" xr:uid="{00000000-0005-0000-0000-0000CF000000}"/>
    <cellStyle name="Heading 4" xfId="60" xr:uid="{00000000-0005-0000-0000-0000D0000000}"/>
    <cellStyle name="Heading1" xfId="477" xr:uid="{00000000-0005-0000-0000-0000D1000000}"/>
    <cellStyle name="Heading1 1" xfId="478" xr:uid="{00000000-0005-0000-0000-0000D2000000}"/>
    <cellStyle name="Iau?iue" xfId="450" xr:uid="{00000000-0005-0000-0000-0000D3000000}"/>
    <cellStyle name="Input" xfId="61" xr:uid="{00000000-0005-0000-0000-0000D4000000}"/>
    <cellStyle name="Input 2" xfId="216" xr:uid="{00000000-0005-0000-0000-0000D5000000}"/>
    <cellStyle name="Linked Cell" xfId="62" xr:uid="{00000000-0005-0000-0000-0000D6000000}"/>
    <cellStyle name="Neutral" xfId="63" xr:uid="{00000000-0005-0000-0000-0000D7000000}"/>
    <cellStyle name="Normal 2" xfId="371" xr:uid="{00000000-0005-0000-0000-0000D8000000}"/>
    <cellStyle name="Normal_Tarif_Xmelnizki" xfId="227" xr:uid="{00000000-0005-0000-0000-0000D9000000}"/>
    <cellStyle name="Note" xfId="64" xr:uid="{00000000-0005-0000-0000-0000DA000000}"/>
    <cellStyle name="Note 2" xfId="217" xr:uid="{00000000-0005-0000-0000-0000DB000000}"/>
    <cellStyle name="Output" xfId="65" xr:uid="{00000000-0005-0000-0000-0000DC000000}"/>
    <cellStyle name="Output 2" xfId="218" xr:uid="{00000000-0005-0000-0000-0000DD000000}"/>
    <cellStyle name="Result" xfId="479" xr:uid="{00000000-0005-0000-0000-0000DE000000}"/>
    <cellStyle name="Result 1" xfId="480" xr:uid="{00000000-0005-0000-0000-0000DF000000}"/>
    <cellStyle name="Result2" xfId="481" xr:uid="{00000000-0005-0000-0000-0000E0000000}"/>
    <cellStyle name="Result2 1" xfId="482" xr:uid="{00000000-0005-0000-0000-0000E1000000}"/>
    <cellStyle name="S4" xfId="372" xr:uid="{00000000-0005-0000-0000-0000E2000000}"/>
    <cellStyle name="S7" xfId="373" xr:uid="{00000000-0005-0000-0000-0000E3000000}"/>
    <cellStyle name="TableStyleLight1" xfId="225" xr:uid="{00000000-0005-0000-0000-0000E4000000}"/>
    <cellStyle name="Title" xfId="66" xr:uid="{00000000-0005-0000-0000-0000E5000000}"/>
    <cellStyle name="Total" xfId="67" xr:uid="{00000000-0005-0000-0000-0000E6000000}"/>
    <cellStyle name="Total 2" xfId="219" xr:uid="{00000000-0005-0000-0000-0000E7000000}"/>
    <cellStyle name="Tytuі" xfId="483" xr:uid="{00000000-0005-0000-0000-0000E8000000}"/>
    <cellStyle name="Warning Text" xfId="68" xr:uid="{00000000-0005-0000-0000-0000E9000000}"/>
    <cellStyle name="Акцент1 2" xfId="69" xr:uid="{00000000-0005-0000-0000-0000EA000000}"/>
    <cellStyle name="Акцент1 2 2" xfId="374" xr:uid="{00000000-0005-0000-0000-0000EB000000}"/>
    <cellStyle name="Акцент1 2_КВ Чхім 0108 вар3" xfId="375" xr:uid="{00000000-0005-0000-0000-0000EC000000}"/>
    <cellStyle name="Акцент1 3" xfId="376" xr:uid="{00000000-0005-0000-0000-0000ED000000}"/>
    <cellStyle name="Акцент2 2" xfId="70" xr:uid="{00000000-0005-0000-0000-0000EE000000}"/>
    <cellStyle name="Акцент2 2 2" xfId="377" xr:uid="{00000000-0005-0000-0000-0000EF000000}"/>
    <cellStyle name="Акцент2 2_КВ Чхім 0108 вар3" xfId="378" xr:uid="{00000000-0005-0000-0000-0000F0000000}"/>
    <cellStyle name="Акцент2 3" xfId="379" xr:uid="{00000000-0005-0000-0000-0000F1000000}"/>
    <cellStyle name="Акцент3 2" xfId="71" xr:uid="{00000000-0005-0000-0000-0000F2000000}"/>
    <cellStyle name="Акцент3 2 2" xfId="380" xr:uid="{00000000-0005-0000-0000-0000F3000000}"/>
    <cellStyle name="Акцент3 2_КВ Чхім 0108 вар3" xfId="381" xr:uid="{00000000-0005-0000-0000-0000F4000000}"/>
    <cellStyle name="Акцент3 3" xfId="382" xr:uid="{00000000-0005-0000-0000-0000F5000000}"/>
    <cellStyle name="Акцент4 2" xfId="72" xr:uid="{00000000-0005-0000-0000-0000F6000000}"/>
    <cellStyle name="Акцент4 2 2" xfId="383" xr:uid="{00000000-0005-0000-0000-0000F7000000}"/>
    <cellStyle name="Акцент4 2_КВ Чхім 0108 вар3" xfId="384" xr:uid="{00000000-0005-0000-0000-0000F8000000}"/>
    <cellStyle name="Акцент4 3" xfId="385" xr:uid="{00000000-0005-0000-0000-0000F9000000}"/>
    <cellStyle name="Акцент5 2" xfId="73" xr:uid="{00000000-0005-0000-0000-0000FA000000}"/>
    <cellStyle name="Акцент5 2 2" xfId="386" xr:uid="{00000000-0005-0000-0000-0000FB000000}"/>
    <cellStyle name="Акцент5 2_КВ Чхім 0108 вар3" xfId="387" xr:uid="{00000000-0005-0000-0000-0000FC000000}"/>
    <cellStyle name="Акцент5 3" xfId="388" xr:uid="{00000000-0005-0000-0000-0000FD000000}"/>
    <cellStyle name="Акцент6 2" xfId="74" xr:uid="{00000000-0005-0000-0000-0000FE000000}"/>
    <cellStyle name="Акцент6 2 2" xfId="389" xr:uid="{00000000-0005-0000-0000-0000FF000000}"/>
    <cellStyle name="Акцент6 2_КВ Чхім 0108 вар3" xfId="390" xr:uid="{00000000-0005-0000-0000-000000010000}"/>
    <cellStyle name="Акцент6 3" xfId="391" xr:uid="{00000000-0005-0000-0000-000001010000}"/>
    <cellStyle name="Акцентування1" xfId="392" xr:uid="{00000000-0005-0000-0000-000002010000}"/>
    <cellStyle name="Акцентування2" xfId="393" xr:uid="{00000000-0005-0000-0000-000003010000}"/>
    <cellStyle name="Акцентування3" xfId="394" xr:uid="{00000000-0005-0000-0000-000004010000}"/>
    <cellStyle name="Акцентування4" xfId="395" xr:uid="{00000000-0005-0000-0000-000005010000}"/>
    <cellStyle name="Акцентування5" xfId="396" xr:uid="{00000000-0005-0000-0000-000006010000}"/>
    <cellStyle name="Акцентування6" xfId="397" xr:uid="{00000000-0005-0000-0000-000007010000}"/>
    <cellStyle name="Ввід" xfId="398" xr:uid="{00000000-0005-0000-0000-000008010000}"/>
    <cellStyle name="Ввод  2" xfId="75" xr:uid="{00000000-0005-0000-0000-000009010000}"/>
    <cellStyle name="Ввод  2 2" xfId="228" xr:uid="{00000000-0005-0000-0000-00000A010000}"/>
    <cellStyle name="Ввод  2 3" xfId="484" xr:uid="{00000000-0005-0000-0000-00000B010000}"/>
    <cellStyle name="Ввод  2_КВ Чхім 0108 вар3" xfId="399" xr:uid="{00000000-0005-0000-0000-00000C010000}"/>
    <cellStyle name="Ввод  3" xfId="400" xr:uid="{00000000-0005-0000-0000-00000D010000}"/>
    <cellStyle name="Відсотковий" xfId="558" builtinId="5"/>
    <cellStyle name="Відсотковий 2" xfId="76" xr:uid="{00000000-0005-0000-0000-00000E010000}"/>
    <cellStyle name="Відсотковий 3" xfId="485" xr:uid="{00000000-0005-0000-0000-00000F010000}"/>
    <cellStyle name="Відсотковий 3 2" xfId="486" xr:uid="{00000000-0005-0000-0000-000010010000}"/>
    <cellStyle name="Відсотковий 3 3" xfId="487" xr:uid="{00000000-0005-0000-0000-000011010000}"/>
    <cellStyle name="Вывод 2" xfId="77" xr:uid="{00000000-0005-0000-0000-000012010000}"/>
    <cellStyle name="Вывод 2 2" xfId="229" xr:uid="{00000000-0005-0000-0000-000013010000}"/>
    <cellStyle name="Вывод 2 3" xfId="488" xr:uid="{00000000-0005-0000-0000-000014010000}"/>
    <cellStyle name="Вывод 2_КВ Чхім 0108 вар3" xfId="401" xr:uid="{00000000-0005-0000-0000-000015010000}"/>
    <cellStyle name="Вывод 3" xfId="402" xr:uid="{00000000-0005-0000-0000-000016010000}"/>
    <cellStyle name="Вычисление 2" xfId="78" xr:uid="{00000000-0005-0000-0000-000017010000}"/>
    <cellStyle name="Вычисление 2 2" xfId="230" xr:uid="{00000000-0005-0000-0000-000018010000}"/>
    <cellStyle name="Вычисление 2 3" xfId="489" xr:uid="{00000000-0005-0000-0000-000019010000}"/>
    <cellStyle name="Вычисление 2_КВ Чхім 0108 вар3" xfId="403" xr:uid="{00000000-0005-0000-0000-00001A010000}"/>
    <cellStyle name="Вычисление 3" xfId="404" xr:uid="{00000000-0005-0000-0000-00001B010000}"/>
    <cellStyle name="Гиперссылка 2" xfId="490" xr:uid="{00000000-0005-0000-0000-00001D010000}"/>
    <cellStyle name="Гіперпосилання" xfId="239" builtinId="8"/>
    <cellStyle name="Денежный 2" xfId="79" xr:uid="{00000000-0005-0000-0000-00001E010000}"/>
    <cellStyle name="Денежный 2 2" xfId="405" xr:uid="{00000000-0005-0000-0000-00001F010000}"/>
    <cellStyle name="Денежный 2_Копия Тариф по пост 242 ЗВЕДЕНИЙ 2014 3" xfId="406" xr:uid="{00000000-0005-0000-0000-000020010000}"/>
    <cellStyle name="Денежный 3" xfId="80" xr:uid="{00000000-0005-0000-0000-000021010000}"/>
    <cellStyle name="Денежный 4" xfId="81" xr:uid="{00000000-0005-0000-0000-000022010000}"/>
    <cellStyle name="Добре" xfId="407" xr:uid="{00000000-0005-0000-0000-000023010000}"/>
    <cellStyle name="Заголовок 1 2" xfId="82" xr:uid="{00000000-0005-0000-0000-000024010000}"/>
    <cellStyle name="Заголовок 1 3" xfId="83" xr:uid="{00000000-0005-0000-0000-000025010000}"/>
    <cellStyle name="Заголовок 2 2" xfId="84" xr:uid="{00000000-0005-0000-0000-000026010000}"/>
    <cellStyle name="Заголовок 2 3" xfId="85" xr:uid="{00000000-0005-0000-0000-000027010000}"/>
    <cellStyle name="Заголовок 3 2" xfId="86" xr:uid="{00000000-0005-0000-0000-000028010000}"/>
    <cellStyle name="Заголовок 3 2 2" xfId="491" xr:uid="{00000000-0005-0000-0000-000029010000}"/>
    <cellStyle name="Заголовок 3 3" xfId="87" xr:uid="{00000000-0005-0000-0000-00002A010000}"/>
    <cellStyle name="Заголовок 4 2" xfId="88" xr:uid="{00000000-0005-0000-0000-00002B010000}"/>
    <cellStyle name="Заголовок 4 3" xfId="89" xr:uid="{00000000-0005-0000-0000-00002C010000}"/>
    <cellStyle name="Звичайний" xfId="0" builtinId="0"/>
    <cellStyle name="Звичайний 2" xfId="7" xr:uid="{00000000-0005-0000-0000-00002D010000}"/>
    <cellStyle name="Звичайний 2 2" xfId="90" xr:uid="{00000000-0005-0000-0000-00002E010000}"/>
    <cellStyle name="Звичайний 2 3" xfId="492" xr:uid="{00000000-0005-0000-0000-00002F010000}"/>
    <cellStyle name="Звичайний 2 3 2" xfId="493" xr:uid="{00000000-0005-0000-0000-000030010000}"/>
    <cellStyle name="Звичайний 2 3 3" xfId="494" xr:uid="{00000000-0005-0000-0000-000031010000}"/>
    <cellStyle name="Звичайний 2 3 4" xfId="495" xr:uid="{00000000-0005-0000-0000-000032010000}"/>
    <cellStyle name="Звичайний 3" xfId="91" xr:uid="{00000000-0005-0000-0000-000033010000}"/>
    <cellStyle name="Звичайний 3 2" xfId="92" xr:uid="{00000000-0005-0000-0000-000034010000}"/>
    <cellStyle name="Звичайний 3 3" xfId="93" xr:uid="{00000000-0005-0000-0000-000035010000}"/>
    <cellStyle name="Звичайний 3 4" xfId="94" xr:uid="{00000000-0005-0000-0000-000036010000}"/>
    <cellStyle name="Звичайний 3 5" xfId="95" xr:uid="{00000000-0005-0000-0000-000037010000}"/>
    <cellStyle name="Звичайний 3 6" xfId="96" xr:uid="{00000000-0005-0000-0000-000038010000}"/>
    <cellStyle name="Звичайний 3 6 2" xfId="97" xr:uid="{00000000-0005-0000-0000-000039010000}"/>
    <cellStyle name="Звичайний 3 7" xfId="98" xr:uid="{00000000-0005-0000-0000-00003A010000}"/>
    <cellStyle name="Звичайний 3 8" xfId="99" xr:uid="{00000000-0005-0000-0000-00003B010000}"/>
    <cellStyle name="Звичайний 4" xfId="100" xr:uid="{00000000-0005-0000-0000-00003C010000}"/>
    <cellStyle name="Звичайний 4 2" xfId="101" xr:uid="{00000000-0005-0000-0000-00003D010000}"/>
    <cellStyle name="Звичайний 4 3" xfId="102" xr:uid="{00000000-0005-0000-0000-00003E010000}"/>
    <cellStyle name="Звичайний 5" xfId="103" xr:uid="{00000000-0005-0000-0000-00003F010000}"/>
    <cellStyle name="Звичайний 5 2" xfId="214" xr:uid="{00000000-0005-0000-0000-000040010000}"/>
    <cellStyle name="Звичайний 5 3" xfId="496" xr:uid="{00000000-0005-0000-0000-000041010000}"/>
    <cellStyle name="Звичайний 6" xfId="220" xr:uid="{00000000-0005-0000-0000-000042010000}"/>
    <cellStyle name="Звичайний 6 2" xfId="497" xr:uid="{00000000-0005-0000-0000-000043010000}"/>
    <cellStyle name="Звичайний 6 3" xfId="498" xr:uid="{00000000-0005-0000-0000-000044010000}"/>
    <cellStyle name="Звичайний 7" xfId="221" xr:uid="{00000000-0005-0000-0000-000045010000}"/>
    <cellStyle name="Звичайний 7 2" xfId="499" xr:uid="{00000000-0005-0000-0000-000046010000}"/>
    <cellStyle name="Звичайний 7 3" xfId="500" xr:uid="{00000000-0005-0000-0000-000047010000}"/>
    <cellStyle name="Звичайний 8" xfId="222" xr:uid="{00000000-0005-0000-0000-000048010000}"/>
    <cellStyle name="Звичайний 8 2" xfId="501" xr:uid="{00000000-0005-0000-0000-000049010000}"/>
    <cellStyle name="Звичайний 8 3" xfId="502" xr:uid="{00000000-0005-0000-0000-00004A010000}"/>
    <cellStyle name="Зв'язана клітинка" xfId="408" xr:uid="{00000000-0005-0000-0000-00004B010000}"/>
    <cellStyle name="Итог 2" xfId="104" xr:uid="{00000000-0005-0000-0000-00004C010000}"/>
    <cellStyle name="Итог 2 2" xfId="231" xr:uid="{00000000-0005-0000-0000-00004D010000}"/>
    <cellStyle name="Итог 2 2 2" xfId="503" xr:uid="{00000000-0005-0000-0000-00004E010000}"/>
    <cellStyle name="Итог 2 3" xfId="504" xr:uid="{00000000-0005-0000-0000-00004F010000}"/>
    <cellStyle name="Итог 2 4" xfId="505" xr:uid="{00000000-0005-0000-0000-000050010000}"/>
    <cellStyle name="Итог 3" xfId="409" xr:uid="{00000000-0005-0000-0000-000051010000}"/>
    <cellStyle name="Контрольна клітинка" xfId="410" xr:uid="{00000000-0005-0000-0000-000052010000}"/>
    <cellStyle name="Контрольная ячейка 2" xfId="105" xr:uid="{00000000-0005-0000-0000-000053010000}"/>
    <cellStyle name="Контрольная ячейка 2 2" xfId="411" xr:uid="{00000000-0005-0000-0000-000054010000}"/>
    <cellStyle name="Контрольная ячейка 2_КВ Чхім 0108 вар3" xfId="412" xr:uid="{00000000-0005-0000-0000-000055010000}"/>
    <cellStyle name="Контрольная ячейка 3" xfId="413" xr:uid="{00000000-0005-0000-0000-000056010000}"/>
    <cellStyle name="Назва" xfId="414" xr:uid="{00000000-0005-0000-0000-000057010000}"/>
    <cellStyle name="Название 2" xfId="106" xr:uid="{00000000-0005-0000-0000-000058010000}"/>
    <cellStyle name="Название 3" xfId="415" xr:uid="{00000000-0005-0000-0000-000059010000}"/>
    <cellStyle name="Нейтральный 2" xfId="107" xr:uid="{00000000-0005-0000-0000-00005A010000}"/>
    <cellStyle name="Нейтральный 2 2" xfId="416" xr:uid="{00000000-0005-0000-0000-00005B010000}"/>
    <cellStyle name="Нейтральный 2_КВ Чхім 0108 вар3" xfId="417" xr:uid="{00000000-0005-0000-0000-00005C010000}"/>
    <cellStyle name="Нейтральный 3" xfId="418" xr:uid="{00000000-0005-0000-0000-00005D010000}"/>
    <cellStyle name="Обчислення" xfId="419" xr:uid="{00000000-0005-0000-0000-00005E010000}"/>
    <cellStyle name="Обычный 10" xfId="108" xr:uid="{00000000-0005-0000-0000-000060010000}"/>
    <cellStyle name="Обычный 10 2" xfId="109" xr:uid="{00000000-0005-0000-0000-000061010000}"/>
    <cellStyle name="Обычный 10 3" xfId="110" xr:uid="{00000000-0005-0000-0000-000062010000}"/>
    <cellStyle name="Обычный 10 4" xfId="111" xr:uid="{00000000-0005-0000-0000-000063010000}"/>
    <cellStyle name="Обычный 10 5" xfId="112" xr:uid="{00000000-0005-0000-0000-000064010000}"/>
    <cellStyle name="Обычный 11" xfId="113" xr:uid="{00000000-0005-0000-0000-000065010000}"/>
    <cellStyle name="Обычный 11 2" xfId="114" xr:uid="{00000000-0005-0000-0000-000066010000}"/>
    <cellStyle name="Обычный 11 3" xfId="115" xr:uid="{00000000-0005-0000-0000-000067010000}"/>
    <cellStyle name="Обычный 11 3 2" xfId="506" xr:uid="{00000000-0005-0000-0000-000068010000}"/>
    <cellStyle name="Обычный 11 4" xfId="507" xr:uid="{00000000-0005-0000-0000-000069010000}"/>
    <cellStyle name="Обычный 11 5" xfId="508" xr:uid="{00000000-0005-0000-0000-00006A010000}"/>
    <cellStyle name="Обычный 12" xfId="116" xr:uid="{00000000-0005-0000-0000-00006B010000}"/>
    <cellStyle name="Обычный 12 2" xfId="509" xr:uid="{00000000-0005-0000-0000-00006C010000}"/>
    <cellStyle name="Обычный 12 3" xfId="510" xr:uid="{00000000-0005-0000-0000-00006D010000}"/>
    <cellStyle name="Обычный 13" xfId="117" xr:uid="{00000000-0005-0000-0000-00006E010000}"/>
    <cellStyle name="Обычный 13 2" xfId="511" xr:uid="{00000000-0005-0000-0000-00006F010000}"/>
    <cellStyle name="Обычный 13 2 2" xfId="512" xr:uid="{00000000-0005-0000-0000-000070010000}"/>
    <cellStyle name="Обычный 13 3" xfId="513" xr:uid="{00000000-0005-0000-0000-000071010000}"/>
    <cellStyle name="Обычный 13 3 2" xfId="514" xr:uid="{00000000-0005-0000-0000-000072010000}"/>
    <cellStyle name="Обычный 13 4" xfId="515" xr:uid="{00000000-0005-0000-0000-000073010000}"/>
    <cellStyle name="Обычный 13 5" xfId="516" xr:uid="{00000000-0005-0000-0000-000074010000}"/>
    <cellStyle name="Обычный 13 6" xfId="517" xr:uid="{00000000-0005-0000-0000-000075010000}"/>
    <cellStyle name="Обычный 14" xfId="118" xr:uid="{00000000-0005-0000-0000-000076010000}"/>
    <cellStyle name="Обычный 14 2" xfId="518" xr:uid="{00000000-0005-0000-0000-000077010000}"/>
    <cellStyle name="Обычный 14 3" xfId="519" xr:uid="{00000000-0005-0000-0000-000078010000}"/>
    <cellStyle name="Обычный 15" xfId="226" xr:uid="{00000000-0005-0000-0000-000079010000}"/>
    <cellStyle name="Обычный 15 2" xfId="520" xr:uid="{00000000-0005-0000-0000-00007A010000}"/>
    <cellStyle name="Обычный 16" xfId="241" xr:uid="{00000000-0005-0000-0000-00007B010000}"/>
    <cellStyle name="Обычный 17" xfId="448" xr:uid="{00000000-0005-0000-0000-00007C010000}"/>
    <cellStyle name="Обычный 17 2" xfId="521" xr:uid="{00000000-0005-0000-0000-00007D010000}"/>
    <cellStyle name="Обычный 18" xfId="522" xr:uid="{00000000-0005-0000-0000-00007E010000}"/>
    <cellStyle name="Обычный 19" xfId="523" xr:uid="{00000000-0005-0000-0000-00007F010000}"/>
    <cellStyle name="Обычный 2" xfId="1" xr:uid="{00000000-0005-0000-0000-000080010000}"/>
    <cellStyle name="Обычный 2 10" xfId="119" xr:uid="{00000000-0005-0000-0000-000081010000}"/>
    <cellStyle name="Обычный 2 11" xfId="120" xr:uid="{00000000-0005-0000-0000-000082010000}"/>
    <cellStyle name="Обычный 2 12" xfId="121" xr:uid="{00000000-0005-0000-0000-000083010000}"/>
    <cellStyle name="Обычный 2 13" xfId="122" xr:uid="{00000000-0005-0000-0000-000084010000}"/>
    <cellStyle name="Обычный 2 14" xfId="123" xr:uid="{00000000-0005-0000-0000-000085010000}"/>
    <cellStyle name="Обычный 2 15" xfId="124" xr:uid="{00000000-0005-0000-0000-000086010000}"/>
    <cellStyle name="Обычный 2 16" xfId="125" xr:uid="{00000000-0005-0000-0000-000087010000}"/>
    <cellStyle name="Обычный 2 2" xfId="126" xr:uid="{00000000-0005-0000-0000-000088010000}"/>
    <cellStyle name="Обычный 2 2 2" xfId="127" xr:uid="{00000000-0005-0000-0000-000089010000}"/>
    <cellStyle name="Обычный 2 2 2 2" xfId="128" xr:uid="{00000000-0005-0000-0000-00008A010000}"/>
    <cellStyle name="Обычный 2 2 2 3" xfId="129" xr:uid="{00000000-0005-0000-0000-00008B010000}"/>
    <cellStyle name="Обычный 2 2 2 4" xfId="130" xr:uid="{00000000-0005-0000-0000-00008C010000}"/>
    <cellStyle name="Обычный 2 2 2 5" xfId="131" xr:uid="{00000000-0005-0000-0000-00008D010000}"/>
    <cellStyle name="Обычный 2 2 2 6" xfId="132" xr:uid="{00000000-0005-0000-0000-00008E010000}"/>
    <cellStyle name="Обычный 2 2 2 7" xfId="133" xr:uid="{00000000-0005-0000-0000-00008F010000}"/>
    <cellStyle name="Обычный 2 2 2 8" xfId="134" xr:uid="{00000000-0005-0000-0000-000090010000}"/>
    <cellStyle name="Обычный 2 2 3" xfId="135" xr:uid="{00000000-0005-0000-0000-000091010000}"/>
    <cellStyle name="Обычный 2 2 3 2" xfId="136" xr:uid="{00000000-0005-0000-0000-000092010000}"/>
    <cellStyle name="Обычный 2 2 4" xfId="137" xr:uid="{00000000-0005-0000-0000-000093010000}"/>
    <cellStyle name="Обычный 2 2 5" xfId="138" xr:uid="{00000000-0005-0000-0000-000094010000}"/>
    <cellStyle name="Обычный 2 2 6" xfId="139" xr:uid="{00000000-0005-0000-0000-000095010000}"/>
    <cellStyle name="Обычный 2 2 7" xfId="140" xr:uid="{00000000-0005-0000-0000-000096010000}"/>
    <cellStyle name="Обычный 2 2 8" xfId="141" xr:uid="{00000000-0005-0000-0000-000097010000}"/>
    <cellStyle name="Обычный 2 2_КВ Чхім 0108 вар3" xfId="420" xr:uid="{00000000-0005-0000-0000-000098010000}"/>
    <cellStyle name="Обычный 2 3" xfId="142" xr:uid="{00000000-0005-0000-0000-000099010000}"/>
    <cellStyle name="Обычный 2 3 2" xfId="143" xr:uid="{00000000-0005-0000-0000-00009A010000}"/>
    <cellStyle name="Обычный 2 3 3" xfId="144" xr:uid="{00000000-0005-0000-0000-00009B010000}"/>
    <cellStyle name="Обычный 2 3 4" xfId="145" xr:uid="{00000000-0005-0000-0000-00009C010000}"/>
    <cellStyle name="Обычный 2 3_КВ Чхім 0108 вар3" xfId="421" xr:uid="{00000000-0005-0000-0000-00009D010000}"/>
    <cellStyle name="Обычный 2 4" xfId="146" xr:uid="{00000000-0005-0000-0000-00009E010000}"/>
    <cellStyle name="Обычный 2 4 2" xfId="147" xr:uid="{00000000-0005-0000-0000-00009F010000}"/>
    <cellStyle name="Обычный 2 5" xfId="148" xr:uid="{00000000-0005-0000-0000-0000A0010000}"/>
    <cellStyle name="Обычный 2 5 2" xfId="149" xr:uid="{00000000-0005-0000-0000-0000A1010000}"/>
    <cellStyle name="Обычный 2 6" xfId="150" xr:uid="{00000000-0005-0000-0000-0000A2010000}"/>
    <cellStyle name="Обычный 2 7" xfId="151" xr:uid="{00000000-0005-0000-0000-0000A3010000}"/>
    <cellStyle name="Обычный 2 8" xfId="152" xr:uid="{00000000-0005-0000-0000-0000A4010000}"/>
    <cellStyle name="Обычный 2 9" xfId="153" xr:uid="{00000000-0005-0000-0000-0000A5010000}"/>
    <cellStyle name="Обычный 2_Аналіз старих тарифів на коміссію27_10_11" xfId="154" xr:uid="{00000000-0005-0000-0000-0000A6010000}"/>
    <cellStyle name="Обычный 20" xfId="524" xr:uid="{00000000-0005-0000-0000-0000A7010000}"/>
    <cellStyle name="Обычный 21" xfId="525" xr:uid="{00000000-0005-0000-0000-0000A8010000}"/>
    <cellStyle name="Обычный 22" xfId="526" xr:uid="{00000000-0005-0000-0000-0000A9010000}"/>
    <cellStyle name="Обычный 23" xfId="527" xr:uid="{00000000-0005-0000-0000-0000AA010000}"/>
    <cellStyle name="Обычный 24" xfId="528" xr:uid="{00000000-0005-0000-0000-0000AB010000}"/>
    <cellStyle name="Обычный 25" xfId="529" xr:uid="{00000000-0005-0000-0000-0000AC010000}"/>
    <cellStyle name="Обычный 26" xfId="545" xr:uid="{00000000-0005-0000-0000-0000AD010000}"/>
    <cellStyle name="Обычный 27" xfId="546" xr:uid="{00000000-0005-0000-0000-0000AE010000}"/>
    <cellStyle name="Обычный 28" xfId="547" xr:uid="{00000000-0005-0000-0000-0000AF010000}"/>
    <cellStyle name="Обычный 29" xfId="549" xr:uid="{00000000-0005-0000-0000-0000B0010000}"/>
    <cellStyle name="Обычный 3" xfId="5" xr:uid="{00000000-0005-0000-0000-0000B1010000}"/>
    <cellStyle name="Обычный 3 10" xfId="232" xr:uid="{00000000-0005-0000-0000-0000B2010000}"/>
    <cellStyle name="Обычный 3 11" xfId="240" xr:uid="{00000000-0005-0000-0000-0000B3010000}"/>
    <cellStyle name="Обычный 3 11 2" xfId="557" xr:uid="{00000000-0005-0000-0000-0000B4010000}"/>
    <cellStyle name="Обычный 3 2" xfId="155" xr:uid="{00000000-0005-0000-0000-0000B5010000}"/>
    <cellStyle name="Обычный 3 2 2" xfId="156" xr:uid="{00000000-0005-0000-0000-0000B6010000}"/>
    <cellStyle name="Обычный 3 3" xfId="157" xr:uid="{00000000-0005-0000-0000-0000B7010000}"/>
    <cellStyle name="Обычный 3 3 2" xfId="158" xr:uid="{00000000-0005-0000-0000-0000B8010000}"/>
    <cellStyle name="Обычный 3 3 3" xfId="159" xr:uid="{00000000-0005-0000-0000-0000B9010000}"/>
    <cellStyle name="Обычный 3 4" xfId="160" xr:uid="{00000000-0005-0000-0000-0000BA010000}"/>
    <cellStyle name="Обычный 3 4 2" xfId="161" xr:uid="{00000000-0005-0000-0000-0000BB010000}"/>
    <cellStyle name="Обычный 3 4 3" xfId="162" xr:uid="{00000000-0005-0000-0000-0000BC010000}"/>
    <cellStyle name="Обычный 3 5" xfId="163" xr:uid="{00000000-0005-0000-0000-0000BD010000}"/>
    <cellStyle name="Обычный 3 5 2" xfId="164" xr:uid="{00000000-0005-0000-0000-0000BE010000}"/>
    <cellStyle name="Обычный 3 6" xfId="165" xr:uid="{00000000-0005-0000-0000-0000BF010000}"/>
    <cellStyle name="Обычный 3 7" xfId="166" xr:uid="{00000000-0005-0000-0000-0000C0010000}"/>
    <cellStyle name="Обычный 3 8" xfId="167" xr:uid="{00000000-0005-0000-0000-0000C1010000}"/>
    <cellStyle name="Обычный 3 9" xfId="168" xr:uid="{00000000-0005-0000-0000-0000C2010000}"/>
    <cellStyle name="Обычный 3_Копия Тариф по пост 242 ЗВЕДЕНИЙ 2014 3" xfId="422" xr:uid="{00000000-0005-0000-0000-0000C3010000}"/>
    <cellStyle name="Обычный 30" xfId="551" xr:uid="{00000000-0005-0000-0000-0000C4010000}"/>
    <cellStyle name="Обычный 31" xfId="552" xr:uid="{00000000-0005-0000-0000-0000C5010000}"/>
    <cellStyle name="Обычный 32" xfId="553" xr:uid="{00000000-0005-0000-0000-0000C6010000}"/>
    <cellStyle name="Обычный 33" xfId="554" xr:uid="{00000000-0005-0000-0000-0000C7010000}"/>
    <cellStyle name="Обычный 33 2" xfId="556" xr:uid="{00000000-0005-0000-0000-0000C8010000}"/>
    <cellStyle name="Обычный 34" xfId="555" xr:uid="{00000000-0005-0000-0000-0000C9010000}"/>
    <cellStyle name="Обычный 4" xfId="6" xr:uid="{00000000-0005-0000-0000-0000CA010000}"/>
    <cellStyle name="Обычный 4 2" xfId="169" xr:uid="{00000000-0005-0000-0000-0000CB010000}"/>
    <cellStyle name="Обычный 4 2 2" xfId="223" xr:uid="{00000000-0005-0000-0000-0000CC010000}"/>
    <cellStyle name="Обычный 4 2 3" xfId="224" xr:uid="{00000000-0005-0000-0000-0000CD010000}"/>
    <cellStyle name="Обычный 4 2_КВ Чхім 0108 вар3" xfId="423" xr:uid="{00000000-0005-0000-0000-0000CE010000}"/>
    <cellStyle name="Обычный 4 3" xfId="170" xr:uid="{00000000-0005-0000-0000-0000CF010000}"/>
    <cellStyle name="Обычный 4 3 2" xfId="171" xr:uid="{00000000-0005-0000-0000-0000D0010000}"/>
    <cellStyle name="Обычный 4 4" xfId="172" xr:uid="{00000000-0005-0000-0000-0000D1010000}"/>
    <cellStyle name="Обычный 4 5" xfId="173" xr:uid="{00000000-0005-0000-0000-0000D2010000}"/>
    <cellStyle name="Обычный 4 6" xfId="233" xr:uid="{00000000-0005-0000-0000-0000D3010000}"/>
    <cellStyle name="Обычный 4_КВ Чхім 0108 вар3" xfId="424" xr:uid="{00000000-0005-0000-0000-0000D4010000}"/>
    <cellStyle name="Обычный 5" xfId="174" xr:uid="{00000000-0005-0000-0000-0000D5010000}"/>
    <cellStyle name="Обычный 5 2" xfId="175" xr:uid="{00000000-0005-0000-0000-0000D6010000}"/>
    <cellStyle name="Обычный 5 2 2" xfId="425" xr:uid="{00000000-0005-0000-0000-0000D7010000}"/>
    <cellStyle name="Обычный 5 3" xfId="176" xr:uid="{00000000-0005-0000-0000-0000D8010000}"/>
    <cellStyle name="Обычный 5 3 2" xfId="530" xr:uid="{00000000-0005-0000-0000-0000D9010000}"/>
    <cellStyle name="Обычный 5 3 3" xfId="531" xr:uid="{00000000-0005-0000-0000-0000DA010000}"/>
    <cellStyle name="Обычный 5 4" xfId="234" xr:uid="{00000000-0005-0000-0000-0000DB010000}"/>
    <cellStyle name="Обычный 5 5" xfId="532" xr:uid="{00000000-0005-0000-0000-0000DC010000}"/>
    <cellStyle name="Обычный 5_КВ Чхім 0108 вар3" xfId="426" xr:uid="{00000000-0005-0000-0000-0000DD010000}"/>
    <cellStyle name="Обычный 6" xfId="177" xr:uid="{00000000-0005-0000-0000-0000DE010000}"/>
    <cellStyle name="Обычный 6 2" xfId="178" xr:uid="{00000000-0005-0000-0000-0000DF010000}"/>
    <cellStyle name="Обычный 6 2 2" xfId="533" xr:uid="{00000000-0005-0000-0000-0000E0010000}"/>
    <cellStyle name="Обычный 6 2 3" xfId="534" xr:uid="{00000000-0005-0000-0000-0000E1010000}"/>
    <cellStyle name="Обычный 6 3" xfId="179" xr:uid="{00000000-0005-0000-0000-0000E2010000}"/>
    <cellStyle name="Обычный 6 4" xfId="237" xr:uid="{00000000-0005-0000-0000-0000E3010000}"/>
    <cellStyle name="Обычный 6_Навчання_підписка (3) 2" xfId="535" xr:uid="{00000000-0005-0000-0000-0000E4010000}"/>
    <cellStyle name="Обычный 7" xfId="180" xr:uid="{00000000-0005-0000-0000-0000E5010000}"/>
    <cellStyle name="Обычный 7 2" xfId="181" xr:uid="{00000000-0005-0000-0000-0000E6010000}"/>
    <cellStyle name="Обычный 7 2 2" xfId="536" xr:uid="{00000000-0005-0000-0000-0000E7010000}"/>
    <cellStyle name="Обычный 7 2 3" xfId="537" xr:uid="{00000000-0005-0000-0000-0000E8010000}"/>
    <cellStyle name="Обычный 7 3" xfId="238" xr:uid="{00000000-0005-0000-0000-0000E9010000}"/>
    <cellStyle name="Обычный 7 4" xfId="538" xr:uid="{00000000-0005-0000-0000-0000EA010000}"/>
    <cellStyle name="Обычный 7_Навчання_підписка (3) 2" xfId="539" xr:uid="{00000000-0005-0000-0000-0000EB010000}"/>
    <cellStyle name="Обычный 8" xfId="182" xr:uid="{00000000-0005-0000-0000-0000EC010000}"/>
    <cellStyle name="Обычный 8 2" xfId="183" xr:uid="{00000000-0005-0000-0000-0000ED010000}"/>
    <cellStyle name="Обычный 8 2 2" xfId="184" xr:uid="{00000000-0005-0000-0000-0000EE010000}"/>
    <cellStyle name="Обычный 8 2 3" xfId="540" xr:uid="{00000000-0005-0000-0000-0000EF010000}"/>
    <cellStyle name="Обычный 8 3" xfId="185" xr:uid="{00000000-0005-0000-0000-0000F0010000}"/>
    <cellStyle name="Обычный 8 4" xfId="186" xr:uid="{00000000-0005-0000-0000-0000F1010000}"/>
    <cellStyle name="Обычный 8_Навчання_підписка (3) 2" xfId="541" xr:uid="{00000000-0005-0000-0000-0000F2010000}"/>
    <cellStyle name="Обычный 9" xfId="187" xr:uid="{00000000-0005-0000-0000-0000F3010000}"/>
    <cellStyle name="Обычный 9 2" xfId="188" xr:uid="{00000000-0005-0000-0000-0000F4010000}"/>
    <cellStyle name="Обычный_акт моб.связи_10_11" xfId="449" xr:uid="{00000000-0005-0000-0000-0000F5010000}"/>
    <cellStyle name="Підсумок" xfId="427" xr:uid="{00000000-0005-0000-0000-0000F6010000}"/>
    <cellStyle name="Плохой 2" xfId="189" xr:uid="{00000000-0005-0000-0000-0000F7010000}"/>
    <cellStyle name="Плохой 2 2" xfId="428" xr:uid="{00000000-0005-0000-0000-0000F8010000}"/>
    <cellStyle name="Плохой 2_КВ Чхім 0108 вар3" xfId="429" xr:uid="{00000000-0005-0000-0000-0000F9010000}"/>
    <cellStyle name="Плохой 3" xfId="430" xr:uid="{00000000-0005-0000-0000-0000FA010000}"/>
    <cellStyle name="Поганий" xfId="431" xr:uid="{00000000-0005-0000-0000-0000FB010000}"/>
    <cellStyle name="Пояснение 2" xfId="190" xr:uid="{00000000-0005-0000-0000-0000FC010000}"/>
    <cellStyle name="Правка" xfId="550" xr:uid="{00000000-0005-0000-0000-0000FD010000}"/>
    <cellStyle name="Примечание 2" xfId="191" xr:uid="{00000000-0005-0000-0000-0000FE010000}"/>
    <cellStyle name="Примечание 2 2" xfId="235" xr:uid="{00000000-0005-0000-0000-0000FF010000}"/>
    <cellStyle name="Примечание 2 3" xfId="542" xr:uid="{00000000-0005-0000-0000-000000020000}"/>
    <cellStyle name="Примечание 2_КВ Чхім 0108 вар3" xfId="432" xr:uid="{00000000-0005-0000-0000-000001020000}"/>
    <cellStyle name="Примечание 3" xfId="433" xr:uid="{00000000-0005-0000-0000-000002020000}"/>
    <cellStyle name="Примітка" xfId="434" xr:uid="{00000000-0005-0000-0000-000003020000}"/>
    <cellStyle name="Процентный 2" xfId="8" xr:uid="{00000000-0005-0000-0000-000005020000}"/>
    <cellStyle name="Процентный 2 2" xfId="192" xr:uid="{00000000-0005-0000-0000-000006020000}"/>
    <cellStyle name="Процентный 2 2 2" xfId="193" xr:uid="{00000000-0005-0000-0000-000007020000}"/>
    <cellStyle name="Процентный 2 3" xfId="194" xr:uid="{00000000-0005-0000-0000-000008020000}"/>
    <cellStyle name="Процентный 3" xfId="195" xr:uid="{00000000-0005-0000-0000-000009020000}"/>
    <cellStyle name="Процентный 3 2" xfId="196" xr:uid="{00000000-0005-0000-0000-00000A020000}"/>
    <cellStyle name="Процентный 4" xfId="197" xr:uid="{00000000-0005-0000-0000-00000B020000}"/>
    <cellStyle name="Процентный 4 2" xfId="543" xr:uid="{00000000-0005-0000-0000-00000C020000}"/>
    <cellStyle name="Процентный 4 3" xfId="544" xr:uid="{00000000-0005-0000-0000-00000D020000}"/>
    <cellStyle name="Процентный 5" xfId="198" xr:uid="{00000000-0005-0000-0000-00000E020000}"/>
    <cellStyle name="Процентный 5 2" xfId="435" xr:uid="{00000000-0005-0000-0000-00000F020000}"/>
    <cellStyle name="Процентный 6" xfId="236" xr:uid="{00000000-0005-0000-0000-000010020000}"/>
    <cellStyle name="Процентный 7" xfId="548" xr:uid="{00000000-0005-0000-0000-000011020000}"/>
    <cellStyle name="Результат 1" xfId="436" xr:uid="{00000000-0005-0000-0000-000012020000}"/>
    <cellStyle name="Связанная ячейка 2" xfId="199" xr:uid="{00000000-0005-0000-0000-000013020000}"/>
    <cellStyle name="Связанная ячейка 3" xfId="437" xr:uid="{00000000-0005-0000-0000-000014020000}"/>
    <cellStyle name="Середній" xfId="438" xr:uid="{00000000-0005-0000-0000-000015020000}"/>
    <cellStyle name="Текст ведомостей" xfId="439" xr:uid="{00000000-0005-0000-0000-000016020000}"/>
    <cellStyle name="Текст попередження" xfId="440" xr:uid="{00000000-0005-0000-0000-000017020000}"/>
    <cellStyle name="Текст пояснення" xfId="441" xr:uid="{00000000-0005-0000-0000-000018020000}"/>
    <cellStyle name="Текст предупреждения 2" xfId="200" xr:uid="{00000000-0005-0000-0000-000019020000}"/>
    <cellStyle name="Тысячи [0]_D_Edit (2)" xfId="442" xr:uid="{00000000-0005-0000-0000-00001A020000}"/>
    <cellStyle name="Тысячи_D_Edit (2)" xfId="443" xr:uid="{00000000-0005-0000-0000-00001B020000}"/>
    <cellStyle name="Финансовый [0] 2" xfId="201" xr:uid="{00000000-0005-0000-0000-00001D020000}"/>
    <cellStyle name="Финансовый 2" xfId="3" xr:uid="{00000000-0005-0000-0000-00001E020000}"/>
    <cellStyle name="Финансовый 2 2" xfId="202" xr:uid="{00000000-0005-0000-0000-00001F020000}"/>
    <cellStyle name="Финансовый 2 2 2" xfId="203" xr:uid="{00000000-0005-0000-0000-000020020000}"/>
    <cellStyle name="Финансовый 2 3" xfId="204" xr:uid="{00000000-0005-0000-0000-000021020000}"/>
    <cellStyle name="Финансовый 2 4" xfId="205" xr:uid="{00000000-0005-0000-0000-000022020000}"/>
    <cellStyle name="Финансовый 2 5" xfId="206" xr:uid="{00000000-0005-0000-0000-000023020000}"/>
    <cellStyle name="Финансовый 2 6" xfId="207" xr:uid="{00000000-0005-0000-0000-000024020000}"/>
    <cellStyle name="Финансовый 3" xfId="4" xr:uid="{00000000-0005-0000-0000-000025020000}"/>
    <cellStyle name="Финансовый 3 2" xfId="208" xr:uid="{00000000-0005-0000-0000-000026020000}"/>
    <cellStyle name="Финансовый 3 3" xfId="209" xr:uid="{00000000-0005-0000-0000-000027020000}"/>
    <cellStyle name="Финансовый 3 4" xfId="210" xr:uid="{00000000-0005-0000-0000-000028020000}"/>
    <cellStyle name="Финансовый 4" xfId="211" xr:uid="{00000000-0005-0000-0000-000029020000}"/>
    <cellStyle name="Финансовый 4 2" xfId="444" xr:uid="{00000000-0005-0000-0000-00002A020000}"/>
    <cellStyle name="Фінансовий" xfId="559" builtinId="3"/>
    <cellStyle name="Фінансовий 2" xfId="212" xr:uid="{00000000-0005-0000-0000-00002B020000}"/>
    <cellStyle name="Хороший 2" xfId="213" xr:uid="{00000000-0005-0000-0000-00002C020000}"/>
    <cellStyle name="Хороший 2 2" xfId="445" xr:uid="{00000000-0005-0000-0000-00002D020000}"/>
    <cellStyle name="Хороший 2_КВ Чхім 0108 вар3" xfId="446" xr:uid="{00000000-0005-0000-0000-00002E020000}"/>
    <cellStyle name="Хороший 3" xfId="447" xr:uid="{00000000-0005-0000-0000-00002F020000}"/>
  </cellStyles>
  <dxfs count="51">
    <dxf>
      <font>
        <color theme="0" tint="-0.499984740745262"/>
      </font>
    </dxf>
    <dxf>
      <font>
        <b/>
        <i val="0"/>
      </font>
      <fill>
        <patternFill>
          <bgColor rgb="FFFF0000"/>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ont>
        <color theme="0"/>
      </font>
    </dxf>
    <dxf>
      <font>
        <color theme="0"/>
      </font>
    </dxf>
    <dxf>
      <font>
        <color theme="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Medium9"/>
  <colors>
    <mruColors>
      <color rgb="FFFFCC00"/>
      <color rgb="FF00FFFF"/>
      <color rgb="FFEC20C5"/>
      <color rgb="FF0000FF"/>
      <color rgb="FFFF7C80"/>
      <color rgb="FF8F31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2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8.xml"/><Relationship Id="rId123" Type="http://schemas.openxmlformats.org/officeDocument/2006/relationships/externalLink" Target="externalLinks/externalLink39.xml"/><Relationship Id="rId128" Type="http://schemas.openxmlformats.org/officeDocument/2006/relationships/externalLink" Target="externalLinks/externalLink44.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externalLink" Target="externalLinks/externalLink1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9.xml"/><Relationship Id="rId118" Type="http://schemas.openxmlformats.org/officeDocument/2006/relationships/externalLink" Target="externalLinks/externalLink34.xml"/><Relationship Id="rId134" Type="http://schemas.openxmlformats.org/officeDocument/2006/relationships/externalLink" Target="externalLinks/externalLink50.xml"/><Relationship Id="rId80" Type="http://schemas.openxmlformats.org/officeDocument/2006/relationships/worksheet" Target="worksheets/sheet80.xml"/><Relationship Id="rId85" Type="http://schemas.openxmlformats.org/officeDocument/2006/relationships/externalLink" Target="externalLinks/externalLink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9.xml"/><Relationship Id="rId108" Type="http://schemas.openxmlformats.org/officeDocument/2006/relationships/externalLink" Target="externalLinks/externalLink24.xml"/><Relationship Id="rId124" Type="http://schemas.openxmlformats.org/officeDocument/2006/relationships/externalLink" Target="externalLinks/externalLink40.xml"/><Relationship Id="rId129" Type="http://schemas.openxmlformats.org/officeDocument/2006/relationships/externalLink" Target="externalLinks/externalLink45.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7.xml"/><Relationship Id="rId96"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0.xml"/><Relationship Id="rId119" Type="http://schemas.openxmlformats.org/officeDocument/2006/relationships/externalLink" Target="externalLinks/externalLink3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2.xml"/><Relationship Id="rId130" Type="http://schemas.openxmlformats.org/officeDocument/2006/relationships/externalLink" Target="externalLinks/externalLink46.xml"/><Relationship Id="rId135"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3.xml"/><Relationship Id="rId104" Type="http://schemas.openxmlformats.org/officeDocument/2006/relationships/externalLink" Target="externalLinks/externalLink20.xml"/><Relationship Id="rId120" Type="http://schemas.openxmlformats.org/officeDocument/2006/relationships/externalLink" Target="externalLinks/externalLink36.xml"/><Relationship Id="rId125" Type="http://schemas.openxmlformats.org/officeDocument/2006/relationships/externalLink" Target="externalLinks/externalLink4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110" Type="http://schemas.openxmlformats.org/officeDocument/2006/relationships/externalLink" Target="externalLinks/externalLink26.xml"/><Relationship Id="rId115" Type="http://schemas.openxmlformats.org/officeDocument/2006/relationships/externalLink" Target="externalLinks/externalLink31.xml"/><Relationship Id="rId131" Type="http://schemas.openxmlformats.org/officeDocument/2006/relationships/externalLink" Target="externalLinks/externalLink47.xml"/><Relationship Id="rId136"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6.xml"/><Relationship Id="rId105" Type="http://schemas.openxmlformats.org/officeDocument/2006/relationships/externalLink" Target="externalLinks/externalLink21.xml"/><Relationship Id="rId126" Type="http://schemas.openxmlformats.org/officeDocument/2006/relationships/externalLink" Target="externalLinks/externalLink4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 Id="rId98" Type="http://schemas.openxmlformats.org/officeDocument/2006/relationships/externalLink" Target="externalLinks/externalLink14.xml"/><Relationship Id="rId121" Type="http://schemas.openxmlformats.org/officeDocument/2006/relationships/externalLink" Target="externalLinks/externalLink3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2.xml"/><Relationship Id="rId13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4.xml"/><Relationship Id="rId111" Type="http://schemas.openxmlformats.org/officeDocument/2006/relationships/externalLink" Target="externalLinks/externalLink27.xml"/><Relationship Id="rId132" Type="http://schemas.openxmlformats.org/officeDocument/2006/relationships/externalLink" Target="externalLinks/externalLink4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2.xml"/><Relationship Id="rId12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10.xml"/><Relationship Id="rId99" Type="http://schemas.openxmlformats.org/officeDocument/2006/relationships/externalLink" Target="externalLinks/externalLink15.xml"/><Relationship Id="rId101" Type="http://schemas.openxmlformats.org/officeDocument/2006/relationships/externalLink" Target="externalLinks/externalLink17.xml"/><Relationship Id="rId122" Type="http://schemas.openxmlformats.org/officeDocument/2006/relationships/externalLink" Target="externalLinks/externalLink3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5.xml"/><Relationship Id="rId112" Type="http://schemas.openxmlformats.org/officeDocument/2006/relationships/externalLink" Target="externalLinks/externalLink28.xml"/><Relationship Id="rId133" Type="http://schemas.openxmlformats.org/officeDocument/2006/relationships/externalLink" Target="externalLinks/externalLink4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4724-4EA2-896A-283C952E127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'Д 8_Паливо'!$B$119:$B$122</c:f>
              <c:strCache>
                <c:ptCount val="4"/>
                <c:pt idx="0">
                  <c:v>Постачання природного газу</c:v>
                </c:pt>
                <c:pt idx="1">
                  <c:v>Транспортування природного газу</c:v>
                </c:pt>
                <c:pt idx="2">
                  <c:v>Розподіл природного газу</c:v>
                </c:pt>
                <c:pt idx="3">
                  <c:v>Електроенергія</c:v>
                </c:pt>
              </c:strCache>
            </c:strRef>
          </c:cat>
          <c:val>
            <c:numRef>
              <c:f>'Д 8_Паливо'!$C$119:$C$122</c:f>
              <c:numCache>
                <c:formatCode>0.00</c:formatCode>
                <c:ptCount val="4"/>
                <c:pt idx="0">
                  <c:v>10876.769957878316</c:v>
                </c:pt>
                <c:pt idx="1">
                  <c:v>49.758825604933058</c:v>
                </c:pt>
                <c:pt idx="2">
                  <c:v>397.1088000393691</c:v>
                </c:pt>
                <c:pt idx="3">
                  <c:v>1039.8769356659159</c:v>
                </c:pt>
              </c:numCache>
            </c:numRef>
          </c:val>
          <c:extLst>
            <c:ext xmlns:c16="http://schemas.microsoft.com/office/drawing/2014/chart" uri="{C3380CC4-5D6E-409C-BE32-E72D297353CC}">
              <c16:uniqueId val="{00000001-4724-4EA2-896A-283C952E127D}"/>
            </c:ext>
          </c:extLst>
        </c:ser>
        <c:ser>
          <c:idx val="1"/>
          <c:order val="1"/>
          <c:explosion val="25"/>
          <c:cat>
            <c:strRef>
              <c:f>'Д 8_Паливо'!$B$119:$B$122</c:f>
              <c:strCache>
                <c:ptCount val="4"/>
                <c:pt idx="0">
                  <c:v>Постачання природного газу</c:v>
                </c:pt>
                <c:pt idx="1">
                  <c:v>Транспортування природного газу</c:v>
                </c:pt>
                <c:pt idx="2">
                  <c:v>Розподіл природного газу</c:v>
                </c:pt>
                <c:pt idx="3">
                  <c:v>Електроенергія</c:v>
                </c:pt>
              </c:strCache>
            </c:strRef>
          </c:cat>
          <c:val>
            <c:numRef>
              <c:f>'Д 8_Паливо'!$D$119:$D$122</c:f>
              <c:numCache>
                <c:formatCode>0%</c:formatCode>
                <c:ptCount val="4"/>
                <c:pt idx="0">
                  <c:v>0.87974741656163002</c:v>
                </c:pt>
                <c:pt idx="1">
                  <c:v>4.0246505577120418E-3</c:v>
                </c:pt>
                <c:pt idx="2">
                  <c:v>3.2119410659731479E-2</c:v>
                </c:pt>
                <c:pt idx="3">
                  <c:v>8.4108522220926477E-2</c:v>
                </c:pt>
              </c:numCache>
            </c:numRef>
          </c:val>
          <c:extLst>
            <c:ext xmlns:c16="http://schemas.microsoft.com/office/drawing/2014/chart" uri="{C3380CC4-5D6E-409C-BE32-E72D297353CC}">
              <c16:uniqueId val="{00000002-4724-4EA2-896A-283C952E127D}"/>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zero"/>
    <c:showDLblsOverMax val="0"/>
  </c:chart>
  <c:printSettings>
    <c:headerFooter/>
    <c:pageMargins b="0.75000000000000255" l="0.70000000000000062" r="0.70000000000000062" t="0.750000000000002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pie3DChart>
        <c:varyColors val="1"/>
        <c:ser>
          <c:idx val="0"/>
          <c:order val="0"/>
          <c:explosion val="25"/>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Виробництво_Транспортування_1ст!$B$180:$B$188</c:f>
              <c:strCache>
                <c:ptCount val="9"/>
                <c:pt idx="0">
                  <c:v>Зарплата</c:v>
                </c:pt>
                <c:pt idx="1">
                  <c:v>Відрахування</c:v>
                </c:pt>
                <c:pt idx="2">
                  <c:v>газ</c:v>
                </c:pt>
                <c:pt idx="3">
                  <c:v>електроенергія</c:v>
                </c:pt>
                <c:pt idx="4">
                  <c:v>водопостачання, водовідведення</c:v>
                </c:pt>
                <c:pt idx="5">
                  <c:v>амортизація</c:v>
                </c:pt>
                <c:pt idx="6">
                  <c:v>податки</c:v>
                </c:pt>
                <c:pt idx="7">
                  <c:v>Ремонти</c:v>
                </c:pt>
                <c:pt idx="8">
                  <c:v>інші</c:v>
                </c:pt>
              </c:strCache>
            </c:strRef>
          </c:cat>
          <c:val>
            <c:numRef>
              <c:f>Виробництво_Транспортування_1ст!$C$180:$C$188</c:f>
              <c:numCache>
                <c:formatCode>0.00%</c:formatCode>
                <c:ptCount val="9"/>
                <c:pt idx="0">
                  <c:v>0.14888253052786668</c:v>
                </c:pt>
                <c:pt idx="1">
                  <c:v>3.2754156716130668E-2</c:v>
                </c:pt>
                <c:pt idx="2">
                  <c:v>0.56804550655066377</c:v>
                </c:pt>
                <c:pt idx="3">
                  <c:v>9.8097143419952348E-3</c:v>
                </c:pt>
                <c:pt idx="4">
                  <c:v>1.7879679137523836E-3</c:v>
                </c:pt>
                <c:pt idx="5">
                  <c:v>9.5532695421912228E-2</c:v>
                </c:pt>
                <c:pt idx="6">
                  <c:v>1.2245173613714503E-2</c:v>
                </c:pt>
                <c:pt idx="7">
                  <c:v>2.508228925381914E-2</c:v>
                </c:pt>
                <c:pt idx="8">
                  <c:v>0.10585996566014548</c:v>
                </c:pt>
              </c:numCache>
            </c:numRef>
          </c:val>
          <c:extLst>
            <c:ext xmlns:c16="http://schemas.microsoft.com/office/drawing/2014/chart" uri="{C3380CC4-5D6E-409C-BE32-E72D297353CC}">
              <c16:uniqueId val="{00000000-30ED-4EA1-AAD8-66D98AB6C6BF}"/>
            </c:ext>
          </c:extLst>
        </c:ser>
        <c:dLbls>
          <c:showLegendKey val="0"/>
          <c:showVal val="0"/>
          <c:showCatName val="0"/>
          <c:showSerName val="0"/>
          <c:showPercent val="0"/>
          <c:showBubbleSize val="0"/>
          <c:showLeaderLines val="1"/>
        </c:dLbls>
      </c:pie3DChart>
    </c:plotArea>
    <c:legend>
      <c:legendPos val="r"/>
      <c:overlay val="0"/>
    </c:legend>
    <c:plotVisOnly val="1"/>
    <c:dispBlanksAs val="zero"/>
    <c:showDLblsOverMax val="0"/>
  </c:chart>
  <c:printSettings>
    <c:headerFooter/>
    <c:pageMargins b="0.75000000000000389" l="0.70000000000000062" r="0.70000000000000062" t="0.750000000000003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0"/>
      <c:rAngAx val="0"/>
    </c:view3D>
    <c:floor>
      <c:thickness val="0"/>
    </c:floor>
    <c:sideWall>
      <c:thickness val="0"/>
    </c:sideWall>
    <c:backWall>
      <c:thickness val="0"/>
    </c:backWall>
    <c:plotArea>
      <c:layout/>
      <c:pie3DChart>
        <c:varyColors val="1"/>
        <c:ser>
          <c:idx val="0"/>
          <c:order val="0"/>
          <c:explosion val="25"/>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Виробництво_Транспортування_1ст!$B$180:$B$188</c:f>
              <c:strCache>
                <c:ptCount val="9"/>
                <c:pt idx="0">
                  <c:v>Зарплата</c:v>
                </c:pt>
                <c:pt idx="1">
                  <c:v>Відрахування</c:v>
                </c:pt>
                <c:pt idx="2">
                  <c:v>газ</c:v>
                </c:pt>
                <c:pt idx="3">
                  <c:v>електроенергія</c:v>
                </c:pt>
                <c:pt idx="4">
                  <c:v>водопостачання, водовідведення</c:v>
                </c:pt>
                <c:pt idx="5">
                  <c:v>амортизація</c:v>
                </c:pt>
                <c:pt idx="6">
                  <c:v>податки</c:v>
                </c:pt>
                <c:pt idx="7">
                  <c:v>Ремонти</c:v>
                </c:pt>
                <c:pt idx="8">
                  <c:v>інші</c:v>
                </c:pt>
              </c:strCache>
            </c:strRef>
          </c:cat>
          <c:val>
            <c:numRef>
              <c:f>Виробництво_Транспортування_1ст!$E$180:$E$188</c:f>
              <c:numCache>
                <c:formatCode>0.00%</c:formatCode>
                <c:ptCount val="9"/>
                <c:pt idx="0">
                  <c:v>7.4492564384582599E-2</c:v>
                </c:pt>
                <c:pt idx="1">
                  <c:v>1.6388331580193059E-2</c:v>
                </c:pt>
                <c:pt idx="2">
                  <c:v>0.80914567514463775</c:v>
                </c:pt>
                <c:pt idx="3">
                  <c:v>6.9036007852251594E-3</c:v>
                </c:pt>
                <c:pt idx="4">
                  <c:v>5.7452248280209382E-4</c:v>
                </c:pt>
                <c:pt idx="5">
                  <c:v>3.3399025489010609E-2</c:v>
                </c:pt>
                <c:pt idx="6">
                  <c:v>4.731108963172798E-3</c:v>
                </c:pt>
                <c:pt idx="7">
                  <c:v>1.0961693465373283E-2</c:v>
                </c:pt>
                <c:pt idx="8">
                  <c:v>4.3403477705002656E-2</c:v>
                </c:pt>
              </c:numCache>
            </c:numRef>
          </c:val>
          <c:extLst>
            <c:ext xmlns:c16="http://schemas.microsoft.com/office/drawing/2014/chart" uri="{C3380CC4-5D6E-409C-BE32-E72D297353CC}">
              <c16:uniqueId val="{00000000-ED5C-4DBD-B729-2EAA9C96FC0C}"/>
            </c:ext>
          </c:extLst>
        </c:ser>
        <c:dLbls>
          <c:showLegendKey val="0"/>
          <c:showVal val="0"/>
          <c:showCatName val="0"/>
          <c:showSerName val="0"/>
          <c:showPercent val="0"/>
          <c:showBubbleSize val="0"/>
          <c:showLeaderLines val="1"/>
        </c:dLbls>
      </c:pie3DChart>
    </c:plotArea>
    <c:legend>
      <c:legendPos val="r"/>
      <c:overlay val="0"/>
    </c:legend>
    <c:plotVisOnly val="1"/>
    <c:dispBlanksAs val="zero"/>
    <c:showDLblsOverMax val="0"/>
  </c:chart>
  <c:printSettings>
    <c:headerFooter/>
    <c:pageMargins b="0.75000000000000411" l="0.70000000000000062" r="0.70000000000000062" t="0.750000000000004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6806590271687292E-2"/>
          <c:y val="2.7645716347209838E-2"/>
          <c:w val="0.69817124297651711"/>
          <c:h val="0.89147563290146503"/>
        </c:manualLayout>
      </c:layout>
      <c:bar3DChart>
        <c:barDir val="col"/>
        <c:grouping val="clustered"/>
        <c:varyColors val="0"/>
        <c:ser>
          <c:idx val="0"/>
          <c:order val="0"/>
          <c:tx>
            <c:strRef>
              <c:f>Виробництво_Транспортування_1ст!$B$196</c:f>
              <c:strCache>
                <c:ptCount val="1"/>
                <c:pt idx="0">
                  <c:v>Зарплата</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(Виробництво_Транспортування_1ст!$C$196,Виробництво_Транспортування_1ст!$E$196)</c:f>
              <c:numCache>
                <c:formatCode>0.00%</c:formatCode>
                <c:ptCount val="2"/>
                <c:pt idx="0">
                  <c:v>0.28445231086381545</c:v>
                </c:pt>
                <c:pt idx="1">
                  <c:v>0.16888579275146312</c:v>
                </c:pt>
              </c:numCache>
            </c:numRef>
          </c:val>
          <c:extLst>
            <c:ext xmlns:c16="http://schemas.microsoft.com/office/drawing/2014/chart" uri="{C3380CC4-5D6E-409C-BE32-E72D297353CC}">
              <c16:uniqueId val="{00000000-C644-4760-8DEA-D3396C8B2081}"/>
            </c:ext>
          </c:extLst>
        </c:ser>
        <c:ser>
          <c:idx val="2"/>
          <c:order val="1"/>
          <c:tx>
            <c:strRef>
              <c:f>Виробництво_Транспортування_1ст!$B$197</c:f>
              <c:strCache>
                <c:ptCount val="1"/>
                <c:pt idx="0">
                  <c:v>Відрахування</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(Виробництво_Транспортування_1ст!$C$197,Виробництво_Транспортування_1ст!$E$197)</c:f>
              <c:numCache>
                <c:formatCode>0.00%</c:formatCode>
                <c:ptCount val="2"/>
                <c:pt idx="0">
                  <c:v>6.2579508390039396E-2</c:v>
                </c:pt>
                <c:pt idx="1">
                  <c:v>3.71549526156899E-2</c:v>
                </c:pt>
              </c:numCache>
            </c:numRef>
          </c:val>
          <c:extLst>
            <c:ext xmlns:c16="http://schemas.microsoft.com/office/drawing/2014/chart" uri="{C3380CC4-5D6E-409C-BE32-E72D297353CC}">
              <c16:uniqueId val="{00000001-C644-4760-8DEA-D3396C8B2081}"/>
            </c:ext>
          </c:extLst>
        </c:ser>
        <c:ser>
          <c:idx val="1"/>
          <c:order val="2"/>
          <c:tx>
            <c:strRef>
              <c:f>Виробництво_Транспортування_1ст!$B$198</c:f>
              <c:strCache>
                <c:ptCount val="1"/>
                <c:pt idx="0">
                  <c:v>витрати на покриття втрат теплової енергії в теплових мережах</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(Виробництво_Транспортування_1ст!$C$198,Виробництво_Транспортування_1ст!$E$198)</c:f>
              <c:numCache>
                <c:formatCode>0.00%</c:formatCode>
                <c:ptCount val="2"/>
                <c:pt idx="0">
                  <c:v>0.38330324523943249</c:v>
                </c:pt>
                <c:pt idx="1">
                  <c:v>0.48399313089510654</c:v>
                </c:pt>
              </c:numCache>
            </c:numRef>
          </c:val>
          <c:extLst>
            <c:ext xmlns:c16="http://schemas.microsoft.com/office/drawing/2014/chart" uri="{C3380CC4-5D6E-409C-BE32-E72D297353CC}">
              <c16:uniqueId val="{00000002-C644-4760-8DEA-D3396C8B2081}"/>
            </c:ext>
          </c:extLst>
        </c:ser>
        <c:ser>
          <c:idx val="3"/>
          <c:order val="3"/>
          <c:tx>
            <c:strRef>
              <c:f>Виробництво_Транспортування_1ст!$B$199</c:f>
              <c:strCache>
                <c:ptCount val="1"/>
                <c:pt idx="0">
                  <c:v>електроенергія</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(Виробництво_Транспортування_1ст!$C$199,Виробництво_Транспортування_1ст!$E$199)</c:f>
              <c:numCache>
                <c:formatCode>0.00%</c:formatCode>
                <c:ptCount val="2"/>
                <c:pt idx="0">
                  <c:v>8.70338240964562E-2</c:v>
                </c:pt>
                <c:pt idx="1">
                  <c:v>0.10983808219239304</c:v>
                </c:pt>
              </c:numCache>
            </c:numRef>
          </c:val>
          <c:extLst>
            <c:ext xmlns:c16="http://schemas.microsoft.com/office/drawing/2014/chart" uri="{C3380CC4-5D6E-409C-BE32-E72D297353CC}">
              <c16:uniqueId val="{00000003-C644-4760-8DEA-D3396C8B2081}"/>
            </c:ext>
          </c:extLst>
        </c:ser>
        <c:ser>
          <c:idx val="4"/>
          <c:order val="4"/>
          <c:tx>
            <c:strRef>
              <c:f>Виробництво_Транспортування_1ст!$B$200</c:f>
              <c:strCache>
                <c:ptCount val="1"/>
                <c:pt idx="0">
                  <c:v>водопостачання, водовідведення</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(Виробництво_Транспортування_1ст!$C$200,Виробництво_Транспортування_1ст!$E$200)</c:f>
              <c:numCache>
                <c:formatCode>0.00%</c:formatCode>
                <c:ptCount val="2"/>
                <c:pt idx="0">
                  <c:v>1.4253885691958993E-2</c:v>
                </c:pt>
                <c:pt idx="1">
                  <c:v>2.6474768217987939E-2</c:v>
                </c:pt>
              </c:numCache>
            </c:numRef>
          </c:val>
          <c:extLst>
            <c:ext xmlns:c16="http://schemas.microsoft.com/office/drawing/2014/chart" uri="{C3380CC4-5D6E-409C-BE32-E72D297353CC}">
              <c16:uniqueId val="{00000004-C644-4760-8DEA-D3396C8B2081}"/>
            </c:ext>
          </c:extLst>
        </c:ser>
        <c:ser>
          <c:idx val="5"/>
          <c:order val="5"/>
          <c:tx>
            <c:strRef>
              <c:f>Виробництво_Транспортування_1ст!$B$201</c:f>
              <c:strCache>
                <c:ptCount val="1"/>
                <c:pt idx="0">
                  <c:v>амортизація</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(Виробництво_Транспортування_1ст!$C$201,Виробництво_Транспортування_1ст!$E$201)</c:f>
              <c:numCache>
                <c:formatCode>0.00%</c:formatCode>
                <c:ptCount val="2"/>
                <c:pt idx="0">
                  <c:v>7.3737838096051929E-3</c:v>
                </c:pt>
                <c:pt idx="1">
                  <c:v>1.2730413330622041E-2</c:v>
                </c:pt>
              </c:numCache>
            </c:numRef>
          </c:val>
          <c:extLst>
            <c:ext xmlns:c16="http://schemas.microsoft.com/office/drawing/2014/chart" uri="{C3380CC4-5D6E-409C-BE32-E72D297353CC}">
              <c16:uniqueId val="{00000005-C644-4760-8DEA-D3396C8B2081}"/>
            </c:ext>
          </c:extLst>
        </c:ser>
        <c:ser>
          <c:idx val="6"/>
          <c:order val="6"/>
          <c:tx>
            <c:strRef>
              <c:f>Виробництво_Транспортування_1ст!$B$202</c:f>
              <c:strCache>
                <c:ptCount val="1"/>
                <c:pt idx="0">
                  <c:v>податки</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(Виробництво_Транспортування_1ст!$C$202,Виробництво_Транспортування_1ст!$E$202)</c:f>
              <c:numCache>
                <c:formatCode>0.00%</c:formatCode>
                <c:ptCount val="2"/>
                <c:pt idx="0">
                  <c:v>0</c:v>
                </c:pt>
                <c:pt idx="1">
                  <c:v>0</c:v>
                </c:pt>
              </c:numCache>
            </c:numRef>
          </c:val>
          <c:extLst>
            <c:ext xmlns:c16="http://schemas.microsoft.com/office/drawing/2014/chart" uri="{C3380CC4-5D6E-409C-BE32-E72D297353CC}">
              <c16:uniqueId val="{00000006-C644-4760-8DEA-D3396C8B2081}"/>
            </c:ext>
          </c:extLst>
        </c:ser>
        <c:ser>
          <c:idx val="7"/>
          <c:order val="7"/>
          <c:tx>
            <c:strRef>
              <c:f>Виробництво_Транспортування_1ст!$B$203</c:f>
              <c:strCache>
                <c:ptCount val="1"/>
                <c:pt idx="0">
                  <c:v>Ремонти</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(Виробництво_Транспортування_1ст!$C$203,Виробництво_Транспортування_1ст!$E$203)</c:f>
              <c:numCache>
                <c:formatCode>0.00%</c:formatCode>
                <c:ptCount val="2"/>
                <c:pt idx="0">
                  <c:v>3.4053605334229221E-2</c:v>
                </c:pt>
                <c:pt idx="1">
                  <c:v>1.6759364574278623E-2</c:v>
                </c:pt>
              </c:numCache>
            </c:numRef>
          </c:val>
          <c:extLst>
            <c:ext xmlns:c16="http://schemas.microsoft.com/office/drawing/2014/chart" uri="{C3380CC4-5D6E-409C-BE32-E72D297353CC}">
              <c16:uniqueId val="{00000007-C644-4760-8DEA-D3396C8B2081}"/>
            </c:ext>
          </c:extLst>
        </c:ser>
        <c:ser>
          <c:idx val="8"/>
          <c:order val="8"/>
          <c:tx>
            <c:strRef>
              <c:f>Виробництво_Транспортування_1ст!$B$204</c:f>
              <c:strCache>
                <c:ptCount val="1"/>
                <c:pt idx="0">
                  <c:v>інші</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(Виробництво_Транспортування_1ст!$C$204,Виробництво_Транспортування_1ст!$E$204)</c:f>
              <c:numCache>
                <c:formatCode>0.00%</c:formatCode>
                <c:ptCount val="2"/>
                <c:pt idx="0">
                  <c:v>0.12694983657446296</c:v>
                </c:pt>
                <c:pt idx="1">
                  <c:v>0.14416349542245877</c:v>
                </c:pt>
              </c:numCache>
            </c:numRef>
          </c:val>
          <c:extLst>
            <c:ext xmlns:c16="http://schemas.microsoft.com/office/drawing/2014/chart" uri="{C3380CC4-5D6E-409C-BE32-E72D297353CC}">
              <c16:uniqueId val="{00000008-C644-4760-8DEA-D3396C8B2081}"/>
            </c:ext>
          </c:extLst>
        </c:ser>
        <c:dLbls>
          <c:showLegendKey val="0"/>
          <c:showVal val="0"/>
          <c:showCatName val="0"/>
          <c:showSerName val="0"/>
          <c:showPercent val="0"/>
          <c:showBubbleSize val="0"/>
        </c:dLbls>
        <c:gapWidth val="150"/>
        <c:shape val="box"/>
        <c:axId val="73588096"/>
        <c:axId val="73471104"/>
        <c:axId val="0"/>
      </c:bar3DChart>
      <c:catAx>
        <c:axId val="73588096"/>
        <c:scaling>
          <c:orientation val="minMax"/>
        </c:scaling>
        <c:delete val="0"/>
        <c:axPos val="b"/>
        <c:numFmt formatCode="General" sourceLinked="0"/>
        <c:majorTickMark val="out"/>
        <c:minorTickMark val="none"/>
        <c:tickLblPos val="nextTo"/>
        <c:crossAx val="73471104"/>
        <c:crosses val="autoZero"/>
        <c:auto val="1"/>
        <c:lblAlgn val="ctr"/>
        <c:lblOffset val="100"/>
        <c:noMultiLvlLbl val="0"/>
      </c:catAx>
      <c:valAx>
        <c:axId val="73471104"/>
        <c:scaling>
          <c:orientation val="minMax"/>
        </c:scaling>
        <c:delete val="0"/>
        <c:axPos val="l"/>
        <c:majorGridlines/>
        <c:numFmt formatCode="0.00%" sourceLinked="1"/>
        <c:majorTickMark val="out"/>
        <c:minorTickMark val="none"/>
        <c:tickLblPos val="nextTo"/>
        <c:crossAx val="73588096"/>
        <c:crosses val="autoZero"/>
        <c:crossBetween val="between"/>
      </c:valAx>
    </c:plotArea>
    <c:legend>
      <c:legendPos val="r"/>
      <c:layout>
        <c:manualLayout>
          <c:xMode val="edge"/>
          <c:yMode val="edge"/>
          <c:x val="0.81322752725064817"/>
          <c:y val="2.0054231891332267E-2"/>
          <c:w val="0.17606255842866642"/>
          <c:h val="0.9648716158986151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Постачання_1ст!$B$74:$B$83</c:f>
              <c:strCache>
                <c:ptCount val="10"/>
                <c:pt idx="0">
                  <c:v>Зарплата</c:v>
                </c:pt>
                <c:pt idx="1">
                  <c:v>Відрахування</c:v>
                </c:pt>
                <c:pt idx="2">
                  <c:v>газ</c:v>
                </c:pt>
                <c:pt idx="3">
                  <c:v>електроенергія</c:v>
                </c:pt>
                <c:pt idx="4">
                  <c:v>водопостачання, водовідведення</c:v>
                </c:pt>
                <c:pt idx="5">
                  <c:v>амортизація</c:v>
                </c:pt>
                <c:pt idx="6">
                  <c:v>податки</c:v>
                </c:pt>
                <c:pt idx="7">
                  <c:v>Ремонти</c:v>
                </c:pt>
                <c:pt idx="8">
                  <c:v>інші</c:v>
                </c:pt>
                <c:pt idx="9">
                  <c:v>Прибуток</c:v>
                </c:pt>
              </c:strCache>
            </c:strRef>
          </c:cat>
          <c:val>
            <c:numRef>
              <c:f>Постачання_1ст!$C$74:$C$83</c:f>
              <c:numCache>
                <c:formatCode>0.00%</c:formatCode>
                <c:ptCount val="10"/>
                <c:pt idx="0">
                  <c:v>0.65670110401533843</c:v>
                </c:pt>
                <c:pt idx="1">
                  <c:v>0.14447424288337446</c:v>
                </c:pt>
                <c:pt idx="2">
                  <c:v>0</c:v>
                </c:pt>
                <c:pt idx="3">
                  <c:v>0</c:v>
                </c:pt>
                <c:pt idx="4">
                  <c:v>0</c:v>
                </c:pt>
                <c:pt idx="5">
                  <c:v>0</c:v>
                </c:pt>
                <c:pt idx="6">
                  <c:v>0</c:v>
                </c:pt>
                <c:pt idx="7">
                  <c:v>0</c:v>
                </c:pt>
                <c:pt idx="8">
                  <c:v>0.19882465310128716</c:v>
                </c:pt>
                <c:pt idx="9">
                  <c:v>0</c:v>
                </c:pt>
              </c:numCache>
            </c:numRef>
          </c:val>
          <c:extLst>
            <c:ext xmlns:c16="http://schemas.microsoft.com/office/drawing/2014/chart" uri="{C3380CC4-5D6E-409C-BE32-E72D297353CC}">
              <c16:uniqueId val="{00000000-8677-4130-9130-07E2BA51A94C}"/>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0"/>
  </c:chart>
  <c:printSettings>
    <c:headerFooter/>
    <c:pageMargins b="0.75000000000000411" l="0.70000000000000062" r="0.70000000000000062" t="0.750000000000004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Постачання_1ст!$B$74:$B$83</c:f>
              <c:strCache>
                <c:ptCount val="10"/>
                <c:pt idx="0">
                  <c:v>Зарплата</c:v>
                </c:pt>
                <c:pt idx="1">
                  <c:v>Відрахування</c:v>
                </c:pt>
                <c:pt idx="2">
                  <c:v>газ</c:v>
                </c:pt>
                <c:pt idx="3">
                  <c:v>електроенергія</c:v>
                </c:pt>
                <c:pt idx="4">
                  <c:v>водопостачання, водовідведення</c:v>
                </c:pt>
                <c:pt idx="5">
                  <c:v>амортизація</c:v>
                </c:pt>
                <c:pt idx="6">
                  <c:v>податки</c:v>
                </c:pt>
                <c:pt idx="7">
                  <c:v>Ремонти</c:v>
                </c:pt>
                <c:pt idx="8">
                  <c:v>інші</c:v>
                </c:pt>
                <c:pt idx="9">
                  <c:v>Прибуток</c:v>
                </c:pt>
              </c:strCache>
            </c:strRef>
          </c:cat>
          <c:val>
            <c:numRef>
              <c:f>Постачання_1ст!$E$74:$E$83</c:f>
              <c:numCache>
                <c:formatCode>0.00%</c:formatCode>
                <c:ptCount val="10"/>
                <c:pt idx="0">
                  <c:v>0.66983547017896983</c:v>
                </c:pt>
                <c:pt idx="1">
                  <c:v>0.14736577254627403</c:v>
                </c:pt>
                <c:pt idx="2">
                  <c:v>0</c:v>
                </c:pt>
                <c:pt idx="3">
                  <c:v>0</c:v>
                </c:pt>
                <c:pt idx="4">
                  <c:v>0</c:v>
                </c:pt>
                <c:pt idx="5">
                  <c:v>0</c:v>
                </c:pt>
                <c:pt idx="6">
                  <c:v>0</c:v>
                </c:pt>
                <c:pt idx="7">
                  <c:v>0</c:v>
                </c:pt>
                <c:pt idx="8">
                  <c:v>0.18279875727475611</c:v>
                </c:pt>
                <c:pt idx="9">
                  <c:v>0</c:v>
                </c:pt>
              </c:numCache>
            </c:numRef>
          </c:val>
          <c:extLst>
            <c:ext xmlns:c16="http://schemas.microsoft.com/office/drawing/2014/chart" uri="{C3380CC4-5D6E-409C-BE32-E72D297353CC}">
              <c16:uniqueId val="{00000000-F175-45A8-9B53-7481C1687B42}"/>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0"/>
  </c:chart>
  <c:printSettings>
    <c:headerFooter/>
    <c:pageMargins b="0.75000000000000433" l="0.70000000000000062" r="0.70000000000000062" t="0.75000000000000433"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4</xdr:col>
      <xdr:colOff>258100</xdr:colOff>
      <xdr:row>116</xdr:row>
      <xdr:rowOff>95185</xdr:rowOff>
    </xdr:from>
    <xdr:to>
      <xdr:col>8</xdr:col>
      <xdr:colOff>351694</xdr:colOff>
      <xdr:row>133</xdr:row>
      <xdr:rowOff>0</xdr:rowOff>
    </xdr:to>
    <xdr:graphicFrame macro="">
      <xdr:nvGraphicFramePr>
        <xdr:cNvPr id="3" name="Диаграмма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104775</xdr:colOff>
      <xdr:row>22</xdr:row>
      <xdr:rowOff>4162425</xdr:rowOff>
    </xdr:from>
    <xdr:to>
      <xdr:col>5</xdr:col>
      <xdr:colOff>523875</xdr:colOff>
      <xdr:row>22</xdr:row>
      <xdr:rowOff>4410075</xdr:rowOff>
    </xdr:to>
    <xdr:sp macro="" textlink="">
      <xdr:nvSpPr>
        <xdr:cNvPr id="23553" name="Text Box 1">
          <a:extLst>
            <a:ext uri="{FF2B5EF4-FFF2-40B4-BE49-F238E27FC236}">
              <a16:creationId xmlns:a16="http://schemas.microsoft.com/office/drawing/2014/main" id="{00000000-0008-0000-1400-0000015C0000}"/>
            </a:ext>
          </a:extLst>
        </xdr:cNvPr>
        <xdr:cNvSpPr txBox="1">
          <a:spLocks noChangeArrowheads="1"/>
        </xdr:cNvSpPr>
      </xdr:nvSpPr>
      <xdr:spPr bwMode="auto">
        <a:xfrm>
          <a:off x="3152775" y="25422225"/>
          <a:ext cx="419100" cy="24765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12007</xdr:colOff>
      <xdr:row>41</xdr:row>
      <xdr:rowOff>162357</xdr:rowOff>
    </xdr:from>
    <xdr:to>
      <xdr:col>11</xdr:col>
      <xdr:colOff>225719</xdr:colOff>
      <xdr:row>49</xdr:row>
      <xdr:rowOff>54117</xdr:rowOff>
    </xdr:to>
    <xdr:sp macro="" textlink="">
      <xdr:nvSpPr>
        <xdr:cNvPr id="2" name="TextBox 1">
          <a:extLst>
            <a:ext uri="{FF2B5EF4-FFF2-40B4-BE49-F238E27FC236}">
              <a16:creationId xmlns:a16="http://schemas.microsoft.com/office/drawing/2014/main" id="{00000000-0008-0000-1800-000002000000}"/>
            </a:ext>
          </a:extLst>
        </xdr:cNvPr>
        <xdr:cNvSpPr txBox="1"/>
      </xdr:nvSpPr>
      <xdr:spPr>
        <a:xfrm flipV="1">
          <a:off x="4633797" y="10380084"/>
          <a:ext cx="2584138" cy="127721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t> оязательно виключить колличество дней планово-ремонтного периода в межотопительный</a:t>
          </a:r>
          <a:r>
            <a:rPr lang="ru-RU" sz="1100" baseline="0"/>
            <a:t> период</a:t>
          </a:r>
          <a:endParaRPr lang="ru-RU" sz="1100"/>
        </a:p>
      </xdr:txBody>
    </xdr:sp>
    <xdr:clientData/>
  </xdr:twoCellAnchor>
  <xdr:twoCellAnchor>
    <xdr:from>
      <xdr:col>6</xdr:col>
      <xdr:colOff>57146</xdr:colOff>
      <xdr:row>40</xdr:row>
      <xdr:rowOff>76199</xdr:rowOff>
    </xdr:from>
    <xdr:to>
      <xdr:col>11</xdr:col>
      <xdr:colOff>226835</xdr:colOff>
      <xdr:row>44</xdr:row>
      <xdr:rowOff>104774</xdr:rowOff>
    </xdr:to>
    <xdr:sp macro="" textlink="">
      <xdr:nvSpPr>
        <xdr:cNvPr id="3" name="Стрелка вниз 2">
          <a:extLst>
            <a:ext uri="{FF2B5EF4-FFF2-40B4-BE49-F238E27FC236}">
              <a16:creationId xmlns:a16="http://schemas.microsoft.com/office/drawing/2014/main" id="{00000000-0008-0000-1800-000003000000}"/>
            </a:ext>
          </a:extLst>
        </xdr:cNvPr>
        <xdr:cNvSpPr/>
      </xdr:nvSpPr>
      <xdr:spPr>
        <a:xfrm rot="10800000">
          <a:off x="4676771" y="8753474"/>
          <a:ext cx="2550939" cy="752475"/>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18</xdr:col>
      <xdr:colOff>408213</xdr:colOff>
      <xdr:row>10</xdr:row>
      <xdr:rowOff>40822</xdr:rowOff>
    </xdr:from>
    <xdr:to>
      <xdr:col>25</xdr:col>
      <xdr:colOff>176892</xdr:colOff>
      <xdr:row>13</xdr:row>
      <xdr:rowOff>163286</xdr:rowOff>
    </xdr:to>
    <xdr:sp macro="" textlink="">
      <xdr:nvSpPr>
        <xdr:cNvPr id="4" name="TextBox 3">
          <a:extLst>
            <a:ext uri="{FF2B5EF4-FFF2-40B4-BE49-F238E27FC236}">
              <a16:creationId xmlns:a16="http://schemas.microsoft.com/office/drawing/2014/main" id="{00000000-0008-0000-1800-000004000000}"/>
            </a:ext>
          </a:extLst>
        </xdr:cNvPr>
        <xdr:cNvSpPr txBox="1"/>
      </xdr:nvSpPr>
      <xdr:spPr>
        <a:xfrm>
          <a:off x="10704738" y="1812472"/>
          <a:ext cx="4035879" cy="693964"/>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800"/>
            <a:t>Отопительный</a:t>
          </a:r>
          <a:r>
            <a:rPr lang="ru-RU" sz="1800" baseline="0"/>
            <a:t> период расчитывается за календарный год (январь-декабрь)</a:t>
          </a:r>
        </a:p>
        <a:p>
          <a:endParaRPr lang="ru-RU" sz="1800"/>
        </a:p>
      </xdr:txBody>
    </xdr:sp>
    <xdr:clientData/>
  </xdr:twoCellAnchor>
  <xdr:twoCellAnchor>
    <xdr:from>
      <xdr:col>18</xdr:col>
      <xdr:colOff>47624</xdr:colOff>
      <xdr:row>10</xdr:row>
      <xdr:rowOff>68037</xdr:rowOff>
    </xdr:from>
    <xdr:to>
      <xdr:col>18</xdr:col>
      <xdr:colOff>408214</xdr:colOff>
      <xdr:row>13</xdr:row>
      <xdr:rowOff>129269</xdr:rowOff>
    </xdr:to>
    <xdr:sp macro="" textlink="">
      <xdr:nvSpPr>
        <xdr:cNvPr id="5" name="Стрелка вниз 4">
          <a:extLst>
            <a:ext uri="{FF2B5EF4-FFF2-40B4-BE49-F238E27FC236}">
              <a16:creationId xmlns:a16="http://schemas.microsoft.com/office/drawing/2014/main" id="{00000000-0008-0000-1800-000005000000}"/>
            </a:ext>
          </a:extLst>
        </xdr:cNvPr>
        <xdr:cNvSpPr/>
      </xdr:nvSpPr>
      <xdr:spPr>
        <a:xfrm rot="5400000">
          <a:off x="10208078" y="1975758"/>
          <a:ext cx="632732" cy="360590"/>
        </a:xfrm>
        <a:prstGeom prst="downArrow">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314960</xdr:colOff>
      <xdr:row>178</xdr:row>
      <xdr:rowOff>20320</xdr:rowOff>
    </xdr:from>
    <xdr:to>
      <xdr:col>12</xdr:col>
      <xdr:colOff>0</xdr:colOff>
      <xdr:row>191</xdr:row>
      <xdr:rowOff>121920</xdr:rowOff>
    </xdr:to>
    <xdr:graphicFrame macro="">
      <xdr:nvGraphicFramePr>
        <xdr:cNvPr id="2" name="Диаграмма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345440</xdr:colOff>
      <xdr:row>193</xdr:row>
      <xdr:rowOff>60960</xdr:rowOff>
    </xdr:from>
    <xdr:to>
      <xdr:col>12</xdr:col>
      <xdr:colOff>30480</xdr:colOff>
      <xdr:row>206</xdr:row>
      <xdr:rowOff>142240</xdr:rowOff>
    </xdr:to>
    <xdr:graphicFrame macro="">
      <xdr:nvGraphicFramePr>
        <xdr:cNvPr id="3" name="Диаграмма 2">
          <a:extLst>
            <a:ext uri="{FF2B5EF4-FFF2-40B4-BE49-F238E27FC236}">
              <a16:creationId xmlns:a16="http://schemas.microsoft.com/office/drawing/2014/main" id="{00000000-0008-0000-1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528320</xdr:colOff>
      <xdr:row>207</xdr:row>
      <xdr:rowOff>60960</xdr:rowOff>
    </xdr:from>
    <xdr:to>
      <xdr:col>6</xdr:col>
      <xdr:colOff>457200</xdr:colOff>
      <xdr:row>232</xdr:row>
      <xdr:rowOff>81280</xdr:rowOff>
    </xdr:to>
    <xdr:graphicFrame macro="">
      <xdr:nvGraphicFramePr>
        <xdr:cNvPr id="4" name="Диаграмма 3">
          <a:extLst>
            <a:ext uri="{FF2B5EF4-FFF2-40B4-BE49-F238E27FC236}">
              <a16:creationId xmlns:a16="http://schemas.microsoft.com/office/drawing/2014/main" id="{00000000-0008-0000-1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558800</xdr:colOff>
      <xdr:row>85</xdr:row>
      <xdr:rowOff>40640</xdr:rowOff>
    </xdr:from>
    <xdr:to>
      <xdr:col>3</xdr:col>
      <xdr:colOff>20320</xdr:colOff>
      <xdr:row>98</xdr:row>
      <xdr:rowOff>142240</xdr:rowOff>
    </xdr:to>
    <xdr:graphicFrame macro="">
      <xdr:nvGraphicFramePr>
        <xdr:cNvPr id="2" name="Диаграмма 1">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91440</xdr:colOff>
      <xdr:row>85</xdr:row>
      <xdr:rowOff>10160</xdr:rowOff>
    </xdr:from>
    <xdr:to>
      <xdr:col>9</xdr:col>
      <xdr:colOff>20320</xdr:colOff>
      <xdr:row>98</xdr:row>
      <xdr:rowOff>111760</xdr:rowOff>
    </xdr:to>
    <xdr:graphicFrame macro="">
      <xdr:nvGraphicFramePr>
        <xdr:cNvPr id="3" name="Диаграмма 2">
          <a:extLst>
            <a:ext uri="{FF2B5EF4-FFF2-40B4-BE49-F238E27FC236}">
              <a16:creationId xmlns:a16="http://schemas.microsoft.com/office/drawing/2014/main" id="{00000000-0008-0000-1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24</xdr:col>
      <xdr:colOff>390525</xdr:colOff>
      <xdr:row>30</xdr:row>
      <xdr:rowOff>44823</xdr:rowOff>
    </xdr:from>
    <xdr:to>
      <xdr:col>29</xdr:col>
      <xdr:colOff>558193</xdr:colOff>
      <xdr:row>37</xdr:row>
      <xdr:rowOff>142874</xdr:rowOff>
    </xdr:to>
    <xdr:sp macro="" textlink="">
      <xdr:nvSpPr>
        <xdr:cNvPr id="2" name="TextBox 1">
          <a:extLst>
            <a:ext uri="{FF2B5EF4-FFF2-40B4-BE49-F238E27FC236}">
              <a16:creationId xmlns:a16="http://schemas.microsoft.com/office/drawing/2014/main" id="{00000000-0008-0000-5100-000002000000}"/>
            </a:ext>
          </a:extLst>
        </xdr:cNvPr>
        <xdr:cNvSpPr txBox="1"/>
      </xdr:nvSpPr>
      <xdr:spPr>
        <a:xfrm>
          <a:off x="16562854" y="7010399"/>
          <a:ext cx="3977668" cy="2079251"/>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600" b="1"/>
            <a:t>У разі наявності кількох  </a:t>
          </a:r>
          <a:r>
            <a:rPr lang="uk-UA" sz="1600" b="1">
              <a:solidFill>
                <a:schemeClr val="dk1"/>
              </a:solidFill>
              <a:latin typeface="+mn-lt"/>
              <a:ea typeface="+mn-ea"/>
              <a:cs typeface="+mn-cs"/>
            </a:rPr>
            <a:t>компаній</a:t>
          </a:r>
          <a:r>
            <a:rPr lang="uk-UA" sz="1100" b="1">
              <a:solidFill>
                <a:schemeClr val="dk1"/>
              </a:solidFill>
              <a:effectLst/>
              <a:latin typeface="+mn-lt"/>
              <a:ea typeface="+mn-ea"/>
              <a:cs typeface="+mn-cs"/>
            </a:rPr>
            <a:t>  </a:t>
          </a:r>
          <a:r>
            <a:rPr lang="uk-UA" sz="1600" b="1"/>
            <a:t>водопостачання (водовідведення)</a:t>
          </a:r>
          <a:r>
            <a:rPr lang="uk-UA" sz="1600" b="1" baseline="0"/>
            <a:t> </a:t>
          </a:r>
          <a:r>
            <a:rPr lang="uk-UA" sz="1600" b="1"/>
            <a:t>Додаток</a:t>
          </a:r>
          <a:r>
            <a:rPr lang="uk-UA" sz="1600" b="1" baseline="0"/>
            <a:t> заповнюється окремо за кожним з постачальників  і тільки потім зводиться у загальний Додаток  цієї форми.</a:t>
          </a:r>
        </a:p>
        <a:p>
          <a:r>
            <a:rPr lang="uk-UA" sz="1600" b="1" baseline="0"/>
            <a:t>Сумарні показники водопостачання та водовідведення повинні співпадати з формою 2ТП-водгосп за відповідний період</a:t>
          </a:r>
        </a:p>
        <a:p>
          <a:endParaRPr lang="ru-RU" sz="16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haredDocs/SharedDocs/Users/user/Desktop/&#1053;&#1086;&#1074;&#1072;&#1103;%20&#1087;&#1072;&#1087;&#1082;&#1072;%20(2)/&#1057;&#1077;&#1088;&#1077;&#1076;&#1085;&#1100;&#1086;&#1079;&#1074;%20&#1076;&#1083;&#1103;%20&#1083;&#1110;&#1094;&#1077;&#1085;&#1079;&#1110;&#1072;&#1090;&#1110;&#107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Mashburo2\&#1056;&#1072;&#1073;&#1086;&#1095;&#1080;&#1081;%20&#1089;&#1090;&#1086;&#1083;\&#1096;&#1087;&#1072;&#1085;&#1102;&#1082;\&#1092;&#1072;&#1082;&#1090;&#1099;%202007\&#1054;&#1090;&#1095;&#1077;&#1090;&#1085;&#1086;&#1089;&#1090;&#11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rm-pev06\e\Ariadna\Sum_po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I758B~1.TKA/AppData/Local/Temp/Ariadna/Sum_po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haredDocs/SharedDocs/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eo12\c\WINDOWS\TEMP\I-1\tar%20%20ee%209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berezniy/AppData/Local/Temp/Tarif_10_11_201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darnytsia\disk_e\Ukr_Can\Finance\FIN\&#1087;&#1083;&#1072;&#1085;%202008%2020.03.08\&#1054;&#1090;&#1095;&#1077;&#1090;&#1085;&#1086;&#1089;&#1090;&#11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73;&#1102;&#1076;&#1078;&#1077;&#1090;%202007\Sv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aredDocs/SharedDocs/07_&#1044;&#1077;&#1087;.%20&#1090;&#1072;&#1088;&#1080;&#1092;&#1085;&#1086;&#1111;%20&#1087;&#1086;&#1083;&#1110;&#1090;&#1080;&#1082;&#1080;%20&#1091;%20&#1089;&#1092;&#1077;&#1088;&#1110;%20&#1090;&#1077;&#1087;&#1083;&#1086;&#1087;&#1086;&#1089;&#1090;&#1072;&#1095;&#1072;&#1085;&#1085;&#1103;/&#1050;&#1086;&#1090;%20&#1050;.&#1040;/&#1053;&#1086;&#1074;&#1072;&#1103;%20&#1087;&#1072;&#1087;&#1082;&#1072;%20(2)/&#1063;&#1077;&#1088;&#1082;&#1072;&#1089;&#1080;%20&#1058;&#1050;&#1045;/2014-06-24/&#1044;&#1051;&#1071;%20&#1053;&#1050;&#1056;&#1055;%2023.06.2014&#1088;/&#1060;&#1072;&#1081;&#1083;%20&#1055;&#1045;&#1056;&#1045;&#1042;&#1030;&#1056;&#1050;&#1048;/&#1057;&#1077;&#1088;&#1077;&#1076;&#1085;&#1100;&#1086;&#1079;&#1074;&#1072;&#1078;&#1077;&#1085;&#1077;%20&#1086;&#1089;&#109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pldir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4;&#1041;&#1065;&#1048;&#1045;%20&#1044;&#1054;&#1050;&#1059;&#1052;&#1045;&#1053;&#1058;&#1067;%202014/&#1059;&#1055;&#1056;&#1040;&#1042;&#1051;&#1030;&#1053;&#1053;&#1071;%20&#1060;&#1054;&#1056;&#1052;&#1059;&#1042;&#1040;&#1053;&#1053;&#1071;%20&#1058;&#1040;&#1056;&#1048;&#1060;&#1030;&#1042;/&#1041;&#1040;&#1047;&#1048;%20&#1044;&#1040;&#1053;&#1048;&#1061;/&#1050;&#1054;&#1056;&#1048;&#1043;&#1059;&#1042;&#1040;&#1053;&#1053;&#1071;%20&#1058;&#1040;&#1056;&#1048;&#1060;&#1030;&#1042;%20&#1041;&#1070;&#1044;&#1046;&#1045;&#1058;%20&#1030;&#1053;&#1064;&#1030;/&#1057;&#1042;&#1054;&#1044;%20&#1050;&#1054;&#1056;&#1048;&#1043;&#1059;&#1042;&#1040;&#1053;&#1053;&#1071;%20&#1058;&#1040;&#1056;&#1048;&#1060;&#1030;&#1042;%20&#1041;_&#1030;%20)&#1057;&#1050;(.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I758B~1.TKA/AppData/Local/Temp/Documents%20and%20Settings/Mashburo2/&#1056;&#1072;&#1073;&#1086;&#1095;&#1080;&#1081;%20&#1089;&#1090;&#1086;&#1083;/&#1096;&#1087;&#1072;&#1085;&#1102;&#1082;/&#1054;&#1090;&#1095;&#1077;&#1090;&#1085;&#1086;&#1089;&#1090;&#11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rm-pev06\D$\Proekt_2004\SV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tar%20%20ee%20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rimergy\tec%20doci%20(d)\&#1056;&#1040;&#1041;&#1054;&#1058;&#1040;\2014\&#1082;&#1086;&#1088;&#1080;&#1089;&#1085;&#1080;&#1081;%20&#1086;&#1089;&#1090;\&#1058;&#1072;&#1088;&#1080;&#1092;%202010%20&#1058;&#1045;&#1062;\&#1044;&#1086;&#1076;&#1072;&#1090;&#1082;&#1080;%20&#1088;&#1072;&#1089;&#1096;&#1080;&#1092;&#1088;&#1086;&#1074;&#1082;&#1080;\&#1052;&#1072;&#1090;&#1077;&#1088;.&#1077;&#1082;&#1089;&#1087;&#1083;&#1091;&#1072;&#109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I758B~1.TKA/AppData/Local/Temp/05_06_2011/&#1090;&#1072;&#1088;&#1080;&#1092;%20&#1089;&#1082;&#1086;&#1088;&#1077;&#1075;&#1060;&#1054;&#1058;%20&#1089;%20&#1050;%201.412%202010_&#1040;&#1083;&#1077;&#1085;&#1072;%20&#1074;%20&#1048;&#1083;&#1083;&#1080;&#1095;&#1077;&#1074;&#1089;&#1082;&#1077;%2023.07.20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dubina/Desktop/&#1058;&#1072;&#1088;&#1080;&#1092;&#1080;%20%20&#1073;&#1077;&#1088;&#1077;&#1079;&#1077;&#1085;&#1100;%202014/&#1063;&#1091;&#1075;&#1091;&#1111;&#1074;&#1090;&#1077;&#1087;&#1083;&#1086;/&#1050;&#1058;_%20&#1058;&#1056;&#1048;%20&#1050;&#1040;&#1058;&#1045;&#1043;&#1054;&#1056;&#1030;&#1031;%20&#1089;&#1090;&#1088;&#1091;&#1082;.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50;&#1052;_20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nych/AppData/Local/Temp/Users/nych/Downloads/reestr_budynkiv_29_04_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ot/AppData/Local/Microsoft/Windows/Temporary%20Internet%20Files/Content.Outlook/Z07ICFO1/&#1060;&#1072;&#1081;&#1083;%20&#1055;&#1045;&#1056;&#1045;&#1042;&#1030;&#1056;&#1050;&#1048;/&#1057;&#1077;&#1088;&#1077;&#1076;&#1085;&#1100;&#1086;&#1079;&#1074;&#1072;&#1078;&#1077;&#1085;&#1077;%20&#1086;&#1089;&#109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1088;&#1086;&#1073;&#1086;&#1090;&#1072;/&#1056;&#1077;&#1108;&#1089;&#1090;&#1088;%20&#1073;&#1091;&#1076;&#1080;&#1085;&#1082;&#1110;&#1074;%20&#1077;&#1090;&#1072;&#1083;&#1086;&#1085;_&#1088;&#1086;&#1073;&#1086;&#1095;&#1080;&#108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1057;&#1077;&#1088;&#1075;&#1077;&#1081;&#1095;&#1080;&#1082;%20&#1048;%20&#1043;/AppData/Local/Microsoft/Windows/Temporary%20Internet%20Files/Content.IE5/Q6I5L08X/&#1096;&#1072;&#1073;&#1083;&#1086;&#1085;&#1099;%20&#1053;&#1086;&#1074;&#1072;&#1103;%20&#1087;&#1072;&#1087;&#1082;&#1072;/&#1043;&#1083;&#1080;&#1085;&#1097;&#1080;&#1082;&#1086;&#1074;&#1072;%2016%2005%202014%20&#1053;&#1086;&#1074;&#1072;&#1103;%20&#1087;&#1072;&#1087;&#1082;&#1072;/reestr_budynkiv_16_05_201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eo2\MyDocs\&#1082;&#1072;&#1093;&#1086;&#1074;&#1082;&#1072;\Tarif_Teplo_Shablon_20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di-server\OfficeWork\Irpin\Tarif_Irpin_11_07%20_1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erv-darnytsia\Ukr_Can\Documents%20and%20Settings\Mashburo2\&#1056;&#1072;&#1073;&#1086;&#1095;&#1080;&#1081;%20&#1089;&#1090;&#1086;&#1083;\&#1096;&#1087;&#1072;&#1085;&#1102;&#1082;\&#1054;&#1090;&#1095;&#1077;&#1090;&#1085;&#1086;&#1089;&#1090;&#110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0;&#1054;&#1056;&#1048;&#1043;&#1059;&#1042;&#1040;&#1053;&#1053;&#1071;%20&#1041;&#1077;&#1088;&#1077;&#1079;&#1077;&#1085;&#1100;%202014/&#1055;&#1056;&#1054;&#1042;&#1045;&#1056;&#1045;&#1053;&#1054;%20&#1044;&#1051;&#1071;%20&#1057;&#1042;&#1054;&#1044;&#1040;/&#1053;&#1040;%20&#1047;&#1040;&#1052;&#1045;&#1053;&#1059;/&#1050;&#1088;&#1080;&#1084;/&#1044;&#1078;&#1072;&#1085;&#1082;&#1086;&#1081;&#1089;&#1100;&#1082;&#1072;%20&#1092;&#1110;&#1083;&#1110;&#1103;/133_&#1044;&#1078;&#1072;&#1085;&#1082;&#1086;&#1081;&#1089;&#1100;&#1082;&#1072;%20&#1092;&#1110;&#1083;&#1110;&#1103;%20%20(&#1089;.&#1057;&#1086;&#1074;&#1077;&#1090;&#1089;&#1100;&#1082;&#1077;).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1058;&#1077;&#1087;&#1083;&#1086;%20&#1090;&#1072;&#1088;&#1080;&#1092;%202021-2022%20&#1088;&#1077;&#1083;&#1080;&#1075;&#1080;&#1103;%20+.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V995A~1.BOB/AppData/Local/Temp/&#1042;&#1086;&#1076;&#107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V995A~1.BOB/AppData/Local/Temp/&#1055;&#1052;&#105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V995A~1.BOB/AppData/Local/Temp/&#1053;&#1059;%20%20&#1040;&#1084;&#1086;&#1088;&#1090;-1%20&#1062;&#105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ot/AppData/Local/Microsoft/Windows/Temporary%20Internet%20Files/Content.Outlook/Z07ICFO1/&#1047;&#1074;&#1077;&#1076;&#1077;&#1085;&#1080;&#1081;%20&#1088;&#1086;&#1079;&#1088;&#1072;&#1093;&#1091;&#1085;&#1086;&#1082;%20&#1090;&#1072;&#1088;&#1080;&#1092;&#1110;&#1074;%20&#1085;&#1072;%20&#1090;&#1077;&#1087;&#1083;&#1086;&#1074;&#1091;%20&#1077;&#1085;&#1077;&#1088;&#1075;&#1110;&#1102;%20(new)%20%2021.05.1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V995A~1.BOB/AppData/Local/Temp/&#1058;&#1054;.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V995A~1.BOB/AppData/Local/Temp/&#1047;&#1074;&#1103;&#1079;&#1086;&#1082;.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V995A~1.BOB/AppData/Local/Temp/&#1055;&#1086;&#1076;&#1072;&#1090;&#1082;&#1080;%20&#1090;&#1072;%20&#1079;&#1073;&#1086;&#1088;&#1080;.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V995A~1.BOB/AppData/Local/Temp/&#1053;&#1059;%20&#1040;&#1084;&#1086;&#1088;&#1090;&#1080;&#1079;&#1072;&#1094;&#1080;&#1103;%20&#1058;&#1077;&#1087;&#1083;&#1086;&#1090;&#1088;&#1072;&#1089;&#1089;&#1072;-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I758B~1.TKA/AppData/Local/Temp/&#1055;&#1056;&#1054;&#1044;&#1059;&#1050;&#1058;%20&#1058;&#1072;&#1088;&#1080;&#1092;_&#1050;&#1055;&#1063;&#1058;&#1045;_2021_2022%20&#1078;&#1086;&#1074;&#1090;&#1077;&#1085;&#1100;%20&#1053;%2010-7420%20&#1073;&#1102;&#1076;&#1078;%20&#1088;&#1077;&#1083;-16554%20&#1087;&#1088;%2024933%20&#1073;&#1077;&#1079;%20&#1043;&#1055;%20&#1073;&#1077;&#1079;%20&#1056;&#1058;_(&#1076;&#1083;&#1103;%20&#1088;&#1072;&#1073;&#1086;&#1090;&#1099;)%20&#8212;%20&#1082;&#1086;&#1087;&#1080;&#1103;.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I758B~1.TKA/AppData/Local/Temp/&#1047;&#1074;&#1103;&#1079;&#1086;&#1082;.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V995A~1.BOB/AppData/Local/Temp/!!!!!&#1050;&#1054;&#1055;&#1048;&#1071;&#1058;&#1072;&#1088;&#1080;&#1092;%20&#1085;&#1072;%20&#1087;&#1086;&#1089;&#1083;&#1091;&#1075;&#1091;%20&#1079;%20&#1087;&#1086;&#1089;&#1090;&#1072;&#1095;&#1072;&#1085;&#1085;&#1103;%20&#1090;&#1077;&#1087;&#1083;&#1086;&#1074;&#1086;&#1111;%20&#1076;&#1083;&#1103;%20&#1063;&#1060;%20&#1044;&#1055;%20&#1040;&#1052;&#1055;&#1059;%20&#1085;&#1072;%202022-2023%20&#1088;&#1088;.%20&#8212;%20&#1082;&#1086;&#1087;&#1080;&#1103;.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V995A~1.BOB/AppData/Local/Temp/&#1056;&#1086;&#1079;&#1088;&#1072;&#1093;&#1091;&#1085;&#1086;&#1082;%20&#1079;&#1072;&#1088;&#1087;&#1083;&#1072;&#1090;&#1080;.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1055;&#1083;&#1072;&#1090;&#1072;%20&#1040;&#1054;/&#1042;&#1053;&#1045;&#1057;&#1050;&#1048;+&#1040;&#1054;%202021-2022%20&#1055;&#1051;&#1040;&#1053;.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1055;&#1083;&#1072;&#1090;&#1072;%20&#1040;&#1054;/&#1040;&#1073;&#1086;&#1085;&#1087;&#1083;&#1072;&#1090;&#1072;%202021%2002.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SharedDocs/SharedDocs/07_&#1044;&#1077;&#1087;.%20&#1090;&#1072;&#1088;&#1080;&#1092;&#1085;&#1086;&#1111;%20&#1087;&#1086;&#1083;&#1110;&#1090;&#1080;&#1082;&#1080;%20&#1091;%20&#1089;&#1092;&#1077;&#1088;&#1110;%20&#1090;&#1077;&#1087;&#1083;&#1086;&#1087;&#1086;&#1089;&#1090;&#1072;&#1095;&#1072;&#1085;&#1085;&#1103;/&#1050;&#1086;&#1090;%20&#1050;.&#1040;/&#1053;&#1086;&#1074;&#1072;&#1103;%20&#1087;&#1072;&#1087;&#1082;&#1072;%20(2)/&#1063;&#1077;&#1088;&#1082;&#1072;&#1089;&#1080;%20&#1058;&#1050;&#1045;/2014-06-24/&#1044;&#1051;&#1071;%20&#1053;&#1050;&#1056;&#1055;%2023.06.2014&#1088;/&#1047;&#1074;&#1077;&#1076;&#1077;&#1085;&#1080;&#1081;%20&#1088;&#1086;&#1079;&#1088;&#1072;&#1093;&#1091;&#1085;&#1086;&#1082;%20&#1090;&#1072;&#1088;&#1080;&#1092;&#1110;&#1074;%20&#1085;&#1072;%20&#1090;&#1077;&#1087;&#1083;&#1086;&#1074;&#1091;%20&#1077;&#1085;&#1077;&#1088;&#1075;&#1110;&#1102;%20(new)%20%2021.05.13.xls?FDB1EA27" TargetMode="External"/><Relationship Id="rId1" Type="http://schemas.openxmlformats.org/officeDocument/2006/relationships/externalLinkPath" Target="file:///\\FDB1EA27\&#1047;&#1074;&#1077;&#1076;&#1077;&#1085;&#1080;&#1081;%20&#1088;&#1086;&#1079;&#1088;&#1072;&#1093;&#1091;&#1085;&#1086;&#1082;%20&#1090;&#1072;&#1088;&#1080;&#1092;&#1110;&#1074;%20&#1085;&#1072;%20&#1090;&#1077;&#1087;&#1083;&#1086;&#1074;&#1091;%20&#1077;&#1085;&#1077;&#1088;&#1075;&#1110;&#1102;%20(new)%20%2021.05.1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1042;&#1086;&#1076;&#1072;%20%20&#1058;&#1072;&#1088;&#1080;&#1092;%202021-2022%20%20&#1073;&#1077;&#1079;%202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eo12\c\214\PL2001\v8_01_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1052;&#1086;&#1080;%20&#1076;&#1086;&#1082;&#1091;&#1084;&#1077;&#1085;&#1090;&#1099;\PEV20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VD2002&#1079;&#1084;&#1110;&#108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214\PL2006\v9_06_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рік"/>
      <sheetName val="ОП"/>
      <sheetName val="темп. квітень жовтень"/>
    </sheetNames>
    <sheetDataSet>
      <sheetData sheetId="0" refreshError="1"/>
      <sheetData sheetId="1"/>
      <sheetData sheetId="2" refreshError="1"/>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s>
    <sheetDataSet>
      <sheetData sheetId="0" refreshError="1">
        <row r="4">
          <cell r="F4" t="str">
            <v>сентябрь</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іч-лют."/>
      <sheetName val="430 сыч-лютий"/>
      <sheetName val="бер"/>
      <sheetName val="430 бер"/>
      <sheetName val="січ-бер"/>
      <sheetName val="430 сыч-бер"/>
      <sheetName val="Ini"/>
      <sheetName val="Sum_pok"/>
      <sheetName val="Ëčńň1"/>
      <sheetName val="Sum_pok.xls"/>
      <sheetName val="Ф2"/>
    </sheetNames>
    <definedNames>
      <definedName name="ShowFil"/>
    </defined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Sum_pok"/>
      <sheetName val="#REF!"/>
      <sheetName val="Sum_pok.xls"/>
      <sheetName val="січ-лют."/>
      <sheetName val="430 сыч-лютий"/>
      <sheetName val="бер"/>
      <sheetName val="430 бер"/>
      <sheetName val="січ-бер"/>
      <sheetName val="430 сыч-бер"/>
      <sheetName val="Inform"/>
      <sheetName val="L4"/>
      <sheetName val="L10"/>
      <sheetName val="KOEF"/>
      <sheetName val="База"/>
      <sheetName val="7  Інші витрати"/>
      <sheetName val="ОСВ МСФЗ"/>
    </sheetNames>
    <definedNames>
      <definedName name="ShowFil"/>
    </defined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січ-лют."/>
      <sheetName val="430 сыч-лютий"/>
      <sheetName val="бер"/>
      <sheetName val="430 бер"/>
      <sheetName val="січ-бер"/>
      <sheetName val="430 сыч-бер"/>
      <sheetName val="Ф2"/>
      <sheetName val="Лист1"/>
      <sheetName val="tar  ee 99"/>
      <sheetName val="Експл"/>
      <sheetName val="ПЛАН_1вар"/>
      <sheetName val="Інші витрати"/>
      <sheetName val="списки"/>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ласне_виробництво (2)"/>
      <sheetName val="Вхідні дані"/>
      <sheetName val="Перелік Додатків"/>
      <sheetName val="ДОДАТОК 3"/>
      <sheetName val="ДОДАТОК 4"/>
      <sheetName val="Власне_виробництво"/>
      <sheetName val="Покупна ТЕ"/>
      <sheetName val="ТЕ_Київенерго"/>
      <sheetName val="ДОДАТОК 8"/>
      <sheetName val="Паливо"/>
      <sheetName val="Покупна ТЕ_Д35"/>
      <sheetName val="ДОДАТОК 9"/>
      <sheetName val="Електроенергія"/>
      <sheetName val="Вода_водовід"/>
      <sheetName val="Амортизація_ЗВВ"/>
      <sheetName val="Амортизація_адмін_Д38"/>
      <sheetName val="Амортизація_ВІМО"/>
      <sheetName val="ФОП_прямі_виробництво"/>
      <sheetName val="ФОП_ЗВВ"/>
      <sheetName val="ФОП_адмін "/>
      <sheetName val="ПММ_ВІМО"/>
      <sheetName val="Комунальні послуги"/>
      <sheetName val="Охорона праці"/>
      <sheetName val="Кошторис витрат на ІТП"/>
      <sheetName val="Прямі_витрати"/>
      <sheetName val="Загальновиробничі_витрати"/>
      <sheetName val="Адміністративні_витрати"/>
      <sheetName val="Бази розподілу"/>
      <sheetName val="Електроенергія_Н"/>
      <sheetName val="Паливо_Н"/>
      <sheetName val="ДОДАТОК 10"/>
      <sheetName val="ДОДАТОК 6"/>
      <sheetName val="ДОДАТОК 7"/>
      <sheetName val="Лист1"/>
      <sheetName val="Амортизаці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assump"/>
      <sheetName val="м_812"/>
      <sheetName val="IAS Trial Balance"/>
      <sheetName val="DICTS"/>
      <sheetName val="Витрати 2014"/>
      <sheetName val="Години - 2014 (по месяцам)"/>
      <sheetName val="01.2014"/>
      <sheetName val="02.2014"/>
      <sheetName val="Отчет за смену - КЕМ 01.2014"/>
      <sheetName val="Справочник ЦФО"/>
      <sheetName val="справочник"/>
      <sheetName val="Протокол заседания 1"/>
      <sheetName val="tar ee 99"/>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Т/Е</v>
          </cell>
        </row>
        <row r="35">
          <cell r="AL35">
            <v>395</v>
          </cell>
        </row>
        <row r="36">
          <cell r="AL36">
            <v>336</v>
          </cell>
        </row>
        <row r="37">
          <cell r="AL37">
            <v>0</v>
          </cell>
        </row>
        <row r="39">
          <cell r="AL39">
            <v>0</v>
          </cell>
        </row>
        <row r="40">
          <cell r="AL40">
            <v>0</v>
          </cell>
        </row>
        <row r="41">
          <cell r="AL41">
            <v>395.6</v>
          </cell>
        </row>
        <row r="42">
          <cell r="P42" t="e">
            <v>#REF!</v>
          </cell>
          <cell r="AL42">
            <v>395.6</v>
          </cell>
        </row>
        <row r="43">
          <cell r="AL43">
            <v>1580</v>
          </cell>
        </row>
        <row r="44">
          <cell r="AL44">
            <v>0</v>
          </cell>
        </row>
        <row r="45">
          <cell r="AL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0</v>
          </cell>
          <cell r="G49" t="e">
            <v>#DIV/0!</v>
          </cell>
          <cell r="H49" t="e">
            <v>#DIV/0!</v>
          </cell>
          <cell r="P49">
            <v>401.6</v>
          </cell>
          <cell r="S49">
            <v>19500</v>
          </cell>
          <cell r="T49">
            <v>19500</v>
          </cell>
          <cell r="U49">
            <v>0</v>
          </cell>
          <cell r="X49">
            <v>24969</v>
          </cell>
          <cell r="Y49">
            <v>11255</v>
          </cell>
          <cell r="Z49">
            <v>13714</v>
          </cell>
          <cell r="AC49">
            <v>24028</v>
          </cell>
          <cell r="AD49">
            <v>11813</v>
          </cell>
          <cell r="AE49">
            <v>12215</v>
          </cell>
          <cell r="AF49">
            <v>468.8</v>
          </cell>
          <cell r="AG49">
            <v>469</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1424</v>
          </cell>
          <cell r="AL50">
            <v>158</v>
          </cell>
        </row>
        <row r="51">
          <cell r="F51">
            <v>0</v>
          </cell>
          <cell r="G51" t="e">
            <v>#DIV/0!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136175</v>
          </cell>
          <cell r="AL52">
            <v>136175</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836</v>
          </cell>
          <cell r="AL53">
            <v>836</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349815</v>
          </cell>
          <cell r="AL54">
            <v>349815</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270163</v>
          </cell>
          <cell r="AL55">
            <v>270163</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-79652</v>
          </cell>
          <cell r="AL56">
            <v>-79652</v>
          </cell>
        </row>
        <row r="57">
          <cell r="F57">
            <v>0</v>
          </cell>
          <cell r="G57">
            <v>0</v>
          </cell>
          <cell r="H57">
            <v>0</v>
          </cell>
          <cell r="T57">
            <v>0</v>
          </cell>
          <cell r="U57">
            <v>0</v>
          </cell>
          <cell r="AF57">
            <v>0</v>
          </cell>
          <cell r="AH57">
            <v>0</v>
          </cell>
          <cell r="AK57">
            <v>0</v>
          </cell>
          <cell r="AL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row>
        <row r="64">
          <cell r="G64">
            <v>0</v>
          </cell>
          <cell r="T64">
            <v>21</v>
          </cell>
          <cell r="U64">
            <v>109</v>
          </cell>
          <cell r="AH64">
            <v>0</v>
          </cell>
          <cell r="AI64">
            <v>0</v>
          </cell>
          <cell r="AJ64">
            <v>0</v>
          </cell>
          <cell r="AK64">
            <v>0</v>
          </cell>
        </row>
        <row r="65">
          <cell r="F65">
            <v>0</v>
          </cell>
          <cell r="G65" t="e">
            <v>#DIV/0!</v>
          </cell>
          <cell r="H65" t="e">
            <v>#DIV/0!</v>
          </cell>
          <cell r="P65">
            <v>627.20000000000005</v>
          </cell>
          <cell r="S65">
            <v>0</v>
          </cell>
          <cell r="T65">
            <v>0</v>
          </cell>
          <cell r="U65">
            <v>0</v>
          </cell>
          <cell r="X65">
            <v>0</v>
          </cell>
          <cell r="Y65">
            <v>0</v>
          </cell>
          <cell r="Z65">
            <v>0</v>
          </cell>
          <cell r="AC65">
            <v>0</v>
          </cell>
          <cell r="AD65">
            <v>0</v>
          </cell>
          <cell r="AE65">
            <v>0</v>
          </cell>
          <cell r="AF65">
            <v>444.2</v>
          </cell>
          <cell r="AG65">
            <v>367.2</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row>
        <row r="67">
          <cell r="F67">
            <v>0</v>
          </cell>
          <cell r="G67" t="e">
            <v>#DIV/0!</v>
          </cell>
          <cell r="H67" t="e">
            <v>#DIV/0!</v>
          </cell>
          <cell r="P67">
            <v>-41.200000000000045</v>
          </cell>
          <cell r="S67">
            <v>-70.599999999999909</v>
          </cell>
          <cell r="T67">
            <v>0</v>
          </cell>
          <cell r="U67">
            <v>0</v>
          </cell>
          <cell r="X67">
            <v>576.79999999999995</v>
          </cell>
          <cell r="Y67">
            <v>233</v>
          </cell>
          <cell r="Z67">
            <v>519</v>
          </cell>
          <cell r="AC67">
            <v>574.79999999999995</v>
          </cell>
          <cell r="AD67">
            <v>240</v>
          </cell>
          <cell r="AE67">
            <v>494</v>
          </cell>
          <cell r="AF67">
            <v>0</v>
          </cell>
          <cell r="AG67">
            <v>170.8</v>
          </cell>
          <cell r="AH67">
            <v>0</v>
          </cell>
          <cell r="AI67">
            <v>0</v>
          </cell>
          <cell r="AJ67">
            <v>0</v>
          </cell>
          <cell r="AK67">
            <v>1220.5999999999999</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136175</v>
          </cell>
          <cell r="AL68">
            <v>136175</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836</v>
          </cell>
          <cell r="AL69">
            <v>836</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349815</v>
          </cell>
          <cell r="AL70">
            <v>349815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270163</v>
          </cell>
          <cell r="AL71">
            <v>270163</v>
          </cell>
        </row>
        <row r="72">
          <cell r="F72">
            <v>0</v>
          </cell>
          <cell r="G72">
            <v>0</v>
          </cell>
          <cell r="X72">
            <v>0</v>
          </cell>
          <cell r="AC72">
            <v>0</v>
          </cell>
          <cell r="AF72">
            <v>0</v>
          </cell>
          <cell r="AG72">
            <v>0</v>
          </cell>
          <cell r="AH72">
            <v>0</v>
          </cell>
          <cell r="AK72">
            <v>-79652</v>
          </cell>
          <cell r="AL72">
            <v>-79652</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row>
        <row r="74">
          <cell r="G74">
            <v>0</v>
          </cell>
          <cell r="P74">
            <v>0</v>
          </cell>
          <cell r="S74">
            <v>0</v>
          </cell>
          <cell r="X74">
            <v>0</v>
          </cell>
          <cell r="Z74">
            <v>0</v>
          </cell>
          <cell r="AC74">
            <v>0</v>
          </cell>
          <cell r="AD74">
            <v>0</v>
          </cell>
          <cell r="AE74">
            <v>0</v>
          </cell>
          <cell r="AH74">
            <v>0</v>
          </cell>
          <cell r="AK74">
            <v>0</v>
          </cell>
          <cell r="AL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row>
        <row r="76">
          <cell r="F76">
            <v>105</v>
          </cell>
          <cell r="G76">
            <v>23</v>
          </cell>
          <cell r="H76">
            <v>82</v>
          </cell>
          <cell r="T76">
            <v>0</v>
          </cell>
          <cell r="U76">
            <v>0</v>
          </cell>
          <cell r="Y76">
            <v>0</v>
          </cell>
          <cell r="Z76">
            <v>0</v>
          </cell>
          <cell r="AE76">
            <v>0</v>
          </cell>
          <cell r="AH76">
            <v>0</v>
          </cell>
          <cell r="AK76">
            <v>105</v>
          </cell>
          <cell r="AL76">
            <v>23</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row>
        <row r="79">
          <cell r="H79">
            <v>0</v>
          </cell>
          <cell r="S79">
            <v>0</v>
          </cell>
          <cell r="AK79">
            <v>363.66666666666663</v>
          </cell>
          <cell r="AL79">
            <v>158</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row>
        <row r="82">
          <cell r="H82">
            <v>0</v>
          </cell>
          <cell r="Y82">
            <v>0</v>
          </cell>
          <cell r="Z82">
            <v>0</v>
          </cell>
          <cell r="AK82">
            <v>0</v>
          </cell>
          <cell r="AL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row>
        <row r="86">
          <cell r="AL86">
            <v>21837.195939509984</v>
          </cell>
        </row>
        <row r="87">
          <cell r="F87">
            <v>11292</v>
          </cell>
          <cell r="G87">
            <v>11292</v>
          </cell>
          <cell r="AK87">
            <v>11292</v>
          </cell>
          <cell r="AL87">
            <v>11292</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row>
        <row r="89">
          <cell r="F89">
            <v>0</v>
          </cell>
          <cell r="G89">
            <v>0</v>
          </cell>
          <cell r="H89">
            <v>0</v>
          </cell>
          <cell r="AH89">
            <v>0</v>
          </cell>
        </row>
        <row r="90">
          <cell r="F90">
            <v>1390</v>
          </cell>
          <cell r="G90">
            <v>810</v>
          </cell>
          <cell r="H90">
            <v>580</v>
          </cell>
          <cell r="AH90">
            <v>0</v>
          </cell>
          <cell r="AK90">
            <v>1390</v>
          </cell>
          <cell r="AL90">
            <v>810</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row>
        <row r="131">
          <cell r="AK131">
            <v>1706.6864545454591</v>
          </cell>
        </row>
        <row r="134">
          <cell r="AK134">
            <v>56002</v>
          </cell>
        </row>
        <row r="135">
          <cell r="AK135">
            <v>-7447.9201558602144</v>
          </cell>
        </row>
        <row r="136">
          <cell r="AK136">
            <v>35.44</v>
          </cell>
        </row>
        <row r="137">
          <cell r="AK137">
            <v>40.159999999999997</v>
          </cell>
        </row>
        <row r="138">
          <cell r="AK138">
            <v>0</v>
          </cell>
        </row>
        <row r="140">
          <cell r="AK140">
            <v>10.96</v>
          </cell>
        </row>
        <row r="142">
          <cell r="AJ142">
            <v>0</v>
          </cell>
          <cell r="AK142">
            <v>8.6199999999999992</v>
          </cell>
        </row>
        <row r="143">
          <cell r="AK143">
            <v>43363</v>
          </cell>
          <cell r="AL143">
            <v>43363</v>
          </cell>
        </row>
        <row r="145">
          <cell r="AJ145">
            <v>300</v>
          </cell>
        </row>
        <row r="146">
          <cell r="AK146">
            <v>15283.523809523811</v>
          </cell>
          <cell r="AL146">
            <v>-34114.374995654944</v>
          </cell>
        </row>
        <row r="147">
          <cell r="S147">
            <v>0</v>
          </cell>
          <cell r="AK147">
            <v>865.25</v>
          </cell>
        </row>
        <row r="149">
          <cell r="AJ149">
            <v>0</v>
          </cell>
          <cell r="AK149">
            <v>99365</v>
          </cell>
          <cell r="AL149">
            <v>43363</v>
          </cell>
        </row>
        <row r="150">
          <cell r="AK150">
            <v>0</v>
          </cell>
        </row>
        <row r="151">
          <cell r="AK151">
            <v>102388</v>
          </cell>
          <cell r="AL151">
            <v>46386</v>
          </cell>
        </row>
        <row r="152">
          <cell r="AK152">
            <v>0</v>
          </cell>
        </row>
        <row r="153">
          <cell r="AK153">
            <v>5.8</v>
          </cell>
          <cell r="AL153">
            <v>36</v>
          </cell>
        </row>
        <row r="154">
          <cell r="AK154">
            <v>15.66507889570549</v>
          </cell>
          <cell r="AL154">
            <v>-100</v>
          </cell>
        </row>
        <row r="155">
          <cell r="AL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row>
        <row r="188">
          <cell r="S188">
            <v>101.3</v>
          </cell>
          <cell r="X188">
            <v>116.9</v>
          </cell>
          <cell r="AC188">
            <v>111.7</v>
          </cell>
          <cell r="AK188">
            <v>329.90000000000003</v>
          </cell>
        </row>
        <row r="189">
          <cell r="P189">
            <v>0</v>
          </cell>
          <cell r="S189">
            <v>116</v>
          </cell>
          <cell r="X189">
            <v>133.9</v>
          </cell>
          <cell r="AC189">
            <v>127.8</v>
          </cell>
          <cell r="AK189">
            <v>377.7</v>
          </cell>
        </row>
        <row r="190">
          <cell r="P190">
            <v>0</v>
          </cell>
          <cell r="S190">
            <v>0</v>
          </cell>
          <cell r="X190">
            <v>0</v>
          </cell>
          <cell r="AC190">
            <v>0</v>
          </cell>
          <cell r="AK190">
            <v>194.5</v>
          </cell>
        </row>
        <row r="191">
          <cell r="P191">
            <v>0</v>
          </cell>
          <cell r="S191">
            <v>192.5</v>
          </cell>
          <cell r="X191">
            <v>192.5</v>
          </cell>
          <cell r="AC191">
            <v>192.5</v>
          </cell>
          <cell r="AK191">
            <v>192.5</v>
          </cell>
        </row>
        <row r="192">
          <cell r="S192">
            <v>19500</v>
          </cell>
          <cell r="X192">
            <v>22503</v>
          </cell>
          <cell r="AC192">
            <v>21502</v>
          </cell>
          <cell r="AK192">
            <v>63506</v>
          </cell>
        </row>
        <row r="193">
          <cell r="X193">
            <v>0</v>
          </cell>
          <cell r="AC193">
            <v>0</v>
          </cell>
          <cell r="AK193">
            <v>63505</v>
          </cell>
        </row>
        <row r="194">
          <cell r="X194">
            <v>0</v>
          </cell>
          <cell r="AC194">
            <v>0</v>
          </cell>
          <cell r="AK194">
            <v>0</v>
          </cell>
        </row>
        <row r="195">
          <cell r="X195">
            <v>0</v>
          </cell>
          <cell r="AC195">
            <v>0</v>
          </cell>
          <cell r="AK195">
            <v>0</v>
          </cell>
        </row>
        <row r="196">
          <cell r="X196">
            <v>82.5</v>
          </cell>
          <cell r="AC196">
            <v>82.5</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row>
        <row r="200">
          <cell r="X200">
            <v>4.0999999999999996</v>
          </cell>
          <cell r="AC200">
            <v>4.2</v>
          </cell>
          <cell r="AK200">
            <v>8.3000000000000007</v>
          </cell>
        </row>
        <row r="201">
          <cell r="F201">
            <v>75</v>
          </cell>
          <cell r="P201">
            <v>75</v>
          </cell>
          <cell r="X201">
            <v>5.7</v>
          </cell>
          <cell r="AC201">
            <v>5.9</v>
          </cell>
          <cell r="AJ201">
            <v>0</v>
          </cell>
          <cell r="AK201">
            <v>11.600000000000001</v>
          </cell>
        </row>
        <row r="202">
          <cell r="F202">
            <v>75</v>
          </cell>
          <cell r="S202">
            <v>385</v>
          </cell>
          <cell r="X202">
            <v>385</v>
          </cell>
          <cell r="AC202">
            <v>385</v>
          </cell>
          <cell r="AJ202">
            <v>0</v>
          </cell>
          <cell r="AK202">
            <v>385</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S205">
            <v>111.9</v>
          </cell>
          <cell r="X205">
            <v>121</v>
          </cell>
          <cell r="Y205">
            <v>37.5</v>
          </cell>
          <cell r="Z205">
            <v>83.5</v>
          </cell>
          <cell r="AC205">
            <v>106.4</v>
          </cell>
          <cell r="AD205">
            <v>34.799999999999997</v>
          </cell>
          <cell r="AE205">
            <v>71.600000000000009</v>
          </cell>
          <cell r="AK205">
            <v>4992</v>
          </cell>
          <cell r="AL205">
            <v>72.3</v>
          </cell>
        </row>
        <row r="206">
          <cell r="S206">
            <v>116</v>
          </cell>
          <cell r="X206">
            <v>139.6</v>
          </cell>
          <cell r="Y206">
            <v>58</v>
          </cell>
          <cell r="Z206">
            <v>81.600000000000009</v>
          </cell>
          <cell r="AA206">
            <v>14133.90243902439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I207" t="str">
            <v/>
          </cell>
          <cell r="AJ207" t="str">
            <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X209">
            <v>22509</v>
          </cell>
          <cell r="AC209">
            <v>20437</v>
          </cell>
          <cell r="AK209">
            <v>61870</v>
          </cell>
          <cell r="AL209" t="e">
            <v>#REF!</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t="str">
            <v>ВИКОН.ДИР.</v>
          </cell>
          <cell r="G259" t="str">
            <v>АПАРАТ ЕЛЕКТРО</v>
          </cell>
          <cell r="H259" t="str">
            <v>АПАРАТ ТЕПЛО</v>
          </cell>
          <cell r="P259" t="str">
            <v>КМ</v>
          </cell>
          <cell r="Q259" t="str">
            <v>ТМ</v>
          </cell>
          <cell r="R259">
            <v>0</v>
          </cell>
          <cell r="S259" t="str">
            <v>КТМ</v>
          </cell>
          <cell r="T259" t="str">
            <v>ВИРОБН</v>
          </cell>
          <cell r="U259" t="str">
            <v>ПЕРЕД</v>
          </cell>
          <cell r="V259">
            <v>0</v>
          </cell>
          <cell r="W259">
            <v>0</v>
          </cell>
          <cell r="X259" t="str">
            <v>ТЕЦ-5 ВСЬОГО</v>
          </cell>
          <cell r="Y259" t="str">
            <v>Е/Е</v>
          </cell>
          <cell r="Z259" t="str">
            <v xml:space="preserve"> Т/Е</v>
          </cell>
          <cell r="AA259">
            <v>0</v>
          </cell>
          <cell r="AB259">
            <v>0</v>
          </cell>
          <cell r="AC259" t="str">
            <v>ТЕЦ-6 ВСЬОГО</v>
          </cell>
          <cell r="AD259" t="str">
            <v>Е/Е</v>
          </cell>
          <cell r="AE259" t="str">
            <v xml:space="preserve"> Т/Е</v>
          </cell>
          <cell r="AF259" t="str">
            <v>ТРМ ВСЬОГО</v>
          </cell>
          <cell r="AG259" t="str">
            <v>ТРМ  АК КЕ</v>
          </cell>
          <cell r="AH259" t="str">
            <v>ТРМ СТОР</v>
          </cell>
          <cell r="AI259">
            <v>850.10909090909092</v>
          </cell>
          <cell r="AJ259" t="str">
            <v>ДОП.ВИР. СТ.ОРГ.</v>
          </cell>
          <cell r="AK259" t="str">
            <v>АК КЕ осн.вир.</v>
          </cell>
          <cell r="AL259" t="str">
            <v xml:space="preserve"> Т/Е</v>
          </cell>
        </row>
        <row r="260">
          <cell r="F260">
            <v>0</v>
          </cell>
          <cell r="G260">
            <v>1354</v>
          </cell>
          <cell r="H260">
            <v>2522.6333333333332</v>
          </cell>
          <cell r="P260">
            <v>0</v>
          </cell>
          <cell r="S260">
            <v>0</v>
          </cell>
          <cell r="T260">
            <v>3361.1583636363644</v>
          </cell>
          <cell r="U260">
            <v>392.98709090909097</v>
          </cell>
          <cell r="X260">
            <v>0</v>
          </cell>
          <cell r="Y260">
            <v>342</v>
          </cell>
          <cell r="Z260">
            <v>760.63636363636419</v>
          </cell>
          <cell r="AC260">
            <v>0</v>
          </cell>
          <cell r="AD260">
            <v>31</v>
          </cell>
          <cell r="AE260">
            <v>57</v>
          </cell>
          <cell r="AF260">
            <v>0</v>
          </cell>
          <cell r="AG260">
            <v>0</v>
          </cell>
          <cell r="AH260">
            <v>0</v>
          </cell>
          <cell r="AI260">
            <v>571.20000000000005</v>
          </cell>
          <cell r="AJ260">
            <v>7599</v>
          </cell>
          <cell r="AK260">
            <v>0</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P270">
            <v>0</v>
          </cell>
          <cell r="S270">
            <v>0</v>
          </cell>
          <cell r="X270">
            <v>0</v>
          </cell>
          <cell r="AC270">
            <v>0</v>
          </cell>
          <cell r="AF270">
            <v>0</v>
          </cell>
          <cell r="AG270">
            <v>0</v>
          </cell>
          <cell r="AH270">
            <v>0</v>
          </cell>
          <cell r="AI270">
            <v>0</v>
          </cell>
          <cell r="AK270">
            <v>0</v>
          </cell>
        </row>
        <row r="271">
          <cell r="F271">
            <v>3500</v>
          </cell>
          <cell r="AK271">
            <v>3500</v>
          </cell>
        </row>
        <row r="272">
          <cell r="F272">
            <v>212804</v>
          </cell>
          <cell r="P272">
            <v>0</v>
          </cell>
          <cell r="S272">
            <v>0</v>
          </cell>
          <cell r="X272">
            <v>0</v>
          </cell>
          <cell r="AC272">
            <v>0</v>
          </cell>
          <cell r="AF272">
            <v>0</v>
          </cell>
          <cell r="AG272">
            <v>0</v>
          </cell>
          <cell r="AH272">
            <v>0</v>
          </cell>
          <cell r="AI272">
            <v>0</v>
          </cell>
          <cell r="AK272">
            <v>212804</v>
          </cell>
        </row>
        <row r="273">
          <cell r="F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K273">
            <v>0</v>
          </cell>
        </row>
        <row r="274">
          <cell r="F274">
            <v>0</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0</v>
          </cell>
        </row>
        <row r="275">
          <cell r="F275">
            <v>0</v>
          </cell>
          <cell r="G275">
            <v>84</v>
          </cell>
          <cell r="H275">
            <v>300</v>
          </cell>
          <cell r="P275">
            <v>0</v>
          </cell>
          <cell r="S275">
            <v>0</v>
          </cell>
          <cell r="T275">
            <v>625.85363636363627</v>
          </cell>
          <cell r="U275">
            <v>650.41909090909098</v>
          </cell>
          <cell r="X275">
            <v>0</v>
          </cell>
          <cell r="Y275">
            <v>117</v>
          </cell>
          <cell r="Z275">
            <v>257.81818181818181</v>
          </cell>
          <cell r="AC275">
            <v>0</v>
          </cell>
          <cell r="AD275">
            <v>108</v>
          </cell>
          <cell r="AE275">
            <v>224</v>
          </cell>
          <cell r="AF275">
            <v>0</v>
          </cell>
          <cell r="AG275">
            <v>0</v>
          </cell>
          <cell r="AH275">
            <v>0</v>
          </cell>
          <cell r="AI275">
            <v>278.90909090909088</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v>0</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I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v>0</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Q282">
            <v>0</v>
          </cell>
          <cell r="R282">
            <v>0</v>
          </cell>
          <cell r="S282" t="e">
            <v>#REF!</v>
          </cell>
          <cell r="T282">
            <v>0</v>
          </cell>
          <cell r="U282">
            <v>0</v>
          </cell>
          <cell r="V282">
            <v>0</v>
          </cell>
          <cell r="W282">
            <v>0</v>
          </cell>
          <cell r="X282" t="e">
            <v>#REF!</v>
          </cell>
          <cell r="Y282">
            <v>0</v>
          </cell>
          <cell r="Z282">
            <v>0</v>
          </cell>
          <cell r="AA282">
            <v>0</v>
          </cell>
          <cell r="AB282">
            <v>0</v>
          </cell>
          <cell r="AC282" t="e">
            <v>#REF!</v>
          </cell>
          <cell r="AD282">
            <v>0</v>
          </cell>
          <cell r="AE282">
            <v>0</v>
          </cell>
          <cell r="AF282" t="e">
            <v>#REF!</v>
          </cell>
          <cell r="AG282" t="e">
            <v>#REF!</v>
          </cell>
          <cell r="AH282" t="e">
            <v>#REF!</v>
          </cell>
          <cell r="AI282">
            <v>0</v>
          </cell>
          <cell r="AK282" t="e">
            <v>#REF!</v>
          </cell>
        </row>
        <row r="283">
          <cell r="F283">
            <v>60</v>
          </cell>
          <cell r="P283">
            <v>370</v>
          </cell>
          <cell r="S283">
            <v>480</v>
          </cell>
          <cell r="X283">
            <v>100</v>
          </cell>
          <cell r="AC283">
            <v>100</v>
          </cell>
          <cell r="AF283">
            <v>0</v>
          </cell>
          <cell r="AG283">
            <v>0</v>
          </cell>
          <cell r="AH283">
            <v>0</v>
          </cell>
          <cell r="AI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I286">
            <v>0</v>
          </cell>
          <cell r="AK286" t="e">
            <v>#REF!</v>
          </cell>
        </row>
        <row r="287">
          <cell r="F287">
            <v>0</v>
          </cell>
          <cell r="P287">
            <v>0</v>
          </cell>
          <cell r="Q287">
            <v>0</v>
          </cell>
          <cell r="R287">
            <v>0</v>
          </cell>
          <cell r="S287">
            <v>0</v>
          </cell>
          <cell r="T287">
            <v>-642.65363636363622</v>
          </cell>
          <cell r="U287">
            <v>-650.41909090909098</v>
          </cell>
          <cell r="V287">
            <v>0</v>
          </cell>
          <cell r="W287">
            <v>0</v>
          </cell>
          <cell r="X287">
            <v>0</v>
          </cell>
          <cell r="Y287">
            <v>-358</v>
          </cell>
          <cell r="Z287">
            <v>-794.41818181818189</v>
          </cell>
          <cell r="AA287">
            <v>0</v>
          </cell>
          <cell r="AB287">
            <v>0</v>
          </cell>
          <cell r="AC287">
            <v>0</v>
          </cell>
          <cell r="AD287">
            <v>-112</v>
          </cell>
          <cell r="AE287">
            <v>-231.2</v>
          </cell>
          <cell r="AF287">
            <v>0</v>
          </cell>
          <cell r="AG287">
            <v>0</v>
          </cell>
          <cell r="AH287">
            <v>0</v>
          </cell>
          <cell r="AI287">
            <v>-278.90909090909088</v>
          </cell>
          <cell r="AK287">
            <v>0</v>
          </cell>
        </row>
        <row r="288">
          <cell r="AK288">
            <v>0</v>
          </cell>
        </row>
        <row r="289">
          <cell r="F289">
            <v>2621.6333333333337</v>
          </cell>
          <cell r="P289">
            <v>1520.8</v>
          </cell>
          <cell r="Q289">
            <v>0</v>
          </cell>
          <cell r="R289">
            <v>0</v>
          </cell>
          <cell r="S289">
            <v>250</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0</v>
          </cell>
          <cell r="AI289">
            <v>625.6</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v>118.4</v>
          </cell>
          <cell r="AK290" t="e">
            <v>#REF!</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I292">
            <v>0</v>
          </cell>
          <cell r="AK292" t="e">
            <v>#REF!</v>
          </cell>
        </row>
        <row r="293">
          <cell r="F293">
            <v>0</v>
          </cell>
          <cell r="P293">
            <v>-370</v>
          </cell>
          <cell r="S293">
            <v>-730</v>
          </cell>
          <cell r="X293">
            <v>-100</v>
          </cell>
          <cell r="AC293">
            <v>-100</v>
          </cell>
          <cell r="AF293">
            <v>0</v>
          </cell>
          <cell r="AG293">
            <v>0</v>
          </cell>
          <cell r="AH293">
            <v>0</v>
          </cell>
          <cell r="AI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507.20000000000005</v>
          </cell>
          <cell r="AK294">
            <v>0</v>
          </cell>
        </row>
        <row r="295">
          <cell r="F295">
            <v>0</v>
          </cell>
          <cell r="P295">
            <v>0</v>
          </cell>
          <cell r="S295">
            <v>0</v>
          </cell>
          <cell r="X295">
            <v>0</v>
          </cell>
          <cell r="AC295">
            <v>0</v>
          </cell>
          <cell r="AF295">
            <v>0</v>
          </cell>
          <cell r="AG295">
            <v>0</v>
          </cell>
          <cell r="AH295">
            <v>0</v>
          </cell>
          <cell r="AI295">
            <v>0</v>
          </cell>
          <cell r="AK295">
            <v>0</v>
          </cell>
        </row>
        <row r="296">
          <cell r="F296">
            <v>0</v>
          </cell>
          <cell r="P296">
            <v>0</v>
          </cell>
          <cell r="S296">
            <v>0</v>
          </cell>
          <cell r="X296">
            <v>0</v>
          </cell>
          <cell r="AC296">
            <v>0</v>
          </cell>
          <cell r="AF296">
            <v>0</v>
          </cell>
          <cell r="AG296">
            <v>0</v>
          </cell>
          <cell r="AH296">
            <v>0</v>
          </cell>
          <cell r="AI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I297">
            <v>507.20000000000005</v>
          </cell>
          <cell r="AK297" t="e">
            <v>#REF!</v>
          </cell>
        </row>
        <row r="298">
          <cell r="F298" t="e">
            <v>#REF!</v>
          </cell>
          <cell r="P298" t="e">
            <v>#REF!</v>
          </cell>
          <cell r="S298" t="e">
            <v>#REF!</v>
          </cell>
          <cell r="X298" t="e">
            <v>#REF!</v>
          </cell>
          <cell r="AC298" t="e">
            <v>#REF!</v>
          </cell>
          <cell r="AF298" t="e">
            <v>#REF!</v>
          </cell>
          <cell r="AG298" t="e">
            <v>#REF!</v>
          </cell>
          <cell r="AH298" t="e">
            <v>#REF!</v>
          </cell>
          <cell r="AI298">
            <v>0</v>
          </cell>
          <cell r="AK298" t="e">
            <v>#REF!</v>
          </cell>
        </row>
        <row r="299">
          <cell r="F299" t="e">
            <v>#REF!</v>
          </cell>
          <cell r="P299" t="e">
            <v>#REF!</v>
          </cell>
          <cell r="S299" t="e">
            <v>#REF!</v>
          </cell>
          <cell r="X299" t="e">
            <v>#REF!</v>
          </cell>
          <cell r="AC299" t="e">
            <v>#REF!</v>
          </cell>
          <cell r="AF299" t="e">
            <v>#REF!</v>
          </cell>
          <cell r="AG299" t="e">
            <v>#REF!</v>
          </cell>
          <cell r="AH299" t="e">
            <v>#REF!</v>
          </cell>
          <cell r="AI299">
            <v>0</v>
          </cell>
          <cell r="AK299" t="e">
            <v>#REF!</v>
          </cell>
        </row>
        <row r="300">
          <cell r="F300">
            <v>0</v>
          </cell>
          <cell r="P300">
            <v>0</v>
          </cell>
          <cell r="Q300">
            <v>0</v>
          </cell>
          <cell r="R300">
            <v>0</v>
          </cell>
          <cell r="S300">
            <v>0</v>
          </cell>
          <cell r="T300">
            <v>-642.65363636363622</v>
          </cell>
          <cell r="U300">
            <v>-650.41909090909098</v>
          </cell>
          <cell r="V300">
            <v>0</v>
          </cell>
          <cell r="W300">
            <v>0</v>
          </cell>
          <cell r="X300">
            <v>0</v>
          </cell>
          <cell r="Y300">
            <v>-358</v>
          </cell>
          <cell r="Z300">
            <v>-794.41818181818189</v>
          </cell>
          <cell r="AA300">
            <v>0</v>
          </cell>
          <cell r="AB300">
            <v>0</v>
          </cell>
          <cell r="AC300">
            <v>0</v>
          </cell>
          <cell r="AD300">
            <v>-112</v>
          </cell>
          <cell r="AE300">
            <v>-231.2</v>
          </cell>
          <cell r="AF300">
            <v>0</v>
          </cell>
          <cell r="AG300">
            <v>0</v>
          </cell>
          <cell r="AH300">
            <v>0</v>
          </cell>
          <cell r="AI300">
            <v>-278.90909090909088</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G303">
            <v>0</v>
          </cell>
          <cell r="H303">
            <v>0</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I306">
            <v>0</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-278.90909090909088</v>
          </cell>
          <cell r="AK308">
            <v>0</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F312">
            <v>8992</v>
          </cell>
          <cell r="AK312">
            <v>0</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row>
        <row r="329">
          <cell r="F329">
            <v>103</v>
          </cell>
          <cell r="P329">
            <v>198</v>
          </cell>
          <cell r="S329">
            <v>460</v>
          </cell>
          <cell r="X329">
            <v>178</v>
          </cell>
          <cell r="AC329">
            <v>146</v>
          </cell>
          <cell r="AF329">
            <v>393</v>
          </cell>
          <cell r="AG329">
            <v>373</v>
          </cell>
          <cell r="AH329">
            <v>20</v>
          </cell>
          <cell r="AI329">
            <v>76</v>
          </cell>
          <cell r="AK329">
            <v>1570</v>
          </cell>
        </row>
        <row r="330">
          <cell r="AJ330">
            <v>36</v>
          </cell>
          <cell r="AK330">
            <v>10408.151428571429</v>
          </cell>
        </row>
        <row r="331">
          <cell r="AJ331">
            <v>2455</v>
          </cell>
          <cell r="AK331">
            <v>0</v>
          </cell>
          <cell r="AL331">
            <v>0</v>
          </cell>
        </row>
        <row r="332">
          <cell r="F332">
            <v>0</v>
          </cell>
          <cell r="P332">
            <v>0</v>
          </cell>
          <cell r="S332">
            <v>0</v>
          </cell>
          <cell r="X332">
            <v>0</v>
          </cell>
          <cell r="AC332">
            <v>0</v>
          </cell>
          <cell r="AF332">
            <v>0</v>
          </cell>
          <cell r="AG332">
            <v>0</v>
          </cell>
          <cell r="AH332">
            <v>0</v>
          </cell>
          <cell r="AJ332">
            <v>36</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P352">
            <v>225</v>
          </cell>
          <cell r="S352">
            <v>296</v>
          </cell>
          <cell r="X352">
            <v>56</v>
          </cell>
          <cell r="AC352">
            <v>95</v>
          </cell>
          <cell r="AF352">
            <v>317.8</v>
          </cell>
          <cell r="AG352">
            <v>317.8</v>
          </cell>
          <cell r="AH352">
            <v>0</v>
          </cell>
          <cell r="AK352">
            <v>0</v>
          </cell>
          <cell r="AL352">
            <v>0</v>
          </cell>
        </row>
        <row r="353">
          <cell r="AK353" t="e">
            <v>#REF!</v>
          </cell>
          <cell r="AL353" t="e">
            <v>#REF!</v>
          </cell>
        </row>
        <row r="354">
          <cell r="F354">
            <v>0</v>
          </cell>
          <cell r="P354">
            <v>0</v>
          </cell>
          <cell r="S354">
            <v>0</v>
          </cell>
          <cell r="X354">
            <v>0</v>
          </cell>
          <cell r="AC354">
            <v>0</v>
          </cell>
          <cell r="AF354">
            <v>0</v>
          </cell>
          <cell r="AG354">
            <v>0</v>
          </cell>
          <cell r="AH354">
            <v>0</v>
          </cell>
          <cell r="AI354">
            <v>0</v>
          </cell>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J358">
            <v>-2491</v>
          </cell>
          <cell r="AK358">
            <v>0</v>
          </cell>
          <cell r="AL358">
            <v>0</v>
          </cell>
        </row>
        <row r="359">
          <cell r="AK359">
            <v>0</v>
          </cell>
          <cell r="AL359">
            <v>0</v>
          </cell>
        </row>
        <row r="360">
          <cell r="AK360">
            <v>0</v>
          </cell>
          <cell r="AL360">
            <v>0</v>
          </cell>
        </row>
        <row r="361">
          <cell r="AJ361">
            <v>-2491</v>
          </cell>
          <cell r="AK361" t="e">
            <v>#REF!</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t="str">
            <v>лютий</v>
          </cell>
          <cell r="G386">
            <v>35</v>
          </cell>
          <cell r="H386">
            <v>35</v>
          </cell>
          <cell r="P386" t="str">
            <v>лютий</v>
          </cell>
          <cell r="S386">
            <v>14.333333333333332</v>
          </cell>
          <cell r="X386" t="str">
            <v>лютий</v>
          </cell>
          <cell r="Y386">
            <v>56</v>
          </cell>
          <cell r="Z386">
            <v>56</v>
          </cell>
          <cell r="AC386" t="str">
            <v>лютий</v>
          </cell>
          <cell r="AD386">
            <v>106</v>
          </cell>
          <cell r="AE386">
            <v>105</v>
          </cell>
          <cell r="AK386">
            <v>735.30000000000018</v>
          </cell>
          <cell r="AL386">
            <v>305.73333333333335</v>
          </cell>
        </row>
        <row r="387">
          <cell r="F387" t="str">
            <v>АППАРАТ</v>
          </cell>
          <cell r="G387">
            <v>6</v>
          </cell>
          <cell r="P387" t="str">
            <v>ККМ</v>
          </cell>
          <cell r="X387" t="str">
            <v>ТЕЦ5</v>
          </cell>
          <cell r="Y387">
            <v>0</v>
          </cell>
          <cell r="AC387" t="str">
            <v>ТЕЦ6</v>
          </cell>
          <cell r="AD387">
            <v>1</v>
          </cell>
          <cell r="AK387" t="str">
            <v>АК "КЕ"</v>
          </cell>
          <cell r="AL387">
            <v>10</v>
          </cell>
        </row>
        <row r="388">
          <cell r="F388" t="str">
            <v>ПЛАН</v>
          </cell>
          <cell r="G388">
            <v>0</v>
          </cell>
          <cell r="P388" t="str">
            <v>ПЛАН</v>
          </cell>
          <cell r="X388" t="str">
            <v>ПЛАН</v>
          </cell>
          <cell r="Y388">
            <v>45</v>
          </cell>
          <cell r="AC388" t="str">
            <v>ПЛАН</v>
          </cell>
          <cell r="AD388">
            <v>92</v>
          </cell>
          <cell r="AK388" t="str">
            <v>ПЛАН</v>
          </cell>
          <cell r="AL388">
            <v>137.66666666666666</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cell r="AL390">
            <v>8</v>
          </cell>
        </row>
        <row r="391">
          <cell r="F391">
            <v>0</v>
          </cell>
          <cell r="G391" t="e">
            <v>#REF!</v>
          </cell>
          <cell r="P391">
            <v>0.66666666666666663</v>
          </cell>
          <cell r="X391">
            <v>146.66666666666666</v>
          </cell>
          <cell r="Y391">
            <v>61</v>
          </cell>
          <cell r="AC391">
            <v>280.66666666666669</v>
          </cell>
          <cell r="AD391">
            <v>128</v>
          </cell>
          <cell r="AK391">
            <v>428</v>
          </cell>
          <cell r="AL391">
            <v>28</v>
          </cell>
        </row>
        <row r="392">
          <cell r="F392">
            <v>0</v>
          </cell>
          <cell r="G392" t="e">
            <v>#REF!</v>
          </cell>
          <cell r="P392">
            <v>2</v>
          </cell>
          <cell r="X392">
            <v>0</v>
          </cell>
          <cell r="Y392">
            <v>0</v>
          </cell>
          <cell r="AC392">
            <v>25</v>
          </cell>
          <cell r="AD392">
            <v>11</v>
          </cell>
          <cell r="AK392">
            <v>33.666666666666671</v>
          </cell>
          <cell r="AL392">
            <v>0</v>
          </cell>
        </row>
        <row r="393">
          <cell r="F393">
            <v>0</v>
          </cell>
          <cell r="G393" t="e">
            <v>#REF!</v>
          </cell>
          <cell r="P393">
            <v>0</v>
          </cell>
          <cell r="X393">
            <v>25.333333333333332</v>
          </cell>
          <cell r="Y393">
            <v>11</v>
          </cell>
          <cell r="AC393">
            <v>0.66666666666666663</v>
          </cell>
          <cell r="AD393">
            <v>0</v>
          </cell>
          <cell r="AK393">
            <v>26</v>
          </cell>
          <cell r="AL393">
            <v>15.333333333333332</v>
          </cell>
        </row>
        <row r="394">
          <cell r="F394">
            <v>120.63333333333333</v>
          </cell>
          <cell r="G394" t="e">
            <v>#REF!</v>
          </cell>
          <cell r="P394">
            <v>0</v>
          </cell>
          <cell r="X394">
            <v>0</v>
          </cell>
          <cell r="Y394">
            <v>0</v>
          </cell>
          <cell r="AC394">
            <v>0</v>
          </cell>
          <cell r="AD394">
            <v>0</v>
          </cell>
          <cell r="AK394">
            <v>120.63333333333333</v>
          </cell>
          <cell r="AL394">
            <v>1</v>
          </cell>
        </row>
        <row r="395">
          <cell r="F395">
            <v>8.6666666666666661</v>
          </cell>
          <cell r="G395" t="e">
            <v>#REF!</v>
          </cell>
          <cell r="P395">
            <v>0</v>
          </cell>
          <cell r="X395">
            <v>0</v>
          </cell>
          <cell r="Y395">
            <v>0</v>
          </cell>
          <cell r="AC395">
            <v>0</v>
          </cell>
          <cell r="AD395">
            <v>0</v>
          </cell>
          <cell r="AK395">
            <v>8.6666666666666661</v>
          </cell>
          <cell r="AL395">
            <v>4.333333333333333</v>
          </cell>
        </row>
        <row r="396">
          <cell r="F396">
            <v>0</v>
          </cell>
          <cell r="G396" t="e">
            <v>#REF!</v>
          </cell>
          <cell r="P396">
            <v>5.333333333333333</v>
          </cell>
          <cell r="X396">
            <v>0</v>
          </cell>
          <cell r="Y396">
            <v>0</v>
          </cell>
          <cell r="AC396">
            <v>0</v>
          </cell>
          <cell r="AD396">
            <v>0</v>
          </cell>
          <cell r="AK396">
            <v>22</v>
          </cell>
          <cell r="AL396">
            <v>9</v>
          </cell>
        </row>
        <row r="397">
          <cell r="F397">
            <v>5.333333333333333</v>
          </cell>
          <cell r="G397" t="e">
            <v>#REF!</v>
          </cell>
          <cell r="P397">
            <v>0</v>
          </cell>
          <cell r="X397">
            <v>0</v>
          </cell>
          <cell r="Y397">
            <v>0</v>
          </cell>
          <cell r="AC397">
            <v>0</v>
          </cell>
          <cell r="AD397">
            <v>0</v>
          </cell>
          <cell r="AK397">
            <v>5.333333333333333</v>
          </cell>
          <cell r="AL397">
            <v>2</v>
          </cell>
        </row>
        <row r="398">
          <cell r="F398">
            <v>0.33333333333333331</v>
          </cell>
          <cell r="G398" t="e">
            <v>#REF!</v>
          </cell>
          <cell r="P398">
            <v>4.333333333333333</v>
          </cell>
          <cell r="X398">
            <v>0</v>
          </cell>
          <cell r="Y398">
            <v>0</v>
          </cell>
          <cell r="AC398">
            <v>0</v>
          </cell>
          <cell r="AD398">
            <v>0</v>
          </cell>
          <cell r="AK398">
            <v>4.6666666666666661</v>
          </cell>
          <cell r="AL398">
            <v>196.5</v>
          </cell>
        </row>
        <row r="399">
          <cell r="F399">
            <v>0.33333333333333331</v>
          </cell>
          <cell r="G399" t="e">
            <v>#REF!</v>
          </cell>
          <cell r="P399">
            <v>2</v>
          </cell>
          <cell r="X399">
            <v>10</v>
          </cell>
          <cell r="Y399">
            <v>4</v>
          </cell>
          <cell r="AC399">
            <v>13.666666666666666</v>
          </cell>
          <cell r="AD399">
            <v>6</v>
          </cell>
          <cell r="AK399">
            <v>26</v>
          </cell>
          <cell r="AL399">
            <v>0</v>
          </cell>
        </row>
        <row r="400">
          <cell r="F400">
            <v>0</v>
          </cell>
          <cell r="G400" t="e">
            <v>#REF!</v>
          </cell>
          <cell r="P400">
            <v>0</v>
          </cell>
          <cell r="X400">
            <v>0</v>
          </cell>
          <cell r="Y400">
            <v>0</v>
          </cell>
          <cell r="AC400">
            <v>0</v>
          </cell>
          <cell r="AD400">
            <v>0</v>
          </cell>
          <cell r="AK400">
            <v>0</v>
          </cell>
          <cell r="AL400">
            <v>153</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cell r="AL402">
            <v>43.833333333333336</v>
          </cell>
        </row>
        <row r="403">
          <cell r="F403">
            <v>0</v>
          </cell>
          <cell r="G403" t="e">
            <v>#REF!</v>
          </cell>
          <cell r="P403">
            <v>0</v>
          </cell>
          <cell r="X403">
            <v>480.66666666666669</v>
          </cell>
          <cell r="Y403">
            <v>200</v>
          </cell>
          <cell r="AC403">
            <v>11</v>
          </cell>
          <cell r="AD403">
            <v>5</v>
          </cell>
          <cell r="AK403">
            <v>491.66666666666669</v>
          </cell>
          <cell r="AL403">
            <v>0</v>
          </cell>
        </row>
        <row r="404">
          <cell r="F404">
            <v>0</v>
          </cell>
          <cell r="G404" t="e">
            <v>#REF!</v>
          </cell>
          <cell r="P404">
            <v>0</v>
          </cell>
          <cell r="X404">
            <v>0</v>
          </cell>
          <cell r="Y404">
            <v>0</v>
          </cell>
          <cell r="AC404">
            <v>0</v>
          </cell>
          <cell r="AD404">
            <v>0</v>
          </cell>
          <cell r="AK404">
            <v>0</v>
          </cell>
          <cell r="AL404">
            <v>0</v>
          </cell>
        </row>
        <row r="405">
          <cell r="F405">
            <v>1.1666666666666667</v>
          </cell>
          <cell r="G405" t="e">
            <v>#REF!</v>
          </cell>
          <cell r="P405">
            <v>15.833333333333334</v>
          </cell>
          <cell r="X405">
            <v>41.666666666666664</v>
          </cell>
          <cell r="Y405">
            <v>17</v>
          </cell>
          <cell r="AC405">
            <v>32</v>
          </cell>
          <cell r="AD405">
            <v>15</v>
          </cell>
          <cell r="AK405">
            <v>91</v>
          </cell>
          <cell r="AL405">
            <v>41</v>
          </cell>
        </row>
        <row r="406">
          <cell r="F406">
            <v>0</v>
          </cell>
          <cell r="G406" t="e">
            <v>#REF!</v>
          </cell>
          <cell r="P406">
            <v>4.666666666666667</v>
          </cell>
          <cell r="X406">
            <v>0</v>
          </cell>
          <cell r="Y406">
            <v>0</v>
          </cell>
          <cell r="AC406">
            <v>0</v>
          </cell>
          <cell r="AD406">
            <v>0</v>
          </cell>
          <cell r="AK406">
            <v>4.666666666666667</v>
          </cell>
          <cell r="AL406">
            <v>4.3333333333333339</v>
          </cell>
        </row>
        <row r="407">
          <cell r="F407">
            <v>0</v>
          </cell>
          <cell r="G407" t="e">
            <v>#REF!</v>
          </cell>
          <cell r="P407">
            <v>0</v>
          </cell>
          <cell r="X407">
            <v>0</v>
          </cell>
          <cell r="Y407">
            <v>0</v>
          </cell>
          <cell r="AC407">
            <v>0</v>
          </cell>
          <cell r="AD407">
            <v>0</v>
          </cell>
          <cell r="AK407">
            <v>0</v>
          </cell>
          <cell r="AL407">
            <v>37.666666666666664</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H409">
            <v>43</v>
          </cell>
          <cell r="P409">
            <v>3.3333333333333335</v>
          </cell>
          <cell r="S409">
            <v>50.166666666666671</v>
          </cell>
          <cell r="X409">
            <v>0</v>
          </cell>
          <cell r="Y409">
            <v>0</v>
          </cell>
          <cell r="AC409">
            <v>0</v>
          </cell>
          <cell r="AD409">
            <v>0</v>
          </cell>
          <cell r="AK409">
            <v>6</v>
          </cell>
          <cell r="AL409">
            <v>373.16666666666663</v>
          </cell>
        </row>
        <row r="410">
          <cell r="F410">
            <v>7.333333333333333</v>
          </cell>
          <cell r="G410" t="e">
            <v>#REF!</v>
          </cell>
          <cell r="P410">
            <v>35.666666666666664</v>
          </cell>
          <cell r="X410">
            <v>0</v>
          </cell>
          <cell r="Y410">
            <v>0</v>
          </cell>
          <cell r="AC410">
            <v>0</v>
          </cell>
          <cell r="AD410">
            <v>0</v>
          </cell>
          <cell r="AK410">
            <v>43</v>
          </cell>
          <cell r="AL410">
            <v>0</v>
          </cell>
        </row>
        <row r="411">
          <cell r="F411">
            <v>0</v>
          </cell>
          <cell r="G411" t="e">
            <v>#REF!</v>
          </cell>
          <cell r="P411">
            <v>0</v>
          </cell>
          <cell r="X411">
            <v>0</v>
          </cell>
          <cell r="Y411">
            <v>0</v>
          </cell>
          <cell r="AC411">
            <v>0</v>
          </cell>
          <cell r="AD411">
            <v>0</v>
          </cell>
          <cell r="AK411">
            <v>0</v>
          </cell>
          <cell r="AL411">
            <v>95</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cell r="AL413">
            <v>12.333333333333334</v>
          </cell>
        </row>
        <row r="414">
          <cell r="F414">
            <v>0</v>
          </cell>
          <cell r="G414" t="e">
            <v>#REF!</v>
          </cell>
          <cell r="P414">
            <v>0</v>
          </cell>
          <cell r="X414">
            <v>0</v>
          </cell>
          <cell r="Y414">
            <v>0</v>
          </cell>
          <cell r="AC414">
            <v>0</v>
          </cell>
          <cell r="AD414">
            <v>0</v>
          </cell>
          <cell r="AK414">
            <v>95</v>
          </cell>
          <cell r="AL414">
            <v>0</v>
          </cell>
        </row>
        <row r="415">
          <cell r="F415">
            <v>0</v>
          </cell>
          <cell r="G415" t="e">
            <v>#REF!</v>
          </cell>
          <cell r="P415">
            <v>0</v>
          </cell>
          <cell r="X415">
            <v>0</v>
          </cell>
          <cell r="Y415">
            <v>0</v>
          </cell>
          <cell r="AC415">
            <v>0</v>
          </cell>
          <cell r="AD415">
            <v>0</v>
          </cell>
          <cell r="AK415">
            <v>0</v>
          </cell>
          <cell r="AL415">
            <v>47</v>
          </cell>
        </row>
        <row r="416">
          <cell r="F416">
            <v>0</v>
          </cell>
          <cell r="G416" t="e">
            <v>#REF!</v>
          </cell>
          <cell r="P416">
            <v>12.333333333333334</v>
          </cell>
          <cell r="X416">
            <v>0</v>
          </cell>
          <cell r="Y416">
            <v>0</v>
          </cell>
          <cell r="AC416">
            <v>0</v>
          </cell>
          <cell r="AD416">
            <v>0</v>
          </cell>
          <cell r="AK416">
            <v>12.333333333333334</v>
          </cell>
          <cell r="AL416">
            <v>0</v>
          </cell>
        </row>
        <row r="417">
          <cell r="F417">
            <v>0</v>
          </cell>
          <cell r="G417" t="e">
            <v>#REF!</v>
          </cell>
          <cell r="P417">
            <v>0</v>
          </cell>
          <cell r="X417">
            <v>0</v>
          </cell>
          <cell r="Y417">
            <v>0</v>
          </cell>
          <cell r="AC417">
            <v>0</v>
          </cell>
          <cell r="AD417">
            <v>0</v>
          </cell>
          <cell r="AK417">
            <v>0</v>
          </cell>
          <cell r="AL417">
            <v>0</v>
          </cell>
        </row>
        <row r="418">
          <cell r="F418">
            <v>1.6666666666666667</v>
          </cell>
          <cell r="G418" t="e">
            <v>#REF!</v>
          </cell>
          <cell r="P418">
            <v>5</v>
          </cell>
          <cell r="X418">
            <v>3</v>
          </cell>
          <cell r="Y418">
            <v>1</v>
          </cell>
          <cell r="AC418">
            <v>3</v>
          </cell>
          <cell r="AD418">
            <v>1</v>
          </cell>
          <cell r="AK418">
            <v>57.666666666666664</v>
          </cell>
          <cell r="AL418">
            <v>23.5</v>
          </cell>
        </row>
        <row r="419">
          <cell r="F419">
            <v>0</v>
          </cell>
          <cell r="G419" t="e">
            <v>#REF!</v>
          </cell>
          <cell r="P419">
            <v>0</v>
          </cell>
          <cell r="X419">
            <v>0</v>
          </cell>
          <cell r="Y419">
            <v>0</v>
          </cell>
          <cell r="AC419">
            <v>0</v>
          </cell>
          <cell r="AD419">
            <v>0</v>
          </cell>
          <cell r="AK419">
            <v>4</v>
          </cell>
          <cell r="AL419">
            <v>52.333333333333336</v>
          </cell>
        </row>
        <row r="420">
          <cell r="F420">
            <v>0</v>
          </cell>
          <cell r="G420" t="e">
            <v>#REF!</v>
          </cell>
          <cell r="P420">
            <v>0</v>
          </cell>
          <cell r="X420">
            <v>0</v>
          </cell>
          <cell r="Y420">
            <v>0</v>
          </cell>
          <cell r="AC420">
            <v>0</v>
          </cell>
          <cell r="AD420">
            <v>0</v>
          </cell>
          <cell r="AK420">
            <v>0</v>
          </cell>
          <cell r="AL420">
            <v>38</v>
          </cell>
        </row>
        <row r="421">
          <cell r="F421">
            <v>0</v>
          </cell>
          <cell r="G421" t="e">
            <v>#REF!</v>
          </cell>
          <cell r="P421">
            <v>18.5</v>
          </cell>
          <cell r="X421">
            <v>4.5</v>
          </cell>
          <cell r="Y421">
            <v>2</v>
          </cell>
          <cell r="AC421">
            <v>1.3333333333333333</v>
          </cell>
          <cell r="AD421">
            <v>1</v>
          </cell>
          <cell r="AK421">
            <v>28.5</v>
          </cell>
          <cell r="AL421">
            <v>6</v>
          </cell>
        </row>
        <row r="422">
          <cell r="F422">
            <v>0</v>
          </cell>
          <cell r="G422" t="e">
            <v>#REF!</v>
          </cell>
          <cell r="P422">
            <v>1.3333333333333333</v>
          </cell>
          <cell r="X422">
            <v>0</v>
          </cell>
          <cell r="Y422">
            <v>0</v>
          </cell>
          <cell r="AC422">
            <v>1.6666666666666667</v>
          </cell>
          <cell r="AD422">
            <v>1</v>
          </cell>
          <cell r="AK422">
            <v>69</v>
          </cell>
          <cell r="AL422">
            <v>2</v>
          </cell>
        </row>
        <row r="423">
          <cell r="F423">
            <v>177</v>
          </cell>
          <cell r="G423" t="e">
            <v>#REF!</v>
          </cell>
          <cell r="P423">
            <v>0</v>
          </cell>
          <cell r="X423">
            <v>0</v>
          </cell>
          <cell r="Y423">
            <v>0</v>
          </cell>
          <cell r="AC423">
            <v>0</v>
          </cell>
          <cell r="AD423">
            <v>0</v>
          </cell>
          <cell r="AK423">
            <v>177</v>
          </cell>
          <cell r="AL423">
            <v>3.3333333333333335</v>
          </cell>
        </row>
        <row r="424">
          <cell r="F424">
            <v>0</v>
          </cell>
          <cell r="G424" t="e">
            <v>#REF!</v>
          </cell>
          <cell r="P424">
            <v>0</v>
          </cell>
          <cell r="X424">
            <v>10</v>
          </cell>
          <cell r="Y424">
            <v>4</v>
          </cell>
          <cell r="AC424">
            <v>7.666666666666667</v>
          </cell>
          <cell r="AD424">
            <v>4</v>
          </cell>
          <cell r="AK424">
            <v>17.666666666666668</v>
          </cell>
          <cell r="AL424">
            <v>6.3333333333333339</v>
          </cell>
        </row>
        <row r="425">
          <cell r="F425">
            <v>0.66666666666666663</v>
          </cell>
          <cell r="G425" t="e">
            <v>#REF!</v>
          </cell>
          <cell r="P425">
            <v>2</v>
          </cell>
          <cell r="X425">
            <v>1.3333333333333333</v>
          </cell>
          <cell r="Y425">
            <v>1</v>
          </cell>
          <cell r="AC425">
            <v>1</v>
          </cell>
          <cell r="AD425">
            <v>0</v>
          </cell>
          <cell r="AK425">
            <v>6</v>
          </cell>
          <cell r="AL425">
            <v>0</v>
          </cell>
        </row>
        <row r="426">
          <cell r="F426">
            <v>2.6666666666666665</v>
          </cell>
          <cell r="G426" t="e">
            <v>#REF!</v>
          </cell>
          <cell r="P426">
            <v>0.33333333333333331</v>
          </cell>
          <cell r="X426">
            <v>1</v>
          </cell>
          <cell r="Y426">
            <v>0</v>
          </cell>
          <cell r="AC426">
            <v>0.66666666666666663</v>
          </cell>
          <cell r="AD426">
            <v>0</v>
          </cell>
          <cell r="AK426">
            <v>9.3333333333333339</v>
          </cell>
          <cell r="AL426">
            <v>0</v>
          </cell>
        </row>
        <row r="427">
          <cell r="F427">
            <v>0</v>
          </cell>
          <cell r="G427" t="e">
            <v>#REF!</v>
          </cell>
          <cell r="P427">
            <v>2.3333333333333335</v>
          </cell>
          <cell r="X427">
            <v>6</v>
          </cell>
          <cell r="Y427">
            <v>2</v>
          </cell>
          <cell r="AC427">
            <v>5</v>
          </cell>
          <cell r="AD427">
            <v>2</v>
          </cell>
          <cell r="AK427">
            <v>13.333333333333334</v>
          </cell>
          <cell r="AL427">
            <v>4</v>
          </cell>
        </row>
        <row r="428">
          <cell r="F428">
            <v>0</v>
          </cell>
          <cell r="G428" t="e">
            <v>#REF!</v>
          </cell>
          <cell r="P428">
            <v>0</v>
          </cell>
          <cell r="X428">
            <v>0</v>
          </cell>
          <cell r="Y428">
            <v>0</v>
          </cell>
          <cell r="AC428">
            <v>0</v>
          </cell>
          <cell r="AD428">
            <v>0</v>
          </cell>
          <cell r="AK428">
            <v>0</v>
          </cell>
          <cell r="AL428">
            <v>0</v>
          </cell>
        </row>
        <row r="429">
          <cell r="F429">
            <v>0</v>
          </cell>
          <cell r="G429" t="e">
            <v>#REF!</v>
          </cell>
          <cell r="P429">
            <v>0</v>
          </cell>
          <cell r="X429">
            <v>0</v>
          </cell>
          <cell r="Y429">
            <v>0</v>
          </cell>
          <cell r="AC429">
            <v>0</v>
          </cell>
          <cell r="AD429">
            <v>0</v>
          </cell>
          <cell r="AK429">
            <v>0</v>
          </cell>
          <cell r="AL429">
            <v>0.66666666666666663</v>
          </cell>
        </row>
        <row r="430">
          <cell r="F430">
            <v>9.6666666666666661</v>
          </cell>
          <cell r="G430" t="e">
            <v>#REF!</v>
          </cell>
          <cell r="P430">
            <v>1</v>
          </cell>
          <cell r="X430">
            <v>0</v>
          </cell>
          <cell r="Y430">
            <v>0</v>
          </cell>
          <cell r="AC430">
            <v>0</v>
          </cell>
          <cell r="AD430">
            <v>0</v>
          </cell>
          <cell r="AK430">
            <v>12</v>
          </cell>
          <cell r="AL430">
            <v>0.66666666666666663</v>
          </cell>
        </row>
        <row r="431">
          <cell r="F431">
            <v>0</v>
          </cell>
          <cell r="G431" t="e">
            <v>#REF!</v>
          </cell>
          <cell r="P431">
            <v>0</v>
          </cell>
          <cell r="X431">
            <v>0</v>
          </cell>
          <cell r="Y431">
            <v>0</v>
          </cell>
          <cell r="AC431">
            <v>0</v>
          </cell>
          <cell r="AD431">
            <v>0</v>
          </cell>
          <cell r="AK431">
            <v>0</v>
          </cell>
          <cell r="AL431">
            <v>17.666666666666668</v>
          </cell>
        </row>
        <row r="432">
          <cell r="F432">
            <v>2.3333333333333335</v>
          </cell>
          <cell r="G432" t="e">
            <v>#REF!</v>
          </cell>
          <cell r="P432">
            <v>0.66666666666666663</v>
          </cell>
          <cell r="X432">
            <v>0.66666666666666663</v>
          </cell>
          <cell r="Y432">
            <v>0</v>
          </cell>
          <cell r="AC432">
            <v>0.66666666666666663</v>
          </cell>
          <cell r="AD432">
            <v>0</v>
          </cell>
          <cell r="AK432">
            <v>4.333333333333333</v>
          </cell>
          <cell r="AL432">
            <v>0</v>
          </cell>
        </row>
        <row r="433">
          <cell r="F433">
            <v>1.6666666666666667</v>
          </cell>
          <cell r="G433" t="e">
            <v>#REF!</v>
          </cell>
          <cell r="P433">
            <v>0.66666666666666663</v>
          </cell>
          <cell r="X433">
            <v>0.66666666666666663</v>
          </cell>
          <cell r="Y433">
            <v>0</v>
          </cell>
          <cell r="AC433">
            <v>0.66666666666666663</v>
          </cell>
          <cell r="AD433">
            <v>0</v>
          </cell>
          <cell r="AK433">
            <v>3.6666666666666665</v>
          </cell>
          <cell r="AL433">
            <v>53</v>
          </cell>
        </row>
        <row r="434">
          <cell r="F434">
            <v>6.666666666666667</v>
          </cell>
          <cell r="G434" t="e">
            <v>#REF!</v>
          </cell>
          <cell r="P434">
            <v>4.666666666666667</v>
          </cell>
          <cell r="X434">
            <v>3</v>
          </cell>
          <cell r="Y434">
            <v>1</v>
          </cell>
          <cell r="AC434">
            <v>2</v>
          </cell>
          <cell r="AD434">
            <v>1</v>
          </cell>
          <cell r="AK434">
            <v>33</v>
          </cell>
          <cell r="AL434">
            <v>1</v>
          </cell>
        </row>
        <row r="435">
          <cell r="F435">
            <v>0</v>
          </cell>
          <cell r="G435" t="e">
            <v>#REF!</v>
          </cell>
          <cell r="P435">
            <v>0</v>
          </cell>
          <cell r="X435">
            <v>0</v>
          </cell>
          <cell r="Y435">
            <v>0</v>
          </cell>
          <cell r="AC435">
            <v>0</v>
          </cell>
          <cell r="AD435">
            <v>0</v>
          </cell>
          <cell r="AK435">
            <v>0</v>
          </cell>
          <cell r="AL435">
            <v>0</v>
          </cell>
        </row>
        <row r="436">
          <cell r="F436">
            <v>0</v>
          </cell>
          <cell r="G436" t="e">
            <v>#REF!</v>
          </cell>
          <cell r="P436">
            <v>0</v>
          </cell>
          <cell r="X436">
            <v>0</v>
          </cell>
          <cell r="Y436">
            <v>0</v>
          </cell>
          <cell r="AC436">
            <v>0</v>
          </cell>
          <cell r="AD436">
            <v>0</v>
          </cell>
          <cell r="AK436">
            <v>0</v>
          </cell>
          <cell r="AL436">
            <v>0</v>
          </cell>
        </row>
        <row r="437">
          <cell r="F437">
            <v>1</v>
          </cell>
          <cell r="G437" t="e">
            <v>#REF!</v>
          </cell>
          <cell r="P437">
            <v>0</v>
          </cell>
          <cell r="X437">
            <v>0</v>
          </cell>
          <cell r="Y437">
            <v>0</v>
          </cell>
          <cell r="AC437">
            <v>0</v>
          </cell>
          <cell r="AD437">
            <v>0</v>
          </cell>
          <cell r="AK437">
            <v>1</v>
          </cell>
          <cell r="AL437">
            <v>7</v>
          </cell>
        </row>
        <row r="438">
          <cell r="F438">
            <v>0</v>
          </cell>
          <cell r="G438" t="e">
            <v>#REF!</v>
          </cell>
          <cell r="P438">
            <v>0</v>
          </cell>
          <cell r="X438">
            <v>0</v>
          </cell>
          <cell r="Y438">
            <v>0</v>
          </cell>
          <cell r="AC438">
            <v>0</v>
          </cell>
          <cell r="AD438">
            <v>0</v>
          </cell>
          <cell r="AK438">
            <v>0</v>
          </cell>
          <cell r="AL438">
            <v>0</v>
          </cell>
        </row>
        <row r="439">
          <cell r="F439">
            <v>0</v>
          </cell>
          <cell r="G439" t="e">
            <v>#REF!</v>
          </cell>
          <cell r="P439">
            <v>0</v>
          </cell>
          <cell r="X439">
            <v>0</v>
          </cell>
          <cell r="Y439">
            <v>0</v>
          </cell>
          <cell r="AC439">
            <v>0</v>
          </cell>
          <cell r="AD439">
            <v>0</v>
          </cell>
          <cell r="AK439">
            <v>0</v>
          </cell>
          <cell r="AL439">
            <v>1</v>
          </cell>
        </row>
        <row r="440">
          <cell r="F440">
            <v>2.6666666666666665</v>
          </cell>
          <cell r="G440" t="e">
            <v>#REF!</v>
          </cell>
          <cell r="P440">
            <v>1</v>
          </cell>
          <cell r="X440">
            <v>4</v>
          </cell>
          <cell r="Y440">
            <v>2</v>
          </cell>
          <cell r="AC440">
            <v>2</v>
          </cell>
          <cell r="AD440">
            <v>1</v>
          </cell>
          <cell r="AK440">
            <v>15.666666666666666</v>
          </cell>
          <cell r="AL440">
            <v>0.33333333333333331</v>
          </cell>
        </row>
        <row r="441">
          <cell r="F441">
            <v>0</v>
          </cell>
          <cell r="G441" t="e">
            <v>#REF!</v>
          </cell>
          <cell r="P441">
            <v>0</v>
          </cell>
          <cell r="X441">
            <v>0</v>
          </cell>
          <cell r="Y441">
            <v>0</v>
          </cell>
          <cell r="AC441">
            <v>0</v>
          </cell>
          <cell r="AD441">
            <v>0</v>
          </cell>
          <cell r="AK441">
            <v>0</v>
          </cell>
          <cell r="AL441">
            <v>0</v>
          </cell>
        </row>
        <row r="442">
          <cell r="F442">
            <v>0</v>
          </cell>
          <cell r="G442" t="e">
            <v>#REF!</v>
          </cell>
          <cell r="P442">
            <v>0</v>
          </cell>
          <cell r="X442">
            <v>3.3333333333333335</v>
          </cell>
          <cell r="Y442">
            <v>1</v>
          </cell>
          <cell r="AC442">
            <v>0</v>
          </cell>
          <cell r="AD442">
            <v>0</v>
          </cell>
          <cell r="AK442">
            <v>3.3333333333333335</v>
          </cell>
          <cell r="AL442">
            <v>0</v>
          </cell>
        </row>
        <row r="443">
          <cell r="F443">
            <v>0.33333333333333331</v>
          </cell>
          <cell r="G443" t="e">
            <v>#REF!</v>
          </cell>
          <cell r="P443">
            <v>0.33333333333333331</v>
          </cell>
          <cell r="X443">
            <v>0.33333333333333331</v>
          </cell>
          <cell r="Y443">
            <v>0</v>
          </cell>
          <cell r="AC443">
            <v>0.33333333333333331</v>
          </cell>
          <cell r="AD443">
            <v>0</v>
          </cell>
          <cell r="AK443">
            <v>1.9999999999999998</v>
          </cell>
          <cell r="AL443">
            <v>0</v>
          </cell>
        </row>
        <row r="444">
          <cell r="F444">
            <v>0</v>
          </cell>
          <cell r="G444" t="e">
            <v>#REF!</v>
          </cell>
          <cell r="P444">
            <v>0</v>
          </cell>
          <cell r="X444">
            <v>0</v>
          </cell>
          <cell r="Y444">
            <v>0</v>
          </cell>
          <cell r="AC444">
            <v>0</v>
          </cell>
          <cell r="AD444">
            <v>0</v>
          </cell>
          <cell r="AK444">
            <v>0</v>
          </cell>
          <cell r="AL444">
            <v>0</v>
          </cell>
        </row>
        <row r="445">
          <cell r="F445">
            <v>0</v>
          </cell>
          <cell r="G445" t="e">
            <v>#REF!</v>
          </cell>
          <cell r="P445">
            <v>0</v>
          </cell>
          <cell r="X445">
            <v>0</v>
          </cell>
          <cell r="Y445">
            <v>0</v>
          </cell>
          <cell r="AC445">
            <v>0</v>
          </cell>
          <cell r="AD445">
            <v>0</v>
          </cell>
          <cell r="AK445">
            <v>0</v>
          </cell>
          <cell r="AL445">
            <v>0</v>
          </cell>
        </row>
        <row r="446">
          <cell r="F446">
            <v>0</v>
          </cell>
          <cell r="G446" t="e">
            <v>#REF!</v>
          </cell>
          <cell r="P446">
            <v>0</v>
          </cell>
          <cell r="X446">
            <v>0</v>
          </cell>
          <cell r="Y446">
            <v>0</v>
          </cell>
          <cell r="AC446">
            <v>0</v>
          </cell>
          <cell r="AD446">
            <v>0</v>
          </cell>
          <cell r="AK446">
            <v>0</v>
          </cell>
          <cell r="AL446">
            <v>0</v>
          </cell>
        </row>
        <row r="447">
          <cell r="F447">
            <v>0</v>
          </cell>
          <cell r="G447" t="e">
            <v>#REF!</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cell r="AL449">
            <v>0</v>
          </cell>
        </row>
        <row r="450">
          <cell r="G450" t="e">
            <v>#REF!</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1" refreshError="1">
        <row r="8">
          <cell r="AF8" t="str">
            <v>ЗАТВЕРДЖУЮ</v>
          </cell>
        </row>
        <row r="21">
          <cell r="AI21" t="str">
            <v xml:space="preserve">         Затверджую</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row r="8">
          <cell r="AF8" t="str">
            <v>ЗАТВЕРДЖУЮ</v>
          </cell>
        </row>
        <row r="19">
          <cell r="AC19" t="str">
            <v>звіт</v>
          </cell>
        </row>
        <row r="23">
          <cell r="AF23" t="str">
            <v>ЗАТВЕРДЖУЮ</v>
          </cell>
        </row>
        <row r="24">
          <cell r="AF24" t="str">
            <v>ГОЛОВА ПРАЛІННЯ  КЕ</v>
          </cell>
        </row>
        <row r="27">
          <cell r="AF27" t="str">
            <v xml:space="preserve">                   ПЛАЧКОВ І.В.</v>
          </cell>
          <cell r="AG27" t="str">
            <v>І.В.ПЛАЧКОВ</v>
          </cell>
        </row>
        <row r="31">
          <cell r="D31" t="str">
            <v>ВИК.ДИР.</v>
          </cell>
          <cell r="E31" t="str">
            <v>Е/Е</v>
          </cell>
          <cell r="F31" t="str">
            <v xml:space="preserve"> Т/Е</v>
          </cell>
          <cell r="L31" t="str">
            <v>КМ план</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row>
        <row r="32">
          <cell r="T32">
            <v>427</v>
          </cell>
          <cell r="X32">
            <v>353</v>
          </cell>
        </row>
        <row r="33">
          <cell r="T33">
            <v>388.95</v>
          </cell>
          <cell r="X33">
            <v>323.55</v>
          </cell>
        </row>
        <row r="39">
          <cell r="L39">
            <v>0</v>
          </cell>
        </row>
        <row r="40">
          <cell r="U40">
            <v>667</v>
          </cell>
          <cell r="Y40">
            <v>585</v>
          </cell>
        </row>
        <row r="42">
          <cell r="D42">
            <v>2558.727272727273</v>
          </cell>
          <cell r="L42">
            <v>2094.727272727273</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row>
        <row r="44">
          <cell r="D44">
            <v>488</v>
          </cell>
          <cell r="E44">
            <v>180</v>
          </cell>
          <cell r="F44">
            <v>308</v>
          </cell>
          <cell r="L44">
            <v>388</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row>
        <row r="45">
          <cell r="D45">
            <v>67.833333333333343</v>
          </cell>
          <cell r="E45">
            <v>20</v>
          </cell>
          <cell r="F45">
            <v>47.833333333333343</v>
          </cell>
          <cell r="L45">
            <v>336.7</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row>
        <row r="46">
          <cell r="D46">
            <v>0</v>
          </cell>
          <cell r="E46">
            <v>0</v>
          </cell>
          <cell r="F46">
            <v>0</v>
          </cell>
          <cell r="L46">
            <v>0</v>
          </cell>
          <cell r="R46">
            <v>56.666666666666664</v>
          </cell>
          <cell r="T46">
            <v>24</v>
          </cell>
          <cell r="U46">
            <v>32.666666666666664</v>
          </cell>
          <cell r="V46">
            <v>160</v>
          </cell>
          <cell r="X46">
            <v>65</v>
          </cell>
          <cell r="Y46">
            <v>95</v>
          </cell>
          <cell r="AB46">
            <v>0</v>
          </cell>
        </row>
        <row r="47">
          <cell r="D47">
            <v>343.60666666666663</v>
          </cell>
          <cell r="E47">
            <v>103</v>
          </cell>
          <cell r="F47">
            <v>240.60666666666663</v>
          </cell>
          <cell r="L47">
            <v>9.6199999999999992</v>
          </cell>
          <cell r="R47">
            <v>32.666666666666664</v>
          </cell>
          <cell r="T47">
            <v>15</v>
          </cell>
          <cell r="U47">
            <v>17.666666666666664</v>
          </cell>
          <cell r="V47">
            <v>32.56</v>
          </cell>
          <cell r="X47">
            <v>13</v>
          </cell>
          <cell r="Y47">
            <v>19.560000000000002</v>
          </cell>
          <cell r="Z47">
            <v>17.266666666666666</v>
          </cell>
          <cell r="AA47">
            <v>17.266666666666666</v>
          </cell>
          <cell r="AB47">
            <v>0</v>
          </cell>
        </row>
        <row r="48">
          <cell r="D48">
            <v>1</v>
          </cell>
          <cell r="E48">
            <v>0</v>
          </cell>
          <cell r="F48">
            <v>1</v>
          </cell>
          <cell r="L48">
            <v>35</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row>
        <row r="49">
          <cell r="D49">
            <v>0</v>
          </cell>
          <cell r="E49">
            <v>0</v>
          </cell>
          <cell r="F49">
            <v>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row>
        <row r="50">
          <cell r="D50">
            <v>0</v>
          </cell>
          <cell r="E50">
            <v>0</v>
          </cell>
          <cell r="F50">
            <v>0</v>
          </cell>
          <cell r="L50">
            <v>0</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row>
        <row r="51">
          <cell r="D51">
            <v>0</v>
          </cell>
          <cell r="E51">
            <v>0</v>
          </cell>
          <cell r="F51">
            <v>0</v>
          </cell>
          <cell r="L51">
            <v>0</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row>
        <row r="53">
          <cell r="D53">
            <v>7</v>
          </cell>
          <cell r="E53">
            <v>2</v>
          </cell>
          <cell r="F53">
            <v>5</v>
          </cell>
          <cell r="L53">
            <v>59</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row>
        <row r="54">
          <cell r="D54">
            <v>260.72727272727275</v>
          </cell>
          <cell r="E54">
            <v>78</v>
          </cell>
          <cell r="F54">
            <v>182.72727272727275</v>
          </cell>
          <cell r="L54">
            <v>475.72727272727275</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row>
        <row r="55">
          <cell r="D55">
            <v>14</v>
          </cell>
          <cell r="E55">
            <v>4</v>
          </cell>
          <cell r="F55">
            <v>10</v>
          </cell>
          <cell r="L55">
            <v>26</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row>
        <row r="56">
          <cell r="D56">
            <v>83</v>
          </cell>
          <cell r="E56">
            <v>44</v>
          </cell>
          <cell r="F56">
            <v>39</v>
          </cell>
          <cell r="L56">
            <v>152</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row>
        <row r="57">
          <cell r="D57">
            <v>0</v>
          </cell>
          <cell r="E57">
            <v>0</v>
          </cell>
          <cell r="F57">
            <v>0</v>
          </cell>
          <cell r="L57">
            <v>0</v>
          </cell>
          <cell r="P57">
            <v>0</v>
          </cell>
          <cell r="Q57">
            <v>0</v>
          </cell>
          <cell r="R57">
            <v>0</v>
          </cell>
          <cell r="T57">
            <v>0</v>
          </cell>
          <cell r="U57">
            <v>0</v>
          </cell>
          <cell r="V57">
            <v>0</v>
          </cell>
          <cell r="X57">
            <v>0</v>
          </cell>
          <cell r="Y57">
            <v>0</v>
          </cell>
          <cell r="Z57">
            <v>0</v>
          </cell>
          <cell r="AA57">
            <v>0</v>
          </cell>
          <cell r="AB57">
            <v>0</v>
          </cell>
          <cell r="AC57">
            <v>0</v>
          </cell>
          <cell r="AG57">
            <v>0</v>
          </cell>
        </row>
        <row r="58">
          <cell r="D58">
            <v>87</v>
          </cell>
          <cell r="E58">
            <v>26</v>
          </cell>
          <cell r="F58">
            <v>61</v>
          </cell>
          <cell r="L58">
            <v>586</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row>
        <row r="59">
          <cell r="D59">
            <v>0</v>
          </cell>
          <cell r="L59">
            <v>0</v>
          </cell>
          <cell r="R59">
            <v>0</v>
          </cell>
          <cell r="V59">
            <v>0</v>
          </cell>
          <cell r="Z59">
            <v>0</v>
          </cell>
          <cell r="AA59">
            <v>0</v>
          </cell>
          <cell r="AB59">
            <v>0</v>
          </cell>
          <cell r="AC59">
            <v>0</v>
          </cell>
        </row>
        <row r="60">
          <cell r="D60">
            <v>87</v>
          </cell>
          <cell r="E60">
            <v>26</v>
          </cell>
          <cell r="F60">
            <v>61</v>
          </cell>
          <cell r="L60">
            <v>432</v>
          </cell>
          <cell r="P60">
            <v>266.08</v>
          </cell>
          <cell r="Q60">
            <v>1396.92</v>
          </cell>
          <cell r="R60">
            <v>123</v>
          </cell>
          <cell r="T60">
            <v>53</v>
          </cell>
          <cell r="U60">
            <v>70</v>
          </cell>
          <cell r="V60">
            <v>99</v>
          </cell>
          <cell r="X60">
            <v>40</v>
          </cell>
          <cell r="Y60">
            <v>59</v>
          </cell>
          <cell r="Z60">
            <v>74</v>
          </cell>
          <cell r="AA60">
            <v>74</v>
          </cell>
          <cell r="AB60">
            <v>0</v>
          </cell>
          <cell r="AC60">
            <v>0</v>
          </cell>
          <cell r="AG60">
            <v>0</v>
          </cell>
        </row>
        <row r="61">
          <cell r="D61">
            <v>0</v>
          </cell>
          <cell r="E61">
            <v>0</v>
          </cell>
          <cell r="L61">
            <v>0</v>
          </cell>
          <cell r="P61">
            <v>0</v>
          </cell>
          <cell r="Q61">
            <v>0</v>
          </cell>
          <cell r="R61">
            <v>0</v>
          </cell>
          <cell r="T61">
            <v>0</v>
          </cell>
          <cell r="U61">
            <v>0</v>
          </cell>
          <cell r="V61">
            <v>0</v>
          </cell>
          <cell r="X61">
            <v>0</v>
          </cell>
          <cell r="Y61">
            <v>0</v>
          </cell>
          <cell r="AB61">
            <v>0</v>
          </cell>
          <cell r="AC61">
            <v>0</v>
          </cell>
          <cell r="AG61">
            <v>0</v>
          </cell>
        </row>
        <row r="62">
          <cell r="D62">
            <v>0</v>
          </cell>
          <cell r="E62">
            <v>0</v>
          </cell>
          <cell r="F62">
            <v>0</v>
          </cell>
          <cell r="L62">
            <v>154</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row>
        <row r="63">
          <cell r="D63">
            <v>63</v>
          </cell>
          <cell r="E63">
            <v>19</v>
          </cell>
          <cell r="F63">
            <v>44</v>
          </cell>
          <cell r="L63">
            <v>396</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row>
        <row r="64">
          <cell r="L64">
            <v>52</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row>
        <row r="65">
          <cell r="D65">
            <v>0</v>
          </cell>
          <cell r="L65">
            <v>3</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row>
        <row r="66">
          <cell r="D66">
            <v>0</v>
          </cell>
          <cell r="L66">
            <v>17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row>
        <row r="67">
          <cell r="D67">
            <v>0</v>
          </cell>
          <cell r="L67">
            <v>0</v>
          </cell>
          <cell r="P67">
            <v>0</v>
          </cell>
          <cell r="Q67">
            <v>0</v>
          </cell>
          <cell r="R67">
            <v>0</v>
          </cell>
          <cell r="T67">
            <v>0</v>
          </cell>
          <cell r="U67">
            <v>0</v>
          </cell>
          <cell r="V67">
            <v>0</v>
          </cell>
          <cell r="X67">
            <v>0</v>
          </cell>
          <cell r="Y67">
            <v>0</v>
          </cell>
          <cell r="Z67">
            <v>0</v>
          </cell>
          <cell r="AA67">
            <v>0</v>
          </cell>
          <cell r="AB67">
            <v>0</v>
          </cell>
          <cell r="AC67">
            <v>0</v>
          </cell>
          <cell r="AG67">
            <v>0</v>
          </cell>
        </row>
        <row r="68">
          <cell r="D68">
            <v>63</v>
          </cell>
          <cell r="L68">
            <v>283</v>
          </cell>
          <cell r="P68">
            <v>194</v>
          </cell>
          <cell r="Q68">
            <v>582</v>
          </cell>
          <cell r="R68">
            <v>527</v>
          </cell>
          <cell r="T68">
            <v>225</v>
          </cell>
          <cell r="U68">
            <v>302</v>
          </cell>
          <cell r="V68">
            <v>417</v>
          </cell>
          <cell r="X68">
            <v>170</v>
          </cell>
          <cell r="Y68">
            <v>247</v>
          </cell>
          <cell r="Z68">
            <v>265</v>
          </cell>
          <cell r="AA68">
            <v>265</v>
          </cell>
          <cell r="AB68">
            <v>0</v>
          </cell>
          <cell r="AC68">
            <v>0</v>
          </cell>
          <cell r="AG68">
            <v>0</v>
          </cell>
        </row>
        <row r="69">
          <cell r="D69">
            <v>0</v>
          </cell>
          <cell r="L69">
            <v>0</v>
          </cell>
          <cell r="P69">
            <v>0</v>
          </cell>
          <cell r="Q69">
            <v>0</v>
          </cell>
          <cell r="R69">
            <v>0</v>
          </cell>
          <cell r="U69">
            <v>0</v>
          </cell>
          <cell r="V69">
            <v>0</v>
          </cell>
          <cell r="X69">
            <v>0</v>
          </cell>
          <cell r="Y69">
            <v>0</v>
          </cell>
          <cell r="AB69">
            <v>0</v>
          </cell>
          <cell r="AC69">
            <v>0</v>
          </cell>
          <cell r="AG69">
            <v>0</v>
          </cell>
        </row>
        <row r="70">
          <cell r="D70">
            <v>1454</v>
          </cell>
          <cell r="E70">
            <v>434</v>
          </cell>
          <cell r="F70">
            <v>1020</v>
          </cell>
          <cell r="L70">
            <v>70</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row>
        <row r="71">
          <cell r="D71">
            <v>62</v>
          </cell>
          <cell r="E71">
            <v>19</v>
          </cell>
          <cell r="F71">
            <v>43</v>
          </cell>
          <cell r="P71">
            <v>0</v>
          </cell>
          <cell r="Q71">
            <v>0</v>
          </cell>
          <cell r="T71">
            <v>0</v>
          </cell>
          <cell r="U71">
            <v>0</v>
          </cell>
          <cell r="AB71">
            <v>0</v>
          </cell>
          <cell r="AC71">
            <v>0</v>
          </cell>
          <cell r="AG71">
            <v>0</v>
          </cell>
        </row>
        <row r="72">
          <cell r="D72">
            <v>1392</v>
          </cell>
          <cell r="E72">
            <v>415</v>
          </cell>
          <cell r="F72">
            <v>977</v>
          </cell>
          <cell r="L72">
            <v>70</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row>
        <row r="73">
          <cell r="D73">
            <v>383</v>
          </cell>
          <cell r="E73">
            <v>114</v>
          </cell>
          <cell r="F73">
            <v>269</v>
          </cell>
          <cell r="L73">
            <v>44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row>
        <row r="74">
          <cell r="E74">
            <v>0</v>
          </cell>
          <cell r="F74">
            <v>0</v>
          </cell>
          <cell r="AC74">
            <v>0</v>
          </cell>
          <cell r="AG74">
            <v>0</v>
          </cell>
        </row>
        <row r="75">
          <cell r="D75">
            <v>348</v>
          </cell>
          <cell r="E75">
            <v>104</v>
          </cell>
          <cell r="F75">
            <v>244</v>
          </cell>
          <cell r="R75">
            <v>0</v>
          </cell>
          <cell r="V75">
            <v>0</v>
          </cell>
          <cell r="AC75">
            <v>0</v>
          </cell>
          <cell r="AI75">
            <v>0</v>
          </cell>
        </row>
        <row r="76">
          <cell r="E76">
            <v>0</v>
          </cell>
          <cell r="F76">
            <v>0</v>
          </cell>
          <cell r="R76">
            <v>0</v>
          </cell>
          <cell r="V76">
            <v>0</v>
          </cell>
          <cell r="Z76">
            <v>6</v>
          </cell>
          <cell r="AA76">
            <v>6</v>
          </cell>
          <cell r="AC76">
            <v>0</v>
          </cell>
          <cell r="AG76">
            <v>0</v>
          </cell>
        </row>
        <row r="77">
          <cell r="E77">
            <v>0</v>
          </cell>
          <cell r="F77">
            <v>0</v>
          </cell>
          <cell r="S77">
            <v>36</v>
          </cell>
          <cell r="W77">
            <v>32</v>
          </cell>
          <cell r="AC77">
            <v>92</v>
          </cell>
          <cell r="AD77">
            <v>92</v>
          </cell>
          <cell r="AE77">
            <v>0</v>
          </cell>
          <cell r="AF77">
            <v>362</v>
          </cell>
        </row>
        <row r="78">
          <cell r="D78">
            <v>286</v>
          </cell>
          <cell r="E78">
            <v>85</v>
          </cell>
          <cell r="F78">
            <v>201</v>
          </cell>
          <cell r="L78">
            <v>12</v>
          </cell>
          <cell r="R78">
            <v>19</v>
          </cell>
          <cell r="S78">
            <v>18</v>
          </cell>
          <cell r="V78">
            <v>5</v>
          </cell>
          <cell r="W78">
            <v>21</v>
          </cell>
          <cell r="Z78">
            <v>34</v>
          </cell>
          <cell r="AA78">
            <v>34</v>
          </cell>
          <cell r="AB78">
            <v>0</v>
          </cell>
          <cell r="AC78">
            <v>4</v>
          </cell>
          <cell r="AD78">
            <v>4</v>
          </cell>
          <cell r="AF78">
            <v>39</v>
          </cell>
        </row>
        <row r="79">
          <cell r="D79">
            <v>375</v>
          </cell>
          <cell r="E79">
            <v>112</v>
          </cell>
          <cell r="F79">
            <v>263</v>
          </cell>
          <cell r="L79">
            <v>14</v>
          </cell>
          <cell r="R79">
            <v>18</v>
          </cell>
          <cell r="S79">
            <v>1</v>
          </cell>
          <cell r="V79">
            <v>19</v>
          </cell>
          <cell r="Z79">
            <v>30</v>
          </cell>
          <cell r="AA79">
            <v>30</v>
          </cell>
          <cell r="AB79">
            <v>0</v>
          </cell>
          <cell r="AC79">
            <v>15</v>
          </cell>
          <cell r="AD79">
            <v>15</v>
          </cell>
          <cell r="AF79">
            <v>595</v>
          </cell>
        </row>
        <row r="80">
          <cell r="D80">
            <v>2457.727272727273</v>
          </cell>
          <cell r="E80">
            <v>787</v>
          </cell>
          <cell r="F80">
            <v>1670.7272727272727</v>
          </cell>
          <cell r="L80">
            <v>2187.727272727273</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cell>
          <cell r="AD80">
            <v>2792</v>
          </cell>
          <cell r="AE80">
            <v>818</v>
          </cell>
          <cell r="AF80">
            <v>996</v>
          </cell>
          <cell r="AG80">
            <v>0</v>
          </cell>
        </row>
        <row r="81">
          <cell r="D81">
            <v>2457.727272727273</v>
          </cell>
          <cell r="E81">
            <v>787</v>
          </cell>
          <cell r="F81">
            <v>1670.7272727272727</v>
          </cell>
          <cell r="L81">
            <v>2187.727272727273</v>
          </cell>
          <cell r="R81">
            <v>2743.9090909090883</v>
          </cell>
          <cell r="V81">
            <v>1877.6363636363603</v>
          </cell>
          <cell r="Z81">
            <v>3618.212121212121</v>
          </cell>
          <cell r="AA81">
            <v>2959.5454545454545</v>
          </cell>
          <cell r="AB81">
            <v>658.66666666666674</v>
          </cell>
          <cell r="AG81">
            <v>0</v>
          </cell>
        </row>
        <row r="82">
          <cell r="AG82">
            <v>0</v>
          </cell>
        </row>
        <row r="83">
          <cell r="D83">
            <v>0</v>
          </cell>
          <cell r="E83">
            <v>0</v>
          </cell>
          <cell r="AG83">
            <v>0</v>
          </cell>
        </row>
        <row r="84">
          <cell r="D84">
            <v>2457.727272727273</v>
          </cell>
          <cell r="E84">
            <v>787</v>
          </cell>
          <cell r="F84">
            <v>1670.7272727272727</v>
          </cell>
          <cell r="L84">
            <v>2187.727272727273</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row>
        <row r="85">
          <cell r="D85">
            <v>0</v>
          </cell>
          <cell r="E85">
            <v>0</v>
          </cell>
          <cell r="F85">
            <v>0</v>
          </cell>
          <cell r="AG85">
            <v>0</v>
          </cell>
        </row>
        <row r="86">
          <cell r="D86">
            <v>1166</v>
          </cell>
          <cell r="E86">
            <v>590</v>
          </cell>
          <cell r="F86">
            <v>576</v>
          </cell>
          <cell r="AG86">
            <v>0</v>
          </cell>
        </row>
        <row r="87">
          <cell r="D87">
            <v>600</v>
          </cell>
          <cell r="E87">
            <v>179</v>
          </cell>
          <cell r="F87">
            <v>421</v>
          </cell>
          <cell r="P87">
            <v>0</v>
          </cell>
          <cell r="Q87">
            <v>0</v>
          </cell>
          <cell r="R87">
            <v>0</v>
          </cell>
          <cell r="S87">
            <v>0</v>
          </cell>
          <cell r="T87">
            <v>0</v>
          </cell>
          <cell r="U87">
            <v>0</v>
          </cell>
          <cell r="V87">
            <v>0</v>
          </cell>
          <cell r="W87">
            <v>0</v>
          </cell>
          <cell r="X87">
            <v>0</v>
          </cell>
          <cell r="Y87">
            <v>0</v>
          </cell>
          <cell r="Z87">
            <v>0</v>
          </cell>
          <cell r="AA87">
            <v>0</v>
          </cell>
          <cell r="AB87">
            <v>0</v>
          </cell>
          <cell r="AG87">
            <v>0</v>
          </cell>
        </row>
        <row r="88">
          <cell r="D88">
            <v>15</v>
          </cell>
          <cell r="E88">
            <v>4</v>
          </cell>
          <cell r="F88">
            <v>11</v>
          </cell>
          <cell r="L88">
            <v>61</v>
          </cell>
          <cell r="R88">
            <v>150</v>
          </cell>
          <cell r="T88">
            <v>72</v>
          </cell>
          <cell r="U88">
            <v>78</v>
          </cell>
          <cell r="V88">
            <v>27</v>
          </cell>
          <cell r="X88">
            <v>11</v>
          </cell>
          <cell r="Y88">
            <v>16</v>
          </cell>
          <cell r="Z88">
            <v>12.333333333333334</v>
          </cell>
          <cell r="AA88">
            <v>0</v>
          </cell>
          <cell r="AB88">
            <v>12.333333333333334</v>
          </cell>
          <cell r="AC88">
            <v>28</v>
          </cell>
          <cell r="AE88">
            <v>28</v>
          </cell>
        </row>
        <row r="89">
          <cell r="D89">
            <v>4238.727272727273</v>
          </cell>
          <cell r="E89">
            <v>1560</v>
          </cell>
          <cell r="F89">
            <v>2678.727272727273</v>
          </cell>
          <cell r="L89">
            <v>2248.727272727273</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row>
        <row r="90">
          <cell r="D90">
            <v>4238.727272727273</v>
          </cell>
          <cell r="E90">
            <v>1560</v>
          </cell>
          <cell r="F90">
            <v>2678.727272727273</v>
          </cell>
          <cell r="L90">
            <v>2248.727272727273</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row>
        <row r="91">
          <cell r="D91">
            <v>202</v>
          </cell>
          <cell r="L91">
            <v>432</v>
          </cell>
          <cell r="R91">
            <v>123</v>
          </cell>
          <cell r="V91">
            <v>99</v>
          </cell>
          <cell r="Z91">
            <v>74</v>
          </cell>
          <cell r="AA91">
            <v>74</v>
          </cell>
          <cell r="AF91">
            <v>0</v>
          </cell>
          <cell r="AG91">
            <v>0</v>
          </cell>
        </row>
        <row r="92">
          <cell r="D92">
            <v>87</v>
          </cell>
          <cell r="L92">
            <v>432</v>
          </cell>
          <cell r="R92">
            <v>123</v>
          </cell>
          <cell r="V92">
            <v>99</v>
          </cell>
          <cell r="Z92">
            <v>74</v>
          </cell>
          <cell r="AA92">
            <v>74</v>
          </cell>
          <cell r="AF92">
            <v>0</v>
          </cell>
          <cell r="AG92">
            <v>0</v>
          </cell>
        </row>
        <row r="93">
          <cell r="D93">
            <v>0</v>
          </cell>
          <cell r="L93">
            <v>0</v>
          </cell>
          <cell r="R93">
            <v>0</v>
          </cell>
          <cell r="V93">
            <v>0</v>
          </cell>
          <cell r="Z93">
            <v>0</v>
          </cell>
          <cell r="AA93">
            <v>0</v>
          </cell>
          <cell r="AF93">
            <v>0</v>
          </cell>
          <cell r="AG93">
            <v>0</v>
          </cell>
        </row>
        <row r="94">
          <cell r="D94">
            <v>115</v>
          </cell>
          <cell r="L94">
            <v>0</v>
          </cell>
          <cell r="R94">
            <v>0</v>
          </cell>
          <cell r="V94">
            <v>0</v>
          </cell>
          <cell r="Z94">
            <v>0</v>
          </cell>
          <cell r="AA94">
            <v>0</v>
          </cell>
          <cell r="AF94">
            <v>0</v>
          </cell>
          <cell r="AG94">
            <v>0</v>
          </cell>
        </row>
        <row r="95">
          <cell r="AG95">
            <v>0</v>
          </cell>
        </row>
        <row r="96">
          <cell r="AG96">
            <v>0</v>
          </cell>
        </row>
        <row r="97">
          <cell r="D97">
            <v>115</v>
          </cell>
          <cell r="L97">
            <v>0</v>
          </cell>
          <cell r="R97">
            <v>0</v>
          </cell>
          <cell r="V97">
            <v>5</v>
          </cell>
          <cell r="Z97">
            <v>0</v>
          </cell>
          <cell r="AA97">
            <v>0</v>
          </cell>
          <cell r="AF97">
            <v>39</v>
          </cell>
          <cell r="AG97">
            <v>0</v>
          </cell>
        </row>
        <row r="98">
          <cell r="D98">
            <v>115</v>
          </cell>
          <cell r="L98">
            <v>0</v>
          </cell>
          <cell r="R98">
            <v>0</v>
          </cell>
          <cell r="V98">
            <v>0</v>
          </cell>
          <cell r="Z98">
            <v>0</v>
          </cell>
          <cell r="AA98">
            <v>0</v>
          </cell>
          <cell r="AF98">
            <v>0</v>
          </cell>
          <cell r="AG98">
            <v>0</v>
          </cell>
        </row>
        <row r="99">
          <cell r="L99">
            <v>0</v>
          </cell>
          <cell r="R99">
            <v>0</v>
          </cell>
          <cell r="V99">
            <v>0</v>
          </cell>
          <cell r="Z99">
            <v>0</v>
          </cell>
          <cell r="AA99">
            <v>0</v>
          </cell>
          <cell r="AF99">
            <v>0</v>
          </cell>
          <cell r="AG99">
            <v>0</v>
          </cell>
        </row>
        <row r="100">
          <cell r="D100">
            <v>0</v>
          </cell>
          <cell r="L100">
            <v>0</v>
          </cell>
          <cell r="R100">
            <v>0</v>
          </cell>
          <cell r="V100">
            <v>5</v>
          </cell>
          <cell r="Z100">
            <v>0</v>
          </cell>
          <cell r="AA100">
            <v>0</v>
          </cell>
          <cell r="AF100">
            <v>39</v>
          </cell>
          <cell r="AG100">
            <v>0</v>
          </cell>
        </row>
        <row r="101">
          <cell r="D101">
            <v>31</v>
          </cell>
          <cell r="L101">
            <v>0</v>
          </cell>
          <cell r="R101">
            <v>0</v>
          </cell>
          <cell r="V101">
            <v>19</v>
          </cell>
          <cell r="Z101">
            <v>0</v>
          </cell>
          <cell r="AA101">
            <v>0</v>
          </cell>
          <cell r="AF101">
            <v>595</v>
          </cell>
          <cell r="AG101">
            <v>0</v>
          </cell>
        </row>
        <row r="102">
          <cell r="D102">
            <v>31</v>
          </cell>
          <cell r="L102">
            <v>0</v>
          </cell>
          <cell r="V102">
            <v>0</v>
          </cell>
          <cell r="Z102">
            <v>0</v>
          </cell>
          <cell r="AA102">
            <v>0</v>
          </cell>
          <cell r="AG102">
            <v>0</v>
          </cell>
        </row>
        <row r="103">
          <cell r="D103">
            <v>0</v>
          </cell>
          <cell r="L103">
            <v>0</v>
          </cell>
          <cell r="R103">
            <v>0</v>
          </cell>
          <cell r="V103">
            <v>19</v>
          </cell>
          <cell r="Z103">
            <v>0</v>
          </cell>
          <cell r="AA103">
            <v>0</v>
          </cell>
          <cell r="AF103">
            <v>595</v>
          </cell>
          <cell r="AG103">
            <v>0</v>
          </cell>
        </row>
        <row r="104">
          <cell r="D104">
            <v>605.41409090909156</v>
          </cell>
          <cell r="L104">
            <v>0</v>
          </cell>
          <cell r="P104" t="str">
            <v/>
          </cell>
          <cell r="V104">
            <v>0</v>
          </cell>
          <cell r="Z104">
            <v>0</v>
          </cell>
          <cell r="AA104">
            <v>0</v>
          </cell>
          <cell r="AG104">
            <v>0</v>
          </cell>
        </row>
        <row r="105">
          <cell r="D105">
            <v>0</v>
          </cell>
          <cell r="L105">
            <v>0</v>
          </cell>
          <cell r="AG105">
            <v>0</v>
          </cell>
        </row>
        <row r="106">
          <cell r="D106">
            <v>0</v>
          </cell>
          <cell r="R106">
            <v>0</v>
          </cell>
          <cell r="V106">
            <v>0</v>
          </cell>
          <cell r="Z106">
            <v>0</v>
          </cell>
          <cell r="AA106">
            <v>0</v>
          </cell>
          <cell r="AG106">
            <v>0</v>
          </cell>
        </row>
        <row r="107">
          <cell r="L107">
            <v>0</v>
          </cell>
          <cell r="R107">
            <v>0</v>
          </cell>
          <cell r="V107">
            <v>0</v>
          </cell>
          <cell r="Z107">
            <v>0</v>
          </cell>
          <cell r="AA107">
            <v>0</v>
          </cell>
          <cell r="AG107">
            <v>0</v>
          </cell>
        </row>
        <row r="108">
          <cell r="D108">
            <v>0</v>
          </cell>
          <cell r="L108">
            <v>0</v>
          </cell>
          <cell r="R108">
            <v>0</v>
          </cell>
          <cell r="V108">
            <v>38</v>
          </cell>
          <cell r="Z108">
            <v>0</v>
          </cell>
          <cell r="AA108">
            <v>0</v>
          </cell>
          <cell r="AF108">
            <v>363</v>
          </cell>
          <cell r="AG108">
            <v>0</v>
          </cell>
        </row>
        <row r="109">
          <cell r="D109">
            <v>2</v>
          </cell>
          <cell r="L109">
            <v>0</v>
          </cell>
          <cell r="R109">
            <v>28</v>
          </cell>
          <cell r="V109">
            <v>0</v>
          </cell>
          <cell r="Z109">
            <v>0</v>
          </cell>
          <cell r="AA109">
            <v>0</v>
          </cell>
          <cell r="AF109">
            <v>7</v>
          </cell>
          <cell r="AG109">
            <v>0</v>
          </cell>
        </row>
        <row r="110">
          <cell r="D110">
            <v>401.20704545454578</v>
          </cell>
          <cell r="AG110">
            <v>0</v>
          </cell>
        </row>
        <row r="111">
          <cell r="D111">
            <v>0</v>
          </cell>
        </row>
        <row r="112">
          <cell r="D112">
            <v>3725</v>
          </cell>
          <cell r="AG112">
            <v>0</v>
          </cell>
        </row>
        <row r="114">
          <cell r="D114">
            <v>0</v>
          </cell>
          <cell r="AG114">
            <v>0</v>
          </cell>
        </row>
        <row r="115">
          <cell r="D115">
            <v>4879.6211363636376</v>
          </cell>
          <cell r="E115">
            <v>0</v>
          </cell>
          <cell r="F115">
            <v>0</v>
          </cell>
          <cell r="L115">
            <v>0</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row>
        <row r="116">
          <cell r="D116">
            <v>868.41409090909156</v>
          </cell>
          <cell r="E116">
            <v>0</v>
          </cell>
          <cell r="F116">
            <v>0</v>
          </cell>
          <cell r="L116">
            <v>0</v>
          </cell>
          <cell r="R116">
            <v>28</v>
          </cell>
          <cell r="T116">
            <v>0</v>
          </cell>
          <cell r="U116">
            <v>0</v>
          </cell>
          <cell r="V116">
            <v>62</v>
          </cell>
          <cell r="Z116">
            <v>0</v>
          </cell>
          <cell r="AA116">
            <v>0</v>
          </cell>
          <cell r="AF116">
            <v>1004</v>
          </cell>
          <cell r="AG116">
            <v>0</v>
          </cell>
        </row>
        <row r="117">
          <cell r="AG117">
            <v>0</v>
          </cell>
        </row>
        <row r="118">
          <cell r="AG118">
            <v>0</v>
          </cell>
        </row>
        <row r="119">
          <cell r="AG119">
            <v>0</v>
          </cell>
        </row>
        <row r="120">
          <cell r="AG120">
            <v>0</v>
          </cell>
        </row>
        <row r="121">
          <cell r="AG121">
            <v>0</v>
          </cell>
        </row>
        <row r="122">
          <cell r="AG122">
            <v>0</v>
          </cell>
        </row>
        <row r="123">
          <cell r="AG123">
            <v>0</v>
          </cell>
        </row>
        <row r="124">
          <cell r="AG124">
            <v>0</v>
          </cell>
        </row>
        <row r="125">
          <cell r="AG125">
            <v>0</v>
          </cell>
        </row>
        <row r="126">
          <cell r="AG126">
            <v>0</v>
          </cell>
        </row>
        <row r="127">
          <cell r="AG127">
            <v>0</v>
          </cell>
        </row>
        <row r="128">
          <cell r="AG128">
            <v>0</v>
          </cell>
        </row>
        <row r="129">
          <cell r="AG129">
            <v>0</v>
          </cell>
        </row>
        <row r="130">
          <cell r="AG130">
            <v>0</v>
          </cell>
        </row>
        <row r="131">
          <cell r="AG131">
            <v>0</v>
          </cell>
        </row>
        <row r="132">
          <cell r="AG132">
            <v>0</v>
          </cell>
        </row>
        <row r="133">
          <cell r="AG133">
            <v>0</v>
          </cell>
        </row>
        <row r="134">
          <cell r="AG134">
            <v>0</v>
          </cell>
        </row>
        <row r="135">
          <cell r="AG135">
            <v>0</v>
          </cell>
        </row>
        <row r="136">
          <cell r="AG136">
            <v>0</v>
          </cell>
        </row>
        <row r="137">
          <cell r="AG137">
            <v>0</v>
          </cell>
        </row>
        <row r="138">
          <cell r="AG138">
            <v>0</v>
          </cell>
        </row>
        <row r="139">
          <cell r="AG139">
            <v>0</v>
          </cell>
        </row>
        <row r="140">
          <cell r="AG140">
            <v>0</v>
          </cell>
        </row>
        <row r="141">
          <cell r="AG141">
            <v>0</v>
          </cell>
        </row>
        <row r="142">
          <cell r="AG142">
            <v>0</v>
          </cell>
        </row>
        <row r="143">
          <cell r="AG143">
            <v>0</v>
          </cell>
        </row>
        <row r="144">
          <cell r="AG144">
            <v>0</v>
          </cell>
        </row>
        <row r="145">
          <cell r="AG145">
            <v>0</v>
          </cell>
        </row>
        <row r="146">
          <cell r="AG146">
            <v>0</v>
          </cell>
        </row>
        <row r="147">
          <cell r="AG147">
            <v>0</v>
          </cell>
        </row>
        <row r="148">
          <cell r="AG148">
            <v>0</v>
          </cell>
        </row>
        <row r="149">
          <cell r="D149">
            <v>0</v>
          </cell>
          <cell r="L149">
            <v>0</v>
          </cell>
          <cell r="R149">
            <v>0</v>
          </cell>
          <cell r="V149">
            <v>0</v>
          </cell>
          <cell r="AF149">
            <v>0</v>
          </cell>
          <cell r="AG149">
            <v>0</v>
          </cell>
        </row>
        <row r="150">
          <cell r="D150">
            <v>63</v>
          </cell>
          <cell r="L150">
            <v>396</v>
          </cell>
          <cell r="R150">
            <v>527</v>
          </cell>
          <cell r="V150">
            <v>417</v>
          </cell>
          <cell r="Z150">
            <v>265</v>
          </cell>
          <cell r="AA150">
            <v>265</v>
          </cell>
          <cell r="AG150">
            <v>0</v>
          </cell>
        </row>
        <row r="151">
          <cell r="D151">
            <v>63</v>
          </cell>
          <cell r="L151">
            <v>145</v>
          </cell>
          <cell r="R151">
            <v>226</v>
          </cell>
          <cell r="V151">
            <v>198</v>
          </cell>
          <cell r="Z151">
            <v>84</v>
          </cell>
          <cell r="AA151">
            <v>84</v>
          </cell>
          <cell r="AG151">
            <v>0</v>
          </cell>
        </row>
        <row r="152">
          <cell r="L152">
            <v>283</v>
          </cell>
          <cell r="R152">
            <v>263</v>
          </cell>
          <cell r="V152">
            <v>219</v>
          </cell>
          <cell r="Z152">
            <v>133</v>
          </cell>
          <cell r="AA152">
            <v>133</v>
          </cell>
        </row>
        <row r="153">
          <cell r="L153">
            <v>72</v>
          </cell>
          <cell r="R153">
            <v>264</v>
          </cell>
          <cell r="V153">
            <v>198</v>
          </cell>
          <cell r="Z153">
            <v>121</v>
          </cell>
          <cell r="AA153">
            <v>121</v>
          </cell>
        </row>
        <row r="155">
          <cell r="L155">
            <v>0</v>
          </cell>
          <cell r="V155">
            <v>369</v>
          </cell>
        </row>
        <row r="156">
          <cell r="L156">
            <v>0</v>
          </cell>
          <cell r="R156">
            <v>0</v>
          </cell>
          <cell r="V156">
            <v>0</v>
          </cell>
        </row>
        <row r="157">
          <cell r="D157">
            <v>17.179166666666667</v>
          </cell>
          <cell r="L157">
            <v>502</v>
          </cell>
          <cell r="R157">
            <v>213</v>
          </cell>
        </row>
        <row r="158">
          <cell r="L158">
            <v>0</v>
          </cell>
          <cell r="R158">
            <v>0</v>
          </cell>
        </row>
        <row r="159">
          <cell r="D159">
            <v>0</v>
          </cell>
          <cell r="L159">
            <v>396</v>
          </cell>
          <cell r="R159">
            <v>527</v>
          </cell>
          <cell r="V159">
            <v>417</v>
          </cell>
          <cell r="Z159">
            <v>265</v>
          </cell>
          <cell r="AA159">
            <v>265</v>
          </cell>
        </row>
        <row r="160">
          <cell r="L160">
            <v>396</v>
          </cell>
          <cell r="R160">
            <v>527</v>
          </cell>
          <cell r="V160">
            <v>417</v>
          </cell>
        </row>
        <row r="161">
          <cell r="D161">
            <v>80</v>
          </cell>
          <cell r="L161">
            <v>0</v>
          </cell>
          <cell r="R161">
            <v>0</v>
          </cell>
          <cell r="V161">
            <v>0</v>
          </cell>
        </row>
        <row r="162">
          <cell r="L162">
            <v>0</v>
          </cell>
          <cell r="R162">
            <v>1530</v>
          </cell>
          <cell r="V162">
            <v>0</v>
          </cell>
          <cell r="Z162">
            <v>0</v>
          </cell>
          <cell r="AA162">
            <v>0</v>
          </cell>
        </row>
        <row r="163">
          <cell r="L163">
            <v>0</v>
          </cell>
        </row>
        <row r="164">
          <cell r="D164">
            <v>233</v>
          </cell>
          <cell r="E164">
            <v>0</v>
          </cell>
          <cell r="F164">
            <v>0</v>
          </cell>
          <cell r="L164">
            <v>432</v>
          </cell>
          <cell r="P164">
            <v>0</v>
          </cell>
          <cell r="Q164">
            <v>0</v>
          </cell>
          <cell r="R164">
            <v>123</v>
          </cell>
          <cell r="T164">
            <v>0</v>
          </cell>
          <cell r="U164">
            <v>0</v>
          </cell>
          <cell r="V164">
            <v>99</v>
          </cell>
          <cell r="X164">
            <v>0</v>
          </cell>
          <cell r="Y164">
            <v>0</v>
          </cell>
          <cell r="Z164">
            <v>74</v>
          </cell>
          <cell r="AA164">
            <v>74</v>
          </cell>
          <cell r="AF164">
            <v>0</v>
          </cell>
          <cell r="AG164">
            <v>0</v>
          </cell>
        </row>
        <row r="165">
          <cell r="D165">
            <v>357.72727272727275</v>
          </cell>
          <cell r="E165">
            <v>126</v>
          </cell>
          <cell r="F165">
            <v>231.72727272727275</v>
          </cell>
          <cell r="L165">
            <v>725.72727272727275</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row>
        <row r="166">
          <cell r="D166">
            <v>1888.0000000000002</v>
          </cell>
          <cell r="E166">
            <v>-130</v>
          </cell>
          <cell r="F166">
            <v>-242.72727272727275</v>
          </cell>
          <cell r="L166">
            <v>480.00000000000023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row>
        <row r="167">
          <cell r="D167">
            <v>17</v>
          </cell>
          <cell r="E167">
            <v>4</v>
          </cell>
          <cell r="F167">
            <v>11</v>
          </cell>
          <cell r="L167">
            <v>61</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row>
        <row r="193">
          <cell r="D193" t="str">
            <v>АПАРАТ ВСЬОГО</v>
          </cell>
          <cell r="E193" t="str">
            <v>АПАРАТ ЕЛЕКТРО</v>
          </cell>
          <cell r="F193" t="str">
            <v>АПАРАТ ТЕПЛО</v>
          </cell>
          <cell r="L193" t="str">
            <v>ККМ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row>
        <row r="194">
          <cell r="D194">
            <v>2.78</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row>
        <row r="196">
          <cell r="R196">
            <v>81.3</v>
          </cell>
          <cell r="V196">
            <v>66</v>
          </cell>
        </row>
        <row r="197">
          <cell r="R197">
            <v>93.5</v>
          </cell>
          <cell r="V197">
            <v>75.900000000000006</v>
          </cell>
        </row>
        <row r="198">
          <cell r="L198">
            <v>0</v>
          </cell>
        </row>
        <row r="199">
          <cell r="L199">
            <v>0</v>
          </cell>
          <cell r="R199">
            <v>141.5</v>
          </cell>
          <cell r="V199">
            <v>141.5</v>
          </cell>
          <cell r="W199">
            <v>178</v>
          </cell>
          <cell r="Z199">
            <v>178</v>
          </cell>
          <cell r="AA199">
            <v>141.5</v>
          </cell>
          <cell r="AB199">
            <v>141.5</v>
          </cell>
          <cell r="AC199">
            <v>141.5</v>
          </cell>
          <cell r="AD199">
            <v>178</v>
          </cell>
          <cell r="AF199">
            <v>178</v>
          </cell>
          <cell r="AG199">
            <v>178</v>
          </cell>
          <cell r="AI199">
            <v>178</v>
          </cell>
        </row>
        <row r="200">
          <cell r="R200">
            <v>11504</v>
          </cell>
          <cell r="V200">
            <v>9339</v>
          </cell>
        </row>
        <row r="202">
          <cell r="R202">
            <v>0</v>
          </cell>
          <cell r="V202">
            <v>0</v>
          </cell>
        </row>
        <row r="203">
          <cell r="R203">
            <v>0</v>
          </cell>
          <cell r="V203">
            <v>0</v>
          </cell>
        </row>
        <row r="205">
          <cell r="R205">
            <v>141.5</v>
          </cell>
          <cell r="V205">
            <v>141.5</v>
          </cell>
        </row>
        <row r="206">
          <cell r="R206">
            <v>0</v>
          </cell>
          <cell r="V206">
            <v>0</v>
          </cell>
        </row>
        <row r="208">
          <cell r="R208">
            <v>61.9</v>
          </cell>
          <cell r="V208">
            <v>48.8</v>
          </cell>
        </row>
        <row r="209">
          <cell r="R209">
            <v>85.5</v>
          </cell>
          <cell r="V209">
            <v>67.400000000000006</v>
          </cell>
        </row>
        <row r="210">
          <cell r="D210">
            <v>75</v>
          </cell>
          <cell r="L210">
            <v>75</v>
          </cell>
          <cell r="R210">
            <v>82</v>
          </cell>
          <cell r="V210">
            <v>82</v>
          </cell>
          <cell r="AG210">
            <v>0</v>
          </cell>
        </row>
        <row r="211">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row>
        <row r="212">
          <cell r="R212">
            <v>30950</v>
          </cell>
          <cell r="V212">
            <v>24400</v>
          </cell>
        </row>
        <row r="214">
          <cell r="R214">
            <v>179</v>
          </cell>
          <cell r="T214">
            <v>76.5</v>
          </cell>
          <cell r="U214">
            <v>102.5</v>
          </cell>
          <cell r="V214">
            <v>143.30000000000001</v>
          </cell>
          <cell r="X214">
            <v>58.3</v>
          </cell>
          <cell r="Y214">
            <v>85.000000000000014</v>
          </cell>
        </row>
        <row r="215">
          <cell r="R215">
            <v>42454</v>
          </cell>
          <cell r="T215">
            <v>27692</v>
          </cell>
          <cell r="U215">
            <v>14762</v>
          </cell>
          <cell r="V215">
            <v>33739</v>
          </cell>
          <cell r="X215">
            <v>21106</v>
          </cell>
          <cell r="Y215">
            <v>12633</v>
          </cell>
        </row>
        <row r="216">
          <cell r="R216">
            <v>237.17</v>
          </cell>
          <cell r="T216">
            <v>361.99</v>
          </cell>
          <cell r="U216">
            <v>144.02000000000001</v>
          </cell>
          <cell r="V216">
            <v>235.44</v>
          </cell>
          <cell r="X216">
            <v>362.02</v>
          </cell>
          <cell r="Y216">
            <v>148.62</v>
          </cell>
          <cell r="AF216" t="str">
            <v/>
          </cell>
          <cell r="AG216" t="str">
            <v/>
          </cell>
        </row>
        <row r="218">
          <cell r="R218">
            <v>42455</v>
          </cell>
          <cell r="V218">
            <v>33739</v>
          </cell>
        </row>
        <row r="239">
          <cell r="D239" t="str">
            <v>ВИКОН.ДИР.</v>
          </cell>
          <cell r="L239" t="str">
            <v>ККМ</v>
          </cell>
          <cell r="R239" t="str">
            <v>ТЕЦ-5 ВСЬОГО</v>
          </cell>
          <cell r="V239" t="str">
            <v>ТЕЦ-6 ВСЬОГО</v>
          </cell>
          <cell r="AA239" t="str">
            <v>ТРМ ВСЬОГО</v>
          </cell>
        </row>
        <row r="240">
          <cell r="D240">
            <v>3546.727272727273</v>
          </cell>
          <cell r="L240">
            <v>2094.727272727273</v>
          </cell>
          <cell r="R240">
            <v>2382.9090909090883</v>
          </cell>
          <cell r="V240">
            <v>-72</v>
          </cell>
          <cell r="AA240">
            <v>2527.5454545454545</v>
          </cell>
        </row>
        <row r="242">
          <cell r="D242">
            <v>9597.141363636365</v>
          </cell>
          <cell r="L242">
            <v>2094.727272727273</v>
          </cell>
          <cell r="R242">
            <v>2382.9090909090883</v>
          </cell>
          <cell r="V242">
            <v>-72</v>
          </cell>
          <cell r="AA242">
            <v>2527.5454545454545</v>
          </cell>
        </row>
        <row r="243">
          <cell r="D243">
            <v>4089.3529545454548</v>
          </cell>
          <cell r="L243">
            <v>645.68000000000029</v>
          </cell>
          <cell r="R243">
            <v>1767.9999999999977</v>
          </cell>
          <cell r="V243">
            <v>36754.003030303029</v>
          </cell>
          <cell r="AA243">
            <v>655.5333333333333</v>
          </cell>
        </row>
        <row r="244">
          <cell r="D244">
            <v>58857.621136363639</v>
          </cell>
          <cell r="L244">
            <v>0</v>
          </cell>
          <cell r="R244">
            <v>0</v>
          </cell>
          <cell r="V244">
            <v>35616.63636363636</v>
          </cell>
          <cell r="AA244">
            <v>0</v>
          </cell>
        </row>
        <row r="245">
          <cell r="D245">
            <v>48798</v>
          </cell>
        </row>
        <row r="246">
          <cell r="D246">
            <v>0</v>
          </cell>
        </row>
        <row r="247">
          <cell r="D247">
            <v>5266</v>
          </cell>
          <cell r="L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R253">
            <v>0</v>
          </cell>
          <cell r="V253">
            <v>35616.63636363636</v>
          </cell>
          <cell r="AA253">
            <v>0</v>
          </cell>
        </row>
        <row r="254">
          <cell r="D254">
            <v>4731.6211363636376</v>
          </cell>
        </row>
        <row r="255">
          <cell r="D255">
            <v>62</v>
          </cell>
          <cell r="L255">
            <v>0</v>
          </cell>
          <cell r="R255">
            <v>0</v>
          </cell>
          <cell r="V255">
            <v>0</v>
          </cell>
          <cell r="AA255">
            <v>0</v>
          </cell>
        </row>
        <row r="256">
          <cell r="D256">
            <v>62404.348409090911</v>
          </cell>
          <cell r="L256">
            <v>2094.727272727273</v>
          </cell>
          <cell r="R256">
            <v>2382.9090909090883</v>
          </cell>
          <cell r="V256">
            <v>35544.63636363636</v>
          </cell>
          <cell r="AA256">
            <v>2527.5454545454545</v>
          </cell>
        </row>
        <row r="257">
          <cell r="D257">
            <v>1362.1672727272726</v>
          </cell>
          <cell r="L257">
            <v>1781.0472727272727</v>
          </cell>
          <cell r="R257">
            <v>1817.909090909091</v>
          </cell>
          <cell r="V257">
            <v>35634.829696969697</v>
          </cell>
          <cell r="AA257">
            <v>2055.0121212121212</v>
          </cell>
        </row>
        <row r="258">
          <cell r="D258">
            <v>357.72727272727275</v>
          </cell>
          <cell r="L258">
            <v>725.72727272727275</v>
          </cell>
          <cell r="R258">
            <v>653.90909090909099</v>
          </cell>
          <cell r="V258">
            <v>1465.6363636363635</v>
          </cell>
          <cell r="AA258">
            <v>1439.5454545454545</v>
          </cell>
        </row>
        <row r="259">
          <cell r="D259">
            <v>0</v>
          </cell>
          <cell r="L259">
            <v>0</v>
          </cell>
          <cell r="R259">
            <v>839</v>
          </cell>
          <cell r="V259">
            <v>32.56</v>
          </cell>
          <cell r="AA259">
            <v>0</v>
          </cell>
        </row>
        <row r="260">
          <cell r="D260">
            <v>997.43999999999994</v>
          </cell>
          <cell r="L260">
            <v>696.31999999999994</v>
          </cell>
          <cell r="R260">
            <v>268.33333333333331</v>
          </cell>
          <cell r="V260">
            <v>130.63333333333333</v>
          </cell>
          <cell r="AA260">
            <v>173.46666666666667</v>
          </cell>
        </row>
        <row r="261">
          <cell r="D261">
            <v>67.833333333333343</v>
          </cell>
          <cell r="L261">
            <v>336.7</v>
          </cell>
          <cell r="R261">
            <v>55.666666666666664</v>
          </cell>
          <cell r="V261">
            <v>0</v>
          </cell>
          <cell r="AA261">
            <v>125.2</v>
          </cell>
        </row>
        <row r="262">
          <cell r="D262">
            <v>343.60666666666663</v>
          </cell>
          <cell r="L262">
            <v>9.6199999999999992</v>
          </cell>
          <cell r="R262">
            <v>32.666666666666664</v>
          </cell>
          <cell r="V262">
            <v>45.633333333333333</v>
          </cell>
          <cell r="AA262">
            <v>17.266666666666666</v>
          </cell>
        </row>
        <row r="263">
          <cell r="L263">
            <v>220</v>
          </cell>
          <cell r="R263">
            <v>130</v>
          </cell>
          <cell r="V263">
            <v>85</v>
          </cell>
          <cell r="AA263">
            <v>0</v>
          </cell>
        </row>
        <row r="264">
          <cell r="D264">
            <v>586</v>
          </cell>
          <cell r="L264">
            <v>130</v>
          </cell>
          <cell r="R264">
            <v>50</v>
          </cell>
          <cell r="V264">
            <v>0</v>
          </cell>
          <cell r="AA264">
            <v>31</v>
          </cell>
        </row>
        <row r="265">
          <cell r="D265">
            <v>7</v>
          </cell>
          <cell r="L265">
            <v>59</v>
          </cell>
          <cell r="R265">
            <v>56.666666666666664</v>
          </cell>
          <cell r="V265">
            <v>34006</v>
          </cell>
          <cell r="AA265">
            <v>442</v>
          </cell>
        </row>
        <row r="266">
          <cell r="D266">
            <v>0</v>
          </cell>
          <cell r="L266">
            <v>0</v>
          </cell>
          <cell r="R266">
            <v>56.666666666666664</v>
          </cell>
          <cell r="V266">
            <v>267</v>
          </cell>
          <cell r="AA266">
            <v>0</v>
          </cell>
        </row>
        <row r="267">
          <cell r="D267">
            <v>7</v>
          </cell>
          <cell r="L267">
            <v>59</v>
          </cell>
          <cell r="R267">
            <v>0</v>
          </cell>
          <cell r="V267">
            <v>33739</v>
          </cell>
          <cell r="AA267">
            <v>442</v>
          </cell>
        </row>
        <row r="269">
          <cell r="L269">
            <v>300</v>
          </cell>
          <cell r="R269">
            <v>0</v>
          </cell>
          <cell r="V269">
            <v>0</v>
          </cell>
          <cell r="AA269">
            <v>0</v>
          </cell>
        </row>
        <row r="270">
          <cell r="D270">
            <v>61042.181136363637</v>
          </cell>
          <cell r="L270">
            <v>313.68000000000029</v>
          </cell>
          <cell r="R270">
            <v>564.99999999999727</v>
          </cell>
          <cell r="V270">
            <v>-90.193333333336341</v>
          </cell>
          <cell r="AA270">
            <v>472.5333333333333</v>
          </cell>
        </row>
        <row r="272">
          <cell r="D272">
            <v>1503.7391666666665</v>
          </cell>
          <cell r="L272">
            <v>-12.319999999999993</v>
          </cell>
          <cell r="R272">
            <v>128.00000000000003</v>
          </cell>
          <cell r="V272">
            <v>648.44303030302694</v>
          </cell>
          <cell r="AA272">
            <v>133.5333333333333</v>
          </cell>
        </row>
        <row r="273">
          <cell r="D273">
            <v>17.179166666666667</v>
          </cell>
          <cell r="L273">
            <v>-18</v>
          </cell>
          <cell r="R273">
            <v>83</v>
          </cell>
          <cell r="V273">
            <v>284</v>
          </cell>
          <cell r="AA273">
            <v>0</v>
          </cell>
        </row>
        <row r="274">
          <cell r="D274">
            <v>0</v>
          </cell>
          <cell r="L274">
            <v>-202</v>
          </cell>
          <cell r="R274">
            <v>-314</v>
          </cell>
          <cell r="V274">
            <v>-1195</v>
          </cell>
          <cell r="AA274">
            <v>-152</v>
          </cell>
        </row>
        <row r="275">
          <cell r="D275">
            <v>0</v>
          </cell>
          <cell r="L275">
            <v>0</v>
          </cell>
          <cell r="R275">
            <v>0</v>
          </cell>
          <cell r="V275">
            <v>-5</v>
          </cell>
          <cell r="AA275">
            <v>0</v>
          </cell>
        </row>
        <row r="276">
          <cell r="D276">
            <v>0</v>
          </cell>
          <cell r="L276">
            <v>0</v>
          </cell>
          <cell r="R276">
            <v>0</v>
          </cell>
          <cell r="V276">
            <v>0</v>
          </cell>
          <cell r="AA276">
            <v>0</v>
          </cell>
        </row>
        <row r="277">
          <cell r="D277">
            <v>1469.56</v>
          </cell>
          <cell r="L277">
            <v>146.68</v>
          </cell>
          <cell r="R277">
            <v>181.00000000000003</v>
          </cell>
          <cell r="V277">
            <v>1564.4430303030269</v>
          </cell>
          <cell r="AA277">
            <v>285.5333333333333</v>
          </cell>
        </row>
        <row r="278">
          <cell r="D278">
            <v>76.56</v>
          </cell>
          <cell r="L278">
            <v>41.680000000000014</v>
          </cell>
          <cell r="R278">
            <v>12.000000000000021</v>
          </cell>
          <cell r="V278">
            <v>1020.0030303030269</v>
          </cell>
          <cell r="AA278">
            <v>12.533333333333331</v>
          </cell>
        </row>
        <row r="279">
          <cell r="D279">
            <v>1</v>
          </cell>
          <cell r="L279">
            <v>35</v>
          </cell>
          <cell r="R279">
            <v>87</v>
          </cell>
          <cell r="V279">
            <v>127.44</v>
          </cell>
          <cell r="AA279">
            <v>112</v>
          </cell>
        </row>
        <row r="280">
          <cell r="D280">
            <v>1392</v>
          </cell>
          <cell r="L280">
            <v>70</v>
          </cell>
          <cell r="R280">
            <v>82</v>
          </cell>
          <cell r="V280">
            <v>417</v>
          </cell>
          <cell r="AA280">
            <v>161</v>
          </cell>
        </row>
        <row r="281">
          <cell r="L281">
            <v>0</v>
          </cell>
          <cell r="AA281">
            <v>0</v>
          </cell>
        </row>
        <row r="282">
          <cell r="D282">
            <v>17</v>
          </cell>
          <cell r="L282">
            <v>61</v>
          </cell>
          <cell r="R282">
            <v>178</v>
          </cell>
          <cell r="V282">
            <v>0</v>
          </cell>
          <cell r="AA282">
            <v>0</v>
          </cell>
        </row>
        <row r="283">
          <cell r="D283">
            <v>61042.181136363637</v>
          </cell>
          <cell r="L283">
            <v>313.68000000000029</v>
          </cell>
          <cell r="R283">
            <v>564.99999999999727</v>
          </cell>
          <cell r="V283">
            <v>-90.193333333336341</v>
          </cell>
          <cell r="AA283">
            <v>472.5333333333333</v>
          </cell>
        </row>
        <row r="284">
          <cell r="AA284">
            <v>0</v>
          </cell>
        </row>
        <row r="286">
          <cell r="D286">
            <v>61042.181136363637</v>
          </cell>
          <cell r="L286">
            <v>313.68000000000029</v>
          </cell>
          <cell r="R286">
            <v>564.99999999999727</v>
          </cell>
          <cell r="V286">
            <v>-90.193333333336341</v>
          </cell>
          <cell r="AA286">
            <v>472.5333333333333</v>
          </cell>
        </row>
        <row r="287">
          <cell r="D287">
            <v>0</v>
          </cell>
        </row>
        <row r="288">
          <cell r="D288">
            <v>0</v>
          </cell>
          <cell r="L288">
            <v>0</v>
          </cell>
          <cell r="R288">
            <v>0</v>
          </cell>
          <cell r="V288">
            <v>0</v>
          </cell>
          <cell r="AA288">
            <v>0</v>
          </cell>
        </row>
        <row r="289">
          <cell r="D289">
            <v>0</v>
          </cell>
          <cell r="L289">
            <v>0</v>
          </cell>
          <cell r="R289">
            <v>0</v>
          </cell>
          <cell r="V289">
            <v>0</v>
          </cell>
          <cell r="AA289">
            <v>0</v>
          </cell>
        </row>
        <row r="291">
          <cell r="D291">
            <v>61042.181136363637</v>
          </cell>
          <cell r="L291">
            <v>313.68000000000029</v>
          </cell>
          <cell r="R291">
            <v>564.99999999999727</v>
          </cell>
          <cell r="V291">
            <v>-90.193333333336341</v>
          </cell>
          <cell r="AA291">
            <v>472.5333333333333</v>
          </cell>
        </row>
        <row r="293">
          <cell r="L293">
            <v>300</v>
          </cell>
        </row>
        <row r="295">
          <cell r="V295">
            <v>417</v>
          </cell>
        </row>
        <row r="296">
          <cell r="D296">
            <v>990</v>
          </cell>
        </row>
        <row r="300">
          <cell r="D300">
            <v>61042.181136363637</v>
          </cell>
          <cell r="L300">
            <v>313.68000000000029</v>
          </cell>
          <cell r="R300">
            <v>564.99999999999727</v>
          </cell>
          <cell r="V300">
            <v>-90.193333333336341</v>
          </cell>
          <cell r="AA300">
            <v>472.5333333333333</v>
          </cell>
        </row>
        <row r="321">
          <cell r="T321" t="str">
            <v>ФМЗ ( з відрахуван)</v>
          </cell>
          <cell r="V321">
            <v>25</v>
          </cell>
        </row>
      </sheetData>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cell>
          <cell r="AK20" t="str">
            <v>ПЛАЧКОВ І.В.</v>
          </cell>
        </row>
        <row r="21">
          <cell r="N21" t="str">
            <v xml:space="preserve">                   ПЛАЧКОВ І.В.</v>
          </cell>
          <cell r="AI21" t="str">
            <v xml:space="preserve">         Затверджую</v>
          </cell>
          <cell r="AJ21" t="str">
            <v>ЗАТВЕРДЖУЮ</v>
          </cell>
        </row>
        <row r="22">
          <cell r="AI22" t="str">
            <v xml:space="preserve"> Голова правління </v>
          </cell>
          <cell r="AJ22" t="str">
            <v xml:space="preserve">                   ПЛАЧКОВ І.В.</v>
          </cell>
        </row>
        <row r="23">
          <cell r="AF23" t="str">
            <v>ЗАТВЕРДЖУЮ</v>
          </cell>
        </row>
        <row r="24">
          <cell r="AF24" t="str">
            <v>ГОЛОВА ПРАЛІННЯ  КЕ</v>
          </cell>
          <cell r="AI24" t="str">
            <v xml:space="preserve">                        І.В.Плачков</v>
          </cell>
        </row>
        <row r="25">
          <cell r="F25" t="e">
            <v>#REF!</v>
          </cell>
          <cell r="AI25" t="str">
            <v xml:space="preserve">   "_____" ________2000 р.</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F33" t="str">
            <v>ВИКОН.ДИР.</v>
          </cell>
          <cell r="P33" t="str">
            <v xml:space="preserve">КМ </v>
          </cell>
          <cell r="S33" t="str">
            <v xml:space="preserve">ТМ </v>
          </cell>
          <cell r="T33">
            <v>388.95</v>
          </cell>
          <cell r="U33" t="str">
            <v>ПЕРЕД</v>
          </cell>
          <cell r="X33">
            <v>323.55</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v>712.5</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K34">
            <v>712.5</v>
          </cell>
          <cell r="AL34">
            <v>605</v>
          </cell>
        </row>
        <row r="35">
          <cell r="AK35">
            <v>0</v>
          </cell>
          <cell r="AL35">
            <v>536.20000000000005</v>
          </cell>
        </row>
        <row r="36">
          <cell r="AK36">
            <v>160</v>
          </cell>
          <cell r="AL36">
            <v>0</v>
          </cell>
        </row>
        <row r="37">
          <cell r="AK37">
            <v>0</v>
          </cell>
        </row>
        <row r="38">
          <cell r="AK38">
            <v>619.1</v>
          </cell>
          <cell r="AL38">
            <v>0</v>
          </cell>
        </row>
        <row r="39">
          <cell r="L39">
            <v>0</v>
          </cell>
          <cell r="AK39">
            <v>459.1</v>
          </cell>
          <cell r="AL39">
            <v>0</v>
          </cell>
        </row>
        <row r="40">
          <cell r="N40">
            <v>850</v>
          </cell>
          <cell r="U40">
            <v>667</v>
          </cell>
          <cell r="Y40">
            <v>585</v>
          </cell>
          <cell r="AL40">
            <v>2102</v>
          </cell>
        </row>
        <row r="41">
          <cell r="P41">
            <v>0</v>
          </cell>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cell r="AM42">
            <v>1840</v>
          </cell>
        </row>
        <row r="43">
          <cell r="AM43">
            <v>0</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P45">
            <v>2175</v>
          </cell>
          <cell r="R45">
            <v>55.666666666666664</v>
          </cell>
          <cell r="S45">
            <v>7897</v>
          </cell>
          <cell r="T45">
            <v>24</v>
          </cell>
          <cell r="U45">
            <v>31.666666666666664</v>
          </cell>
          <cell r="V45">
            <v>45.633333333333333</v>
          </cell>
          <cell r="X45">
            <v>19</v>
          </cell>
          <cell r="Y45">
            <v>26.633333333333333</v>
          </cell>
          <cell r="Z45">
            <v>187.79999999999998</v>
          </cell>
          <cell r="AA45">
            <v>125.2</v>
          </cell>
          <cell r="AB45">
            <v>62.59999999999998</v>
          </cell>
          <cell r="AC45">
            <v>1464</v>
          </cell>
          <cell r="AF45">
            <v>4071.2424242424245</v>
          </cell>
          <cell r="AG45">
            <v>3280.4969696969697</v>
          </cell>
          <cell r="AH45">
            <v>790.74545454545455</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P47">
            <v>353</v>
          </cell>
          <cell r="R47">
            <v>32.666666666666664</v>
          </cell>
          <cell r="S47">
            <v>486</v>
          </cell>
          <cell r="T47">
            <v>15</v>
          </cell>
          <cell r="U47">
            <v>17.666666666666664</v>
          </cell>
          <cell r="V47">
            <v>32.56</v>
          </cell>
          <cell r="X47">
            <v>13</v>
          </cell>
          <cell r="Y47">
            <v>19.560000000000002</v>
          </cell>
          <cell r="Z47">
            <v>17.266666666666666</v>
          </cell>
          <cell r="AA47">
            <v>17.266666666666666</v>
          </cell>
          <cell r="AB47">
            <v>0</v>
          </cell>
          <cell r="AC47">
            <v>299</v>
          </cell>
          <cell r="AD47">
            <v>114</v>
          </cell>
          <cell r="AE47">
            <v>185</v>
          </cell>
          <cell r="AF47">
            <v>226.33333333333334</v>
          </cell>
          <cell r="AG47">
            <v>155</v>
          </cell>
          <cell r="AH47">
            <v>71.333333333333343</v>
          </cell>
          <cell r="AJ47">
            <v>469.05333333333328</v>
          </cell>
          <cell r="AK47">
            <v>140.62</v>
          </cell>
          <cell r="AL47">
            <v>328.43333333333328</v>
          </cell>
          <cell r="AM47">
            <v>0</v>
          </cell>
          <cell r="AN47">
            <v>167</v>
          </cell>
          <cell r="AO47">
            <v>420</v>
          </cell>
          <cell r="AP47">
            <v>611.6</v>
          </cell>
          <cell r="AQ47">
            <v>800.06666666666661</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F48">
            <v>206.95333333333335</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D49">
            <v>74</v>
          </cell>
          <cell r="AE49">
            <v>121</v>
          </cell>
          <cell r="AH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D50">
            <v>11</v>
          </cell>
          <cell r="AE50">
            <v>18</v>
          </cell>
          <cell r="AF50">
            <v>17.266666666666666</v>
          </cell>
          <cell r="AG50">
            <v>11.824742268041236</v>
          </cell>
          <cell r="AH50">
            <v>5.4419243986254298</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D51">
            <v>26</v>
          </cell>
          <cell r="AE51">
            <v>41</v>
          </cell>
          <cell r="AF51">
            <v>0</v>
          </cell>
          <cell r="AG51">
            <v>111.66666666666667</v>
          </cell>
          <cell r="AH51">
            <v>50.666666666666671</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S52">
            <v>22</v>
          </cell>
          <cell r="T52">
            <v>0</v>
          </cell>
          <cell r="U52">
            <v>0</v>
          </cell>
          <cell r="V52">
            <v>0</v>
          </cell>
          <cell r="X52">
            <v>0</v>
          </cell>
          <cell r="Y52">
            <v>0</v>
          </cell>
          <cell r="Z52">
            <v>0</v>
          </cell>
          <cell r="AA52">
            <v>0</v>
          </cell>
          <cell r="AB52">
            <v>0</v>
          </cell>
          <cell r="AC52">
            <v>0</v>
          </cell>
          <cell r="AD52">
            <v>5</v>
          </cell>
          <cell r="AE52">
            <v>8</v>
          </cell>
          <cell r="AH52">
            <v>0</v>
          </cell>
          <cell r="AJ52">
            <v>0</v>
          </cell>
          <cell r="AK52">
            <v>0</v>
          </cell>
          <cell r="AL52">
            <v>0</v>
          </cell>
          <cell r="AM52">
            <v>0</v>
          </cell>
          <cell r="AN52">
            <v>348</v>
          </cell>
          <cell r="AO52">
            <v>0</v>
          </cell>
          <cell r="AP52">
            <v>0</v>
          </cell>
          <cell r="AQ52">
            <v>15</v>
          </cell>
        </row>
        <row r="53">
          <cell r="D53">
            <v>7</v>
          </cell>
          <cell r="E53">
            <v>2</v>
          </cell>
          <cell r="F53">
            <v>5</v>
          </cell>
          <cell r="L53">
            <v>59</v>
          </cell>
          <cell r="M53">
            <v>46</v>
          </cell>
          <cell r="N53">
            <v>3197</v>
          </cell>
          <cell r="O53">
            <v>3166</v>
          </cell>
          <cell r="P53">
            <v>3197</v>
          </cell>
          <cell r="Q53">
            <v>0</v>
          </cell>
          <cell r="R53">
            <v>0</v>
          </cell>
          <cell r="S53">
            <v>19250</v>
          </cell>
          <cell r="T53">
            <v>0</v>
          </cell>
          <cell r="U53">
            <v>0</v>
          </cell>
          <cell r="V53">
            <v>0</v>
          </cell>
          <cell r="X53">
            <v>0</v>
          </cell>
          <cell r="Y53">
            <v>0</v>
          </cell>
          <cell r="Z53">
            <v>890</v>
          </cell>
          <cell r="AA53">
            <v>442</v>
          </cell>
          <cell r="AB53">
            <v>448</v>
          </cell>
          <cell r="AC53">
            <v>612</v>
          </cell>
          <cell r="AD53">
            <v>199</v>
          </cell>
          <cell r="AE53">
            <v>413</v>
          </cell>
          <cell r="AH53">
            <v>0</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E54">
            <v>13842.727272727279</v>
          </cell>
          <cell r="AG54">
            <v>0</v>
          </cell>
          <cell r="AH54">
            <v>0</v>
          </cell>
          <cell r="AI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H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E56">
            <v>0</v>
          </cell>
          <cell r="AF56">
            <v>0</v>
          </cell>
          <cell r="AG56">
            <v>0</v>
          </cell>
          <cell r="AH56">
            <v>448</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S57">
            <v>816</v>
          </cell>
          <cell r="T57">
            <v>0</v>
          </cell>
          <cell r="U57">
            <v>0</v>
          </cell>
          <cell r="V57">
            <v>0</v>
          </cell>
          <cell r="X57">
            <v>0</v>
          </cell>
          <cell r="Y57">
            <v>0</v>
          </cell>
          <cell r="Z57">
            <v>0</v>
          </cell>
          <cell r="AA57">
            <v>0</v>
          </cell>
          <cell r="AB57">
            <v>0</v>
          </cell>
          <cell r="AC57">
            <v>0</v>
          </cell>
          <cell r="AD57">
            <v>80</v>
          </cell>
          <cell r="AE57">
            <v>130</v>
          </cell>
          <cell r="AF57">
            <v>960.90909090909088</v>
          </cell>
          <cell r="AG57">
            <v>0</v>
          </cell>
          <cell r="AH57">
            <v>153.74545454545455</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F58">
            <v>53</v>
          </cell>
          <cell r="AG58">
            <v>0</v>
          </cell>
          <cell r="AH58">
            <v>9</v>
          </cell>
          <cell r="AJ58">
            <v>4012</v>
          </cell>
          <cell r="AK58">
            <v>1203</v>
          </cell>
          <cell r="AL58">
            <v>2809</v>
          </cell>
          <cell r="AM58">
            <v>3918</v>
          </cell>
          <cell r="AN58">
            <v>581</v>
          </cell>
          <cell r="AO58">
            <v>1299</v>
          </cell>
          <cell r="AP58">
            <v>622</v>
          </cell>
          <cell r="AQ58">
            <v>1510</v>
          </cell>
        </row>
        <row r="59">
          <cell r="D59">
            <v>0</v>
          </cell>
          <cell r="F59">
            <v>92</v>
          </cell>
          <cell r="L59">
            <v>0</v>
          </cell>
          <cell r="N59">
            <v>0</v>
          </cell>
          <cell r="P59">
            <v>144</v>
          </cell>
          <cell r="R59">
            <v>0</v>
          </cell>
          <cell r="S59">
            <v>261</v>
          </cell>
          <cell r="T59">
            <v>128</v>
          </cell>
          <cell r="U59">
            <v>133</v>
          </cell>
          <cell r="V59">
            <v>0</v>
          </cell>
          <cell r="X59">
            <v>76</v>
          </cell>
          <cell r="Y59">
            <v>33</v>
          </cell>
          <cell r="Z59">
            <v>0</v>
          </cell>
          <cell r="AA59">
            <v>0</v>
          </cell>
          <cell r="AB59">
            <v>0</v>
          </cell>
          <cell r="AC59">
            <v>0</v>
          </cell>
          <cell r="AD59">
            <v>26</v>
          </cell>
          <cell r="AE59">
            <v>41</v>
          </cell>
          <cell r="AF59">
            <v>307</v>
          </cell>
          <cell r="AG59">
            <v>258</v>
          </cell>
          <cell r="AH59">
            <v>49</v>
          </cell>
          <cell r="AI59">
            <v>0</v>
          </cell>
          <cell r="AK59">
            <v>970</v>
          </cell>
          <cell r="AL59">
            <v>293</v>
          </cell>
          <cell r="AM59">
            <v>0</v>
          </cell>
          <cell r="AN59">
            <v>0</v>
          </cell>
          <cell r="AO59">
            <v>0</v>
          </cell>
          <cell r="AP59">
            <v>0</v>
          </cell>
          <cell r="AQ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H60">
            <v>0</v>
          </cell>
          <cell r="AJ60">
            <v>2489</v>
          </cell>
          <cell r="AK60">
            <v>551</v>
          </cell>
          <cell r="AL60">
            <v>1938</v>
          </cell>
          <cell r="AM60">
            <v>0</v>
          </cell>
          <cell r="AO60">
            <v>586</v>
          </cell>
        </row>
        <row r="61">
          <cell r="D61">
            <v>0</v>
          </cell>
          <cell r="E61">
            <v>0</v>
          </cell>
          <cell r="F61">
            <v>87.333333333333329</v>
          </cell>
          <cell r="L61">
            <v>0</v>
          </cell>
          <cell r="N61">
            <v>0</v>
          </cell>
          <cell r="P61">
            <v>0</v>
          </cell>
          <cell r="Q61">
            <v>0</v>
          </cell>
          <cell r="R61">
            <v>0</v>
          </cell>
          <cell r="S61">
            <v>1427</v>
          </cell>
          <cell r="T61">
            <v>0</v>
          </cell>
          <cell r="U61">
            <v>0</v>
          </cell>
          <cell r="V61">
            <v>0</v>
          </cell>
          <cell r="X61">
            <v>0</v>
          </cell>
          <cell r="Y61">
            <v>0</v>
          </cell>
          <cell r="Z61">
            <v>401</v>
          </cell>
          <cell r="AB61">
            <v>0</v>
          </cell>
          <cell r="AC61">
            <v>0</v>
          </cell>
          <cell r="AD61">
            <v>280</v>
          </cell>
          <cell r="AE61">
            <v>454</v>
          </cell>
          <cell r="AF61">
            <v>586.33333333333337</v>
          </cell>
          <cell r="AG61">
            <v>0</v>
          </cell>
          <cell r="AH61">
            <v>56</v>
          </cell>
          <cell r="AJ61">
            <v>0</v>
          </cell>
          <cell r="AK61">
            <v>0</v>
          </cell>
          <cell r="AL61">
            <v>0</v>
          </cell>
          <cell r="AM61">
            <v>0</v>
          </cell>
          <cell r="AN61">
            <v>587</v>
          </cell>
          <cell r="AO61">
            <v>0</v>
          </cell>
          <cell r="AP61">
            <v>637</v>
          </cell>
          <cell r="AQ61">
            <v>1519.666666666667</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H62">
            <v>0</v>
          </cell>
          <cell r="AI62">
            <v>0</v>
          </cell>
          <cell r="AJ62">
            <v>1523</v>
          </cell>
          <cell r="AK62">
            <v>652</v>
          </cell>
          <cell r="AL62">
            <v>871</v>
          </cell>
          <cell r="AM62">
            <v>0</v>
          </cell>
          <cell r="AN62">
            <v>59</v>
          </cell>
          <cell r="AO62">
            <v>134</v>
          </cell>
          <cell r="AP62">
            <v>64</v>
          </cell>
          <cell r="AQ62">
            <v>152</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F63">
            <v>250</v>
          </cell>
          <cell r="AG63">
            <v>0</v>
          </cell>
          <cell r="AH63">
            <v>0</v>
          </cell>
          <cell r="AJ63">
            <v>2450</v>
          </cell>
          <cell r="AK63">
            <v>773</v>
          </cell>
          <cell r="AL63">
            <v>1677</v>
          </cell>
          <cell r="AM63">
            <v>2322</v>
          </cell>
          <cell r="AN63">
            <v>354</v>
          </cell>
          <cell r="AO63">
            <v>854</v>
          </cell>
          <cell r="AP63">
            <v>419</v>
          </cell>
          <cell r="AQ63">
            <v>823</v>
          </cell>
        </row>
        <row r="64">
          <cell r="F64">
            <v>0</v>
          </cell>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F64">
            <v>0</v>
          </cell>
          <cell r="AG64">
            <v>0</v>
          </cell>
          <cell r="AH64">
            <v>0</v>
          </cell>
          <cell r="AJ64">
            <v>811</v>
          </cell>
          <cell r="AK64">
            <v>193</v>
          </cell>
          <cell r="AL64">
            <v>618</v>
          </cell>
          <cell r="AM64">
            <v>485</v>
          </cell>
          <cell r="AO64">
            <v>0</v>
          </cell>
        </row>
        <row r="65">
          <cell r="D65">
            <v>0</v>
          </cell>
          <cell r="F65">
            <v>19.333333333333329</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E65">
            <v>454</v>
          </cell>
          <cell r="AF65">
            <v>336.33333333333337</v>
          </cell>
          <cell r="AG65">
            <v>0</v>
          </cell>
          <cell r="AH65">
            <v>56</v>
          </cell>
          <cell r="AI65">
            <v>0</v>
          </cell>
          <cell r="AJ65">
            <v>45</v>
          </cell>
          <cell r="AK65">
            <v>11</v>
          </cell>
          <cell r="AL65">
            <v>34</v>
          </cell>
          <cell r="AM65">
            <v>27</v>
          </cell>
          <cell r="AN65">
            <v>528</v>
          </cell>
          <cell r="AO65">
            <v>953</v>
          </cell>
          <cell r="AP65">
            <v>573</v>
          </cell>
          <cell r="AQ65">
            <v>1367.666666666667</v>
          </cell>
        </row>
        <row r="66">
          <cell r="D66">
            <v>0</v>
          </cell>
          <cell r="F66">
            <v>63</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E66">
            <v>297</v>
          </cell>
          <cell r="AF66">
            <v>506</v>
          </cell>
          <cell r="AG66">
            <v>0</v>
          </cell>
          <cell r="AH66">
            <v>0</v>
          </cell>
          <cell r="AJ66">
            <v>259</v>
          </cell>
          <cell r="AK66">
            <v>62</v>
          </cell>
          <cell r="AL66">
            <v>197</v>
          </cell>
          <cell r="AM66">
            <v>153</v>
          </cell>
          <cell r="AN66">
            <v>422</v>
          </cell>
          <cell r="AO66">
            <v>852</v>
          </cell>
          <cell r="AP66">
            <v>400</v>
          </cell>
          <cell r="AQ66">
            <v>1014</v>
          </cell>
        </row>
        <row r="67">
          <cell r="D67">
            <v>0</v>
          </cell>
          <cell r="F67">
            <v>0</v>
          </cell>
          <cell r="L67">
            <v>0</v>
          </cell>
          <cell r="N67">
            <v>0</v>
          </cell>
          <cell r="P67">
            <v>0</v>
          </cell>
          <cell r="Q67">
            <v>0</v>
          </cell>
          <cell r="R67">
            <v>0</v>
          </cell>
          <cell r="S67">
            <v>296</v>
          </cell>
          <cell r="T67">
            <v>0</v>
          </cell>
          <cell r="U67">
            <v>0</v>
          </cell>
          <cell r="V67">
            <v>0</v>
          </cell>
          <cell r="X67">
            <v>0</v>
          </cell>
          <cell r="Y67">
            <v>0</v>
          </cell>
          <cell r="Z67">
            <v>0</v>
          </cell>
          <cell r="AA67">
            <v>0</v>
          </cell>
          <cell r="AB67">
            <v>0</v>
          </cell>
          <cell r="AC67">
            <v>0</v>
          </cell>
          <cell r="AD67">
            <v>55</v>
          </cell>
          <cell r="AE67">
            <v>89</v>
          </cell>
          <cell r="AF67">
            <v>85.090909090909093</v>
          </cell>
          <cell r="AG67">
            <v>0</v>
          </cell>
          <cell r="AH67">
            <v>0</v>
          </cell>
          <cell r="AJ67">
            <v>0</v>
          </cell>
          <cell r="AK67">
            <v>0</v>
          </cell>
          <cell r="AL67">
            <v>0</v>
          </cell>
          <cell r="AM67">
            <v>0</v>
          </cell>
        </row>
        <row r="68">
          <cell r="D68">
            <v>63</v>
          </cell>
          <cell r="F68">
            <v>0</v>
          </cell>
          <cell r="L68">
            <v>283</v>
          </cell>
          <cell r="N68">
            <v>776</v>
          </cell>
          <cell r="P68">
            <v>194</v>
          </cell>
          <cell r="Q68">
            <v>582</v>
          </cell>
          <cell r="R68">
            <v>527</v>
          </cell>
          <cell r="S68">
            <v>16</v>
          </cell>
          <cell r="T68">
            <v>225</v>
          </cell>
          <cell r="U68">
            <v>302</v>
          </cell>
          <cell r="V68">
            <v>417</v>
          </cell>
          <cell r="X68">
            <v>170</v>
          </cell>
          <cell r="Y68">
            <v>247</v>
          </cell>
          <cell r="Z68">
            <v>265</v>
          </cell>
          <cell r="AA68">
            <v>265</v>
          </cell>
          <cell r="AB68">
            <v>0</v>
          </cell>
          <cell r="AC68">
            <v>0</v>
          </cell>
          <cell r="AD68">
            <v>3</v>
          </cell>
          <cell r="AE68">
            <v>5</v>
          </cell>
          <cell r="AF68">
            <v>5</v>
          </cell>
          <cell r="AG68">
            <v>0</v>
          </cell>
          <cell r="AH68">
            <v>0</v>
          </cell>
          <cell r="AJ68">
            <v>2337</v>
          </cell>
          <cell r="AK68">
            <v>688</v>
          </cell>
          <cell r="AL68">
            <v>1649</v>
          </cell>
          <cell r="AM68">
            <v>0</v>
          </cell>
        </row>
        <row r="69">
          <cell r="D69">
            <v>0</v>
          </cell>
          <cell r="F69">
            <v>0</v>
          </cell>
          <cell r="L69">
            <v>0</v>
          </cell>
          <cell r="N69">
            <v>0</v>
          </cell>
          <cell r="P69">
            <v>0</v>
          </cell>
          <cell r="Q69">
            <v>0</v>
          </cell>
          <cell r="R69">
            <v>0</v>
          </cell>
          <cell r="S69">
            <v>95</v>
          </cell>
          <cell r="U69">
            <v>0</v>
          </cell>
          <cell r="V69">
            <v>0</v>
          </cell>
          <cell r="X69">
            <v>0</v>
          </cell>
          <cell r="Y69">
            <v>0</v>
          </cell>
          <cell r="Z69">
            <v>36</v>
          </cell>
          <cell r="AB69">
            <v>0</v>
          </cell>
          <cell r="AC69">
            <v>0</v>
          </cell>
          <cell r="AD69">
            <v>17</v>
          </cell>
          <cell r="AE69">
            <v>28</v>
          </cell>
          <cell r="AF69">
            <v>27</v>
          </cell>
          <cell r="AG69">
            <v>0</v>
          </cell>
          <cell r="AH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S71">
            <v>719</v>
          </cell>
          <cell r="T71">
            <v>0</v>
          </cell>
          <cell r="U71">
            <v>0</v>
          </cell>
          <cell r="X71">
            <v>550</v>
          </cell>
          <cell r="Y71">
            <v>239</v>
          </cell>
          <cell r="Z71">
            <v>311</v>
          </cell>
          <cell r="AB71">
            <v>0</v>
          </cell>
          <cell r="AC71">
            <v>0</v>
          </cell>
          <cell r="AD71">
            <v>183</v>
          </cell>
          <cell r="AE71">
            <v>297</v>
          </cell>
          <cell r="AF71">
            <v>506</v>
          </cell>
          <cell r="AG71">
            <v>0</v>
          </cell>
          <cell r="AH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H72">
            <v>0</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F73">
            <v>105.66666666666667</v>
          </cell>
          <cell r="AG73">
            <v>0</v>
          </cell>
          <cell r="AH73">
            <v>9</v>
          </cell>
          <cell r="AI73">
            <v>1236.3661129568106</v>
          </cell>
          <cell r="AJ73">
            <v>762</v>
          </cell>
          <cell r="AK73">
            <v>238</v>
          </cell>
          <cell r="AL73">
            <v>524</v>
          </cell>
          <cell r="AM73">
            <v>1369</v>
          </cell>
          <cell r="AN73">
            <v>40</v>
          </cell>
          <cell r="AO73">
            <v>92</v>
          </cell>
          <cell r="AP73">
            <v>378</v>
          </cell>
          <cell r="AQ73">
            <v>524</v>
          </cell>
        </row>
        <row r="74">
          <cell r="E74">
            <v>0</v>
          </cell>
          <cell r="F74">
            <v>0</v>
          </cell>
          <cell r="N74">
            <v>0</v>
          </cell>
          <cell r="P74">
            <v>0</v>
          </cell>
          <cell r="T74">
            <v>0</v>
          </cell>
          <cell r="U74">
            <v>0</v>
          </cell>
          <cell r="Y74">
            <v>0</v>
          </cell>
          <cell r="Z74">
            <v>0</v>
          </cell>
          <cell r="AC74">
            <v>0</v>
          </cell>
          <cell r="AE74">
            <v>0</v>
          </cell>
          <cell r="AG74">
            <v>0</v>
          </cell>
          <cell r="AH74">
            <v>0</v>
          </cell>
          <cell r="AJ74">
            <v>269</v>
          </cell>
          <cell r="AK74">
            <v>83</v>
          </cell>
          <cell r="AL74">
            <v>186</v>
          </cell>
          <cell r="AM74">
            <v>0</v>
          </cell>
          <cell r="AN74">
            <v>0</v>
          </cell>
          <cell r="AO74">
            <v>0</v>
          </cell>
          <cell r="AP74">
            <v>29</v>
          </cell>
          <cell r="AQ74">
            <v>186</v>
          </cell>
        </row>
        <row r="75">
          <cell r="D75">
            <v>348</v>
          </cell>
          <cell r="E75">
            <v>104</v>
          </cell>
          <cell r="F75">
            <v>244</v>
          </cell>
          <cell r="P75">
            <v>45</v>
          </cell>
          <cell r="R75">
            <v>0</v>
          </cell>
          <cell r="S75">
            <v>110</v>
          </cell>
          <cell r="T75">
            <v>72.600000000000009</v>
          </cell>
          <cell r="U75">
            <v>37.399999999999991</v>
          </cell>
          <cell r="V75">
            <v>0</v>
          </cell>
          <cell r="X75">
            <v>68</v>
          </cell>
          <cell r="Y75">
            <v>30</v>
          </cell>
          <cell r="Z75">
            <v>38</v>
          </cell>
          <cell r="AC75">
            <v>0</v>
          </cell>
          <cell r="AD75">
            <v>10</v>
          </cell>
          <cell r="AE75">
            <v>17</v>
          </cell>
          <cell r="AF75">
            <v>105.66666666666667</v>
          </cell>
          <cell r="AG75">
            <v>96.666666666666671</v>
          </cell>
          <cell r="AH75">
            <v>9</v>
          </cell>
          <cell r="AI75">
            <v>0</v>
          </cell>
          <cell r="AJ75">
            <v>348</v>
          </cell>
          <cell r="AK75">
            <v>104</v>
          </cell>
          <cell r="AL75">
            <v>244</v>
          </cell>
          <cell r="AM75">
            <v>0</v>
          </cell>
          <cell r="AN75">
            <v>40</v>
          </cell>
          <cell r="AO75">
            <v>92</v>
          </cell>
          <cell r="AP75">
            <v>349</v>
          </cell>
          <cell r="AQ75">
            <v>570.33333333333348</v>
          </cell>
        </row>
        <row r="76">
          <cell r="E76">
            <v>0</v>
          </cell>
          <cell r="F76">
            <v>0</v>
          </cell>
          <cell r="N76">
            <v>12</v>
          </cell>
          <cell r="P76">
            <v>45</v>
          </cell>
          <cell r="R76">
            <v>0</v>
          </cell>
          <cell r="S76">
            <v>110</v>
          </cell>
          <cell r="T76">
            <v>72.600000000000009</v>
          </cell>
          <cell r="U76">
            <v>37.399999999999991</v>
          </cell>
          <cell r="V76">
            <v>0</v>
          </cell>
          <cell r="X76">
            <v>68</v>
          </cell>
          <cell r="Y76">
            <v>30</v>
          </cell>
          <cell r="Z76">
            <v>6</v>
          </cell>
          <cell r="AA76">
            <v>6</v>
          </cell>
          <cell r="AC76">
            <v>0</v>
          </cell>
          <cell r="AD76">
            <v>10</v>
          </cell>
          <cell r="AE76">
            <v>17</v>
          </cell>
          <cell r="AF76">
            <v>105.66666666666667</v>
          </cell>
          <cell r="AG76">
            <v>0</v>
          </cell>
          <cell r="AH76">
            <v>9</v>
          </cell>
          <cell r="AJ76">
            <v>18</v>
          </cell>
          <cell r="AK76">
            <v>0</v>
          </cell>
          <cell r="AL76">
            <v>18</v>
          </cell>
          <cell r="AM76">
            <v>0</v>
          </cell>
          <cell r="AQ76">
            <v>476.33333333333337</v>
          </cell>
        </row>
        <row r="77">
          <cell r="E77">
            <v>0</v>
          </cell>
          <cell r="F77">
            <v>0</v>
          </cell>
          <cell r="M77">
            <v>42</v>
          </cell>
          <cell r="O77">
            <v>118</v>
          </cell>
          <cell r="P77">
            <v>0</v>
          </cell>
          <cell r="S77">
            <v>36</v>
          </cell>
          <cell r="W77">
            <v>32</v>
          </cell>
          <cell r="AC77">
            <v>92</v>
          </cell>
          <cell r="AD77">
            <v>92</v>
          </cell>
          <cell r="AE77">
            <v>0</v>
          </cell>
          <cell r="AF77">
            <v>362</v>
          </cell>
          <cell r="AJ77">
            <v>362</v>
          </cell>
          <cell r="AK77">
            <v>108.07884828349945</v>
          </cell>
          <cell r="AL77">
            <v>253.92115171650056</v>
          </cell>
          <cell r="AM77">
            <v>572</v>
          </cell>
          <cell r="AQ77">
            <v>186</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P79">
            <v>14.700000000000003</v>
          </cell>
          <cell r="R79">
            <v>18</v>
          </cell>
          <cell r="S79">
            <v>1</v>
          </cell>
          <cell r="V79">
            <v>19</v>
          </cell>
          <cell r="Z79">
            <v>30</v>
          </cell>
          <cell r="AA79">
            <v>30</v>
          </cell>
          <cell r="AB79">
            <v>0</v>
          </cell>
          <cell r="AC79">
            <v>15</v>
          </cell>
          <cell r="AD79">
            <v>15</v>
          </cell>
          <cell r="AF79">
            <v>595</v>
          </cell>
          <cell r="AH79">
            <v>0</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cell>
          <cell r="AD80">
            <v>2792</v>
          </cell>
          <cell r="AE80">
            <v>818</v>
          </cell>
          <cell r="AF80">
            <v>996</v>
          </cell>
          <cell r="AG80">
            <v>0</v>
          </cell>
          <cell r="AH80">
            <v>846.74545454545455</v>
          </cell>
          <cell r="AI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P81">
            <v>502</v>
          </cell>
          <cell r="Q81">
            <v>0</v>
          </cell>
          <cell r="R81">
            <v>2743.9090909090883</v>
          </cell>
          <cell r="S81">
            <v>1112</v>
          </cell>
          <cell r="T81">
            <v>399.84</v>
          </cell>
          <cell r="U81">
            <v>416.16</v>
          </cell>
          <cell r="V81">
            <v>1877.6363636363603</v>
          </cell>
          <cell r="W81">
            <v>0</v>
          </cell>
          <cell r="X81">
            <v>436</v>
          </cell>
          <cell r="Y81">
            <v>189</v>
          </cell>
          <cell r="Z81">
            <v>3618.212121212121</v>
          </cell>
          <cell r="AA81">
            <v>2959.5454545454545</v>
          </cell>
          <cell r="AB81">
            <v>658.66666666666674</v>
          </cell>
          <cell r="AC81">
            <v>354</v>
          </cell>
          <cell r="AD81">
            <v>135</v>
          </cell>
          <cell r="AE81">
            <v>219</v>
          </cell>
          <cell r="AF81">
            <v>1046</v>
          </cell>
          <cell r="AG81">
            <v>0</v>
          </cell>
          <cell r="AH81">
            <v>153.74545454545455</v>
          </cell>
          <cell r="AI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L82">
            <v>57353.122727272712</v>
          </cell>
          <cell r="AM82">
            <v>0</v>
          </cell>
        </row>
        <row r="83">
          <cell r="D83">
            <v>0</v>
          </cell>
          <cell r="E83">
            <v>0</v>
          </cell>
          <cell r="F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H84">
            <v>846.74545454545455</v>
          </cell>
          <cell r="AI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H85">
            <v>0</v>
          </cell>
          <cell r="AK85">
            <v>834</v>
          </cell>
          <cell r="AL85">
            <v>0</v>
          </cell>
          <cell r="AM85">
            <v>0</v>
          </cell>
          <cell r="AN85">
            <v>0</v>
          </cell>
          <cell r="AO85">
            <v>0</v>
          </cell>
          <cell r="AP85">
            <v>0</v>
          </cell>
          <cell r="AQ85">
            <v>0</v>
          </cell>
        </row>
        <row r="86">
          <cell r="D86">
            <v>1166</v>
          </cell>
          <cell r="E86">
            <v>590</v>
          </cell>
          <cell r="F86">
            <v>576</v>
          </cell>
          <cell r="AG86">
            <v>0</v>
          </cell>
          <cell r="AH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P88">
            <v>60</v>
          </cell>
          <cell r="R88">
            <v>150</v>
          </cell>
          <cell r="S88">
            <v>1</v>
          </cell>
          <cell r="T88">
            <v>72</v>
          </cell>
          <cell r="U88">
            <v>78</v>
          </cell>
          <cell r="V88">
            <v>27</v>
          </cell>
          <cell r="X88">
            <v>11</v>
          </cell>
          <cell r="Y88">
            <v>16</v>
          </cell>
          <cell r="Z88">
            <v>12.333333333333334</v>
          </cell>
          <cell r="AA88">
            <v>0</v>
          </cell>
          <cell r="AB88">
            <v>12.333333333333334</v>
          </cell>
          <cell r="AC88">
            <v>28</v>
          </cell>
          <cell r="AD88">
            <v>16</v>
          </cell>
          <cell r="AE88">
            <v>28</v>
          </cell>
          <cell r="AF88">
            <v>12</v>
          </cell>
          <cell r="AG88">
            <v>11</v>
          </cell>
          <cell r="AH88">
            <v>1</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F91">
            <v>4323.0000000000009</v>
          </cell>
          <cell r="L91">
            <v>432</v>
          </cell>
          <cell r="N91">
            <v>1663</v>
          </cell>
          <cell r="P91">
            <v>2117</v>
          </cell>
          <cell r="Q91">
            <v>0</v>
          </cell>
          <cell r="R91">
            <v>123</v>
          </cell>
          <cell r="S91">
            <v>26672</v>
          </cell>
          <cell r="T91">
            <v>23991.85</v>
          </cell>
          <cell r="U91">
            <v>2679.15</v>
          </cell>
          <cell r="V91">
            <v>99</v>
          </cell>
          <cell r="W91">
            <v>0</v>
          </cell>
          <cell r="X91">
            <v>47372.181818181816</v>
          </cell>
          <cell r="Y91">
            <v>31246.25</v>
          </cell>
          <cell r="Z91">
            <v>74</v>
          </cell>
          <cell r="AA91">
            <v>74</v>
          </cell>
          <cell r="AB91">
            <v>0</v>
          </cell>
          <cell r="AC91">
            <v>38073</v>
          </cell>
          <cell r="AD91">
            <v>23048.272727272721</v>
          </cell>
          <cell r="AE91">
            <v>15024.727272727279</v>
          </cell>
          <cell r="AF91">
            <v>0</v>
          </cell>
          <cell r="AG91">
            <v>0</v>
          </cell>
          <cell r="AH91">
            <v>847.74545454545455</v>
          </cell>
          <cell r="AI91">
            <v>0</v>
          </cell>
          <cell r="AJ91">
            <v>2605</v>
          </cell>
          <cell r="AK91">
            <v>115399.1090909091</v>
          </cell>
          <cell r="AL91">
            <v>54938.514270702588</v>
          </cell>
          <cell r="AM91">
            <v>2605</v>
          </cell>
          <cell r="AN91">
            <v>100351</v>
          </cell>
          <cell r="AO91">
            <v>52743</v>
          </cell>
          <cell r="AP91">
            <v>3319.7203422122484</v>
          </cell>
          <cell r="AQ91">
            <v>8590.5498152297569</v>
          </cell>
        </row>
        <row r="92">
          <cell r="D92">
            <v>87</v>
          </cell>
          <cell r="F92">
            <v>4323.0000000000009</v>
          </cell>
          <cell r="L92">
            <v>432</v>
          </cell>
          <cell r="N92">
            <v>1663</v>
          </cell>
          <cell r="P92">
            <v>2117</v>
          </cell>
          <cell r="Q92">
            <v>0</v>
          </cell>
          <cell r="R92">
            <v>123</v>
          </cell>
          <cell r="S92">
            <v>7422</v>
          </cell>
          <cell r="T92">
            <v>4741.8499999999985</v>
          </cell>
          <cell r="U92">
            <v>2679.15</v>
          </cell>
          <cell r="V92">
            <v>99</v>
          </cell>
          <cell r="W92">
            <v>0</v>
          </cell>
          <cell r="X92">
            <v>2775.1818181818162</v>
          </cell>
          <cell r="Y92">
            <v>1205</v>
          </cell>
          <cell r="Z92">
            <v>74</v>
          </cell>
          <cell r="AA92">
            <v>74</v>
          </cell>
          <cell r="AB92">
            <v>0</v>
          </cell>
          <cell r="AC92">
            <v>1922</v>
          </cell>
          <cell r="AD92">
            <v>740</v>
          </cell>
          <cell r="AE92">
            <v>1182</v>
          </cell>
          <cell r="AF92">
            <v>0</v>
          </cell>
          <cell r="AG92">
            <v>0</v>
          </cell>
          <cell r="AH92">
            <v>847.74545454545455</v>
          </cell>
          <cell r="AI92">
            <v>0</v>
          </cell>
          <cell r="AJ92">
            <v>2489</v>
          </cell>
          <cell r="AK92">
            <v>115399.1090909091</v>
          </cell>
          <cell r="AL92">
            <v>6596.1999999999971</v>
          </cell>
          <cell r="AM92">
            <v>2489</v>
          </cell>
          <cell r="AN92">
            <v>1886</v>
          </cell>
          <cell r="AO92">
            <v>5095</v>
          </cell>
          <cell r="AP92">
            <v>3319.7203422122484</v>
          </cell>
          <cell r="AQ92">
            <v>8590.0725425024775</v>
          </cell>
        </row>
        <row r="93">
          <cell r="D93">
            <v>0</v>
          </cell>
          <cell r="F93">
            <v>357</v>
          </cell>
          <cell r="L93">
            <v>0</v>
          </cell>
          <cell r="N93">
            <v>0</v>
          </cell>
          <cell r="P93">
            <v>350</v>
          </cell>
          <cell r="R93">
            <v>0</v>
          </cell>
          <cell r="S93">
            <v>920</v>
          </cell>
          <cell r="V93">
            <v>0</v>
          </cell>
          <cell r="X93">
            <v>110</v>
          </cell>
          <cell r="Y93">
            <v>47372.181818181816</v>
          </cell>
          <cell r="Z93">
            <v>0</v>
          </cell>
          <cell r="AA93">
            <v>0</v>
          </cell>
          <cell r="AC93">
            <v>80</v>
          </cell>
          <cell r="AD93">
            <v>38073</v>
          </cell>
          <cell r="AF93">
            <v>0</v>
          </cell>
          <cell r="AG93">
            <v>0</v>
          </cell>
          <cell r="AH93">
            <v>0</v>
          </cell>
          <cell r="AI93">
            <v>269</v>
          </cell>
          <cell r="AJ93">
            <v>1</v>
          </cell>
          <cell r="AK93">
            <v>2349</v>
          </cell>
          <cell r="AL93">
            <v>122256.01212121213</v>
          </cell>
          <cell r="AM93">
            <v>1</v>
          </cell>
        </row>
        <row r="94">
          <cell r="D94">
            <v>115</v>
          </cell>
          <cell r="F94">
            <v>68</v>
          </cell>
          <cell r="L94">
            <v>0</v>
          </cell>
          <cell r="N94">
            <v>0</v>
          </cell>
          <cell r="P94">
            <v>350</v>
          </cell>
          <cell r="R94">
            <v>0</v>
          </cell>
          <cell r="S94">
            <v>920</v>
          </cell>
          <cell r="V94">
            <v>0</v>
          </cell>
          <cell r="X94">
            <v>110</v>
          </cell>
          <cell r="Z94">
            <v>0</v>
          </cell>
          <cell r="AA94">
            <v>0</v>
          </cell>
          <cell r="AC94">
            <v>80</v>
          </cell>
          <cell r="AF94">
            <v>0</v>
          </cell>
          <cell r="AG94">
            <v>0</v>
          </cell>
          <cell r="AH94">
            <v>0</v>
          </cell>
          <cell r="AI94">
            <v>5</v>
          </cell>
          <cell r="AJ94">
            <v>115</v>
          </cell>
          <cell r="AK94">
            <v>1796</v>
          </cell>
          <cell r="AL94">
            <v>122256.01212121212</v>
          </cell>
          <cell r="AM94">
            <v>115</v>
          </cell>
        </row>
        <row r="95">
          <cell r="P95">
            <v>0</v>
          </cell>
          <cell r="AG95">
            <v>0</v>
          </cell>
          <cell r="AJ95">
            <v>0</v>
          </cell>
          <cell r="AK95">
            <v>0</v>
          </cell>
          <cell r="AM95">
            <v>0</v>
          </cell>
        </row>
        <row r="96">
          <cell r="F96">
            <v>289</v>
          </cell>
          <cell r="S96">
            <v>0</v>
          </cell>
          <cell r="X96">
            <v>0</v>
          </cell>
          <cell r="AC96">
            <v>0</v>
          </cell>
          <cell r="AF96">
            <v>0</v>
          </cell>
          <cell r="AG96">
            <v>0</v>
          </cell>
          <cell r="AH96">
            <v>0</v>
          </cell>
          <cell r="AI96">
            <v>264</v>
          </cell>
          <cell r="AJ96">
            <v>0</v>
          </cell>
          <cell r="AK96">
            <v>553</v>
          </cell>
          <cell r="AM96">
            <v>0</v>
          </cell>
        </row>
        <row r="97">
          <cell r="D97">
            <v>115</v>
          </cell>
          <cell r="L97">
            <v>0</v>
          </cell>
          <cell r="N97">
            <v>0</v>
          </cell>
          <cell r="P97">
            <v>0</v>
          </cell>
          <cell r="R97">
            <v>0</v>
          </cell>
          <cell r="S97">
            <v>0</v>
          </cell>
          <cell r="V97">
            <v>5</v>
          </cell>
          <cell r="Z97">
            <v>0</v>
          </cell>
          <cell r="AA97">
            <v>0</v>
          </cell>
          <cell r="AF97">
            <v>39</v>
          </cell>
          <cell r="AG97">
            <v>0</v>
          </cell>
          <cell r="AJ97">
            <v>160</v>
          </cell>
          <cell r="AM97">
            <v>160</v>
          </cell>
        </row>
        <row r="98">
          <cell r="D98">
            <v>115</v>
          </cell>
          <cell r="L98">
            <v>0</v>
          </cell>
          <cell r="N98">
            <v>0</v>
          </cell>
          <cell r="R98">
            <v>0</v>
          </cell>
          <cell r="S98">
            <v>0</v>
          </cell>
          <cell r="V98">
            <v>0</v>
          </cell>
          <cell r="X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K100">
            <v>0</v>
          </cell>
          <cell r="AM100">
            <v>44</v>
          </cell>
        </row>
        <row r="101">
          <cell r="D101">
            <v>31</v>
          </cell>
          <cell r="L101">
            <v>0</v>
          </cell>
          <cell r="N101">
            <v>123</v>
          </cell>
          <cell r="R101">
            <v>0</v>
          </cell>
          <cell r="V101">
            <v>19</v>
          </cell>
          <cell r="Z101">
            <v>0</v>
          </cell>
          <cell r="AA101">
            <v>0</v>
          </cell>
          <cell r="AF101">
            <v>595</v>
          </cell>
          <cell r="AG101">
            <v>0</v>
          </cell>
          <cell r="AJ101">
            <v>768</v>
          </cell>
          <cell r="AK101">
            <v>0</v>
          </cell>
          <cell r="AM101">
            <v>768</v>
          </cell>
        </row>
        <row r="102">
          <cell r="D102">
            <v>31</v>
          </cell>
          <cell r="F102">
            <v>575.33333333333326</v>
          </cell>
          <cell r="L102">
            <v>0</v>
          </cell>
          <cell r="N102">
            <v>123</v>
          </cell>
          <cell r="P102">
            <v>7</v>
          </cell>
          <cell r="S102">
            <v>30</v>
          </cell>
          <cell r="V102">
            <v>0</v>
          </cell>
          <cell r="X102">
            <v>18</v>
          </cell>
          <cell r="Z102">
            <v>0</v>
          </cell>
          <cell r="AA102">
            <v>0</v>
          </cell>
          <cell r="AC102">
            <v>5</v>
          </cell>
          <cell r="AF102">
            <v>33.666666666666664</v>
          </cell>
          <cell r="AG102">
            <v>0</v>
          </cell>
          <cell r="AH102">
            <v>0</v>
          </cell>
          <cell r="AI102">
            <v>343</v>
          </cell>
          <cell r="AJ102">
            <v>154</v>
          </cell>
          <cell r="AK102">
            <v>1014.3333333333333</v>
          </cell>
          <cell r="AM102">
            <v>154</v>
          </cell>
        </row>
        <row r="103">
          <cell r="D103">
            <v>0</v>
          </cell>
          <cell r="F103">
            <v>289</v>
          </cell>
          <cell r="L103">
            <v>0</v>
          </cell>
          <cell r="N103">
            <v>0</v>
          </cell>
          <cell r="P103">
            <v>0</v>
          </cell>
          <cell r="R103">
            <v>0</v>
          </cell>
          <cell r="V103">
            <v>19</v>
          </cell>
          <cell r="X103">
            <v>0</v>
          </cell>
          <cell r="Z103">
            <v>0</v>
          </cell>
          <cell r="AA103">
            <v>0</v>
          </cell>
          <cell r="AC103">
            <v>0</v>
          </cell>
          <cell r="AF103">
            <v>595</v>
          </cell>
          <cell r="AG103">
            <v>0</v>
          </cell>
          <cell r="AH103">
            <v>0</v>
          </cell>
          <cell r="AI103">
            <v>264</v>
          </cell>
          <cell r="AJ103">
            <v>614</v>
          </cell>
          <cell r="AK103">
            <v>553</v>
          </cell>
          <cell r="AM103">
            <v>614</v>
          </cell>
        </row>
        <row r="104">
          <cell r="D104">
            <v>605.41409090909156</v>
          </cell>
          <cell r="F104">
            <v>0</v>
          </cell>
          <cell r="L104">
            <v>0</v>
          </cell>
          <cell r="N104">
            <v>197</v>
          </cell>
          <cell r="P104" t="str">
            <v/>
          </cell>
          <cell r="S104">
            <v>0</v>
          </cell>
          <cell r="V104">
            <v>0</v>
          </cell>
          <cell r="X104">
            <v>0</v>
          </cell>
          <cell r="Z104">
            <v>0</v>
          </cell>
          <cell r="AA104">
            <v>0</v>
          </cell>
          <cell r="AC104">
            <v>0</v>
          </cell>
          <cell r="AF104">
            <v>0</v>
          </cell>
          <cell r="AG104">
            <v>0</v>
          </cell>
          <cell r="AH104">
            <v>0</v>
          </cell>
          <cell r="AI104">
            <v>0</v>
          </cell>
          <cell r="AJ104">
            <v>802.41409090909156</v>
          </cell>
          <cell r="AK104">
            <v>0</v>
          </cell>
          <cell r="AL104">
            <v>0</v>
          </cell>
          <cell r="AM104">
            <v>802.41409090909156</v>
          </cell>
        </row>
        <row r="105">
          <cell r="D105">
            <v>0</v>
          </cell>
          <cell r="F105">
            <v>286.33333333333331</v>
          </cell>
          <cell r="L105">
            <v>0</v>
          </cell>
          <cell r="N105">
            <v>197</v>
          </cell>
          <cell r="P105">
            <v>7</v>
          </cell>
          <cell r="S105">
            <v>30</v>
          </cell>
          <cell r="X105">
            <v>18</v>
          </cell>
          <cell r="AC105">
            <v>5</v>
          </cell>
          <cell r="AF105">
            <v>33.666666666666664</v>
          </cell>
          <cell r="AG105">
            <v>0</v>
          </cell>
          <cell r="AH105">
            <v>0</v>
          </cell>
          <cell r="AI105">
            <v>79</v>
          </cell>
          <cell r="AJ105">
            <v>197</v>
          </cell>
          <cell r="AK105">
            <v>461.33333333333331</v>
          </cell>
          <cell r="AM105">
            <v>197</v>
          </cell>
        </row>
        <row r="106">
          <cell r="D106">
            <v>0</v>
          </cell>
          <cell r="F106">
            <v>375</v>
          </cell>
          <cell r="P106">
            <v>14</v>
          </cell>
          <cell r="R106">
            <v>0</v>
          </cell>
          <cell r="S106">
            <v>157</v>
          </cell>
          <cell r="V106">
            <v>0</v>
          </cell>
          <cell r="X106">
            <v>17.666666666666668</v>
          </cell>
          <cell r="Z106">
            <v>0</v>
          </cell>
          <cell r="AA106">
            <v>0</v>
          </cell>
          <cell r="AC106">
            <v>19</v>
          </cell>
          <cell r="AF106">
            <v>30.333333333333332</v>
          </cell>
          <cell r="AG106">
            <v>0</v>
          </cell>
          <cell r="AH106">
            <v>0</v>
          </cell>
          <cell r="AI106">
            <v>843</v>
          </cell>
          <cell r="AJ106">
            <v>0</v>
          </cell>
          <cell r="AK106">
            <v>0</v>
          </cell>
          <cell r="AL106">
            <v>0</v>
          </cell>
          <cell r="AM106">
            <v>0</v>
          </cell>
        </row>
        <row r="107">
          <cell r="F107">
            <v>0</v>
          </cell>
          <cell r="L107">
            <v>0</v>
          </cell>
          <cell r="N107">
            <v>0</v>
          </cell>
          <cell r="P107">
            <v>0</v>
          </cell>
          <cell r="R107">
            <v>0</v>
          </cell>
          <cell r="S107">
            <v>120</v>
          </cell>
          <cell r="V107">
            <v>0</v>
          </cell>
          <cell r="Z107">
            <v>0</v>
          </cell>
          <cell r="AA107">
            <v>0</v>
          </cell>
          <cell r="AC107">
            <v>0</v>
          </cell>
          <cell r="AF107">
            <v>0</v>
          </cell>
          <cell r="AG107">
            <v>0</v>
          </cell>
          <cell r="AH107">
            <v>0</v>
          </cell>
          <cell r="AI107">
            <v>0</v>
          </cell>
          <cell r="AJ107">
            <v>0</v>
          </cell>
          <cell r="AK107">
            <v>120</v>
          </cell>
          <cell r="AM107">
            <v>0</v>
          </cell>
        </row>
        <row r="108">
          <cell r="D108">
            <v>0</v>
          </cell>
          <cell r="F108">
            <v>375</v>
          </cell>
          <cell r="L108">
            <v>0</v>
          </cell>
          <cell r="N108">
            <v>0</v>
          </cell>
          <cell r="P108">
            <v>14</v>
          </cell>
          <cell r="R108">
            <v>0</v>
          </cell>
          <cell r="S108">
            <v>37</v>
          </cell>
          <cell r="V108">
            <v>38</v>
          </cell>
          <cell r="X108">
            <v>17.666666666666668</v>
          </cell>
          <cell r="Z108">
            <v>0</v>
          </cell>
          <cell r="AA108">
            <v>0</v>
          </cell>
          <cell r="AC108">
            <v>19</v>
          </cell>
          <cell r="AF108">
            <v>363</v>
          </cell>
          <cell r="AG108">
            <v>0</v>
          </cell>
          <cell r="AH108">
            <v>0</v>
          </cell>
          <cell r="AI108">
            <v>843</v>
          </cell>
          <cell r="AJ108">
            <v>401</v>
          </cell>
          <cell r="AK108">
            <v>1343</v>
          </cell>
          <cell r="AM108">
            <v>401</v>
          </cell>
        </row>
        <row r="109">
          <cell r="D109">
            <v>2</v>
          </cell>
          <cell r="F109">
            <v>0</v>
          </cell>
          <cell r="L109">
            <v>0</v>
          </cell>
          <cell r="N109">
            <v>7</v>
          </cell>
          <cell r="P109">
            <v>0</v>
          </cell>
          <cell r="R109">
            <v>28</v>
          </cell>
          <cell r="S109">
            <v>250</v>
          </cell>
          <cell r="V109">
            <v>0</v>
          </cell>
          <cell r="Z109">
            <v>0</v>
          </cell>
          <cell r="AA109">
            <v>0</v>
          </cell>
          <cell r="AC109">
            <v>0</v>
          </cell>
          <cell r="AF109">
            <v>7</v>
          </cell>
          <cell r="AG109">
            <v>0</v>
          </cell>
          <cell r="AH109">
            <v>0</v>
          </cell>
          <cell r="AJ109">
            <v>44</v>
          </cell>
          <cell r="AK109">
            <v>250</v>
          </cell>
          <cell r="AM109">
            <v>44</v>
          </cell>
        </row>
        <row r="110">
          <cell r="D110">
            <v>401.20704545454578</v>
          </cell>
          <cell r="F110">
            <v>0</v>
          </cell>
          <cell r="P110">
            <v>0</v>
          </cell>
          <cell r="S110">
            <v>250</v>
          </cell>
          <cell r="AG110">
            <v>0</v>
          </cell>
          <cell r="AH110">
            <v>0</v>
          </cell>
          <cell r="AJ110">
            <v>401.20704545454578</v>
          </cell>
          <cell r="AK110">
            <v>250</v>
          </cell>
          <cell r="AM110">
            <v>401.20704545454578</v>
          </cell>
        </row>
        <row r="111">
          <cell r="D111">
            <v>0</v>
          </cell>
          <cell r="F111">
            <v>0</v>
          </cell>
          <cell r="P111">
            <v>0</v>
          </cell>
          <cell r="S111">
            <v>0</v>
          </cell>
          <cell r="X111">
            <v>0</v>
          </cell>
          <cell r="AC111">
            <v>0</v>
          </cell>
          <cell r="AF111">
            <v>0</v>
          </cell>
          <cell r="AG111">
            <v>0</v>
          </cell>
          <cell r="AH111">
            <v>0</v>
          </cell>
          <cell r="AJ111">
            <v>0</v>
          </cell>
          <cell r="AK111">
            <v>1722.5197727272771</v>
          </cell>
          <cell r="AL111">
            <v>0</v>
          </cell>
          <cell r="AM111">
            <v>0</v>
          </cell>
        </row>
        <row r="112">
          <cell r="D112">
            <v>3725</v>
          </cell>
          <cell r="P112">
            <v>0</v>
          </cell>
          <cell r="S112">
            <v>0</v>
          </cell>
          <cell r="X112">
            <v>0</v>
          </cell>
          <cell r="AC112">
            <v>0</v>
          </cell>
          <cell r="AF112">
            <v>0</v>
          </cell>
          <cell r="AG112">
            <v>0</v>
          </cell>
          <cell r="AH112">
            <v>0</v>
          </cell>
          <cell r="AJ112">
            <v>3725</v>
          </cell>
          <cell r="AK112">
            <v>0</v>
          </cell>
          <cell r="AM112">
            <v>3725</v>
          </cell>
        </row>
        <row r="113">
          <cell r="F113">
            <v>196</v>
          </cell>
          <cell r="P113">
            <v>273</v>
          </cell>
          <cell r="S113">
            <v>538</v>
          </cell>
          <cell r="X113">
            <v>237</v>
          </cell>
          <cell r="AC113">
            <v>172</v>
          </cell>
          <cell r="AF113">
            <v>535</v>
          </cell>
          <cell r="AG113">
            <v>535</v>
          </cell>
          <cell r="AH113">
            <v>0</v>
          </cell>
          <cell r="AI113">
            <v>952</v>
          </cell>
          <cell r="AJ113">
            <v>-3990</v>
          </cell>
          <cell r="AK113">
            <v>2987</v>
          </cell>
          <cell r="AM113">
            <v>0</v>
          </cell>
        </row>
        <row r="114">
          <cell r="D114">
            <v>0</v>
          </cell>
          <cell r="F114">
            <v>2</v>
          </cell>
          <cell r="P114">
            <v>0</v>
          </cell>
          <cell r="S114">
            <v>7</v>
          </cell>
          <cell r="X114">
            <v>40</v>
          </cell>
          <cell r="AC114">
            <v>0</v>
          </cell>
          <cell r="AF114">
            <v>0</v>
          </cell>
          <cell r="AG114">
            <v>0</v>
          </cell>
          <cell r="AH114">
            <v>0</v>
          </cell>
          <cell r="AI114">
            <v>6.7</v>
          </cell>
          <cell r="AJ114">
            <v>0</v>
          </cell>
          <cell r="AK114">
            <v>55.7</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K115">
            <v>588.33333333333337</v>
          </cell>
          <cell r="AN115">
            <v>0</v>
          </cell>
          <cell r="AO115">
            <v>0</v>
          </cell>
          <cell r="AP115">
            <v>0</v>
          </cell>
          <cell r="AQ115">
            <v>0</v>
          </cell>
        </row>
        <row r="116">
          <cell r="D116">
            <v>868.41409090909156</v>
          </cell>
          <cell r="E116">
            <v>0</v>
          </cell>
          <cell r="F116">
            <v>0</v>
          </cell>
          <cell r="L116">
            <v>0</v>
          </cell>
          <cell r="N116">
            <v>327</v>
          </cell>
          <cell r="R116">
            <v>28</v>
          </cell>
          <cell r="S116">
            <v>0</v>
          </cell>
          <cell r="T116">
            <v>0</v>
          </cell>
          <cell r="U116">
            <v>0</v>
          </cell>
          <cell r="V116">
            <v>62</v>
          </cell>
          <cell r="X116">
            <v>0</v>
          </cell>
          <cell r="Z116">
            <v>0</v>
          </cell>
          <cell r="AA116">
            <v>0</v>
          </cell>
          <cell r="AF116">
            <v>1004</v>
          </cell>
          <cell r="AG116">
            <v>0</v>
          </cell>
          <cell r="AJ116">
            <v>8024.1409090909146</v>
          </cell>
          <cell r="AK116">
            <v>0</v>
          </cell>
        </row>
        <row r="117">
          <cell r="F117">
            <v>5733.333333333333</v>
          </cell>
          <cell r="AG117">
            <v>0</v>
          </cell>
          <cell r="AJ117">
            <v>8024.1409090909146</v>
          </cell>
          <cell r="AK117">
            <v>5733.333333333333</v>
          </cell>
        </row>
        <row r="118">
          <cell r="F118">
            <v>0</v>
          </cell>
          <cell r="AG118">
            <v>0</v>
          </cell>
          <cell r="AJ118">
            <v>8024.1409090909146</v>
          </cell>
          <cell r="AK118">
            <v>6301.6211363636376</v>
          </cell>
        </row>
        <row r="119">
          <cell r="F119">
            <v>-20223</v>
          </cell>
          <cell r="AG119">
            <v>0</v>
          </cell>
          <cell r="AJ119">
            <v>11463.140909090915</v>
          </cell>
          <cell r="AK119">
            <v>3558.2157052250041</v>
          </cell>
          <cell r="AL119">
            <v>7039.6752038659033</v>
          </cell>
        </row>
        <row r="120">
          <cell r="F120">
            <v>0</v>
          </cell>
          <cell r="AG120">
            <v>0</v>
          </cell>
          <cell r="AK120">
            <v>-3990</v>
          </cell>
        </row>
        <row r="121">
          <cell r="F121">
            <v>7470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0</v>
          </cell>
          <cell r="AH121">
            <v>0</v>
          </cell>
          <cell r="AI121">
            <v>2144.6999999999998</v>
          </cell>
          <cell r="AJ121">
            <v>3439</v>
          </cell>
          <cell r="AK121">
            <v>12091.699999999999</v>
          </cell>
          <cell r="AN121">
            <v>0</v>
          </cell>
          <cell r="AO121">
            <v>0</v>
          </cell>
          <cell r="AP121">
            <v>0</v>
          </cell>
          <cell r="AQ121">
            <v>0</v>
          </cell>
        </row>
        <row r="122">
          <cell r="F122">
            <v>7470</v>
          </cell>
          <cell r="P122">
            <v>294</v>
          </cell>
          <cell r="S122">
            <v>982</v>
          </cell>
          <cell r="X122">
            <v>312.66666666666669</v>
          </cell>
          <cell r="Y122">
            <v>0</v>
          </cell>
          <cell r="Z122">
            <v>0</v>
          </cell>
          <cell r="AC122">
            <v>196</v>
          </cell>
          <cell r="AD122">
            <v>0</v>
          </cell>
          <cell r="AE122">
            <v>0</v>
          </cell>
          <cell r="AF122">
            <v>599</v>
          </cell>
          <cell r="AG122">
            <v>0</v>
          </cell>
          <cell r="AH122">
            <v>0</v>
          </cell>
          <cell r="AI122">
            <v>2144.6999999999998</v>
          </cell>
          <cell r="AJ122">
            <v>0</v>
          </cell>
          <cell r="AK122">
            <v>-8131.3000000000011</v>
          </cell>
        </row>
        <row r="123">
          <cell r="AG123">
            <v>0</v>
          </cell>
          <cell r="AK123">
            <v>-8308.373484848491</v>
          </cell>
          <cell r="AL123">
            <v>12091.699999999997</v>
          </cell>
        </row>
        <row r="124">
          <cell r="AG124">
            <v>0</v>
          </cell>
          <cell r="AJ124">
            <v>66995</v>
          </cell>
          <cell r="AK124">
            <v>-4318.373484848491</v>
          </cell>
          <cell r="AL124">
            <v>66995</v>
          </cell>
          <cell r="AN124">
            <v>0</v>
          </cell>
          <cell r="AP124">
            <v>0</v>
          </cell>
        </row>
        <row r="125">
          <cell r="AG125">
            <v>0</v>
          </cell>
          <cell r="AJ125">
            <v>7039.6752038659033</v>
          </cell>
          <cell r="AK125">
            <v>-6480.7621212121303</v>
          </cell>
          <cell r="AL125">
            <v>-3043.7227272727177</v>
          </cell>
          <cell r="AM125">
            <v>-4302.289393939398</v>
          </cell>
          <cell r="AN125">
            <v>0</v>
          </cell>
        </row>
        <row r="126">
          <cell r="AG126">
            <v>0</v>
          </cell>
          <cell r="AJ126">
            <v>35.409999999999997</v>
          </cell>
          <cell r="AN126" t="e">
            <v>#DIV/0!</v>
          </cell>
        </row>
        <row r="127">
          <cell r="AG127">
            <v>0</v>
          </cell>
          <cell r="AJ127">
            <v>31.69</v>
          </cell>
          <cell r="AK127">
            <v>-2162.3886363636389</v>
          </cell>
          <cell r="AN127" t="e">
            <v>#DIV/0!</v>
          </cell>
        </row>
        <row r="128">
          <cell r="AG128">
            <v>0</v>
          </cell>
          <cell r="AJ128">
            <v>0</v>
          </cell>
          <cell r="AN128">
            <v>0</v>
          </cell>
        </row>
        <row r="129">
          <cell r="AG129">
            <v>0</v>
          </cell>
        </row>
        <row r="130">
          <cell r="AG130">
            <v>0</v>
          </cell>
          <cell r="AJ130">
            <v>9.5299999999999994</v>
          </cell>
          <cell r="AK130">
            <v>59008</v>
          </cell>
          <cell r="AM130">
            <v>59008</v>
          </cell>
          <cell r="AN130" t="e">
            <v>#DIV/0!</v>
          </cell>
          <cell r="AP130">
            <v>0</v>
          </cell>
        </row>
        <row r="131">
          <cell r="AG131">
            <v>0</v>
          </cell>
          <cell r="AJ131">
            <v>0</v>
          </cell>
          <cell r="AK131">
            <v>-4302.289393939398</v>
          </cell>
          <cell r="AN131">
            <v>0</v>
          </cell>
        </row>
        <row r="132">
          <cell r="AG132">
            <v>0</v>
          </cell>
          <cell r="AJ132">
            <v>8.9600000000000009</v>
          </cell>
          <cell r="AK132">
            <v>35.549999999999997</v>
          </cell>
          <cell r="AN132" t="e">
            <v>#DIV/0!</v>
          </cell>
        </row>
        <row r="133">
          <cell r="AG133">
            <v>0</v>
          </cell>
          <cell r="AJ133">
            <v>59002</v>
          </cell>
          <cell r="AK133">
            <v>59002</v>
          </cell>
          <cell r="AN133" t="e">
            <v>#DIV/0!</v>
          </cell>
        </row>
        <row r="134">
          <cell r="AG134">
            <v>0</v>
          </cell>
          <cell r="AK134">
            <v>0</v>
          </cell>
          <cell r="AN134">
            <v>0</v>
          </cell>
        </row>
        <row r="135">
          <cell r="AG135">
            <v>0</v>
          </cell>
          <cell r="AJ135">
            <v>865.25</v>
          </cell>
        </row>
        <row r="136">
          <cell r="AG136">
            <v>0</v>
          </cell>
          <cell r="AJ136">
            <v>0</v>
          </cell>
          <cell r="AK136">
            <v>11.69</v>
          </cell>
          <cell r="AN136" t="e">
            <v>#DIV/0!</v>
          </cell>
        </row>
        <row r="137">
          <cell r="AG137">
            <v>0</v>
          </cell>
        </row>
        <row r="138">
          <cell r="AG138">
            <v>0</v>
          </cell>
          <cell r="AJ138">
            <v>125997</v>
          </cell>
          <cell r="AK138">
            <v>59002</v>
          </cell>
          <cell r="AL138">
            <v>66995</v>
          </cell>
          <cell r="AN138">
            <v>0</v>
          </cell>
        </row>
        <row r="139">
          <cell r="AG139">
            <v>0</v>
          </cell>
          <cell r="AJ139">
            <v>0</v>
          </cell>
          <cell r="AK139">
            <v>0</v>
          </cell>
          <cell r="AL139">
            <v>55902</v>
          </cell>
        </row>
        <row r="140">
          <cell r="AG140">
            <v>0</v>
          </cell>
          <cell r="AJ140">
            <v>125997</v>
          </cell>
          <cell r="AK140">
            <v>59002</v>
          </cell>
          <cell r="AL140">
            <v>66995</v>
          </cell>
        </row>
        <row r="141">
          <cell r="AG141">
            <v>0</v>
          </cell>
          <cell r="AJ141">
            <v>300</v>
          </cell>
          <cell r="AN141">
            <v>1908</v>
          </cell>
          <cell r="AO141">
            <v>5242</v>
          </cell>
          <cell r="AP141">
            <v>4447.7842947749923</v>
          </cell>
          <cell r="AQ141">
            <v>10724.3247961341</v>
          </cell>
        </row>
        <row r="142">
          <cell r="AG142">
            <v>0</v>
          </cell>
          <cell r="AK142">
            <v>17273.857142857141</v>
          </cell>
          <cell r="AL142">
            <v>20710.896536796539</v>
          </cell>
          <cell r="AM142">
            <v>-4302.289393939398</v>
          </cell>
        </row>
        <row r="143">
          <cell r="S143">
            <v>0</v>
          </cell>
          <cell r="AG143">
            <v>0</v>
          </cell>
          <cell r="AK143">
            <v>865.25</v>
          </cell>
          <cell r="AL143">
            <v>16408.607142857141</v>
          </cell>
        </row>
        <row r="144">
          <cell r="AG144">
            <v>0</v>
          </cell>
        </row>
        <row r="145">
          <cell r="AG145">
            <v>0</v>
          </cell>
          <cell r="AJ145">
            <v>0</v>
          </cell>
          <cell r="AK145">
            <v>114910</v>
          </cell>
          <cell r="AL145">
            <v>55902</v>
          </cell>
          <cell r="AM145">
            <v>59008</v>
          </cell>
          <cell r="AN145">
            <v>0</v>
          </cell>
        </row>
        <row r="146">
          <cell r="AG146">
            <v>0</v>
          </cell>
          <cell r="AK146">
            <v>0</v>
          </cell>
        </row>
        <row r="147">
          <cell r="AG147">
            <v>0</v>
          </cell>
          <cell r="AJ147">
            <v>9.93</v>
          </cell>
          <cell r="AK147">
            <v>6.42</v>
          </cell>
          <cell r="AL147">
            <v>11.74</v>
          </cell>
          <cell r="AM147">
            <v>59008</v>
          </cell>
        </row>
        <row r="148">
          <cell r="AG148">
            <v>0</v>
          </cell>
          <cell r="AK148">
            <v>138664.61926406925</v>
          </cell>
          <cell r="AL148">
            <v>79656.619264069261</v>
          </cell>
          <cell r="AM148">
            <v>59008</v>
          </cell>
          <cell r="AN148">
            <v>1886</v>
          </cell>
          <cell r="AO148">
            <v>5095</v>
          </cell>
          <cell r="AP148">
            <v>3319.7203422122484</v>
          </cell>
          <cell r="AQ148">
            <v>8590.0725425024775</v>
          </cell>
        </row>
        <row r="149">
          <cell r="D149">
            <v>0</v>
          </cell>
          <cell r="L149">
            <v>0</v>
          </cell>
          <cell r="N149">
            <v>0</v>
          </cell>
          <cell r="R149">
            <v>0</v>
          </cell>
          <cell r="V149">
            <v>0</v>
          </cell>
          <cell r="AF149">
            <v>0</v>
          </cell>
          <cell r="AG149">
            <v>0</v>
          </cell>
          <cell r="AJ149">
            <v>0</v>
          </cell>
          <cell r="AK149">
            <v>-5.3</v>
          </cell>
          <cell r="AL149">
            <v>-5.2</v>
          </cell>
          <cell r="AM149">
            <v>-6.8</v>
          </cell>
        </row>
        <row r="150">
          <cell r="D150">
            <v>63</v>
          </cell>
          <cell r="L150">
            <v>396</v>
          </cell>
          <cell r="N150">
            <v>776</v>
          </cell>
          <cell r="R150">
            <v>527</v>
          </cell>
          <cell r="V150">
            <v>417</v>
          </cell>
          <cell r="Z150">
            <v>265</v>
          </cell>
          <cell r="AA150">
            <v>265</v>
          </cell>
          <cell r="AG150">
            <v>0</v>
          </cell>
          <cell r="AJ150">
            <v>2463</v>
          </cell>
          <cell r="AK150">
            <v>14.129249632100526</v>
          </cell>
          <cell r="AL150">
            <v>35.135537539544195</v>
          </cell>
          <cell r="AM150">
            <v>-6.7955610930302432</v>
          </cell>
        </row>
        <row r="151">
          <cell r="D151">
            <v>63</v>
          </cell>
          <cell r="L151">
            <v>145</v>
          </cell>
          <cell r="N151">
            <v>211</v>
          </cell>
          <cell r="R151">
            <v>226</v>
          </cell>
          <cell r="V151">
            <v>198</v>
          </cell>
          <cell r="Z151">
            <v>84</v>
          </cell>
          <cell r="AA151">
            <v>84</v>
          </cell>
          <cell r="AG151">
            <v>0</v>
          </cell>
          <cell r="AJ151">
            <v>946</v>
          </cell>
          <cell r="AL151">
            <v>16.65759499457743</v>
          </cell>
          <cell r="AM151">
            <v>35.546987951807232</v>
          </cell>
        </row>
        <row r="152">
          <cell r="L152">
            <v>283</v>
          </cell>
          <cell r="N152">
            <v>314</v>
          </cell>
          <cell r="R152">
            <v>263</v>
          </cell>
          <cell r="V152">
            <v>219</v>
          </cell>
          <cell r="Z152">
            <v>133</v>
          </cell>
          <cell r="AA152">
            <v>133</v>
          </cell>
          <cell r="AJ152">
            <v>1212</v>
          </cell>
        </row>
        <row r="153">
          <cell r="F153">
            <v>0</v>
          </cell>
          <cell r="L153">
            <v>72</v>
          </cell>
          <cell r="N153">
            <v>460</v>
          </cell>
          <cell r="P153">
            <v>0</v>
          </cell>
          <cell r="R153">
            <v>264</v>
          </cell>
          <cell r="S153">
            <v>0</v>
          </cell>
          <cell r="V153">
            <v>198</v>
          </cell>
          <cell r="X153">
            <v>0</v>
          </cell>
          <cell r="Z153">
            <v>121</v>
          </cell>
          <cell r="AA153">
            <v>121</v>
          </cell>
          <cell r="AC153">
            <v>0</v>
          </cell>
          <cell r="AI153">
            <v>0</v>
          </cell>
          <cell r="AJ153">
            <v>1115</v>
          </cell>
          <cell r="AK153">
            <v>0</v>
          </cell>
        </row>
        <row r="154">
          <cell r="F154">
            <v>63</v>
          </cell>
          <cell r="P154">
            <v>370</v>
          </cell>
          <cell r="S154">
            <v>719</v>
          </cell>
          <cell r="X154">
            <v>550</v>
          </cell>
          <cell r="AC154">
            <v>480</v>
          </cell>
          <cell r="AF154">
            <v>506</v>
          </cell>
          <cell r="AG154">
            <v>506</v>
          </cell>
          <cell r="AH154">
            <v>0</v>
          </cell>
          <cell r="AJ154">
            <v>0</v>
          </cell>
          <cell r="AK154">
            <v>2688</v>
          </cell>
        </row>
        <row r="155">
          <cell r="F155">
            <v>63</v>
          </cell>
          <cell r="L155">
            <v>0</v>
          </cell>
          <cell r="P155">
            <v>160</v>
          </cell>
          <cell r="S155">
            <v>215</v>
          </cell>
          <cell r="V155">
            <v>369</v>
          </cell>
          <cell r="X155">
            <v>225</v>
          </cell>
          <cell r="AC155">
            <v>250</v>
          </cell>
          <cell r="AF155">
            <v>300</v>
          </cell>
          <cell r="AG155">
            <v>300</v>
          </cell>
          <cell r="AH155">
            <v>0</v>
          </cell>
          <cell r="AJ155">
            <v>369</v>
          </cell>
          <cell r="AK155">
            <v>913</v>
          </cell>
        </row>
        <row r="156">
          <cell r="F156">
            <v>63</v>
          </cell>
          <cell r="L156">
            <v>0</v>
          </cell>
          <cell r="N156">
            <v>0</v>
          </cell>
          <cell r="P156">
            <v>40</v>
          </cell>
          <cell r="R156">
            <v>0</v>
          </cell>
          <cell r="S156">
            <v>93</v>
          </cell>
          <cell r="V156">
            <v>0</v>
          </cell>
          <cell r="X156">
            <v>49</v>
          </cell>
          <cell r="AC156">
            <v>65</v>
          </cell>
          <cell r="AF156">
            <v>30</v>
          </cell>
          <cell r="AG156">
            <v>30</v>
          </cell>
          <cell r="AH156">
            <v>0</v>
          </cell>
          <cell r="AI156">
            <v>125</v>
          </cell>
          <cell r="AJ156">
            <v>0</v>
          </cell>
          <cell r="AK156">
            <v>465</v>
          </cell>
        </row>
        <row r="157">
          <cell r="D157">
            <v>17.179166666666667</v>
          </cell>
          <cell r="L157">
            <v>502</v>
          </cell>
          <cell r="N157">
            <v>1041.8333333333333</v>
          </cell>
          <cell r="R157">
            <v>213</v>
          </cell>
          <cell r="AJ157">
            <v>1774.0124999999998</v>
          </cell>
          <cell r="AK157">
            <v>0</v>
          </cell>
        </row>
        <row r="158">
          <cell r="L158">
            <v>0</v>
          </cell>
          <cell r="N158">
            <v>0</v>
          </cell>
          <cell r="R158">
            <v>0</v>
          </cell>
          <cell r="AJ158">
            <v>0</v>
          </cell>
          <cell r="AK158">
            <v>0</v>
          </cell>
        </row>
        <row r="159">
          <cell r="D159">
            <v>0</v>
          </cell>
          <cell r="F159">
            <v>14.170833333333334</v>
          </cell>
          <cell r="L159">
            <v>396</v>
          </cell>
          <cell r="N159">
            <v>776</v>
          </cell>
          <cell r="R159">
            <v>527</v>
          </cell>
          <cell r="V159">
            <v>417</v>
          </cell>
          <cell r="Z159">
            <v>265</v>
          </cell>
          <cell r="AA159">
            <v>265</v>
          </cell>
          <cell r="AJ159">
            <v>2381</v>
          </cell>
          <cell r="AK159">
            <v>14.170833333333334</v>
          </cell>
        </row>
        <row r="160">
          <cell r="L160">
            <v>396</v>
          </cell>
          <cell r="N160">
            <v>776</v>
          </cell>
          <cell r="P160">
            <v>73</v>
          </cell>
          <cell r="R160">
            <v>527</v>
          </cell>
          <cell r="S160">
            <v>407</v>
          </cell>
          <cell r="V160">
            <v>417</v>
          </cell>
          <cell r="X160">
            <v>271.81818181818181</v>
          </cell>
          <cell r="AC160">
            <v>197</v>
          </cell>
          <cell r="AG160">
            <v>117.09090909090909</v>
          </cell>
          <cell r="AJ160">
            <v>2135</v>
          </cell>
          <cell r="AK160">
            <v>948.81818181818176</v>
          </cell>
        </row>
        <row r="161">
          <cell r="D161">
            <v>80</v>
          </cell>
          <cell r="F161">
            <v>-396</v>
          </cell>
          <cell r="L161">
            <v>0</v>
          </cell>
          <cell r="N161">
            <v>0</v>
          </cell>
          <cell r="R161">
            <v>0</v>
          </cell>
          <cell r="S161">
            <v>312</v>
          </cell>
          <cell r="V161">
            <v>0</v>
          </cell>
          <cell r="X161">
            <v>278.18181818181819</v>
          </cell>
          <cell r="AC161">
            <v>283</v>
          </cell>
          <cell r="AJ161">
            <v>80</v>
          </cell>
          <cell r="AK161">
            <v>477.18181818181819</v>
          </cell>
        </row>
        <row r="162">
          <cell r="L162">
            <v>0</v>
          </cell>
          <cell r="N162">
            <v>0</v>
          </cell>
          <cell r="R162">
            <v>1530</v>
          </cell>
          <cell r="S162">
            <v>719</v>
          </cell>
          <cell r="V162">
            <v>0</v>
          </cell>
          <cell r="X162">
            <v>550</v>
          </cell>
          <cell r="Z162">
            <v>0</v>
          </cell>
          <cell r="AA162">
            <v>0</v>
          </cell>
          <cell r="AC162">
            <v>480</v>
          </cell>
          <cell r="AJ162">
            <v>1530</v>
          </cell>
        </row>
        <row r="163">
          <cell r="F163">
            <v>459</v>
          </cell>
          <cell r="L163">
            <v>0</v>
          </cell>
          <cell r="P163">
            <v>0</v>
          </cell>
          <cell r="S163">
            <v>0</v>
          </cell>
          <cell r="X163">
            <v>0</v>
          </cell>
          <cell r="AC163">
            <v>0</v>
          </cell>
          <cell r="AJ163">
            <v>0</v>
          </cell>
          <cell r="AK163">
            <v>459</v>
          </cell>
        </row>
        <row r="164">
          <cell r="D164">
            <v>233</v>
          </cell>
          <cell r="E164">
            <v>0</v>
          </cell>
          <cell r="F164">
            <v>0</v>
          </cell>
          <cell r="L164">
            <v>432</v>
          </cell>
          <cell r="N164">
            <v>1983</v>
          </cell>
          <cell r="P164">
            <v>0</v>
          </cell>
          <cell r="Q164">
            <v>0</v>
          </cell>
          <cell r="R164">
            <v>123</v>
          </cell>
          <cell r="S164">
            <v>296</v>
          </cell>
          <cell r="T164">
            <v>0</v>
          </cell>
          <cell r="U164">
            <v>0</v>
          </cell>
          <cell r="V164">
            <v>99</v>
          </cell>
          <cell r="X164">
            <v>0</v>
          </cell>
          <cell r="Y164">
            <v>0</v>
          </cell>
          <cell r="Z164">
            <v>74</v>
          </cell>
          <cell r="AA164">
            <v>74</v>
          </cell>
          <cell r="AC164">
            <v>444</v>
          </cell>
          <cell r="AF164">
            <v>0</v>
          </cell>
          <cell r="AG164">
            <v>0</v>
          </cell>
          <cell r="AH164">
            <v>0</v>
          </cell>
          <cell r="AJ164">
            <v>2956</v>
          </cell>
          <cell r="AK164">
            <v>1365</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E165">
            <v>0</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E166">
            <v>0</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E167">
            <v>0</v>
          </cell>
          <cell r="AF167">
            <v>7</v>
          </cell>
          <cell r="AG167">
            <v>0</v>
          </cell>
          <cell r="AH167">
            <v>0</v>
          </cell>
          <cell r="AI167">
            <v>0</v>
          </cell>
          <cell r="AJ167">
            <v>1144.2</v>
          </cell>
          <cell r="AK167">
            <v>513</v>
          </cell>
          <cell r="AL167">
            <v>587.20000000000005</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cell r="AO189" t="e">
            <v>#REF!</v>
          </cell>
        </row>
        <row r="190">
          <cell r="X190">
            <v>0</v>
          </cell>
          <cell r="AC190">
            <v>0</v>
          </cell>
          <cell r="AK190">
            <v>0</v>
          </cell>
          <cell r="AN190" t="str">
            <v>ОЧИК.18.02.</v>
          </cell>
        </row>
        <row r="191">
          <cell r="S191">
            <v>0</v>
          </cell>
          <cell r="X191">
            <v>0</v>
          </cell>
          <cell r="AC191">
            <v>0</v>
          </cell>
          <cell r="AK191">
            <v>0</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C193">
            <v>36.700000000000003</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C194">
            <v>50.6</v>
          </cell>
          <cell r="AF194">
            <v>3.427</v>
          </cell>
          <cell r="AG194">
            <v>3.427</v>
          </cell>
          <cell r="AH194">
            <v>3.427</v>
          </cell>
          <cell r="AI194">
            <v>3.427</v>
          </cell>
          <cell r="AJ194">
            <v>3.427</v>
          </cell>
          <cell r="AK194">
            <v>112.5</v>
          </cell>
          <cell r="AN194">
            <v>2.1804999999999999</v>
          </cell>
          <cell r="AO194">
            <v>2.1804999999999999</v>
          </cell>
          <cell r="AP194">
            <v>2.1804999999999999</v>
          </cell>
          <cell r="AQ194">
            <v>1.905</v>
          </cell>
        </row>
        <row r="195">
          <cell r="F195">
            <v>75</v>
          </cell>
          <cell r="P195">
            <v>75</v>
          </cell>
          <cell r="AJ195">
            <v>0</v>
          </cell>
          <cell r="AN195" t="e">
            <v>#DIV/0!</v>
          </cell>
          <cell r="AQ195">
            <v>75</v>
          </cell>
        </row>
        <row r="196">
          <cell r="N196">
            <v>112.4</v>
          </cell>
          <cell r="R196">
            <v>81.3</v>
          </cell>
          <cell r="S196">
            <v>653</v>
          </cell>
          <cell r="V196">
            <v>66</v>
          </cell>
          <cell r="X196">
            <v>653</v>
          </cell>
          <cell r="AC196">
            <v>653</v>
          </cell>
          <cell r="AJ196">
            <v>259.70000000000005</v>
          </cell>
          <cell r="AK196">
            <v>653</v>
          </cell>
          <cell r="AN196">
            <v>221.49122807017542</v>
          </cell>
        </row>
        <row r="197">
          <cell r="N197">
            <v>129.19999999999999</v>
          </cell>
          <cell r="R197">
            <v>93.5</v>
          </cell>
          <cell r="S197">
            <v>0</v>
          </cell>
          <cell r="V197">
            <v>75.900000000000006</v>
          </cell>
          <cell r="X197">
            <v>29254</v>
          </cell>
          <cell r="AC197">
            <v>23966</v>
          </cell>
          <cell r="AJ197">
            <v>298.60000000000002</v>
          </cell>
          <cell r="AK197">
            <v>53220</v>
          </cell>
          <cell r="AN197">
            <v>252.49999999999997</v>
          </cell>
        </row>
        <row r="198">
          <cell r="L198">
            <v>0</v>
          </cell>
          <cell r="AK198">
            <v>53220</v>
          </cell>
          <cell r="AN198">
            <v>66</v>
          </cell>
        </row>
        <row r="199">
          <cell r="L199">
            <v>0</v>
          </cell>
          <cell r="N199">
            <v>141.5</v>
          </cell>
          <cell r="R199">
            <v>141.5</v>
          </cell>
          <cell r="S199">
            <v>114.9</v>
          </cell>
          <cell r="V199">
            <v>141.5</v>
          </cell>
          <cell r="W199">
            <v>178</v>
          </cell>
          <cell r="X199">
            <v>153.5</v>
          </cell>
          <cell r="Y199">
            <v>66.599999999999994</v>
          </cell>
          <cell r="Z199">
            <v>178</v>
          </cell>
          <cell r="AA199">
            <v>141.5</v>
          </cell>
          <cell r="AB199">
            <v>141.5</v>
          </cell>
          <cell r="AC199">
            <v>141.5</v>
          </cell>
          <cell r="AD199">
            <v>178</v>
          </cell>
          <cell r="AE199">
            <v>76.300000000000011</v>
          </cell>
          <cell r="AF199">
            <v>178</v>
          </cell>
          <cell r="AG199">
            <v>178</v>
          </cell>
          <cell r="AI199">
            <v>178</v>
          </cell>
          <cell r="AJ199">
            <v>141.5</v>
          </cell>
          <cell r="AK199">
            <v>391.79999999999995</v>
          </cell>
          <cell r="AL199">
            <v>113.69999999999999</v>
          </cell>
          <cell r="AM199">
            <v>178</v>
          </cell>
          <cell r="AN199">
            <v>178</v>
          </cell>
          <cell r="AO199">
            <v>74.900000000000006</v>
          </cell>
          <cell r="AP199">
            <v>281.5</v>
          </cell>
        </row>
        <row r="200">
          <cell r="N200">
            <v>15905</v>
          </cell>
          <cell r="R200">
            <v>11504</v>
          </cell>
          <cell r="S200">
            <v>19250</v>
          </cell>
          <cell r="V200">
            <v>9339</v>
          </cell>
          <cell r="X200">
            <v>44597</v>
          </cell>
          <cell r="Y200">
            <v>30041.25</v>
          </cell>
          <cell r="Z200">
            <v>14555.750000000002</v>
          </cell>
          <cell r="AA200">
            <v>14555.750000000004</v>
          </cell>
          <cell r="AC200">
            <v>36151</v>
          </cell>
          <cell r="AD200">
            <v>22308.272727272721</v>
          </cell>
          <cell r="AE200">
            <v>13842.727272727279</v>
          </cell>
          <cell r="AJ200">
            <v>36748</v>
          </cell>
          <cell r="AK200">
            <v>99998</v>
          </cell>
          <cell r="AL200">
            <v>52349.522727272721</v>
          </cell>
          <cell r="AM200">
            <v>47648.477272727279</v>
          </cell>
          <cell r="AN200">
            <v>39425</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v>36748</v>
          </cell>
          <cell r="AK201">
            <v>255.23</v>
          </cell>
          <cell r="AL201">
            <v>460.42</v>
          </cell>
          <cell r="AM201">
            <v>171.34</v>
          </cell>
          <cell r="AN201">
            <v>41.55</v>
          </cell>
          <cell r="AO201">
            <v>41.55</v>
          </cell>
          <cell r="AP201">
            <v>41.55</v>
          </cell>
          <cell r="AQ201" t="str">
            <v/>
          </cell>
        </row>
        <row r="202">
          <cell r="N202">
            <v>0</v>
          </cell>
          <cell r="R202">
            <v>0</v>
          </cell>
          <cell r="V202">
            <v>0</v>
          </cell>
          <cell r="AJ202">
            <v>0</v>
          </cell>
          <cell r="AM202">
            <v>0</v>
          </cell>
          <cell r="AN202">
            <v>52</v>
          </cell>
          <cell r="AO202">
            <v>52</v>
          </cell>
        </row>
        <row r="203">
          <cell r="N203">
            <v>0</v>
          </cell>
          <cell r="R203">
            <v>0</v>
          </cell>
          <cell r="V203">
            <v>0</v>
          </cell>
          <cell r="X203">
            <v>44597</v>
          </cell>
          <cell r="AC203">
            <v>36151</v>
          </cell>
          <cell r="AJ203">
            <v>0</v>
          </cell>
          <cell r="AK203">
            <v>99998</v>
          </cell>
          <cell r="AL203">
            <v>52349.522727272721</v>
          </cell>
          <cell r="AM203">
            <v>47648.477272727279</v>
          </cell>
          <cell r="AN203">
            <v>14862</v>
          </cell>
          <cell r="AO203">
            <v>3164.427048260382</v>
          </cell>
          <cell r="AP203">
            <v>11697.572951739618</v>
          </cell>
        </row>
        <row r="205">
          <cell r="N205">
            <v>141.5</v>
          </cell>
          <cell r="R205">
            <v>141.5</v>
          </cell>
          <cell r="V205">
            <v>141.5</v>
          </cell>
          <cell r="AJ205">
            <v>141.5</v>
          </cell>
          <cell r="AK205">
            <v>99998</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D239" t="str">
            <v>ВИКОН.ДИР.</v>
          </cell>
          <cell r="L239" t="str">
            <v>ККМ</v>
          </cell>
          <cell r="N239" t="str">
            <v>КТМ</v>
          </cell>
          <cell r="R239" t="str">
            <v>ТЕЦ-5 ВСЬОГО</v>
          </cell>
          <cell r="V239" t="str">
            <v>ТЕЦ-6 ВСЬОГО</v>
          </cell>
          <cell r="AA239" t="str">
            <v>ТРМ ВСЬОГО</v>
          </cell>
          <cell r="AG239" t="str">
            <v xml:space="preserve">   "_____" ________2000 р.</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F243" t="str">
            <v>РОЗРАХУНОК ФІНАНСОВИХ ПОТОКІВ НА   лютий  2000 року</v>
          </cell>
          <cell r="L243">
            <v>645.68000000000029</v>
          </cell>
          <cell r="N243">
            <v>3164.8333333333326</v>
          </cell>
          <cell r="R243">
            <v>1767.9999999999977</v>
          </cell>
          <cell r="V243">
            <v>36754.003030303029</v>
          </cell>
          <cell r="AA243">
            <v>655.5333333333333</v>
          </cell>
        </row>
        <row r="244">
          <cell r="D244">
            <v>58857.621136363639</v>
          </cell>
          <cell r="F244" t="str">
            <v>ПО ФІЛІАЛАХ АК КИЇВЕНЕРГО</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cell r="AI249" t="str">
            <v>ТИС.ГРН.</v>
          </cell>
          <cell r="AK249" t="str">
            <v>тис.грн.</v>
          </cell>
        </row>
        <row r="250">
          <cell r="D250">
            <v>0</v>
          </cell>
          <cell r="F250" t="str">
            <v>ВИКОН.ДИР.</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D251">
            <v>3500</v>
          </cell>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2">
          <cell r="D252">
            <v>0</v>
          </cell>
        </row>
        <row r="253">
          <cell r="D253">
            <v>1766</v>
          </cell>
          <cell r="F253">
            <v>40160.608095238102</v>
          </cell>
          <cell r="L253">
            <v>0</v>
          </cell>
          <cell r="N253">
            <v>0</v>
          </cell>
          <cell r="P253">
            <v>2175</v>
          </cell>
          <cell r="Q253">
            <v>0</v>
          </cell>
          <cell r="R253">
            <v>0</v>
          </cell>
          <cell r="S253">
            <v>7897</v>
          </cell>
          <cell r="T253">
            <v>4513.5299999999988</v>
          </cell>
          <cell r="U253">
            <v>1480.47</v>
          </cell>
          <cell r="V253">
            <v>35616.63636363636</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D254">
            <v>4731.6211363636376</v>
          </cell>
          <cell r="F254">
            <v>31766.748095238101</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D255">
            <v>62</v>
          </cell>
          <cell r="F255">
            <v>118194.27476190477</v>
          </cell>
          <cell r="L255">
            <v>0</v>
          </cell>
          <cell r="N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D256">
            <v>62404.348409090911</v>
          </cell>
          <cell r="F256">
            <v>99998</v>
          </cell>
          <cell r="L256">
            <v>2094.727272727273</v>
          </cell>
          <cell r="N256">
            <v>8290.4545454545441</v>
          </cell>
          <cell r="R256">
            <v>2382.9090909090883</v>
          </cell>
          <cell r="V256">
            <v>35544.63636363636</v>
          </cell>
          <cell r="AA256">
            <v>2527.5454545454545</v>
          </cell>
          <cell r="AK256">
            <v>99998</v>
          </cell>
        </row>
        <row r="257">
          <cell r="D257">
            <v>1362.1672727272726</v>
          </cell>
          <cell r="F257">
            <v>0</v>
          </cell>
          <cell r="L257">
            <v>1781.0472727272727</v>
          </cell>
          <cell r="N257">
            <v>6107.621212121212</v>
          </cell>
          <cell r="R257">
            <v>1817.909090909091</v>
          </cell>
          <cell r="V257">
            <v>35634.829696969697</v>
          </cell>
          <cell r="AA257">
            <v>2055.0121212121212</v>
          </cell>
          <cell r="AK257">
            <v>0</v>
          </cell>
        </row>
        <row r="258">
          <cell r="D258">
            <v>357.72727272727275</v>
          </cell>
          <cell r="F258">
            <v>11812.941428571428</v>
          </cell>
          <cell r="L258">
            <v>725.72727272727275</v>
          </cell>
          <cell r="N258">
            <v>1684.4545454545455</v>
          </cell>
          <cell r="P258">
            <v>0</v>
          </cell>
          <cell r="Q258">
            <v>0</v>
          </cell>
          <cell r="R258">
            <v>653.90909090909099</v>
          </cell>
          <cell r="S258">
            <v>0</v>
          </cell>
          <cell r="T258">
            <v>0</v>
          </cell>
          <cell r="U258">
            <v>0</v>
          </cell>
          <cell r="V258">
            <v>1465.6363636363635</v>
          </cell>
          <cell r="W258">
            <v>0</v>
          </cell>
          <cell r="X258">
            <v>0</v>
          </cell>
          <cell r="Y258">
            <v>0</v>
          </cell>
          <cell r="Z258">
            <v>0</v>
          </cell>
          <cell r="AA258">
            <v>1439.5454545454545</v>
          </cell>
          <cell r="AB258">
            <v>0</v>
          </cell>
          <cell r="AC258">
            <v>0</v>
          </cell>
          <cell r="AD258">
            <v>0</v>
          </cell>
          <cell r="AE258">
            <v>0</v>
          </cell>
          <cell r="AF258">
            <v>0</v>
          </cell>
          <cell r="AG258">
            <v>0</v>
          </cell>
          <cell r="AH258">
            <v>0</v>
          </cell>
          <cell r="AI258">
            <v>0</v>
          </cell>
          <cell r="AK258">
            <v>11812.941428571428</v>
          </cell>
        </row>
        <row r="259">
          <cell r="D259">
            <v>0</v>
          </cell>
          <cell r="F259">
            <v>825</v>
          </cell>
          <cell r="L259">
            <v>0</v>
          </cell>
          <cell r="N259">
            <v>22</v>
          </cell>
          <cell r="R259">
            <v>839</v>
          </cell>
          <cell r="V259">
            <v>32.56</v>
          </cell>
          <cell r="AA259">
            <v>0</v>
          </cell>
          <cell r="AK259">
            <v>825</v>
          </cell>
        </row>
        <row r="260">
          <cell r="D260">
            <v>997.43999999999994</v>
          </cell>
          <cell r="F260">
            <v>0</v>
          </cell>
          <cell r="L260">
            <v>696.31999999999994</v>
          </cell>
          <cell r="N260">
            <v>804.16666666666663</v>
          </cell>
          <cell r="R260">
            <v>268.33333333333331</v>
          </cell>
          <cell r="V260">
            <v>130.63333333333333</v>
          </cell>
          <cell r="AA260">
            <v>173.46666666666667</v>
          </cell>
          <cell r="AK260">
            <v>0</v>
          </cell>
        </row>
        <row r="261">
          <cell r="D261">
            <v>67.833333333333343</v>
          </cell>
          <cell r="F261">
            <v>4663.9414285714283</v>
          </cell>
          <cell r="L261">
            <v>336.7</v>
          </cell>
          <cell r="N261">
            <v>400.83333333333331</v>
          </cell>
          <cell r="R261">
            <v>55.666666666666664</v>
          </cell>
          <cell r="V261">
            <v>0</v>
          </cell>
          <cell r="AA261">
            <v>125.2</v>
          </cell>
          <cell r="AK261">
            <v>4663.9414285714283</v>
          </cell>
        </row>
        <row r="262">
          <cell r="D262">
            <v>343.60666666666663</v>
          </cell>
          <cell r="F262">
            <v>3500</v>
          </cell>
          <cell r="L262">
            <v>9.6199999999999992</v>
          </cell>
          <cell r="N262">
            <v>33.333333333333336</v>
          </cell>
          <cell r="R262">
            <v>32.666666666666664</v>
          </cell>
          <cell r="V262">
            <v>45.633333333333333</v>
          </cell>
          <cell r="AA262">
            <v>17.266666666666666</v>
          </cell>
          <cell r="AK262">
            <v>3500</v>
          </cell>
        </row>
        <row r="263">
          <cell r="F263">
            <v>0</v>
          </cell>
          <cell r="L263">
            <v>220</v>
          </cell>
          <cell r="N263">
            <v>120</v>
          </cell>
          <cell r="R263">
            <v>130</v>
          </cell>
          <cell r="V263">
            <v>85</v>
          </cell>
          <cell r="AA263">
            <v>0</v>
          </cell>
          <cell r="AK263">
            <v>0</v>
          </cell>
        </row>
        <row r="264">
          <cell r="D264">
            <v>586</v>
          </cell>
          <cell r="F264">
            <v>2824</v>
          </cell>
          <cell r="L264">
            <v>130</v>
          </cell>
          <cell r="N264">
            <v>250</v>
          </cell>
          <cell r="P264">
            <v>0</v>
          </cell>
          <cell r="R264">
            <v>50</v>
          </cell>
          <cell r="S264">
            <v>0</v>
          </cell>
          <cell r="V264">
            <v>0</v>
          </cell>
          <cell r="X264">
            <v>0</v>
          </cell>
          <cell r="AA264">
            <v>31</v>
          </cell>
          <cell r="AC264">
            <v>0</v>
          </cell>
          <cell r="AF264">
            <v>0</v>
          </cell>
          <cell r="AG264">
            <v>0</v>
          </cell>
          <cell r="AH264">
            <v>0</v>
          </cell>
          <cell r="AI264">
            <v>0</v>
          </cell>
          <cell r="AK264">
            <v>2824</v>
          </cell>
        </row>
        <row r="265">
          <cell r="D265">
            <v>7</v>
          </cell>
          <cell r="F265">
            <v>6321.6666666666661</v>
          </cell>
          <cell r="L265">
            <v>59</v>
          </cell>
          <cell r="N265">
            <v>3197</v>
          </cell>
          <cell r="R265">
            <v>56.666666666666664</v>
          </cell>
          <cell r="V265">
            <v>34006</v>
          </cell>
          <cell r="AA265">
            <v>442</v>
          </cell>
          <cell r="AK265">
            <v>6321.6666666666661</v>
          </cell>
        </row>
        <row r="266">
          <cell r="D266">
            <v>0</v>
          </cell>
          <cell r="F266">
            <v>61.666666666666664</v>
          </cell>
          <cell r="L266">
            <v>0</v>
          </cell>
          <cell r="N266">
            <v>0</v>
          </cell>
          <cell r="P266">
            <v>0</v>
          </cell>
          <cell r="R266">
            <v>56.666666666666664</v>
          </cell>
          <cell r="S266">
            <v>0</v>
          </cell>
          <cell r="V266">
            <v>267</v>
          </cell>
          <cell r="X266">
            <v>0</v>
          </cell>
          <cell r="AA266">
            <v>0</v>
          </cell>
          <cell r="AC266">
            <v>0</v>
          </cell>
          <cell r="AF266">
            <v>0</v>
          </cell>
          <cell r="AG266">
            <v>0</v>
          </cell>
          <cell r="AH266">
            <v>0</v>
          </cell>
          <cell r="AI266">
            <v>0</v>
          </cell>
          <cell r="AK266">
            <v>61.666666666666664</v>
          </cell>
        </row>
        <row r="267">
          <cell r="D267">
            <v>7</v>
          </cell>
          <cell r="F267">
            <v>120758.6080952381</v>
          </cell>
          <cell r="L267">
            <v>59</v>
          </cell>
          <cell r="N267">
            <v>3197</v>
          </cell>
          <cell r="P267">
            <v>2175</v>
          </cell>
          <cell r="Q267">
            <v>0</v>
          </cell>
          <cell r="R267">
            <v>0</v>
          </cell>
          <cell r="S267">
            <v>7897</v>
          </cell>
          <cell r="T267">
            <v>0</v>
          </cell>
          <cell r="U267">
            <v>0</v>
          </cell>
          <cell r="V267">
            <v>33739</v>
          </cell>
          <cell r="W267">
            <v>0</v>
          </cell>
          <cell r="X267">
            <v>2489.8484848484827</v>
          </cell>
          <cell r="Y267">
            <v>0</v>
          </cell>
          <cell r="Z267">
            <v>0</v>
          </cell>
          <cell r="AA267">
            <v>442</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L269">
            <v>300</v>
          </cell>
          <cell r="N269">
            <v>400</v>
          </cell>
          <cell r="P269">
            <v>964</v>
          </cell>
          <cell r="R269">
            <v>0</v>
          </cell>
          <cell r="S269">
            <v>2067</v>
          </cell>
          <cell r="T269">
            <v>549.83999999999992</v>
          </cell>
          <cell r="U269">
            <v>572.16000000000008</v>
          </cell>
          <cell r="V269">
            <v>0</v>
          </cell>
          <cell r="X269">
            <v>836</v>
          </cell>
          <cell r="Y269">
            <v>142</v>
          </cell>
          <cell r="Z269">
            <v>185.18181818181819</v>
          </cell>
          <cell r="AA269">
            <v>0</v>
          </cell>
          <cell r="AC269">
            <v>658</v>
          </cell>
          <cell r="AD269">
            <v>111</v>
          </cell>
          <cell r="AE269">
            <v>178</v>
          </cell>
          <cell r="AF269">
            <v>1973</v>
          </cell>
          <cell r="AG269">
            <v>1761.2545454545452</v>
          </cell>
          <cell r="AH269">
            <v>211.74545454545455</v>
          </cell>
          <cell r="AI269">
            <v>952</v>
          </cell>
          <cell r="AK269">
            <v>7482</v>
          </cell>
        </row>
        <row r="270">
          <cell r="D270">
            <v>61042.181136363637</v>
          </cell>
          <cell r="F270">
            <v>0</v>
          </cell>
          <cell r="L270">
            <v>313.68000000000029</v>
          </cell>
          <cell r="N270">
            <v>2182.8333333333321</v>
          </cell>
          <cell r="P270">
            <v>0</v>
          </cell>
          <cell r="Q270">
            <v>0</v>
          </cell>
          <cell r="R270">
            <v>564.99999999999727</v>
          </cell>
          <cell r="S270">
            <v>22</v>
          </cell>
          <cell r="T270">
            <v>22</v>
          </cell>
          <cell r="U270">
            <v>0</v>
          </cell>
          <cell r="V270">
            <v>-90.193333333336341</v>
          </cell>
          <cell r="W270">
            <v>0</v>
          </cell>
          <cell r="X270">
            <v>790</v>
          </cell>
          <cell r="Y270">
            <v>343</v>
          </cell>
          <cell r="Z270">
            <v>447</v>
          </cell>
          <cell r="AA270">
            <v>472.5333333333333</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D272">
            <v>1503.7391666666665</v>
          </cell>
          <cell r="F272">
            <v>67.833333333333329</v>
          </cell>
          <cell r="L272">
            <v>-12.319999999999993</v>
          </cell>
          <cell r="N272">
            <v>465.66666666666663</v>
          </cell>
          <cell r="P272">
            <v>336.7</v>
          </cell>
          <cell r="R272">
            <v>128.00000000000003</v>
          </cell>
          <cell r="S272">
            <v>367</v>
          </cell>
          <cell r="V272">
            <v>648.44303030302694</v>
          </cell>
          <cell r="X272">
            <v>32</v>
          </cell>
          <cell r="AA272">
            <v>133.5333333333333</v>
          </cell>
          <cell r="AC272">
            <v>32</v>
          </cell>
          <cell r="AF272">
            <v>206.95333333333335</v>
          </cell>
          <cell r="AG272">
            <v>141.72798232695141</v>
          </cell>
          <cell r="AH272">
            <v>65.225351006381942</v>
          </cell>
          <cell r="AI272">
            <v>0</v>
          </cell>
          <cell r="AK272">
            <v>1096.4866666666667</v>
          </cell>
        </row>
        <row r="273">
          <cell r="D273">
            <v>17.179166666666667</v>
          </cell>
          <cell r="F273">
            <v>417.35999999999996</v>
          </cell>
          <cell r="L273">
            <v>-18</v>
          </cell>
          <cell r="N273">
            <v>521.83333333333326</v>
          </cell>
          <cell r="P273">
            <v>4</v>
          </cell>
          <cell r="R273">
            <v>83</v>
          </cell>
          <cell r="S273">
            <v>80</v>
          </cell>
          <cell r="V273">
            <v>284</v>
          </cell>
          <cell r="X273">
            <v>35</v>
          </cell>
          <cell r="AA273">
            <v>0</v>
          </cell>
          <cell r="AC273">
            <v>29</v>
          </cell>
          <cell r="AF273">
            <v>17.266666666666666</v>
          </cell>
          <cell r="AG273">
            <v>11.824742268041236</v>
          </cell>
          <cell r="AH273">
            <v>5.4419243986254298</v>
          </cell>
          <cell r="AI273">
            <v>0</v>
          </cell>
          <cell r="AK273">
            <v>582.62666666666655</v>
          </cell>
        </row>
        <row r="274">
          <cell r="D274">
            <v>0</v>
          </cell>
          <cell r="F274">
            <v>100</v>
          </cell>
          <cell r="L274">
            <v>-202</v>
          </cell>
          <cell r="N274">
            <v>-710</v>
          </cell>
          <cell r="P274">
            <v>250</v>
          </cell>
          <cell r="R274">
            <v>-314</v>
          </cell>
          <cell r="S274">
            <v>50</v>
          </cell>
          <cell r="V274">
            <v>-1195</v>
          </cell>
          <cell r="X274">
            <v>10</v>
          </cell>
          <cell r="AA274">
            <v>-152</v>
          </cell>
          <cell r="AC274">
            <v>60</v>
          </cell>
          <cell r="AF274">
            <v>250</v>
          </cell>
          <cell r="AG274">
            <v>250</v>
          </cell>
          <cell r="AK274">
            <v>720</v>
          </cell>
        </row>
        <row r="275">
          <cell r="D275">
            <v>0</v>
          </cell>
          <cell r="F275">
            <v>63</v>
          </cell>
          <cell r="L275">
            <v>0</v>
          </cell>
          <cell r="N275">
            <v>0</v>
          </cell>
          <cell r="P275">
            <v>40</v>
          </cell>
          <cell r="R275">
            <v>0</v>
          </cell>
          <cell r="S275">
            <v>93</v>
          </cell>
          <cell r="V275">
            <v>-5</v>
          </cell>
          <cell r="X275">
            <v>49</v>
          </cell>
          <cell r="AA275">
            <v>0</v>
          </cell>
          <cell r="AC275">
            <v>65</v>
          </cell>
          <cell r="AF275">
            <v>30</v>
          </cell>
          <cell r="AG275">
            <v>30</v>
          </cell>
          <cell r="AH275">
            <v>0</v>
          </cell>
          <cell r="AK275">
            <v>340</v>
          </cell>
        </row>
        <row r="276">
          <cell r="D276">
            <v>0</v>
          </cell>
          <cell r="F276">
            <v>7</v>
          </cell>
          <cell r="L276">
            <v>0</v>
          </cell>
          <cell r="N276">
            <v>0</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D277">
            <v>1469.56</v>
          </cell>
          <cell r="F277">
            <v>0</v>
          </cell>
          <cell r="L277">
            <v>146.68</v>
          </cell>
          <cell r="N277">
            <v>646.83333333333337</v>
          </cell>
          <cell r="P277">
            <v>1</v>
          </cell>
          <cell r="R277">
            <v>181.00000000000003</v>
          </cell>
          <cell r="S277">
            <v>0</v>
          </cell>
          <cell r="V277">
            <v>1564.4430303030269</v>
          </cell>
          <cell r="X277">
            <v>46</v>
          </cell>
          <cell r="AA277">
            <v>285.5333333333333</v>
          </cell>
          <cell r="AC277">
            <v>195</v>
          </cell>
          <cell r="AF277">
            <v>0</v>
          </cell>
          <cell r="AG277">
            <v>0</v>
          </cell>
          <cell r="AH277">
            <v>0</v>
          </cell>
          <cell r="AI277">
            <v>0</v>
          </cell>
          <cell r="AK277">
            <v>242</v>
          </cell>
        </row>
        <row r="278">
          <cell r="D278">
            <v>76.56</v>
          </cell>
          <cell r="F278">
            <v>7</v>
          </cell>
          <cell r="L278">
            <v>41.680000000000014</v>
          </cell>
          <cell r="N278">
            <v>64.833333333333343</v>
          </cell>
          <cell r="P278">
            <v>56</v>
          </cell>
          <cell r="R278">
            <v>12.000000000000021</v>
          </cell>
          <cell r="S278">
            <v>3154</v>
          </cell>
          <cell r="V278">
            <v>1020.0030303030269</v>
          </cell>
          <cell r="X278">
            <v>0</v>
          </cell>
          <cell r="AA278">
            <v>12.533333333333331</v>
          </cell>
          <cell r="AC278">
            <v>0</v>
          </cell>
          <cell r="AF278">
            <v>890</v>
          </cell>
          <cell r="AG278">
            <v>442</v>
          </cell>
          <cell r="AH278">
            <v>448</v>
          </cell>
          <cell r="AI278">
            <v>0</v>
          </cell>
          <cell r="AK278">
            <v>4107</v>
          </cell>
        </row>
        <row r="279">
          <cell r="D279">
            <v>1</v>
          </cell>
          <cell r="L279">
            <v>35</v>
          </cell>
          <cell r="N279">
            <v>402</v>
          </cell>
          <cell r="R279">
            <v>87</v>
          </cell>
          <cell r="V279">
            <v>127.44</v>
          </cell>
          <cell r="AA279">
            <v>112</v>
          </cell>
          <cell r="AK279">
            <v>269</v>
          </cell>
        </row>
        <row r="280">
          <cell r="D280">
            <v>1392</v>
          </cell>
          <cell r="L280">
            <v>70</v>
          </cell>
          <cell r="N280">
            <v>180</v>
          </cell>
          <cell r="R280">
            <v>82</v>
          </cell>
          <cell r="S280">
            <v>250</v>
          </cell>
          <cell r="V280">
            <v>417</v>
          </cell>
          <cell r="AA280">
            <v>161</v>
          </cell>
          <cell r="AH280">
            <v>0</v>
          </cell>
          <cell r="AI280">
            <v>0</v>
          </cell>
          <cell r="AK280">
            <v>250</v>
          </cell>
        </row>
        <row r="281">
          <cell r="F281">
            <v>119511.41476190477</v>
          </cell>
          <cell r="L281">
            <v>0</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D282">
            <v>17</v>
          </cell>
          <cell r="L282">
            <v>61</v>
          </cell>
          <cell r="N282">
            <v>7</v>
          </cell>
          <cell r="R282">
            <v>178</v>
          </cell>
          <cell r="V282">
            <v>0</v>
          </cell>
          <cell r="AA282">
            <v>0</v>
          </cell>
          <cell r="AK282">
            <v>0</v>
          </cell>
        </row>
        <row r="283">
          <cell r="D283">
            <v>61042.181136363637</v>
          </cell>
          <cell r="F283">
            <v>1482.14</v>
          </cell>
          <cell r="L283">
            <v>313.68000000000029</v>
          </cell>
          <cell r="N283">
            <v>2182.8333333333321</v>
          </cell>
          <cell r="P283">
            <v>523.29999999999995</v>
          </cell>
          <cell r="Q283">
            <v>0</v>
          </cell>
          <cell r="R283">
            <v>564.99999999999727</v>
          </cell>
          <cell r="S283">
            <v>1814</v>
          </cell>
          <cell r="T283">
            <v>0</v>
          </cell>
          <cell r="U283">
            <v>0</v>
          </cell>
          <cell r="V283">
            <v>-90.193333333336341</v>
          </cell>
          <cell r="W283">
            <v>0</v>
          </cell>
          <cell r="X283">
            <v>691.84848484848487</v>
          </cell>
          <cell r="Y283">
            <v>0</v>
          </cell>
          <cell r="Z283">
            <v>0</v>
          </cell>
          <cell r="AA283">
            <v>472.5333333333333</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A284">
            <v>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D286">
            <v>61042.181136363637</v>
          </cell>
          <cell r="F286">
            <v>375</v>
          </cell>
          <cell r="L286">
            <v>313.68000000000029</v>
          </cell>
          <cell r="N286">
            <v>2182.8333333333321</v>
          </cell>
          <cell r="P286">
            <v>14</v>
          </cell>
          <cell r="R286">
            <v>564.99999999999727</v>
          </cell>
          <cell r="S286">
            <v>37</v>
          </cell>
          <cell r="V286">
            <v>-90.193333333336341</v>
          </cell>
          <cell r="X286">
            <v>17.666666666666668</v>
          </cell>
          <cell r="AA286">
            <v>472.5333333333333</v>
          </cell>
          <cell r="AC286">
            <v>19</v>
          </cell>
          <cell r="AF286">
            <v>30.333333333333332</v>
          </cell>
          <cell r="AG286">
            <v>30.333333333333332</v>
          </cell>
          <cell r="AH286">
            <v>0</v>
          </cell>
          <cell r="AI286">
            <v>843</v>
          </cell>
          <cell r="AK286">
            <v>500</v>
          </cell>
        </row>
        <row r="287">
          <cell r="D287">
            <v>0</v>
          </cell>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D288">
            <v>0</v>
          </cell>
          <cell r="F288">
            <v>386.1400000000001</v>
          </cell>
          <cell r="L288">
            <v>0</v>
          </cell>
          <cell r="N288">
            <v>0</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D289">
            <v>0</v>
          </cell>
          <cell r="F289">
            <v>2.4733333333334144</v>
          </cell>
          <cell r="L289">
            <v>0</v>
          </cell>
          <cell r="N289">
            <v>0</v>
          </cell>
          <cell r="P289">
            <v>11.300000000000011</v>
          </cell>
          <cell r="R289">
            <v>0</v>
          </cell>
          <cell r="S289">
            <v>39</v>
          </cell>
          <cell r="V289">
            <v>0</v>
          </cell>
          <cell r="X289">
            <v>10</v>
          </cell>
          <cell r="AA289">
            <v>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D291">
            <v>61042.181136363637</v>
          </cell>
          <cell r="F291">
            <v>382.66666666666669</v>
          </cell>
          <cell r="L291">
            <v>313.68000000000029</v>
          </cell>
          <cell r="N291">
            <v>2182.8333333333321</v>
          </cell>
          <cell r="P291">
            <v>45</v>
          </cell>
          <cell r="R291">
            <v>564.99999999999727</v>
          </cell>
          <cell r="S291">
            <v>110</v>
          </cell>
          <cell r="V291">
            <v>-90.193333333336341</v>
          </cell>
          <cell r="X291">
            <v>68</v>
          </cell>
          <cell r="AA291">
            <v>472.5333333333333</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L293">
            <v>300</v>
          </cell>
          <cell r="P293">
            <v>60</v>
          </cell>
          <cell r="S293">
            <v>8</v>
          </cell>
          <cell r="X293">
            <v>150</v>
          </cell>
          <cell r="AC293">
            <v>26</v>
          </cell>
          <cell r="AF293">
            <v>12</v>
          </cell>
          <cell r="AG293">
            <v>11</v>
          </cell>
          <cell r="AH293">
            <v>1</v>
          </cell>
          <cell r="AI293">
            <v>6.7</v>
          </cell>
          <cell r="AK293">
            <v>270.66666666666669</v>
          </cell>
        </row>
        <row r="294">
          <cell r="F294">
            <v>119511.41476190477</v>
          </cell>
          <cell r="N294">
            <v>400</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V295">
            <v>417</v>
          </cell>
          <cell r="AH295">
            <v>191</v>
          </cell>
          <cell r="AK295">
            <v>0</v>
          </cell>
        </row>
        <row r="296">
          <cell r="D296">
            <v>990</v>
          </cell>
        </row>
        <row r="297">
          <cell r="F297">
            <v>119511.41476190477</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D300">
            <v>61042.181136363637</v>
          </cell>
          <cell r="F300">
            <v>0</v>
          </cell>
          <cell r="L300">
            <v>313.68000000000029</v>
          </cell>
          <cell r="N300">
            <v>2182.8333333333321</v>
          </cell>
          <cell r="P300">
            <v>0</v>
          </cell>
          <cell r="R300">
            <v>564.99999999999727</v>
          </cell>
          <cell r="S300">
            <v>296</v>
          </cell>
          <cell r="V300">
            <v>-90.193333333336341</v>
          </cell>
          <cell r="X300">
            <v>625</v>
          </cell>
          <cell r="AA300">
            <v>472.5333333333333</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1">
          <cell r="T321" t="str">
            <v>ФМЗ ( з відрахуван)</v>
          </cell>
          <cell r="V321">
            <v>25</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P381">
            <v>0</v>
          </cell>
          <cell r="X381">
            <v>0</v>
          </cell>
          <cell r="Y381">
            <v>0</v>
          </cell>
          <cell r="AC381">
            <v>3.6666666666666665</v>
          </cell>
          <cell r="AD381">
            <v>1</v>
          </cell>
          <cell r="AK381">
            <v>46</v>
          </cell>
          <cell r="AL381">
            <v>12</v>
          </cell>
        </row>
        <row r="382">
          <cell r="F382">
            <v>0</v>
          </cell>
          <cell r="P382">
            <v>0.66666666666666663</v>
          </cell>
          <cell r="X382">
            <v>146.66666666666666</v>
          </cell>
          <cell r="Y382">
            <v>64</v>
          </cell>
          <cell r="AC382">
            <v>280.66666666666669</v>
          </cell>
          <cell r="AD382">
            <v>107</v>
          </cell>
          <cell r="AK382">
            <v>428</v>
          </cell>
          <cell r="AL382">
            <v>171.66666666666669</v>
          </cell>
        </row>
        <row r="383">
          <cell r="F383">
            <v>0</v>
          </cell>
          <cell r="P383">
            <v>2</v>
          </cell>
          <cell r="X383">
            <v>0</v>
          </cell>
          <cell r="Y383">
            <v>0</v>
          </cell>
          <cell r="AC383">
            <v>25</v>
          </cell>
          <cell r="AD383">
            <v>10</v>
          </cell>
          <cell r="AK383">
            <v>33.666666666666671</v>
          </cell>
          <cell r="AL383">
            <v>15</v>
          </cell>
        </row>
        <row r="384">
          <cell r="F384">
            <v>0</v>
          </cell>
          <cell r="P384">
            <v>0</v>
          </cell>
          <cell r="X384">
            <v>25.333333333333332</v>
          </cell>
          <cell r="Y384">
            <v>11</v>
          </cell>
          <cell r="AC384">
            <v>0.66666666666666663</v>
          </cell>
          <cell r="AD384">
            <v>0</v>
          </cell>
          <cell r="AK384">
            <v>26</v>
          </cell>
          <cell r="AL384">
            <v>11</v>
          </cell>
        </row>
        <row r="385">
          <cell r="F385">
            <v>120.63333333333333</v>
          </cell>
          <cell r="P385">
            <v>0</v>
          </cell>
          <cell r="X385">
            <v>0</v>
          </cell>
          <cell r="Y385">
            <v>0</v>
          </cell>
          <cell r="AC385">
            <v>0</v>
          </cell>
          <cell r="AD385">
            <v>0</v>
          </cell>
          <cell r="AK385">
            <v>120.63333333333333</v>
          </cell>
          <cell r="AL385">
            <v>37</v>
          </cell>
        </row>
        <row r="386">
          <cell r="F386">
            <v>8.6666666666666661</v>
          </cell>
          <cell r="P386">
            <v>0</v>
          </cell>
          <cell r="X386">
            <v>0</v>
          </cell>
          <cell r="Y386">
            <v>0</v>
          </cell>
          <cell r="AC386">
            <v>0</v>
          </cell>
          <cell r="AD386">
            <v>0</v>
          </cell>
          <cell r="AK386">
            <v>8.6666666666666661</v>
          </cell>
          <cell r="AL386">
            <v>0</v>
          </cell>
        </row>
        <row r="387">
          <cell r="F387">
            <v>0</v>
          </cell>
          <cell r="P387">
            <v>5.333333333333333</v>
          </cell>
          <cell r="X387">
            <v>0</v>
          </cell>
          <cell r="Y387">
            <v>0</v>
          </cell>
          <cell r="AC387">
            <v>0</v>
          </cell>
          <cell r="AD387">
            <v>0</v>
          </cell>
          <cell r="AK387">
            <v>22</v>
          </cell>
          <cell r="AL387">
            <v>15.333333333333332</v>
          </cell>
        </row>
        <row r="388">
          <cell r="F388">
            <v>5.333333333333333</v>
          </cell>
          <cell r="P388">
            <v>0</v>
          </cell>
          <cell r="X388">
            <v>0</v>
          </cell>
          <cell r="Y388">
            <v>0</v>
          </cell>
          <cell r="AC388">
            <v>0</v>
          </cell>
          <cell r="AD388">
            <v>0</v>
          </cell>
          <cell r="AK388">
            <v>5.333333333333333</v>
          </cell>
          <cell r="AL388">
            <v>2</v>
          </cell>
        </row>
        <row r="389">
          <cell r="F389">
            <v>0.33333333333333331</v>
          </cell>
          <cell r="P389">
            <v>4.333333333333333</v>
          </cell>
          <cell r="X389">
            <v>0</v>
          </cell>
          <cell r="Y389">
            <v>0</v>
          </cell>
          <cell r="AC389">
            <v>0</v>
          </cell>
          <cell r="AD389">
            <v>0</v>
          </cell>
          <cell r="AK389">
            <v>4.6666666666666661</v>
          </cell>
          <cell r="AL389">
            <v>4.333333333333333</v>
          </cell>
        </row>
        <row r="390">
          <cell r="F390">
            <v>0.33333333333333331</v>
          </cell>
          <cell r="P390">
            <v>2</v>
          </cell>
          <cell r="X390">
            <v>10</v>
          </cell>
          <cell r="Y390">
            <v>4</v>
          </cell>
          <cell r="AC390">
            <v>13.666666666666666</v>
          </cell>
          <cell r="AD390">
            <v>5</v>
          </cell>
          <cell r="AK390">
            <v>26</v>
          </cell>
          <cell r="AL390">
            <v>11</v>
          </cell>
        </row>
        <row r="391">
          <cell r="F391">
            <v>0</v>
          </cell>
          <cell r="P391">
            <v>0</v>
          </cell>
          <cell r="X391">
            <v>0</v>
          </cell>
          <cell r="Y391">
            <v>0</v>
          </cell>
          <cell r="AC391">
            <v>0</v>
          </cell>
          <cell r="AD391">
            <v>0</v>
          </cell>
          <cell r="AK391">
            <v>0</v>
          </cell>
        </row>
        <row r="392">
          <cell r="F392">
            <v>1.1666666666666667</v>
          </cell>
          <cell r="P392">
            <v>20.5</v>
          </cell>
          <cell r="X392">
            <v>522.33333333333337</v>
          </cell>
          <cell r="Y392">
            <v>227</v>
          </cell>
          <cell r="AC392">
            <v>43</v>
          </cell>
          <cell r="AD392">
            <v>16</v>
          </cell>
          <cell r="AK392">
            <v>587.33333333333337</v>
          </cell>
          <cell r="AL392">
            <v>263.5</v>
          </cell>
          <cell r="AM392">
            <v>263.83333333333331</v>
          </cell>
        </row>
        <row r="393">
          <cell r="F393">
            <v>0</v>
          </cell>
          <cell r="P393">
            <v>0</v>
          </cell>
          <cell r="X393">
            <v>0</v>
          </cell>
          <cell r="Y393">
            <v>0</v>
          </cell>
          <cell r="AC393">
            <v>0</v>
          </cell>
          <cell r="AD393">
            <v>0</v>
          </cell>
          <cell r="AK393">
            <v>0</v>
          </cell>
          <cell r="AL393">
            <v>0</v>
          </cell>
        </row>
        <row r="394">
          <cell r="F394">
            <v>0</v>
          </cell>
          <cell r="P394">
            <v>0</v>
          </cell>
          <cell r="X394">
            <v>480.66666666666669</v>
          </cell>
          <cell r="Y394">
            <v>209</v>
          </cell>
          <cell r="AC394">
            <v>11</v>
          </cell>
          <cell r="AD394">
            <v>4</v>
          </cell>
          <cell r="AK394">
            <v>491.66666666666669</v>
          </cell>
          <cell r="AL394">
            <v>213</v>
          </cell>
        </row>
        <row r="395">
          <cell r="F395">
            <v>0</v>
          </cell>
          <cell r="P395">
            <v>0</v>
          </cell>
          <cell r="X395">
            <v>0</v>
          </cell>
          <cell r="Y395">
            <v>0</v>
          </cell>
          <cell r="AC395">
            <v>0</v>
          </cell>
          <cell r="AD395">
            <v>0</v>
          </cell>
          <cell r="AK395">
            <v>0</v>
          </cell>
          <cell r="AL395">
            <v>0</v>
          </cell>
        </row>
        <row r="396">
          <cell r="F396">
            <v>1.1666666666666667</v>
          </cell>
          <cell r="P396">
            <v>15.833333333333334</v>
          </cell>
          <cell r="X396">
            <v>41.666666666666664</v>
          </cell>
          <cell r="Y396">
            <v>18</v>
          </cell>
          <cell r="AC396">
            <v>32</v>
          </cell>
          <cell r="AD396">
            <v>12</v>
          </cell>
          <cell r="AK396">
            <v>91</v>
          </cell>
          <cell r="AL396">
            <v>50.833333333333336</v>
          </cell>
        </row>
        <row r="397">
          <cell r="F397">
            <v>0</v>
          </cell>
          <cell r="P397">
            <v>4.666666666666667</v>
          </cell>
          <cell r="X397">
            <v>0</v>
          </cell>
          <cell r="Y397">
            <v>0</v>
          </cell>
          <cell r="AC397">
            <v>0</v>
          </cell>
          <cell r="AD397">
            <v>0</v>
          </cell>
          <cell r="AK397">
            <v>4.666666666666667</v>
          </cell>
          <cell r="AL397">
            <v>0</v>
          </cell>
        </row>
        <row r="398">
          <cell r="F398">
            <v>0</v>
          </cell>
          <cell r="P398">
            <v>0</v>
          </cell>
          <cell r="X398">
            <v>0</v>
          </cell>
          <cell r="Y398">
            <v>0</v>
          </cell>
          <cell r="AC398">
            <v>0</v>
          </cell>
          <cell r="AD398">
            <v>0</v>
          </cell>
          <cell r="AK398">
            <v>0</v>
          </cell>
        </row>
        <row r="399">
          <cell r="F399">
            <v>10</v>
          </cell>
          <cell r="P399">
            <v>39</v>
          </cell>
          <cell r="X399">
            <v>0</v>
          </cell>
          <cell r="Y399">
            <v>0</v>
          </cell>
          <cell r="AC399">
            <v>0</v>
          </cell>
          <cell r="AD399">
            <v>0</v>
          </cell>
          <cell r="AK399">
            <v>49</v>
          </cell>
          <cell r="AL399">
            <v>42</v>
          </cell>
          <cell r="AM399">
            <v>42</v>
          </cell>
        </row>
        <row r="400">
          <cell r="F400">
            <v>2.6666666666666665</v>
          </cell>
          <cell r="P400">
            <v>3.3333333333333335</v>
          </cell>
          <cell r="X400">
            <v>0</v>
          </cell>
          <cell r="Y400">
            <v>0</v>
          </cell>
          <cell r="AC400">
            <v>0</v>
          </cell>
          <cell r="AD400">
            <v>0</v>
          </cell>
          <cell r="AK400">
            <v>6</v>
          </cell>
          <cell r="AL400">
            <v>4.3333333333333339</v>
          </cell>
        </row>
        <row r="401">
          <cell r="F401">
            <v>7.333333333333333</v>
          </cell>
          <cell r="P401">
            <v>35.666666666666664</v>
          </cell>
          <cell r="X401">
            <v>0</v>
          </cell>
          <cell r="Y401">
            <v>0</v>
          </cell>
          <cell r="AC401">
            <v>0</v>
          </cell>
          <cell r="AD401">
            <v>0</v>
          </cell>
          <cell r="AK401">
            <v>43</v>
          </cell>
          <cell r="AL401">
            <v>37.666666666666664</v>
          </cell>
        </row>
        <row r="402">
          <cell r="F402">
            <v>0</v>
          </cell>
          <cell r="P402">
            <v>0</v>
          </cell>
          <cell r="X402">
            <v>0</v>
          </cell>
          <cell r="Y402">
            <v>0</v>
          </cell>
          <cell r="AC402">
            <v>0</v>
          </cell>
          <cell r="AD402">
            <v>0</v>
          </cell>
          <cell r="AK402">
            <v>0</v>
          </cell>
        </row>
        <row r="403">
          <cell r="F403">
            <v>206.33333333333329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P404">
            <v>0</v>
          </cell>
          <cell r="X404">
            <v>0</v>
          </cell>
          <cell r="Y404">
            <v>0</v>
          </cell>
          <cell r="AC404">
            <v>0</v>
          </cell>
          <cell r="AD404">
            <v>0</v>
          </cell>
          <cell r="AK404">
            <v>1350</v>
          </cell>
          <cell r="AL404">
            <v>0</v>
          </cell>
        </row>
        <row r="405">
          <cell r="F405">
            <v>0</v>
          </cell>
          <cell r="P405">
            <v>0</v>
          </cell>
          <cell r="X405">
            <v>0</v>
          </cell>
          <cell r="Y405">
            <v>0</v>
          </cell>
          <cell r="AC405">
            <v>0</v>
          </cell>
          <cell r="AD405">
            <v>0</v>
          </cell>
          <cell r="AK405">
            <v>95</v>
          </cell>
          <cell r="AL405">
            <v>95</v>
          </cell>
        </row>
        <row r="406">
          <cell r="F406">
            <v>0</v>
          </cell>
          <cell r="P406">
            <v>0</v>
          </cell>
          <cell r="X406">
            <v>0</v>
          </cell>
          <cell r="Y406">
            <v>0</v>
          </cell>
          <cell r="AC406">
            <v>0</v>
          </cell>
          <cell r="AD406">
            <v>0</v>
          </cell>
          <cell r="AK406">
            <v>0</v>
          </cell>
          <cell r="AL406">
            <v>0</v>
          </cell>
        </row>
        <row r="407">
          <cell r="F407">
            <v>0</v>
          </cell>
          <cell r="P407">
            <v>12.333333333333334</v>
          </cell>
          <cell r="X407">
            <v>0</v>
          </cell>
          <cell r="Y407">
            <v>0</v>
          </cell>
          <cell r="AC407">
            <v>0</v>
          </cell>
          <cell r="AD407">
            <v>0</v>
          </cell>
          <cell r="AK407">
            <v>12.333333333333334</v>
          </cell>
          <cell r="AL407">
            <v>12.333333333333334</v>
          </cell>
        </row>
        <row r="408">
          <cell r="F408">
            <v>0</v>
          </cell>
          <cell r="P408">
            <v>0</v>
          </cell>
          <cell r="X408">
            <v>0</v>
          </cell>
          <cell r="Y408">
            <v>0</v>
          </cell>
          <cell r="AC408">
            <v>0</v>
          </cell>
          <cell r="AD408">
            <v>0</v>
          </cell>
          <cell r="AK408">
            <v>0</v>
          </cell>
          <cell r="AL408">
            <v>0</v>
          </cell>
        </row>
        <row r="409">
          <cell r="F409">
            <v>1.6666666666666667</v>
          </cell>
          <cell r="P409">
            <v>5</v>
          </cell>
          <cell r="X409">
            <v>3</v>
          </cell>
          <cell r="Y409">
            <v>1</v>
          </cell>
          <cell r="AC409">
            <v>3</v>
          </cell>
          <cell r="AD409">
            <v>1</v>
          </cell>
          <cell r="AK409">
            <v>57.666666666666664</v>
          </cell>
          <cell r="AL409">
            <v>47</v>
          </cell>
        </row>
        <row r="410">
          <cell r="F410">
            <v>0</v>
          </cell>
          <cell r="P410">
            <v>0</v>
          </cell>
          <cell r="X410">
            <v>0</v>
          </cell>
          <cell r="Y410">
            <v>0</v>
          </cell>
          <cell r="AC410">
            <v>0</v>
          </cell>
          <cell r="AD410">
            <v>0</v>
          </cell>
          <cell r="AK410">
            <v>4</v>
          </cell>
          <cell r="AL410">
            <v>0</v>
          </cell>
        </row>
        <row r="411">
          <cell r="F411">
            <v>0</v>
          </cell>
          <cell r="P411">
            <v>0</v>
          </cell>
          <cell r="X411">
            <v>0</v>
          </cell>
          <cell r="Y411">
            <v>0</v>
          </cell>
          <cell r="AC411">
            <v>0</v>
          </cell>
          <cell r="AD411">
            <v>0</v>
          </cell>
          <cell r="AK411">
            <v>0</v>
          </cell>
          <cell r="AL411">
            <v>0</v>
          </cell>
        </row>
        <row r="412">
          <cell r="F412">
            <v>0</v>
          </cell>
          <cell r="P412">
            <v>18.5</v>
          </cell>
          <cell r="X412">
            <v>4.5</v>
          </cell>
          <cell r="Y412">
            <v>2</v>
          </cell>
          <cell r="AC412">
            <v>1.3333333333333333</v>
          </cell>
          <cell r="AD412">
            <v>1</v>
          </cell>
          <cell r="AK412">
            <v>28.5</v>
          </cell>
          <cell r="AL412">
            <v>25.5</v>
          </cell>
        </row>
        <row r="413">
          <cell r="F413">
            <v>0</v>
          </cell>
          <cell r="P413">
            <v>1.3333333333333333</v>
          </cell>
          <cell r="X413">
            <v>0</v>
          </cell>
          <cell r="Y413">
            <v>0</v>
          </cell>
          <cell r="AC413">
            <v>1.6666666666666667</v>
          </cell>
          <cell r="AD413">
            <v>1</v>
          </cell>
          <cell r="AK413">
            <v>69</v>
          </cell>
          <cell r="AL413">
            <v>52.333333333333336</v>
          </cell>
        </row>
        <row r="414">
          <cell r="F414">
            <v>177</v>
          </cell>
          <cell r="P414">
            <v>0</v>
          </cell>
          <cell r="X414">
            <v>0</v>
          </cell>
          <cell r="Y414">
            <v>0</v>
          </cell>
          <cell r="AC414">
            <v>0</v>
          </cell>
          <cell r="AD414">
            <v>0</v>
          </cell>
          <cell r="AK414">
            <v>177</v>
          </cell>
          <cell r="AL414">
            <v>51</v>
          </cell>
        </row>
        <row r="415">
          <cell r="F415">
            <v>0</v>
          </cell>
          <cell r="P415">
            <v>0</v>
          </cell>
          <cell r="X415">
            <v>10</v>
          </cell>
          <cell r="Y415">
            <v>4</v>
          </cell>
          <cell r="AC415">
            <v>7.666666666666667</v>
          </cell>
          <cell r="AD415">
            <v>3</v>
          </cell>
          <cell r="AK415">
            <v>17.666666666666668</v>
          </cell>
          <cell r="AL415">
            <v>7</v>
          </cell>
        </row>
        <row r="416">
          <cell r="F416">
            <v>0.66666666666666663</v>
          </cell>
          <cell r="P416">
            <v>2</v>
          </cell>
          <cell r="X416">
            <v>1.3333333333333333</v>
          </cell>
          <cell r="Y416">
            <v>1</v>
          </cell>
          <cell r="AC416">
            <v>1</v>
          </cell>
          <cell r="AD416">
            <v>0</v>
          </cell>
          <cell r="AK416">
            <v>6</v>
          </cell>
          <cell r="AL416">
            <v>3</v>
          </cell>
        </row>
        <row r="417">
          <cell r="F417">
            <v>2.6666666666666665</v>
          </cell>
          <cell r="P417">
            <v>0.33333333333333331</v>
          </cell>
          <cell r="X417">
            <v>1</v>
          </cell>
          <cell r="Y417">
            <v>0</v>
          </cell>
          <cell r="AC417">
            <v>0.66666666666666663</v>
          </cell>
          <cell r="AD417">
            <v>0</v>
          </cell>
          <cell r="AK417">
            <v>9.3333333333333339</v>
          </cell>
          <cell r="AL417">
            <v>3.3333333333333335</v>
          </cell>
        </row>
        <row r="418">
          <cell r="F418">
            <v>0</v>
          </cell>
          <cell r="P418">
            <v>2.3333333333333335</v>
          </cell>
          <cell r="X418">
            <v>6</v>
          </cell>
          <cell r="Y418">
            <v>3</v>
          </cell>
          <cell r="AC418">
            <v>5</v>
          </cell>
          <cell r="AD418">
            <v>2</v>
          </cell>
          <cell r="AK418">
            <v>13.333333333333334</v>
          </cell>
          <cell r="AL418">
            <v>7.3333333333333339</v>
          </cell>
        </row>
        <row r="419">
          <cell r="F419">
            <v>0</v>
          </cell>
          <cell r="P419">
            <v>0</v>
          </cell>
          <cell r="X419">
            <v>0</v>
          </cell>
          <cell r="Y419">
            <v>0</v>
          </cell>
          <cell r="AC419">
            <v>0</v>
          </cell>
          <cell r="AD419">
            <v>0</v>
          </cell>
          <cell r="AK419">
            <v>0</v>
          </cell>
          <cell r="AL419">
            <v>0</v>
          </cell>
        </row>
        <row r="420">
          <cell r="F420">
            <v>0</v>
          </cell>
          <cell r="P420">
            <v>0</v>
          </cell>
          <cell r="X420">
            <v>0</v>
          </cell>
          <cell r="Y420">
            <v>0</v>
          </cell>
          <cell r="AC420">
            <v>0</v>
          </cell>
          <cell r="AD420">
            <v>0</v>
          </cell>
          <cell r="AK420">
            <v>0</v>
          </cell>
          <cell r="AL420">
            <v>0</v>
          </cell>
        </row>
        <row r="421">
          <cell r="F421">
            <v>9.6666666666666661</v>
          </cell>
          <cell r="P421">
            <v>1</v>
          </cell>
          <cell r="X421">
            <v>0</v>
          </cell>
          <cell r="Y421">
            <v>0</v>
          </cell>
          <cell r="AC421">
            <v>0</v>
          </cell>
          <cell r="AD421">
            <v>0</v>
          </cell>
          <cell r="AK421">
            <v>12</v>
          </cell>
          <cell r="AL421">
            <v>5</v>
          </cell>
        </row>
        <row r="422">
          <cell r="F422">
            <v>0</v>
          </cell>
          <cell r="P422">
            <v>0</v>
          </cell>
          <cell r="X422">
            <v>0</v>
          </cell>
          <cell r="Y422">
            <v>0</v>
          </cell>
          <cell r="AC422">
            <v>0</v>
          </cell>
          <cell r="AD422">
            <v>0</v>
          </cell>
          <cell r="AK422">
            <v>0</v>
          </cell>
          <cell r="AL422">
            <v>0</v>
          </cell>
        </row>
        <row r="423">
          <cell r="F423">
            <v>2.3333333333333335</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P425">
            <v>4.666666666666667</v>
          </cell>
          <cell r="X425">
            <v>3</v>
          </cell>
          <cell r="Y425">
            <v>1</v>
          </cell>
          <cell r="AC425">
            <v>2</v>
          </cell>
          <cell r="AD425">
            <v>1</v>
          </cell>
          <cell r="AK425">
            <v>33</v>
          </cell>
          <cell r="AL425">
            <v>18.666666666666668</v>
          </cell>
        </row>
        <row r="426">
          <cell r="F426">
            <v>0</v>
          </cell>
          <cell r="P426">
            <v>0</v>
          </cell>
          <cell r="X426">
            <v>0</v>
          </cell>
          <cell r="Y426">
            <v>0</v>
          </cell>
          <cell r="AC426">
            <v>0</v>
          </cell>
          <cell r="AD426">
            <v>0</v>
          </cell>
          <cell r="AK426">
            <v>0</v>
          </cell>
          <cell r="AL426">
            <v>0</v>
          </cell>
        </row>
        <row r="427">
          <cell r="F427">
            <v>0</v>
          </cell>
          <cell r="P427">
            <v>0</v>
          </cell>
          <cell r="X427">
            <v>0</v>
          </cell>
          <cell r="Y427">
            <v>0</v>
          </cell>
          <cell r="AC427">
            <v>0</v>
          </cell>
          <cell r="AD427">
            <v>0</v>
          </cell>
          <cell r="AK427">
            <v>0</v>
          </cell>
          <cell r="AL427">
            <v>53</v>
          </cell>
        </row>
        <row r="428">
          <cell r="F428">
            <v>1</v>
          </cell>
          <cell r="P428">
            <v>0</v>
          </cell>
          <cell r="X428">
            <v>0</v>
          </cell>
          <cell r="Y428">
            <v>0</v>
          </cell>
          <cell r="AC428">
            <v>0</v>
          </cell>
          <cell r="AD428">
            <v>0</v>
          </cell>
          <cell r="AK428">
            <v>1</v>
          </cell>
          <cell r="AL428">
            <v>1</v>
          </cell>
        </row>
        <row r="429">
          <cell r="F429">
            <v>0</v>
          </cell>
          <cell r="P429">
            <v>0</v>
          </cell>
          <cell r="X429">
            <v>0</v>
          </cell>
          <cell r="Y429">
            <v>0</v>
          </cell>
          <cell r="AC429">
            <v>0</v>
          </cell>
          <cell r="AD429">
            <v>0</v>
          </cell>
          <cell r="AK429">
            <v>0</v>
          </cell>
          <cell r="AL429">
            <v>0</v>
          </cell>
        </row>
        <row r="430">
          <cell r="F430">
            <v>0</v>
          </cell>
          <cell r="P430">
            <v>0</v>
          </cell>
          <cell r="X430">
            <v>0</v>
          </cell>
          <cell r="Y430">
            <v>0</v>
          </cell>
          <cell r="AC430">
            <v>0</v>
          </cell>
          <cell r="AD430">
            <v>0</v>
          </cell>
          <cell r="AK430">
            <v>0</v>
          </cell>
          <cell r="AL430">
            <v>0</v>
          </cell>
        </row>
        <row r="431">
          <cell r="F431">
            <v>2.6666666666666665</v>
          </cell>
          <cell r="P431">
            <v>1</v>
          </cell>
          <cell r="X431">
            <v>4</v>
          </cell>
          <cell r="Y431">
            <v>2</v>
          </cell>
          <cell r="AC431">
            <v>2</v>
          </cell>
          <cell r="AD431">
            <v>1</v>
          </cell>
          <cell r="AK431">
            <v>15.666666666666666</v>
          </cell>
          <cell r="AL431">
            <v>8</v>
          </cell>
        </row>
        <row r="432">
          <cell r="F432">
            <v>0</v>
          </cell>
          <cell r="P432">
            <v>0</v>
          </cell>
          <cell r="X432">
            <v>0</v>
          </cell>
          <cell r="Y432">
            <v>0</v>
          </cell>
          <cell r="AC432">
            <v>0</v>
          </cell>
          <cell r="AD432">
            <v>0</v>
          </cell>
          <cell r="AK432">
            <v>0</v>
          </cell>
          <cell r="AL432">
            <v>0</v>
          </cell>
        </row>
        <row r="433">
          <cell r="F433">
            <v>0</v>
          </cell>
          <cell r="P433">
            <v>0</v>
          </cell>
          <cell r="X433">
            <v>3.3333333333333335</v>
          </cell>
          <cell r="Y433">
            <v>1</v>
          </cell>
          <cell r="AC433">
            <v>0</v>
          </cell>
          <cell r="AD433">
            <v>0</v>
          </cell>
          <cell r="AK433">
            <v>3.3333333333333335</v>
          </cell>
          <cell r="AL433">
            <v>1</v>
          </cell>
        </row>
        <row r="434">
          <cell r="F434">
            <v>0.33333333333333331</v>
          </cell>
          <cell r="P434">
            <v>0.33333333333333331</v>
          </cell>
          <cell r="X434">
            <v>0.33333333333333331</v>
          </cell>
          <cell r="Y434">
            <v>0</v>
          </cell>
          <cell r="AC434">
            <v>0.33333333333333331</v>
          </cell>
          <cell r="AD434">
            <v>0</v>
          </cell>
          <cell r="AK434">
            <v>1.9999999999999998</v>
          </cell>
          <cell r="AL434">
            <v>0.33333333333333331</v>
          </cell>
        </row>
        <row r="435">
          <cell r="F435">
            <v>0</v>
          </cell>
          <cell r="P435">
            <v>0</v>
          </cell>
          <cell r="X435">
            <v>0</v>
          </cell>
          <cell r="Y435">
            <v>0</v>
          </cell>
          <cell r="AC435">
            <v>0</v>
          </cell>
          <cell r="AD435">
            <v>0</v>
          </cell>
          <cell r="AK435">
            <v>0</v>
          </cell>
          <cell r="AL435">
            <v>0</v>
          </cell>
        </row>
        <row r="436">
          <cell r="F436">
            <v>0</v>
          </cell>
          <cell r="P436">
            <v>0</v>
          </cell>
          <cell r="X436">
            <v>0</v>
          </cell>
          <cell r="Y436">
            <v>0</v>
          </cell>
          <cell r="AC436">
            <v>0</v>
          </cell>
          <cell r="AD436">
            <v>0</v>
          </cell>
          <cell r="AK436">
            <v>0</v>
          </cell>
          <cell r="AL436">
            <v>0</v>
          </cell>
        </row>
        <row r="437">
          <cell r="F437">
            <v>0</v>
          </cell>
          <cell r="P437">
            <v>0</v>
          </cell>
          <cell r="X437">
            <v>0</v>
          </cell>
          <cell r="Y437">
            <v>0</v>
          </cell>
          <cell r="AC437">
            <v>0</v>
          </cell>
          <cell r="AD437">
            <v>0</v>
          </cell>
          <cell r="AK437">
            <v>0</v>
          </cell>
          <cell r="AL437">
            <v>0</v>
          </cell>
        </row>
        <row r="438">
          <cell r="F438">
            <v>0</v>
          </cell>
          <cell r="P438">
            <v>0</v>
          </cell>
          <cell r="X438">
            <v>0</v>
          </cell>
          <cell r="Y438">
            <v>0</v>
          </cell>
          <cell r="AC438">
            <v>0</v>
          </cell>
          <cell r="AD438">
            <v>0</v>
          </cell>
          <cell r="AK438">
            <v>0</v>
          </cell>
          <cell r="AL438">
            <v>0</v>
          </cell>
        </row>
        <row r="439">
          <cell r="F439">
            <v>0</v>
          </cell>
          <cell r="P439">
            <v>0</v>
          </cell>
          <cell r="X439">
            <v>0</v>
          </cell>
          <cell r="Y439">
            <v>0</v>
          </cell>
          <cell r="AC439">
            <v>0</v>
          </cell>
          <cell r="AD439">
            <v>0</v>
          </cell>
          <cell r="AK439">
            <v>0</v>
          </cell>
          <cell r="AL439">
            <v>0</v>
          </cell>
        </row>
        <row r="440">
          <cell r="F440">
            <v>0</v>
          </cell>
          <cell r="P440">
            <v>0</v>
          </cell>
          <cell r="X440">
            <v>0</v>
          </cell>
          <cell r="Y440">
            <v>0</v>
          </cell>
          <cell r="AC440">
            <v>0</v>
          </cell>
          <cell r="AD440">
            <v>0</v>
          </cell>
          <cell r="AK440">
            <v>0</v>
          </cell>
          <cell r="AL440">
            <v>0</v>
          </cell>
        </row>
        <row r="441">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4" refreshError="1">
        <row r="21">
          <cell r="AI21" t="str">
            <v xml:space="preserve">         Затверджую</v>
          </cell>
        </row>
        <row r="22">
          <cell r="AI22" t="str">
            <v xml:space="preserve"> Голова правління </v>
          </cell>
        </row>
        <row r="23">
          <cell r="AI23" t="str">
            <v xml:space="preserve"> Голова правління </v>
          </cell>
        </row>
        <row r="24">
          <cell r="AI24" t="str">
            <v xml:space="preserve">                        І.В.Плачков</v>
          </cell>
        </row>
        <row r="25">
          <cell r="AI25" t="str">
            <v xml:space="preserve">   "_____" ________2000 р.</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I47">
            <v>0.45600000000000002</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H49">
            <v>120.376</v>
          </cell>
          <cell r="P49">
            <v>1</v>
          </cell>
          <cell r="S49">
            <v>558.61599999999999</v>
          </cell>
          <cell r="T49">
            <v>279.30799999999999</v>
          </cell>
          <cell r="U49">
            <v>279.30799999999999</v>
          </cell>
          <cell r="X49">
            <v>46</v>
          </cell>
          <cell r="Y49">
            <v>20</v>
          </cell>
          <cell r="Z49">
            <v>26</v>
          </cell>
          <cell r="AC49">
            <v>195</v>
          </cell>
          <cell r="AD49">
            <v>74</v>
          </cell>
          <cell r="AE49">
            <v>121</v>
          </cell>
          <cell r="AF49">
            <v>303.20800000000003</v>
          </cell>
          <cell r="AG49">
            <v>220.68</v>
          </cell>
          <cell r="AH49">
            <v>0</v>
          </cell>
          <cell r="AK49">
            <v>242</v>
          </cell>
          <cell r="AL49">
            <v>95</v>
          </cell>
          <cell r="AM49">
            <v>147</v>
          </cell>
        </row>
        <row r="50">
          <cell r="F50">
            <v>417.35999999999996</v>
          </cell>
          <cell r="G50">
            <v>197</v>
          </cell>
          <cell r="H50">
            <v>36.833333333333329</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P52">
            <v>4</v>
          </cell>
          <cell r="S52">
            <v>22</v>
          </cell>
          <cell r="T52">
            <v>22</v>
          </cell>
          <cell r="U52">
            <v>0</v>
          </cell>
          <cell r="X52">
            <v>790</v>
          </cell>
          <cell r="Y52">
            <v>343</v>
          </cell>
          <cell r="Z52">
            <v>447</v>
          </cell>
          <cell r="AC52">
            <v>13</v>
          </cell>
          <cell r="AD52">
            <v>5</v>
          </cell>
          <cell r="AE52">
            <v>8</v>
          </cell>
          <cell r="AF52">
            <v>7.8735999999999997</v>
          </cell>
          <cell r="AG52">
            <v>5.7305415688240409</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F53">
            <v>120.024</v>
          </cell>
          <cell r="AG53">
            <v>96.92</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P55">
            <v>0</v>
          </cell>
          <cell r="S55">
            <v>19250</v>
          </cell>
          <cell r="T55">
            <v>0</v>
          </cell>
          <cell r="U55">
            <v>0</v>
          </cell>
          <cell r="X55">
            <v>44597</v>
          </cell>
          <cell r="Y55">
            <v>30041.25</v>
          </cell>
          <cell r="Z55">
            <v>14555.75</v>
          </cell>
          <cell r="AC55">
            <v>36151</v>
          </cell>
          <cell r="AD55">
            <v>22308.272727272721</v>
          </cell>
          <cell r="AE55">
            <v>13842.727272727279</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I56">
            <v>0</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F60">
            <v>20</v>
          </cell>
          <cell r="G60">
            <v>0</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0</v>
          </cell>
          <cell r="AI60">
            <v>38</v>
          </cell>
          <cell r="AK60">
            <v>0</v>
          </cell>
          <cell r="AL60">
            <v>81</v>
          </cell>
          <cell r="AM60">
            <v>195</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I61">
            <v>222</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T63">
            <v>228.32</v>
          </cell>
          <cell r="U63">
            <v>1198.68</v>
          </cell>
          <cell r="X63">
            <v>110</v>
          </cell>
          <cell r="Y63">
            <v>307</v>
          </cell>
          <cell r="Z63">
            <v>401</v>
          </cell>
          <cell r="AC63">
            <v>80</v>
          </cell>
          <cell r="AD63">
            <v>31</v>
          </cell>
          <cell r="AE63">
            <v>454</v>
          </cell>
          <cell r="AF63">
            <v>250</v>
          </cell>
          <cell r="AG63">
            <v>250</v>
          </cell>
          <cell r="AH63">
            <v>0</v>
          </cell>
          <cell r="AK63">
            <v>1791</v>
          </cell>
          <cell r="AL63">
            <v>426</v>
          </cell>
          <cell r="AM63">
            <v>1365</v>
          </cell>
          <cell r="AO63">
            <v>253</v>
          </cell>
        </row>
        <row r="64">
          <cell r="F64">
            <v>0</v>
          </cell>
          <cell r="G64">
            <v>0</v>
          </cell>
          <cell r="P64">
            <v>0</v>
          </cell>
          <cell r="S64">
            <v>0</v>
          </cell>
          <cell r="T64">
            <v>23</v>
          </cell>
          <cell r="U64">
            <v>120</v>
          </cell>
          <cell r="AC64">
            <v>0</v>
          </cell>
          <cell r="AD64">
            <v>0</v>
          </cell>
          <cell r="AF64">
            <v>0</v>
          </cell>
          <cell r="AG64">
            <v>0</v>
          </cell>
          <cell r="AH64">
            <v>0</v>
          </cell>
          <cell r="AI64">
            <v>0</v>
          </cell>
          <cell r="AJ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H67">
            <v>10.333333333333329</v>
          </cell>
          <cell r="P67">
            <v>53</v>
          </cell>
          <cell r="S67">
            <v>296</v>
          </cell>
          <cell r="T67">
            <v>205.32</v>
          </cell>
          <cell r="U67">
            <v>1078.68</v>
          </cell>
          <cell r="X67">
            <v>197.81818181818181</v>
          </cell>
          <cell r="Y67">
            <v>86</v>
          </cell>
          <cell r="Z67">
            <v>111.81818181818181</v>
          </cell>
          <cell r="AC67">
            <v>144</v>
          </cell>
          <cell r="AD67">
            <v>55</v>
          </cell>
          <cell r="AE67">
            <v>89</v>
          </cell>
          <cell r="AF67">
            <v>85.090909090909093</v>
          </cell>
          <cell r="AG67">
            <v>85.090909090909093</v>
          </cell>
          <cell r="AH67">
            <v>0</v>
          </cell>
          <cell r="AI67">
            <v>0</v>
          </cell>
          <cell r="AJ67">
            <v>0</v>
          </cell>
          <cell r="AK67">
            <v>775.90909090909088</v>
          </cell>
          <cell r="AL67">
            <v>194</v>
          </cell>
          <cell r="AM67">
            <v>581.90909090909088</v>
          </cell>
        </row>
        <row r="68">
          <cell r="F68">
            <v>0</v>
          </cell>
          <cell r="G68">
            <v>0</v>
          </cell>
          <cell r="H68">
            <v>18.641999999999996</v>
          </cell>
          <cell r="P68">
            <v>3</v>
          </cell>
          <cell r="S68">
            <v>16</v>
          </cell>
          <cell r="T68">
            <v>125.15</v>
          </cell>
          <cell r="U68">
            <v>375.45000000000005</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S74">
            <v>0</v>
          </cell>
          <cell r="T74">
            <v>0</v>
          </cell>
          <cell r="U74">
            <v>0</v>
          </cell>
          <cell r="X74">
            <v>0</v>
          </cell>
          <cell r="Y74">
            <v>0</v>
          </cell>
          <cell r="Z74">
            <v>0</v>
          </cell>
          <cell r="AC74">
            <v>0</v>
          </cell>
          <cell r="AD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I75">
            <v>370</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G77">
            <v>474</v>
          </cell>
          <cell r="H77">
            <v>0</v>
          </cell>
          <cell r="P77">
            <v>0</v>
          </cell>
          <cell r="S77">
            <v>0</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269</v>
          </cell>
          <cell r="AL77">
            <v>83</v>
          </cell>
          <cell r="AM77">
            <v>186</v>
          </cell>
          <cell r="AQ77">
            <v>186</v>
          </cell>
        </row>
        <row r="78">
          <cell r="F78">
            <v>0</v>
          </cell>
          <cell r="G78">
            <v>80</v>
          </cell>
          <cell r="H78">
            <v>0</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0</v>
          </cell>
          <cell r="AL78">
            <v>0</v>
          </cell>
          <cell r="AM78">
            <v>0</v>
          </cell>
        </row>
        <row r="79">
          <cell r="F79">
            <v>1</v>
          </cell>
          <cell r="G79">
            <v>0</v>
          </cell>
          <cell r="H79">
            <v>1</v>
          </cell>
          <cell r="P79">
            <v>14.700000000000003</v>
          </cell>
          <cell r="S79">
            <v>0</v>
          </cell>
          <cell r="Y79">
            <v>0</v>
          </cell>
          <cell r="Z79">
            <v>0</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F82">
            <v>0</v>
          </cell>
          <cell r="H82">
            <v>0</v>
          </cell>
          <cell r="AK82">
            <v>0</v>
          </cell>
          <cell r="AL82">
            <v>57353.122727272712</v>
          </cell>
          <cell r="AM82">
            <v>0</v>
          </cell>
        </row>
        <row r="83">
          <cell r="F83">
            <v>0</v>
          </cell>
          <cell r="G83">
            <v>0</v>
          </cell>
          <cell r="H83">
            <v>1</v>
          </cell>
          <cell r="AH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0</v>
          </cell>
          <cell r="AI85">
            <v>692.36363636363637</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Q88">
            <v>0</v>
          </cell>
          <cell r="R88">
            <v>0</v>
          </cell>
          <cell r="S88">
            <v>1</v>
          </cell>
          <cell r="T88">
            <v>24329.410276363637</v>
          </cell>
          <cell r="U88">
            <v>2847.2304509090909</v>
          </cell>
          <cell r="V88">
            <v>0</v>
          </cell>
          <cell r="W88">
            <v>0</v>
          </cell>
          <cell r="X88">
            <v>110</v>
          </cell>
          <cell r="Y88">
            <v>48</v>
          </cell>
          <cell r="Z88">
            <v>62</v>
          </cell>
          <cell r="AA88">
            <v>0</v>
          </cell>
          <cell r="AB88">
            <v>0</v>
          </cell>
          <cell r="AC88">
            <v>26</v>
          </cell>
          <cell r="AD88">
            <v>16</v>
          </cell>
          <cell r="AE88">
            <v>10</v>
          </cell>
          <cell r="AF88">
            <v>12</v>
          </cell>
          <cell r="AG88">
            <v>11</v>
          </cell>
          <cell r="AH88">
            <v>1</v>
          </cell>
          <cell r="AI88">
            <v>1322.3636363636365</v>
          </cell>
          <cell r="AK88">
            <v>220.66666666666669</v>
          </cell>
          <cell r="AL88">
            <v>128</v>
          </cell>
          <cell r="AM88">
            <v>92.666666666666686</v>
          </cell>
          <cell r="AN88">
            <v>64</v>
          </cell>
          <cell r="AO88">
            <v>72</v>
          </cell>
          <cell r="AP88">
            <v>64</v>
          </cell>
          <cell r="AQ88">
            <v>20.666666666666686</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F95">
            <v>3715.6352121212121</v>
          </cell>
          <cell r="G95">
            <v>1632</v>
          </cell>
          <cell r="H95">
            <v>2083.6352121212117</v>
          </cell>
          <cell r="P95">
            <v>0</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0</v>
          </cell>
          <cell r="AL95">
            <v>58830.66674564944</v>
          </cell>
          <cell r="AM95">
            <v>65411.053799805093</v>
          </cell>
        </row>
        <row r="96">
          <cell r="F96">
            <v>289</v>
          </cell>
          <cell r="G96">
            <v>1632</v>
          </cell>
          <cell r="H96">
            <v>2083.6352121212117</v>
          </cell>
          <cell r="P96">
            <v>2235.8934545454545</v>
          </cell>
          <cell r="Q96">
            <v>0</v>
          </cell>
          <cell r="R96">
            <v>0</v>
          </cell>
          <cell r="S96">
            <v>0</v>
          </cell>
          <cell r="T96">
            <v>5079.4102763636365</v>
          </cell>
          <cell r="U96">
            <v>2847.2304509090909</v>
          </cell>
          <cell r="V96">
            <v>0</v>
          </cell>
          <cell r="W96">
            <v>0</v>
          </cell>
          <cell r="X96">
            <v>0</v>
          </cell>
          <cell r="Y96">
            <v>1135</v>
          </cell>
          <cell r="Z96">
            <v>1483.5127272727277</v>
          </cell>
          <cell r="AA96">
            <v>0</v>
          </cell>
          <cell r="AB96">
            <v>0</v>
          </cell>
          <cell r="AC96">
            <v>0</v>
          </cell>
          <cell r="AD96">
            <v>680</v>
          </cell>
          <cell r="AE96">
            <v>1085.2709090909102</v>
          </cell>
          <cell r="AF96">
            <v>0</v>
          </cell>
          <cell r="AG96">
            <v>0</v>
          </cell>
          <cell r="AH96">
            <v>0</v>
          </cell>
          <cell r="AI96">
            <v>264</v>
          </cell>
          <cell r="AJ96">
            <v>0</v>
          </cell>
          <cell r="AK96">
            <v>553</v>
          </cell>
          <cell r="AL96">
            <v>6481.144018376719</v>
          </cell>
          <cell r="AM96">
            <v>17762.576527077814</v>
          </cell>
        </row>
        <row r="97">
          <cell r="F97">
            <v>674.74900000000002</v>
          </cell>
          <cell r="G97">
            <v>3715.6352121212117</v>
          </cell>
          <cell r="P97">
            <v>0</v>
          </cell>
          <cell r="S97">
            <v>0</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0</v>
          </cell>
          <cell r="X98">
            <v>0</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0</v>
          </cell>
        </row>
        <row r="101">
          <cell r="P101">
            <v>0</v>
          </cell>
          <cell r="S101">
            <v>0</v>
          </cell>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G106">
            <v>244</v>
          </cell>
          <cell r="H106">
            <v>598.31700000000001</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G107">
            <v>176</v>
          </cell>
          <cell r="H107">
            <v>430.74900000000002</v>
          </cell>
          <cell r="P107">
            <v>0</v>
          </cell>
          <cell r="S107">
            <v>120</v>
          </cell>
          <cell r="X107">
            <v>0</v>
          </cell>
          <cell r="AC107">
            <v>0</v>
          </cell>
          <cell r="AF107">
            <v>0</v>
          </cell>
          <cell r="AG107">
            <v>0</v>
          </cell>
          <cell r="AH107">
            <v>0</v>
          </cell>
          <cell r="AI107">
            <v>0</v>
          </cell>
          <cell r="AK107">
            <v>120</v>
          </cell>
        </row>
        <row r="108">
          <cell r="F108">
            <v>375</v>
          </cell>
          <cell r="G108">
            <v>68</v>
          </cell>
          <cell r="H108">
            <v>168</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G109">
            <v>0</v>
          </cell>
          <cell r="H109">
            <v>-0.43200000000001637</v>
          </cell>
          <cell r="P109">
            <v>0</v>
          </cell>
          <cell r="S109">
            <v>250</v>
          </cell>
          <cell r="X109">
            <v>-0.3360000000000003</v>
          </cell>
          <cell r="AC109">
            <v>0</v>
          </cell>
          <cell r="AF109">
            <v>0</v>
          </cell>
          <cell r="AG109">
            <v>0</v>
          </cell>
          <cell r="AH109">
            <v>0</v>
          </cell>
          <cell r="AI109">
            <v>88.560000000000016</v>
          </cell>
          <cell r="AK109">
            <v>250</v>
          </cell>
          <cell r="AL109">
            <v>25.641990811638593</v>
          </cell>
          <cell r="AM109">
            <v>0</v>
          </cell>
        </row>
        <row r="110">
          <cell r="F110">
            <v>0</v>
          </cell>
          <cell r="G110">
            <v>163</v>
          </cell>
          <cell r="H110">
            <v>397.5</v>
          </cell>
          <cell r="P110">
            <v>0</v>
          </cell>
          <cell r="S110">
            <v>250</v>
          </cell>
          <cell r="X110">
            <v>-0.42800000000000082</v>
          </cell>
          <cell r="AC110">
            <v>30.067999999999998</v>
          </cell>
          <cell r="AF110">
            <v>0.28399999999999892</v>
          </cell>
          <cell r="AG110">
            <v>0.28399999999999892</v>
          </cell>
          <cell r="AH110">
            <v>0</v>
          </cell>
          <cell r="AI110">
            <v>336.596</v>
          </cell>
          <cell r="AK110">
            <v>250</v>
          </cell>
        </row>
        <row r="111">
          <cell r="F111">
            <v>0</v>
          </cell>
          <cell r="G111">
            <v>163</v>
          </cell>
          <cell r="H111">
            <v>398</v>
          </cell>
          <cell r="P111">
            <v>0</v>
          </cell>
          <cell r="S111">
            <v>0</v>
          </cell>
          <cell r="X111">
            <v>0</v>
          </cell>
          <cell r="AC111">
            <v>0</v>
          </cell>
          <cell r="AF111">
            <v>0</v>
          </cell>
          <cell r="AG111">
            <v>0</v>
          </cell>
          <cell r="AH111">
            <v>0</v>
          </cell>
          <cell r="AI111">
            <v>56</v>
          </cell>
          <cell r="AK111">
            <v>0</v>
          </cell>
          <cell r="AL111">
            <v>0</v>
          </cell>
          <cell r="AM111">
            <v>0</v>
          </cell>
        </row>
        <row r="112">
          <cell r="F112">
            <v>-0.5</v>
          </cell>
          <cell r="G112">
            <v>0</v>
          </cell>
          <cell r="H112">
            <v>-0.5</v>
          </cell>
          <cell r="P112">
            <v>0</v>
          </cell>
          <cell r="S112">
            <v>0</v>
          </cell>
          <cell r="X112">
            <v>0</v>
          </cell>
          <cell r="AC112">
            <v>0</v>
          </cell>
          <cell r="AF112">
            <v>0</v>
          </cell>
          <cell r="AG112">
            <v>0</v>
          </cell>
          <cell r="AH112">
            <v>0</v>
          </cell>
          <cell r="AI112">
            <v>280.596</v>
          </cell>
          <cell r="AK112">
            <v>0</v>
          </cell>
          <cell r="AL112">
            <v>89.844474732006134</v>
          </cell>
          <cell r="AM112">
            <v>219.75152526799388</v>
          </cell>
        </row>
        <row r="113">
          <cell r="F113">
            <v>196</v>
          </cell>
          <cell r="G113">
            <v>0</v>
          </cell>
          <cell r="H113">
            <v>0</v>
          </cell>
          <cell r="P113">
            <v>273</v>
          </cell>
          <cell r="S113">
            <v>538</v>
          </cell>
          <cell r="X113">
            <v>237</v>
          </cell>
          <cell r="AC113">
            <v>172</v>
          </cell>
          <cell r="AF113">
            <v>535</v>
          </cell>
          <cell r="AG113">
            <v>535</v>
          </cell>
          <cell r="AH113">
            <v>0</v>
          </cell>
          <cell r="AI113">
            <v>952</v>
          </cell>
          <cell r="AK113">
            <v>2987</v>
          </cell>
          <cell r="AM113">
            <v>0</v>
          </cell>
        </row>
        <row r="114">
          <cell r="F114">
            <v>2</v>
          </cell>
          <cell r="G114">
            <v>0</v>
          </cell>
          <cell r="H114">
            <v>0</v>
          </cell>
          <cell r="P114">
            <v>0</v>
          </cell>
          <cell r="S114">
            <v>7</v>
          </cell>
          <cell r="X114">
            <v>40</v>
          </cell>
          <cell r="AC114">
            <v>0</v>
          </cell>
          <cell r="AF114">
            <v>0</v>
          </cell>
          <cell r="AG114">
            <v>0</v>
          </cell>
          <cell r="AH114">
            <v>0</v>
          </cell>
          <cell r="AI114">
            <v>6.7</v>
          </cell>
          <cell r="AK114">
            <v>55.7</v>
          </cell>
        </row>
        <row r="115">
          <cell r="F115">
            <v>588.33333333333337</v>
          </cell>
          <cell r="G115">
            <v>0</v>
          </cell>
          <cell r="H115">
            <v>0</v>
          </cell>
          <cell r="P115">
            <v>0</v>
          </cell>
          <cell r="S115">
            <v>0</v>
          </cell>
          <cell r="X115">
            <v>0</v>
          </cell>
          <cell r="AC115">
            <v>0</v>
          </cell>
          <cell r="AF115">
            <v>0</v>
          </cell>
          <cell r="AG115">
            <v>0</v>
          </cell>
          <cell r="AH115">
            <v>0</v>
          </cell>
          <cell r="AK115">
            <v>588.33333333333337</v>
          </cell>
          <cell r="AL115">
            <v>0</v>
          </cell>
          <cell r="AM115">
            <v>0</v>
          </cell>
        </row>
        <row r="116">
          <cell r="F116">
            <v>0</v>
          </cell>
          <cell r="G116">
            <v>0</v>
          </cell>
          <cell r="H116">
            <v>0</v>
          </cell>
          <cell r="P116">
            <v>0</v>
          </cell>
          <cell r="S116">
            <v>0</v>
          </cell>
          <cell r="X116">
            <v>0</v>
          </cell>
          <cell r="AC116">
            <v>0</v>
          </cell>
          <cell r="AF116">
            <v>0</v>
          </cell>
          <cell r="AG116">
            <v>0</v>
          </cell>
          <cell r="AH116">
            <v>0</v>
          </cell>
          <cell r="AK116">
            <v>0</v>
          </cell>
        </row>
        <row r="117">
          <cell r="F117">
            <v>5733.333333333333</v>
          </cell>
          <cell r="G117">
            <v>0</v>
          </cell>
          <cell r="H117">
            <v>0</v>
          </cell>
          <cell r="P117">
            <v>0</v>
          </cell>
          <cell r="S117">
            <v>0</v>
          </cell>
          <cell r="X117">
            <v>0</v>
          </cell>
          <cell r="AC117">
            <v>0</v>
          </cell>
          <cell r="AF117">
            <v>0</v>
          </cell>
          <cell r="AG117">
            <v>0</v>
          </cell>
          <cell r="AH117">
            <v>0</v>
          </cell>
          <cell r="AI117">
            <v>952</v>
          </cell>
          <cell r="AK117">
            <v>5733.333333333333</v>
          </cell>
          <cell r="AL117">
            <v>276.26952526799386</v>
          </cell>
          <cell r="AM117">
            <v>675.73047473200609</v>
          </cell>
        </row>
        <row r="118">
          <cell r="F118">
            <v>0</v>
          </cell>
          <cell r="P118">
            <v>0</v>
          </cell>
          <cell r="X118">
            <v>0</v>
          </cell>
          <cell r="AC118">
            <v>0</v>
          </cell>
          <cell r="AF118">
            <v>0</v>
          </cell>
          <cell r="AG118">
            <v>0</v>
          </cell>
          <cell r="AH118">
            <v>0</v>
          </cell>
          <cell r="AI118">
            <v>6.7</v>
          </cell>
          <cell r="AK118">
            <v>0</v>
          </cell>
        </row>
        <row r="119">
          <cell r="F119">
            <v>-20223</v>
          </cell>
          <cell r="AK119">
            <v>-20223</v>
          </cell>
          <cell r="AL119">
            <v>-20400.07348484849</v>
          </cell>
        </row>
        <row r="120">
          <cell r="F120">
            <v>0</v>
          </cell>
          <cell r="S120">
            <v>0</v>
          </cell>
          <cell r="X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F123">
            <v>-13094</v>
          </cell>
          <cell r="AK123">
            <v>-8308.373484848491</v>
          </cell>
          <cell r="AL123">
            <v>12091.699999999997</v>
          </cell>
        </row>
        <row r="124">
          <cell r="F124">
            <v>0</v>
          </cell>
          <cell r="AK124">
            <v>-4318.373484848491</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-6480.7621212121303</v>
          </cell>
          <cell r="AL125">
            <v>-3043.7227272727177</v>
          </cell>
          <cell r="AM125">
            <v>-4302.289393939398</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-2162.3886363636389</v>
          </cell>
          <cell r="AL127">
            <v>7980.1429999999991</v>
          </cell>
          <cell r="AN127">
            <v>0</v>
          </cell>
        </row>
        <row r="128">
          <cell r="AK128">
            <v>0</v>
          </cell>
        </row>
        <row r="129">
          <cell r="AK129">
            <v>-8466.4705454545474</v>
          </cell>
          <cell r="AL129">
            <v>-2928.6667456494397</v>
          </cell>
          <cell r="AM129">
            <v>-6403.0537998050931</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M134">
            <v>59008</v>
          </cell>
          <cell r="AN134">
            <v>0</v>
          </cell>
        </row>
        <row r="135">
          <cell r="AK135">
            <v>-6403.0537998050931</v>
          </cell>
        </row>
        <row r="136">
          <cell r="AK136">
            <v>11.69</v>
          </cell>
          <cell r="AN136" t="e">
            <v>#DIV/0!</v>
          </cell>
        </row>
        <row r="137">
          <cell r="AK137">
            <v>39.4</v>
          </cell>
        </row>
        <row r="138">
          <cell r="AJ138">
            <v>0</v>
          </cell>
          <cell r="AK138">
            <v>12.33</v>
          </cell>
          <cell r="AN138" t="e">
            <v>#DIV/0!</v>
          </cell>
        </row>
        <row r="139">
          <cell r="AK139">
            <v>55902</v>
          </cell>
          <cell r="AL139">
            <v>55902</v>
          </cell>
        </row>
        <row r="140">
          <cell r="AK140">
            <v>11.69</v>
          </cell>
        </row>
        <row r="141">
          <cell r="AJ141">
            <v>300</v>
          </cell>
        </row>
        <row r="142">
          <cell r="AJ142">
            <v>0</v>
          </cell>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cell r="AL146">
            <v>16936.579514090809</v>
          </cell>
          <cell r="AM146">
            <v>-6403.0537998050931</v>
          </cell>
        </row>
        <row r="147">
          <cell r="S147">
            <v>0</v>
          </cell>
          <cell r="AH147">
            <v>7980.143</v>
          </cell>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J149">
            <v>0</v>
          </cell>
          <cell r="AK149">
            <v>-5.3</v>
          </cell>
          <cell r="AL149">
            <v>-5.2</v>
          </cell>
          <cell r="AM149">
            <v>-6.8</v>
          </cell>
        </row>
        <row r="150">
          <cell r="AK150">
            <v>14.129249632100526</v>
          </cell>
          <cell r="AL150">
            <v>35.135537539544195</v>
          </cell>
          <cell r="AM150">
            <v>-6.7955610930302432</v>
          </cell>
        </row>
        <row r="151">
          <cell r="AK151">
            <v>114910</v>
          </cell>
          <cell r="AL151">
            <v>16.65759499457743</v>
          </cell>
          <cell r="AM151">
            <v>35.546987951807232</v>
          </cell>
        </row>
        <row r="152">
          <cell r="AK152">
            <v>134775.24625974026</v>
          </cell>
          <cell r="AL152">
            <v>75767.246259740248</v>
          </cell>
          <cell r="AM152">
            <v>59008</v>
          </cell>
        </row>
        <row r="153">
          <cell r="F153">
            <v>0</v>
          </cell>
          <cell r="P153">
            <v>0</v>
          </cell>
          <cell r="S153">
            <v>0</v>
          </cell>
          <cell r="X153">
            <v>0</v>
          </cell>
          <cell r="AC153">
            <v>0</v>
          </cell>
          <cell r="AI153">
            <v>0</v>
          </cell>
          <cell r="AJ153">
            <v>142</v>
          </cell>
          <cell r="AK153">
            <v>0</v>
          </cell>
          <cell r="AL153">
            <v>-5</v>
          </cell>
          <cell r="AM153">
            <v>-9.8000000000000007</v>
          </cell>
        </row>
        <row r="154">
          <cell r="F154">
            <v>63</v>
          </cell>
          <cell r="P154">
            <v>370</v>
          </cell>
          <cell r="S154">
            <v>719</v>
          </cell>
          <cell r="X154">
            <v>550</v>
          </cell>
          <cell r="AC154">
            <v>480</v>
          </cell>
          <cell r="AF154">
            <v>506</v>
          </cell>
          <cell r="AG154">
            <v>506</v>
          </cell>
          <cell r="AH154">
            <v>0</v>
          </cell>
          <cell r="AK154">
            <v>2688</v>
          </cell>
          <cell r="AL154">
            <v>28.788692107323904</v>
          </cell>
          <cell r="AM154">
            <v>-9.7889476286409742</v>
          </cell>
        </row>
        <row r="155">
          <cell r="F155">
            <v>63</v>
          </cell>
          <cell r="P155">
            <v>160</v>
          </cell>
          <cell r="S155">
            <v>215</v>
          </cell>
          <cell r="X155">
            <v>225</v>
          </cell>
          <cell r="AC155">
            <v>250</v>
          </cell>
          <cell r="AF155">
            <v>300</v>
          </cell>
          <cell r="AG155">
            <v>300</v>
          </cell>
          <cell r="AH155">
            <v>0</v>
          </cell>
          <cell r="AK155">
            <v>913</v>
          </cell>
          <cell r="AL155">
            <v>15.84425894181101</v>
          </cell>
          <cell r="AM155">
            <v>35.546987951807232</v>
          </cell>
        </row>
        <row r="156">
          <cell r="F156">
            <v>63</v>
          </cell>
          <cell r="P156">
            <v>40</v>
          </cell>
          <cell r="S156">
            <v>93</v>
          </cell>
          <cell r="X156">
            <v>49</v>
          </cell>
          <cell r="AC156">
            <v>65</v>
          </cell>
          <cell r="AF156">
            <v>30</v>
          </cell>
          <cell r="AG156">
            <v>30</v>
          </cell>
          <cell r="AH156">
            <v>0</v>
          </cell>
          <cell r="AI156">
            <v>125</v>
          </cell>
          <cell r="AK156">
            <v>465</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0</v>
          </cell>
        </row>
        <row r="159">
          <cell r="F159">
            <v>14.170833333333334</v>
          </cell>
          <cell r="P159">
            <v>48</v>
          </cell>
          <cell r="S159">
            <v>64.5</v>
          </cell>
          <cell r="X159">
            <v>82.5</v>
          </cell>
          <cell r="AC159">
            <v>75</v>
          </cell>
          <cell r="AF159">
            <v>90</v>
          </cell>
          <cell r="AG159">
            <v>90</v>
          </cell>
          <cell r="AH159">
            <v>0</v>
          </cell>
          <cell r="AK159">
            <v>14.170833333333334</v>
          </cell>
        </row>
        <row r="160">
          <cell r="F160">
            <v>269.642</v>
          </cell>
          <cell r="P160">
            <v>73</v>
          </cell>
          <cell r="S160">
            <v>407</v>
          </cell>
          <cell r="X160">
            <v>271.81818181818181</v>
          </cell>
          <cell r="AC160">
            <v>197</v>
          </cell>
          <cell r="AF160">
            <v>9</v>
          </cell>
          <cell r="AG160">
            <v>117.09090909090909</v>
          </cell>
          <cell r="AH160">
            <v>0</v>
          </cell>
          <cell r="AI160">
            <v>125</v>
          </cell>
          <cell r="AK160">
            <v>948.81818181818176</v>
          </cell>
        </row>
        <row r="161">
          <cell r="F161">
            <v>-396</v>
          </cell>
          <cell r="S161">
            <v>312</v>
          </cell>
          <cell r="X161">
            <v>278.18181818181819</v>
          </cell>
          <cell r="AC161">
            <v>283</v>
          </cell>
          <cell r="AK161">
            <v>477.18181818181819</v>
          </cell>
        </row>
        <row r="162">
          <cell r="S162">
            <v>719</v>
          </cell>
          <cell r="X162">
            <v>550</v>
          </cell>
          <cell r="AC162">
            <v>480</v>
          </cell>
          <cell r="AK162">
            <v>0</v>
          </cell>
        </row>
        <row r="163">
          <cell r="F163">
            <v>459</v>
          </cell>
          <cell r="P163">
            <v>0</v>
          </cell>
          <cell r="S163">
            <v>0</v>
          </cell>
          <cell r="X163">
            <v>0</v>
          </cell>
          <cell r="AC163">
            <v>0</v>
          </cell>
          <cell r="AK163">
            <v>459</v>
          </cell>
        </row>
        <row r="164">
          <cell r="P164">
            <v>73</v>
          </cell>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X168">
            <v>0</v>
          </cell>
          <cell r="AC168">
            <v>1000</v>
          </cell>
          <cell r="AF168">
            <v>100</v>
          </cell>
          <cell r="AG168">
            <v>100</v>
          </cell>
          <cell r="AH168">
            <v>0</v>
          </cell>
          <cell r="AK168">
            <v>5100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0</v>
          </cell>
        </row>
        <row r="170">
          <cell r="F170">
            <v>5733.333333333333</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200</v>
          </cell>
          <cell r="AD170">
            <v>37916.270909090912</v>
          </cell>
          <cell r="AE170">
            <v>0</v>
          </cell>
          <cell r="AF170">
            <v>491.25</v>
          </cell>
          <cell r="AG170">
            <v>491.25</v>
          </cell>
          <cell r="AH170">
            <v>0</v>
          </cell>
          <cell r="AI170">
            <v>515.13300000000004</v>
          </cell>
          <cell r="AJ170">
            <v>0</v>
          </cell>
          <cell r="AK170">
            <v>5933.333333333333</v>
          </cell>
        </row>
        <row r="171">
          <cell r="F171">
            <v>592</v>
          </cell>
          <cell r="G171">
            <v>0</v>
          </cell>
          <cell r="H171">
            <v>0</v>
          </cell>
          <cell r="P171">
            <v>964</v>
          </cell>
          <cell r="Q171">
            <v>0</v>
          </cell>
          <cell r="R171">
            <v>0</v>
          </cell>
          <cell r="S171">
            <v>2067</v>
          </cell>
          <cell r="T171">
            <v>549.83999999999992</v>
          </cell>
          <cell r="U171">
            <v>572.16000000000008</v>
          </cell>
          <cell r="V171">
            <v>0</v>
          </cell>
          <cell r="W171">
            <v>0</v>
          </cell>
          <cell r="X171">
            <v>836</v>
          </cell>
          <cell r="Y171">
            <v>0</v>
          </cell>
          <cell r="Z171">
            <v>0</v>
          </cell>
          <cell r="AA171">
            <v>0</v>
          </cell>
          <cell r="AB171">
            <v>0</v>
          </cell>
          <cell r="AC171">
            <v>658</v>
          </cell>
          <cell r="AE171">
            <v>0</v>
          </cell>
          <cell r="AF171">
            <v>1973</v>
          </cell>
          <cell r="AG171">
            <v>1761.2545454545452</v>
          </cell>
          <cell r="AH171">
            <v>211.74545454545455</v>
          </cell>
          <cell r="AI171">
            <v>0</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cell r="AK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K174">
            <v>4683.4666666666662</v>
          </cell>
          <cell r="AO174">
            <v>1507.2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cell r="AN175" t="str">
            <v>ОЧИК.18.02.</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H178">
            <v>433.02400000000011</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F183" t="str">
            <v>АПАРАТ ВСЬОГО</v>
          </cell>
          <cell r="G183" t="str">
            <v>АПАРАТ ЕЛЕКТРО</v>
          </cell>
          <cell r="H183" t="str">
            <v>АПАРАТ ТЕПЛО</v>
          </cell>
          <cell r="P183">
            <v>0</v>
          </cell>
          <cell r="S183">
            <v>0</v>
          </cell>
          <cell r="X183">
            <v>0</v>
          </cell>
          <cell r="Y183" t="str">
            <v>Е/Е</v>
          </cell>
          <cell r="Z183" t="str">
            <v xml:space="preserve"> Т/Е</v>
          </cell>
          <cell r="AC183">
            <v>0</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S186">
            <v>100</v>
          </cell>
          <cell r="X186">
            <v>79.7</v>
          </cell>
          <cell r="AC186">
            <v>63.3</v>
          </cell>
          <cell r="AK186">
            <v>46778</v>
          </cell>
        </row>
        <row r="187">
          <cell r="S187">
            <v>114.9</v>
          </cell>
          <cell r="X187">
            <v>0</v>
          </cell>
          <cell r="AC187">
            <v>0</v>
          </cell>
          <cell r="AK187">
            <v>0</v>
          </cell>
        </row>
        <row r="188">
          <cell r="P188">
            <v>0</v>
          </cell>
          <cell r="S188">
            <v>0</v>
          </cell>
          <cell r="X188">
            <v>0</v>
          </cell>
          <cell r="AC188">
            <v>0</v>
          </cell>
          <cell r="AK188">
            <v>0</v>
          </cell>
        </row>
        <row r="189">
          <cell r="P189">
            <v>0</v>
          </cell>
          <cell r="S189">
            <v>192.5</v>
          </cell>
          <cell r="X189">
            <v>82.5</v>
          </cell>
          <cell r="AC189">
            <v>82.5</v>
          </cell>
          <cell r="AK189">
            <v>192.5</v>
          </cell>
        </row>
        <row r="190">
          <cell r="S190">
            <v>19250</v>
          </cell>
          <cell r="X190">
            <v>0</v>
          </cell>
          <cell r="AC190">
            <v>0</v>
          </cell>
          <cell r="AK190">
            <v>0</v>
          </cell>
        </row>
        <row r="191">
          <cell r="S191">
            <v>0</v>
          </cell>
          <cell r="X191">
            <v>0</v>
          </cell>
          <cell r="AC191">
            <v>0</v>
          </cell>
          <cell r="AK191">
            <v>0</v>
          </cell>
        </row>
        <row r="192">
          <cell r="X192">
            <v>0</v>
          </cell>
          <cell r="AC192">
            <v>0</v>
          </cell>
          <cell r="AK192">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X195">
            <v>0</v>
          </cell>
          <cell r="AC195">
            <v>0</v>
          </cell>
          <cell r="AJ195">
            <v>0</v>
          </cell>
          <cell r="AK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X198">
            <v>44.8</v>
          </cell>
          <cell r="AC198">
            <v>36.700000000000003</v>
          </cell>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F200">
            <v>75</v>
          </cell>
          <cell r="P200">
            <v>75</v>
          </cell>
          <cell r="S200">
            <v>19250</v>
          </cell>
          <cell r="X200">
            <v>44597</v>
          </cell>
          <cell r="Y200">
            <v>30041.25</v>
          </cell>
          <cell r="Z200">
            <v>14555.750000000002</v>
          </cell>
          <cell r="AA200">
            <v>14555.750000000004</v>
          </cell>
          <cell r="AC200">
            <v>36151</v>
          </cell>
          <cell r="AD200">
            <v>22308.272727272721</v>
          </cell>
          <cell r="AE200">
            <v>13842.727272727279</v>
          </cell>
          <cell r="AJ200">
            <v>0</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S202">
            <v>0</v>
          </cell>
          <cell r="X202">
            <v>29254</v>
          </cell>
          <cell r="AC202">
            <v>23966</v>
          </cell>
          <cell r="AK202">
            <v>53220</v>
          </cell>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09">
          <cell r="G209" t="str">
            <v xml:space="preserve"> В.О.НОВОСАД</v>
          </cell>
        </row>
        <row r="210">
          <cell r="AK210">
            <v>99998</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18">
          <cell r="G218" t="str">
            <v>М.В.ТЕРПИЛО</v>
          </cell>
        </row>
        <row r="219">
          <cell r="G219" t="str">
            <v xml:space="preserve">В.І.МИРГОРОДСЬКИЙ                                  </v>
          </cell>
        </row>
        <row r="220">
          <cell r="G220" t="str">
            <v xml:space="preserve">М.І.ШЕВЧЕНКО                                 </v>
          </cell>
        </row>
        <row r="221">
          <cell r="G221" t="str">
            <v>В.Ю.МОНТЬЕВ</v>
          </cell>
          <cell r="AO221">
            <v>1507.2</v>
          </cell>
        </row>
        <row r="222">
          <cell r="G222" t="str">
            <v xml:space="preserve">О.М.НИКОЛЕНКО      </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1">
          <cell r="AG241" t="str">
            <v xml:space="preserve">         Затверджую</v>
          </cell>
        </row>
        <row r="242">
          <cell r="AG242" t="str">
            <v xml:space="preserve"> Голова правління -</v>
          </cell>
        </row>
        <row r="243">
          <cell r="F243" t="str">
            <v>РОЗРАХУНОК ФІНАНСОВИХ ПОТОКІВ НА   лютий  2000 року</v>
          </cell>
          <cell r="AG243" t="str">
            <v xml:space="preserve"> генеральний директор</v>
          </cell>
        </row>
        <row r="244">
          <cell r="F244" t="str">
            <v>ПО ФІЛІАЛАХ АК КИЇВЕНЕРГО</v>
          </cell>
          <cell r="AG244" t="str">
            <v xml:space="preserve">                        І.В.Плачков</v>
          </cell>
        </row>
        <row r="245">
          <cell r="AG245" t="str">
            <v xml:space="preserve">   "_____" ________2000 р.</v>
          </cell>
        </row>
        <row r="249">
          <cell r="F249" t="str">
            <v>РОЗРАХУНОК ФІНАНСОВИХ ПОТОКІВ НА   лютий  2000 року</v>
          </cell>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v>99998</v>
          </cell>
          <cell r="AL256" t="str">
            <v>АК КЕ ВСЬОГО</v>
          </cell>
          <cell r="AM256" t="str">
            <v xml:space="preserve"> Т/Е</v>
          </cell>
        </row>
        <row r="257">
          <cell r="F257">
            <v>0</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825</v>
          </cell>
          <cell r="AM259">
            <v>111785.25</v>
          </cell>
        </row>
        <row r="260">
          <cell r="F260">
            <v>0</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0</v>
          </cell>
          <cell r="AM260">
            <v>23577.368640000012</v>
          </cell>
        </row>
        <row r="261">
          <cell r="F261">
            <v>4663.9414285714283</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4663.9414285714283</v>
          </cell>
        </row>
        <row r="262">
          <cell r="F262">
            <v>3500</v>
          </cell>
          <cell r="AK262">
            <v>3500</v>
          </cell>
        </row>
        <row r="263">
          <cell r="F263">
            <v>0</v>
          </cell>
          <cell r="AK263">
            <v>0</v>
          </cell>
        </row>
        <row r="264">
          <cell r="F264">
            <v>2824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Q273">
            <v>0</v>
          </cell>
          <cell r="R273">
            <v>0</v>
          </cell>
          <cell r="S273">
            <v>80</v>
          </cell>
          <cell r="T273">
            <v>0</v>
          </cell>
          <cell r="U273">
            <v>0</v>
          </cell>
          <cell r="V273">
            <v>0</v>
          </cell>
          <cell r="W273">
            <v>0</v>
          </cell>
          <cell r="X273">
            <v>35</v>
          </cell>
          <cell r="Y273">
            <v>0</v>
          </cell>
          <cell r="Z273">
            <v>0</v>
          </cell>
          <cell r="AA273">
            <v>0</v>
          </cell>
          <cell r="AB273">
            <v>0</v>
          </cell>
          <cell r="AC273">
            <v>29</v>
          </cell>
          <cell r="AD273">
            <v>0</v>
          </cell>
          <cell r="AE273">
            <v>0</v>
          </cell>
          <cell r="AF273">
            <v>17.266666666666666</v>
          </cell>
          <cell r="AG273">
            <v>11.824742268041236</v>
          </cell>
          <cell r="AH273">
            <v>5.4419243986254298</v>
          </cell>
          <cell r="AI273">
            <v>0</v>
          </cell>
          <cell r="AK273">
            <v>582.62666666666655</v>
          </cell>
        </row>
        <row r="274">
          <cell r="F274">
            <v>100</v>
          </cell>
          <cell r="P274">
            <v>250</v>
          </cell>
          <cell r="Q274">
            <v>0</v>
          </cell>
          <cell r="R274">
            <v>0</v>
          </cell>
          <cell r="S274">
            <v>50</v>
          </cell>
          <cell r="T274">
            <v>835.56363636363631</v>
          </cell>
          <cell r="U274">
            <v>846.70909090909095</v>
          </cell>
          <cell r="V274">
            <v>0</v>
          </cell>
          <cell r="W274">
            <v>0</v>
          </cell>
          <cell r="X274">
            <v>10</v>
          </cell>
          <cell r="Y274">
            <v>588</v>
          </cell>
          <cell r="Z274">
            <v>768</v>
          </cell>
          <cell r="AA274">
            <v>0</v>
          </cell>
          <cell r="AB274">
            <v>0</v>
          </cell>
          <cell r="AC274">
            <v>60</v>
          </cell>
          <cell r="AD274">
            <v>181</v>
          </cell>
          <cell r="AE274">
            <v>292.09090909090912</v>
          </cell>
          <cell r="AF274">
            <v>250</v>
          </cell>
          <cell r="AG274">
            <v>250</v>
          </cell>
          <cell r="AH274">
            <v>633.11927828850958</v>
          </cell>
          <cell r="AI274">
            <v>1904.3636363636365</v>
          </cell>
          <cell r="AK274">
            <v>720</v>
          </cell>
        </row>
        <row r="275">
          <cell r="F275">
            <v>63</v>
          </cell>
          <cell r="G275">
            <v>233</v>
          </cell>
          <cell r="H275">
            <v>274.45454545454538</v>
          </cell>
          <cell r="P275">
            <v>40</v>
          </cell>
          <cell r="S275">
            <v>93</v>
          </cell>
          <cell r="T275">
            <v>813.56363636363631</v>
          </cell>
          <cell r="U275">
            <v>846.70909090909095</v>
          </cell>
          <cell r="X275">
            <v>49</v>
          </cell>
          <cell r="Y275">
            <v>245</v>
          </cell>
          <cell r="Z275">
            <v>321</v>
          </cell>
          <cell r="AC275">
            <v>65</v>
          </cell>
          <cell r="AD275">
            <v>176</v>
          </cell>
          <cell r="AE275">
            <v>284.09090909090912</v>
          </cell>
          <cell r="AF275">
            <v>30</v>
          </cell>
          <cell r="AG275">
            <v>30</v>
          </cell>
          <cell r="AH275">
            <v>0</v>
          </cell>
          <cell r="AI275">
            <v>1904.3636363636365</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Q277">
            <v>0</v>
          </cell>
          <cell r="R277">
            <v>0</v>
          </cell>
          <cell r="S277">
            <v>0</v>
          </cell>
          <cell r="T277">
            <v>0</v>
          </cell>
          <cell r="U277">
            <v>0</v>
          </cell>
          <cell r="V277">
            <v>0</v>
          </cell>
          <cell r="W277">
            <v>0</v>
          </cell>
          <cell r="X277">
            <v>46</v>
          </cell>
          <cell r="Y277">
            <v>0</v>
          </cell>
          <cell r="Z277">
            <v>0</v>
          </cell>
          <cell r="AA277">
            <v>0</v>
          </cell>
          <cell r="AB277">
            <v>0</v>
          </cell>
          <cell r="AC277">
            <v>195</v>
          </cell>
          <cell r="AD277">
            <v>0</v>
          </cell>
          <cell r="AE277">
            <v>0</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269</v>
          </cell>
        </row>
        <row r="280">
          <cell r="F280">
            <v>25.7</v>
          </cell>
          <cell r="P280">
            <v>64.25</v>
          </cell>
          <cell r="S280">
            <v>250</v>
          </cell>
          <cell r="X280">
            <v>2.5700000000000003</v>
          </cell>
          <cell r="AC280">
            <v>15.42</v>
          </cell>
          <cell r="AF280">
            <v>64.25</v>
          </cell>
          <cell r="AG280">
            <v>64.25</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Q287">
            <v>0</v>
          </cell>
          <cell r="R287">
            <v>0</v>
          </cell>
          <cell r="S287">
            <v>30</v>
          </cell>
          <cell r="T287">
            <v>-835.56363636363631</v>
          </cell>
          <cell r="U287">
            <v>-846.70909090909095</v>
          </cell>
          <cell r="V287">
            <v>0</v>
          </cell>
          <cell r="W287">
            <v>0</v>
          </cell>
          <cell r="X287">
            <v>18</v>
          </cell>
          <cell r="Y287">
            <v>-588</v>
          </cell>
          <cell r="Z287">
            <v>-768</v>
          </cell>
          <cell r="AA287">
            <v>0</v>
          </cell>
          <cell r="AB287">
            <v>0</v>
          </cell>
          <cell r="AC287">
            <v>5</v>
          </cell>
          <cell r="AD287">
            <v>-181</v>
          </cell>
          <cell r="AE287">
            <v>-292.09090909090912</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Q289">
            <v>0</v>
          </cell>
          <cell r="R289">
            <v>0</v>
          </cell>
          <cell r="S289">
            <v>39</v>
          </cell>
          <cell r="T289">
            <v>0</v>
          </cell>
          <cell r="U289">
            <v>0</v>
          </cell>
          <cell r="V289">
            <v>0</v>
          </cell>
          <cell r="W289">
            <v>0</v>
          </cell>
          <cell r="X289">
            <v>10</v>
          </cell>
          <cell r="Y289">
            <v>0</v>
          </cell>
          <cell r="Z289">
            <v>0</v>
          </cell>
          <cell r="AA289">
            <v>0</v>
          </cell>
          <cell r="AB289">
            <v>0</v>
          </cell>
          <cell r="AC289">
            <v>43</v>
          </cell>
          <cell r="AD289">
            <v>0</v>
          </cell>
          <cell r="AE289">
            <v>0</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Q291">
            <v>0</v>
          </cell>
          <cell r="R291">
            <v>0</v>
          </cell>
          <cell r="S291">
            <v>110</v>
          </cell>
          <cell r="T291">
            <v>0</v>
          </cell>
          <cell r="U291">
            <v>0</v>
          </cell>
          <cell r="V291">
            <v>0</v>
          </cell>
          <cell r="W291">
            <v>0</v>
          </cell>
          <cell r="X291">
            <v>68</v>
          </cell>
          <cell r="Y291">
            <v>0</v>
          </cell>
          <cell r="Z291">
            <v>0</v>
          </cell>
          <cell r="AA291">
            <v>0</v>
          </cell>
          <cell r="AB291">
            <v>0</v>
          </cell>
          <cell r="AC291">
            <v>27</v>
          </cell>
          <cell r="AD291">
            <v>0</v>
          </cell>
          <cell r="AE291">
            <v>0</v>
          </cell>
          <cell r="AF291">
            <v>105.66666666666667</v>
          </cell>
          <cell r="AG291">
            <v>96.666666666666671</v>
          </cell>
          <cell r="AH291">
            <v>9</v>
          </cell>
          <cell r="AI291">
            <v>0</v>
          </cell>
          <cell r="AK291">
            <v>791.33333333333337</v>
          </cell>
        </row>
        <row r="292">
          <cell r="F292">
            <v>-0.5</v>
          </cell>
          <cell r="P292">
            <v>0</v>
          </cell>
          <cell r="S292">
            <v>-0.23600000000000065</v>
          </cell>
          <cell r="X292">
            <v>-0.42800000000000082</v>
          </cell>
          <cell r="AC292">
            <v>30.067999999999998</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F295">
            <v>14.226506666666666</v>
          </cell>
          <cell r="P295">
            <v>413.43280000000004</v>
          </cell>
          <cell r="S295">
            <v>31.26400000000001</v>
          </cell>
          <cell r="X295">
            <v>4.5600000000000023</v>
          </cell>
          <cell r="AC295">
            <v>54</v>
          </cell>
          <cell r="AF295">
            <v>220.96368000000001</v>
          </cell>
          <cell r="AG295">
            <v>150.26695828850956</v>
          </cell>
          <cell r="AH295">
            <v>191</v>
          </cell>
          <cell r="AI295">
            <v>0</v>
          </cell>
          <cell r="AK295">
            <v>0</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I297">
            <v>370</v>
          </cell>
          <cell r="AK297">
            <v>123773.91900432901</v>
          </cell>
        </row>
        <row r="298">
          <cell r="F298">
            <v>0</v>
          </cell>
          <cell r="P298">
            <v>0</v>
          </cell>
          <cell r="AF298">
            <v>0</v>
          </cell>
          <cell r="AG298">
            <v>0</v>
          </cell>
          <cell r="AH298">
            <v>0</v>
          </cell>
          <cell r="AI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Q300">
            <v>0</v>
          </cell>
          <cell r="R300">
            <v>0</v>
          </cell>
          <cell r="S300">
            <v>296</v>
          </cell>
          <cell r="T300">
            <v>-835.56363636363631</v>
          </cell>
          <cell r="U300">
            <v>-846.70909090909095</v>
          </cell>
          <cell r="V300">
            <v>0</v>
          </cell>
          <cell r="W300">
            <v>0</v>
          </cell>
          <cell r="X300">
            <v>625</v>
          </cell>
          <cell r="Y300">
            <v>-588</v>
          </cell>
          <cell r="Z300">
            <v>-768</v>
          </cell>
          <cell r="AA300">
            <v>0</v>
          </cell>
          <cell r="AB300">
            <v>0</v>
          </cell>
          <cell r="AC300">
            <v>444</v>
          </cell>
          <cell r="AD300">
            <v>-181</v>
          </cell>
          <cell r="AE300">
            <v>-292.09090909090912</v>
          </cell>
          <cell r="AF300">
            <v>180</v>
          </cell>
          <cell r="AG300">
            <v>180</v>
          </cell>
          <cell r="AH300">
            <v>0</v>
          </cell>
          <cell r="AI300">
            <v>0</v>
          </cell>
          <cell r="AK300">
            <v>1545</v>
          </cell>
        </row>
        <row r="301">
          <cell r="AH301">
            <v>191</v>
          </cell>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0</v>
          </cell>
        </row>
        <row r="304">
          <cell r="F304">
            <v>0</v>
          </cell>
          <cell r="P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5733.333333333333</v>
          </cell>
          <cell r="P306">
            <v>0</v>
          </cell>
          <cell r="S306">
            <v>0</v>
          </cell>
          <cell r="X306">
            <v>0</v>
          </cell>
          <cell r="AC306">
            <v>0</v>
          </cell>
          <cell r="AF306">
            <v>0</v>
          </cell>
          <cell r="AG306">
            <v>0</v>
          </cell>
          <cell r="AH306">
            <v>0</v>
          </cell>
          <cell r="AI306">
            <v>0</v>
          </cell>
          <cell r="AK306">
            <v>5733.333333333333</v>
          </cell>
        </row>
        <row r="307">
          <cell r="S307">
            <v>0</v>
          </cell>
          <cell r="AK307">
            <v>0</v>
          </cell>
        </row>
        <row r="308">
          <cell r="F308">
            <v>0</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0</v>
          </cell>
        </row>
        <row r="309">
          <cell r="AK309">
            <v>0</v>
          </cell>
        </row>
        <row r="310">
          <cell r="P310">
            <v>0</v>
          </cell>
          <cell r="AK310">
            <v>0</v>
          </cell>
        </row>
        <row r="311">
          <cell r="S311">
            <v>0</v>
          </cell>
          <cell r="AK311">
            <v>0</v>
          </cell>
        </row>
        <row r="312">
          <cell r="F312">
            <v>4483.4666666666662</v>
          </cell>
          <cell r="S312">
            <v>0</v>
          </cell>
          <cell r="AK312">
            <v>4483.4666666666662</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J328">
            <v>2455</v>
          </cell>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2">
          <cell r="AI22" t="str">
            <v xml:space="preserve"> Голова правління -</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2">
          <cell r="Q32" t="str">
            <v>КТМ</v>
          </cell>
          <cell r="V32" t="str">
            <v xml:space="preserve">ТЕЦ-5 </v>
          </cell>
          <cell r="AA32"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v>605</v>
          </cell>
          <cell r="AM34" t="str">
            <v xml:space="preserve"> Т/Е</v>
          </cell>
        </row>
        <row r="35">
          <cell r="AL35">
            <v>536.20000000000005</v>
          </cell>
        </row>
        <row r="36">
          <cell r="AL36">
            <v>0</v>
          </cell>
        </row>
        <row r="37">
          <cell r="AL37">
            <v>0</v>
          </cell>
        </row>
        <row r="38">
          <cell r="AL38">
            <v>0</v>
          </cell>
        </row>
        <row r="39">
          <cell r="AL39">
            <v>0</v>
          </cell>
        </row>
        <row r="40">
          <cell r="AL40">
            <v>478.2</v>
          </cell>
        </row>
        <row r="41">
          <cell r="P41">
            <v>0</v>
          </cell>
          <cell r="AL41">
            <v>478.2</v>
          </cell>
        </row>
        <row r="42">
          <cell r="P42">
            <v>0</v>
          </cell>
          <cell r="AL42">
            <v>395.6</v>
          </cell>
          <cell r="AM42">
            <v>1840</v>
          </cell>
        </row>
        <row r="43">
          <cell r="AM43">
            <v>0</v>
          </cell>
        </row>
        <row r="44">
          <cell r="AM44">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H47">
            <v>0.8</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F56">
            <v>0</v>
          </cell>
          <cell r="AG56">
            <v>0</v>
          </cell>
          <cell r="AH56">
            <v>0</v>
          </cell>
          <cell r="AI56">
            <v>0</v>
          </cell>
          <cell r="AK56">
            <v>99998</v>
          </cell>
          <cell r="AL56">
            <v>52349.522727272721</v>
          </cell>
          <cell r="AM56">
            <v>47648.477272727279</v>
          </cell>
        </row>
        <row r="57">
          <cell r="F57">
            <v>0</v>
          </cell>
          <cell r="G57">
            <v>0</v>
          </cell>
          <cell r="H57">
            <v>0</v>
          </cell>
          <cell r="T57">
            <v>0</v>
          </cell>
          <cell r="U57">
            <v>0</v>
          </cell>
          <cell r="AF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F62">
            <v>0</v>
          </cell>
          <cell r="G62">
            <v>0</v>
          </cell>
          <cell r="P62">
            <v>0</v>
          </cell>
          <cell r="X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X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H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H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H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X72">
            <v>0</v>
          </cell>
          <cell r="AC72">
            <v>0</v>
          </cell>
          <cell r="AF72">
            <v>0</v>
          </cell>
          <cell r="A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Y82">
            <v>0</v>
          </cell>
          <cell r="Z82">
            <v>0</v>
          </cell>
          <cell r="AK82">
            <v>0</v>
          </cell>
          <cell r="AL82">
            <v>0</v>
          </cell>
          <cell r="AM82">
            <v>0</v>
          </cell>
        </row>
        <row r="83">
          <cell r="F83">
            <v>1</v>
          </cell>
          <cell r="G83">
            <v>0</v>
          </cell>
          <cell r="H83">
            <v>1</v>
          </cell>
          <cell r="P83">
            <v>3.1</v>
          </cell>
          <cell r="S83">
            <v>7.5</v>
          </cell>
          <cell r="X83">
            <v>3.1</v>
          </cell>
          <cell r="Y83">
            <v>1</v>
          </cell>
          <cell r="Z83">
            <v>2.1</v>
          </cell>
          <cell r="AC83">
            <v>1.7</v>
          </cell>
          <cell r="AF83">
            <v>4.8</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Y97">
            <v>25490.454545454544</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F99">
            <v>0</v>
          </cell>
          <cell r="P99">
            <v>0</v>
          </cell>
          <cell r="X99">
            <v>0</v>
          </cell>
          <cell r="AK99">
            <v>0</v>
          </cell>
        </row>
        <row r="100">
          <cell r="F100">
            <v>606.74900000000002</v>
          </cell>
          <cell r="P100">
            <v>0</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S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F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cell r="AK188">
            <v>298.60000000000002</v>
          </cell>
        </row>
        <row r="189">
          <cell r="P189">
            <v>0</v>
          </cell>
          <cell r="S189">
            <v>192.5</v>
          </cell>
          <cell r="X189">
            <v>192.5</v>
          </cell>
          <cell r="AC189">
            <v>192.5</v>
          </cell>
          <cell r="AK189">
            <v>192.5</v>
          </cell>
        </row>
        <row r="190">
          <cell r="P190">
            <v>0</v>
          </cell>
          <cell r="S190">
            <v>19250</v>
          </cell>
          <cell r="X190">
            <v>15343</v>
          </cell>
          <cell r="AC190">
            <v>12185</v>
          </cell>
          <cell r="AK190">
            <v>46778</v>
          </cell>
        </row>
        <row r="191">
          <cell r="S191">
            <v>18925</v>
          </cell>
          <cell r="X191">
            <v>17350</v>
          </cell>
          <cell r="AC191">
            <v>14237</v>
          </cell>
          <cell r="AK191">
            <v>46778</v>
          </cell>
        </row>
        <row r="192">
          <cell r="X192">
            <v>0</v>
          </cell>
          <cell r="AC192">
            <v>0</v>
          </cell>
          <cell r="AK192">
            <v>0</v>
          </cell>
        </row>
        <row r="193">
          <cell r="X193">
            <v>0</v>
          </cell>
          <cell r="AC193">
            <v>0</v>
          </cell>
          <cell r="AK193">
            <v>0</v>
          </cell>
        </row>
        <row r="194">
          <cell r="X194">
            <v>82.5</v>
          </cell>
          <cell r="AC194">
            <v>82.5</v>
          </cell>
          <cell r="AK194">
            <v>0</v>
          </cell>
        </row>
        <row r="195">
          <cell r="X195">
            <v>0</v>
          </cell>
          <cell r="AC195">
            <v>0</v>
          </cell>
          <cell r="AK195">
            <v>0</v>
          </cell>
        </row>
        <row r="196">
          <cell r="S196">
            <v>0</v>
          </cell>
          <cell r="X196">
            <v>0</v>
          </cell>
          <cell r="AC196">
            <v>0</v>
          </cell>
          <cell r="AK196">
            <v>0</v>
          </cell>
        </row>
        <row r="197">
          <cell r="S197">
            <v>0</v>
          </cell>
          <cell r="X197">
            <v>0</v>
          </cell>
          <cell r="AC197">
            <v>0</v>
          </cell>
          <cell r="AK197">
            <v>0</v>
          </cell>
        </row>
        <row r="198">
          <cell r="X198">
            <v>44.8</v>
          </cell>
          <cell r="AC198">
            <v>36.700000000000003</v>
          </cell>
          <cell r="AK198">
            <v>81.5</v>
          </cell>
        </row>
        <row r="199">
          <cell r="X199">
            <v>61.9</v>
          </cell>
          <cell r="AC199">
            <v>50.6</v>
          </cell>
          <cell r="AK199">
            <v>112.5</v>
          </cell>
        </row>
        <row r="200">
          <cell r="F200">
            <v>75</v>
          </cell>
          <cell r="P200">
            <v>75</v>
          </cell>
          <cell r="X200">
            <v>18.5</v>
          </cell>
          <cell r="AC200">
            <v>22.2</v>
          </cell>
          <cell r="AJ200">
            <v>0</v>
          </cell>
          <cell r="AK200">
            <v>40.700000000000003</v>
          </cell>
        </row>
        <row r="201">
          <cell r="F201">
            <v>75</v>
          </cell>
          <cell r="P201">
            <v>75</v>
          </cell>
          <cell r="S201">
            <v>653</v>
          </cell>
          <cell r="X201">
            <v>653</v>
          </cell>
          <cell r="AC201">
            <v>653</v>
          </cell>
          <cell r="AJ201">
            <v>0</v>
          </cell>
          <cell r="AK201">
            <v>653</v>
          </cell>
        </row>
        <row r="202">
          <cell r="S202">
            <v>0</v>
          </cell>
          <cell r="X202">
            <v>29254</v>
          </cell>
          <cell r="AC202">
            <v>23966</v>
          </cell>
          <cell r="AK202">
            <v>53220</v>
          </cell>
        </row>
        <row r="203">
          <cell r="S203">
            <v>0</v>
          </cell>
          <cell r="X203">
            <v>5159</v>
          </cell>
          <cell r="AC203">
            <v>6200</v>
          </cell>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A206">
            <v>14133.90243902439</v>
          </cell>
          <cell r="AC206">
            <v>292.95999999999998</v>
          </cell>
          <cell r="AD206">
            <v>473.64</v>
          </cell>
          <cell r="AE206">
            <v>181.42</v>
          </cell>
          <cell r="AI206" t="str">
            <v/>
          </cell>
          <cell r="AJ206" t="str">
            <v/>
          </cell>
          <cell r="AK206">
            <v>255.23</v>
          </cell>
          <cell r="AL206">
            <v>460.42</v>
          </cell>
          <cell r="AM206">
            <v>171.34</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0</v>
          </cell>
        </row>
        <row r="208">
          <cell r="X208">
            <v>44597</v>
          </cell>
          <cell r="AC208">
            <v>36151</v>
          </cell>
          <cell r="AK208">
            <v>99998</v>
          </cell>
          <cell r="AL208">
            <v>52349.522727272721</v>
          </cell>
          <cell r="AM208">
            <v>47648.477272727279</v>
          </cell>
        </row>
        <row r="209">
          <cell r="X209">
            <v>22509</v>
          </cell>
          <cell r="AC209">
            <v>20437</v>
          </cell>
          <cell r="AK209">
            <v>61870</v>
          </cell>
          <cell r="AL209">
            <v>16705.574995654941</v>
          </cell>
          <cell r="AM209">
            <v>45164.425004345059</v>
          </cell>
        </row>
        <row r="210">
          <cell r="AK210">
            <v>99998</v>
          </cell>
        </row>
        <row r="211">
          <cell r="AK211">
            <v>61871</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23">
          <cell r="G223"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S208">
            <v>168.1</v>
          </cell>
          <cell r="X208">
            <v>178.86</v>
          </cell>
          <cell r="Y208">
            <v>194.05</v>
          </cell>
          <cell r="Z208">
            <v>168.06</v>
          </cell>
          <cell r="AC208">
            <v>179.72</v>
          </cell>
          <cell r="AD208">
            <v>193.34</v>
          </cell>
          <cell r="AE208">
            <v>168.25</v>
          </cell>
          <cell r="AJ208" t="str">
            <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sheetData sheetId="11"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v>336</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0</v>
          </cell>
        </row>
        <row r="38">
          <cell r="AL38">
            <v>336</v>
          </cell>
        </row>
        <row r="39">
          <cell r="AL39">
            <v>0</v>
          </cell>
        </row>
        <row r="40">
          <cell r="AL40">
            <v>0</v>
          </cell>
        </row>
        <row r="41">
          <cell r="AL41">
            <v>395.6</v>
          </cell>
        </row>
        <row r="42">
          <cell r="P42">
            <v>0</v>
          </cell>
          <cell r="AL42">
            <v>395.6</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0</v>
          </cell>
          <cell r="H51">
            <v>408</v>
          </cell>
          <cell r="P51">
            <v>0</v>
          </cell>
          <cell r="S51">
            <v>1069.6666666666665</v>
          </cell>
          <cell r="T51">
            <v>534.83333333333326</v>
          </cell>
          <cell r="U51">
            <v>534.83333333333326</v>
          </cell>
          <cell r="X51">
            <v>0</v>
          </cell>
          <cell r="Y51">
            <v>0</v>
          </cell>
          <cell r="Z51">
            <v>0</v>
          </cell>
          <cell r="AC51">
            <v>0</v>
          </cell>
          <cell r="AD51">
            <v>0</v>
          </cell>
          <cell r="AE51">
            <v>0</v>
          </cell>
          <cell r="AF51">
            <v>635.25</v>
          </cell>
          <cell r="AG51">
            <v>456.25</v>
          </cell>
          <cell r="AH51">
            <v>0</v>
          </cell>
          <cell r="AK51">
            <v>0</v>
          </cell>
          <cell r="AL51">
            <v>0</v>
          </cell>
          <cell r="AM51">
            <v>0</v>
          </cell>
          <cell r="AN51">
            <v>0</v>
          </cell>
          <cell r="AO51">
            <v>543</v>
          </cell>
          <cell r="AP51">
            <v>583</v>
          </cell>
          <cell r="AQ51">
            <v>519.59999999999991</v>
          </cell>
          <cell r="AR51">
            <v>1728.3000000000002</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P54">
            <v>30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G54">
            <v>3</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P55">
            <v>27.766666666666676</v>
          </cell>
          <cell r="S55">
            <v>2830</v>
          </cell>
          <cell r="T55">
            <v>2830</v>
          </cell>
          <cell r="U55">
            <v>0</v>
          </cell>
          <cell r="X55">
            <v>12455</v>
          </cell>
          <cell r="Y55">
            <v>8146</v>
          </cell>
          <cell r="Z55">
            <v>4309</v>
          </cell>
          <cell r="AC55">
            <v>10588</v>
          </cell>
          <cell r="AD55">
            <v>6279</v>
          </cell>
          <cell r="AE55">
            <v>4309</v>
          </cell>
          <cell r="AF55">
            <v>160.93333333333328</v>
          </cell>
          <cell r="AG55">
            <v>150</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S57">
            <v>2945</v>
          </cell>
          <cell r="T57">
            <v>0</v>
          </cell>
          <cell r="U57">
            <v>0</v>
          </cell>
          <cell r="X57">
            <v>12359</v>
          </cell>
          <cell r="Y57">
            <v>8878</v>
          </cell>
          <cell r="Z57">
            <v>3481</v>
          </cell>
          <cell r="AC57">
            <v>10357</v>
          </cell>
          <cell r="AD57">
            <v>7369</v>
          </cell>
          <cell r="AE57">
            <v>2988</v>
          </cell>
          <cell r="AF57">
            <v>0</v>
          </cell>
          <cell r="AH57">
            <v>0</v>
          </cell>
          <cell r="AK57">
            <v>0</v>
          </cell>
          <cell r="AL57">
            <v>0</v>
          </cell>
          <cell r="AM57">
            <v>0</v>
          </cell>
          <cell r="AN57">
            <v>0</v>
          </cell>
          <cell r="AO57">
            <v>16247</v>
          </cell>
          <cell r="AP57">
            <v>0</v>
          </cell>
          <cell r="AQ57">
            <v>0</v>
          </cell>
          <cell r="AR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H62">
            <v>12</v>
          </cell>
          <cell r="P62">
            <v>0</v>
          </cell>
          <cell r="S62">
            <v>54</v>
          </cell>
          <cell r="T62">
            <v>26</v>
          </cell>
          <cell r="U62">
            <v>27</v>
          </cell>
          <cell r="X62">
            <v>0</v>
          </cell>
          <cell r="Y62">
            <v>11</v>
          </cell>
          <cell r="Z62">
            <v>5</v>
          </cell>
          <cell r="AC62">
            <v>16</v>
          </cell>
          <cell r="AD62">
            <v>11</v>
          </cell>
          <cell r="AE62">
            <v>5</v>
          </cell>
          <cell r="AF62">
            <v>61</v>
          </cell>
          <cell r="AG62">
            <v>55</v>
          </cell>
          <cell r="AH62">
            <v>0</v>
          </cell>
          <cell r="AK62">
            <v>0</v>
          </cell>
          <cell r="AL62">
            <v>74</v>
          </cell>
          <cell r="AM62">
            <v>135</v>
          </cell>
          <cell r="AN62">
            <v>0</v>
          </cell>
          <cell r="AO62">
            <v>22</v>
          </cell>
          <cell r="AP62">
            <v>20</v>
          </cell>
          <cell r="AQ62">
            <v>52</v>
          </cell>
          <cell r="AR62">
            <v>115</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F64">
            <v>0</v>
          </cell>
          <cell r="G64">
            <v>0</v>
          </cell>
          <cell r="P64">
            <v>0</v>
          </cell>
          <cell r="T64">
            <v>18</v>
          </cell>
          <cell r="U64">
            <v>95</v>
          </cell>
          <cell r="X64">
            <v>0</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T65">
            <v>87.84</v>
          </cell>
          <cell r="U65">
            <v>461.15999999999997</v>
          </cell>
          <cell r="X65">
            <v>218</v>
          </cell>
          <cell r="Y65">
            <v>359</v>
          </cell>
          <cell r="Z65">
            <v>141.33333333333337</v>
          </cell>
          <cell r="AC65">
            <v>195</v>
          </cell>
          <cell r="AD65">
            <v>289</v>
          </cell>
          <cell r="AE65">
            <v>117</v>
          </cell>
          <cell r="AF65">
            <v>400</v>
          </cell>
          <cell r="AG65">
            <v>400</v>
          </cell>
          <cell r="AH65">
            <v>0</v>
          </cell>
          <cell r="AK65">
            <v>3860</v>
          </cell>
          <cell r="AL65">
            <v>696</v>
          </cell>
          <cell r="AM65">
            <v>3164</v>
          </cell>
          <cell r="AN65">
            <v>2751</v>
          </cell>
          <cell r="AO65">
            <v>648</v>
          </cell>
          <cell r="AP65">
            <v>646</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0</v>
          </cell>
          <cell r="AQ66">
            <v>40</v>
          </cell>
          <cell r="AR66">
            <v>100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L67">
            <v>398</v>
          </cell>
          <cell r="AM67">
            <v>953</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T69">
            <v>78.84</v>
          </cell>
          <cell r="U69">
            <v>415.15999999999997</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cell r="AO69">
            <v>583</v>
          </cell>
          <cell r="AP69">
            <v>249</v>
          </cell>
          <cell r="AQ69">
            <v>362</v>
          </cell>
          <cell r="AR69">
            <v>898.33333333333348</v>
          </cell>
        </row>
        <row r="70">
          <cell r="F70">
            <v>0</v>
          </cell>
          <cell r="G70">
            <v>0</v>
          </cell>
          <cell r="H70">
            <v>0</v>
          </cell>
          <cell r="P70">
            <v>5</v>
          </cell>
          <cell r="S70">
            <v>25</v>
          </cell>
          <cell r="T70">
            <v>304.9375</v>
          </cell>
          <cell r="U70">
            <v>914.8125</v>
          </cell>
          <cell r="X70">
            <v>12</v>
          </cell>
          <cell r="Y70">
            <v>8</v>
          </cell>
          <cell r="Z70">
            <v>4</v>
          </cell>
          <cell r="AC70">
            <v>8</v>
          </cell>
          <cell r="AD70">
            <v>5</v>
          </cell>
          <cell r="AE70">
            <v>3</v>
          </cell>
          <cell r="AF70">
            <v>12</v>
          </cell>
          <cell r="AG70">
            <v>12</v>
          </cell>
          <cell r="AH70">
            <v>0</v>
          </cell>
          <cell r="AK70">
            <v>62</v>
          </cell>
          <cell r="AL70">
            <v>18</v>
          </cell>
          <cell r="AM70">
            <v>44</v>
          </cell>
          <cell r="AN70">
            <v>44</v>
          </cell>
          <cell r="AO70">
            <v>1816</v>
          </cell>
          <cell r="AP70">
            <v>1135</v>
          </cell>
          <cell r="AQ70">
            <v>835.59999999999991</v>
          </cell>
          <cell r="AR70">
            <v>1816.6</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H72">
            <v>0</v>
          </cell>
          <cell r="P72">
            <v>5</v>
          </cell>
          <cell r="S72">
            <v>23</v>
          </cell>
          <cell r="X72">
            <v>0</v>
          </cell>
          <cell r="Y72">
            <v>9</v>
          </cell>
          <cell r="Z72">
            <v>4</v>
          </cell>
          <cell r="AC72">
            <v>0</v>
          </cell>
          <cell r="AD72">
            <v>6</v>
          </cell>
          <cell r="AE72">
            <v>2</v>
          </cell>
          <cell r="AF72">
            <v>0</v>
          </cell>
          <cell r="AG72">
            <v>0</v>
          </cell>
          <cell r="AH72">
            <v>0</v>
          </cell>
          <cell r="AK72">
            <v>0</v>
          </cell>
          <cell r="AL72">
            <v>0</v>
          </cell>
          <cell r="AM72">
            <v>0</v>
          </cell>
          <cell r="AN72">
            <v>0</v>
          </cell>
        </row>
        <row r="73">
          <cell r="F73">
            <v>0</v>
          </cell>
          <cell r="G73">
            <v>0</v>
          </cell>
          <cell r="H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F74">
            <v>0</v>
          </cell>
          <cell r="G74">
            <v>0</v>
          </cell>
          <cell r="P74">
            <v>0</v>
          </cell>
          <cell r="S74">
            <v>0</v>
          </cell>
          <cell r="X74">
            <v>0</v>
          </cell>
          <cell r="Z74">
            <v>0</v>
          </cell>
          <cell r="AC74">
            <v>0</v>
          </cell>
          <cell r="AD74">
            <v>0</v>
          </cell>
          <cell r="AE74">
            <v>0</v>
          </cell>
          <cell r="AF74">
            <v>0</v>
          </cell>
          <cell r="AG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P76">
            <v>289</v>
          </cell>
          <cell r="S76">
            <v>1765.45</v>
          </cell>
          <cell r="T76">
            <v>0</v>
          </cell>
          <cell r="U76">
            <v>0</v>
          </cell>
          <cell r="X76">
            <v>0</v>
          </cell>
          <cell r="Y76">
            <v>0</v>
          </cell>
          <cell r="Z76">
            <v>0</v>
          </cell>
          <cell r="AC76">
            <v>0</v>
          </cell>
          <cell r="AD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O78">
            <v>0</v>
          </cell>
          <cell r="AP78">
            <v>0</v>
          </cell>
          <cell r="AQ78">
            <v>71</v>
          </cell>
          <cell r="AR78">
            <v>614.33333333333337</v>
          </cell>
        </row>
        <row r="79">
          <cell r="F79">
            <v>2822</v>
          </cell>
          <cell r="G79">
            <v>0</v>
          </cell>
          <cell r="H79">
            <v>0</v>
          </cell>
          <cell r="P79">
            <v>0</v>
          </cell>
          <cell r="S79">
            <v>0</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364</v>
          </cell>
          <cell r="AL79">
            <v>206</v>
          </cell>
          <cell r="AM79">
            <v>158</v>
          </cell>
          <cell r="AN79">
            <v>158</v>
          </cell>
          <cell r="AO79">
            <v>115</v>
          </cell>
          <cell r="AP79">
            <v>125</v>
          </cell>
          <cell r="AQ79">
            <v>1656.8833333333332</v>
          </cell>
          <cell r="AR79">
            <v>158</v>
          </cell>
        </row>
        <row r="80">
          <cell r="F80">
            <v>42</v>
          </cell>
          <cell r="G80">
            <v>16</v>
          </cell>
          <cell r="H80">
            <v>26</v>
          </cell>
          <cell r="P80">
            <v>8.6666666666666661</v>
          </cell>
          <cell r="S80">
            <v>222.33333333333334</v>
          </cell>
          <cell r="T80">
            <v>85.458999999999975</v>
          </cell>
          <cell r="U80">
            <v>44.024333333333317</v>
          </cell>
          <cell r="X80">
            <v>18.666666666666668</v>
          </cell>
          <cell r="Y80">
            <v>44</v>
          </cell>
          <cell r="Z80">
            <v>17</v>
          </cell>
          <cell r="AC80">
            <v>13.333333333333334</v>
          </cell>
          <cell r="AD80">
            <v>14</v>
          </cell>
          <cell r="AE80">
            <v>10.649999999999999</v>
          </cell>
          <cell r="AF80">
            <v>45.666666666666664</v>
          </cell>
          <cell r="AG80">
            <v>27.4</v>
          </cell>
          <cell r="AH80">
            <v>18.266666666666666</v>
          </cell>
          <cell r="AI80">
            <v>18.600000000000001</v>
          </cell>
          <cell r="AK80">
            <v>332.4</v>
          </cell>
          <cell r="AL80">
            <v>24.666666666666664</v>
          </cell>
          <cell r="AM80">
            <v>307.73333333333329</v>
          </cell>
          <cell r="AN80">
            <v>275.73333333333335</v>
          </cell>
          <cell r="AR80">
            <v>653.13333333333344</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cell r="AR81">
            <v>194</v>
          </cell>
        </row>
        <row r="82">
          <cell r="F82">
            <v>265</v>
          </cell>
          <cell r="G82">
            <v>0</v>
          </cell>
          <cell r="H82">
            <v>0</v>
          </cell>
          <cell r="P82">
            <v>7.0833333333333348</v>
          </cell>
          <cell r="S82">
            <v>72</v>
          </cell>
          <cell r="X82">
            <v>15.866666666666662</v>
          </cell>
          <cell r="AC82">
            <v>11.616666666666664</v>
          </cell>
          <cell r="AF82">
            <v>38.816666666666677</v>
          </cell>
          <cell r="AG82">
            <v>23.290000000000006</v>
          </cell>
          <cell r="AH82">
            <v>15.526666666666671</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S85">
            <v>7.5</v>
          </cell>
          <cell r="T85">
            <v>452.808109090909</v>
          </cell>
          <cell r="U85">
            <v>471.29007272727262</v>
          </cell>
          <cell r="V85">
            <v>0</v>
          </cell>
          <cell r="W85">
            <v>0</v>
          </cell>
          <cell r="X85">
            <v>5</v>
          </cell>
          <cell r="Y85">
            <v>351</v>
          </cell>
          <cell r="Z85">
            <v>185.2</v>
          </cell>
          <cell r="AA85">
            <v>0</v>
          </cell>
          <cell r="AB85">
            <v>0</v>
          </cell>
          <cell r="AC85">
            <v>1.7</v>
          </cell>
          <cell r="AD85">
            <v>253</v>
          </cell>
          <cell r="AE85">
            <v>174.18</v>
          </cell>
          <cell r="AF85">
            <v>85</v>
          </cell>
          <cell r="AG85">
            <v>85</v>
          </cell>
          <cell r="AH85">
            <v>113.89272727272737</v>
          </cell>
          <cell r="AI85">
            <v>274</v>
          </cell>
          <cell r="AK85">
            <v>4652.1072727272731</v>
          </cell>
          <cell r="AL85">
            <v>1544.6200000000001</v>
          </cell>
          <cell r="AM85">
            <v>3107.4872727272732</v>
          </cell>
          <cell r="AN85">
            <v>664.48</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23824.62</v>
          </cell>
          <cell r="AM86">
            <v>22746.654999999999</v>
          </cell>
          <cell r="AN86">
            <v>0</v>
          </cell>
          <cell r="AO86">
            <v>20189</v>
          </cell>
          <cell r="AP86">
            <v>12601</v>
          </cell>
          <cell r="AQ86">
            <v>4508.7866666666669</v>
          </cell>
          <cell r="AR86">
            <v>9356.6550000000025</v>
          </cell>
        </row>
        <row r="87">
          <cell r="F87">
            <v>7538</v>
          </cell>
          <cell r="G87">
            <v>7538</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K89">
            <v>4189</v>
          </cell>
          <cell r="AL89">
            <v>4189</v>
          </cell>
          <cell r="AM89">
            <v>0</v>
          </cell>
          <cell r="AN89">
            <v>0</v>
          </cell>
          <cell r="AO89">
            <v>0</v>
          </cell>
          <cell r="AP89">
            <v>0</v>
          </cell>
          <cell r="AQ89">
            <v>0</v>
          </cell>
          <cell r="AR89">
            <v>-1</v>
          </cell>
        </row>
        <row r="90">
          <cell r="F90">
            <v>479</v>
          </cell>
          <cell r="G90">
            <v>378</v>
          </cell>
          <cell r="H90">
            <v>101</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0</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0</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H97">
            <v>2263.6374345549739</v>
          </cell>
          <cell r="P97">
            <v>689</v>
          </cell>
          <cell r="Q97">
            <v>0</v>
          </cell>
          <cell r="R97">
            <v>0</v>
          </cell>
          <cell r="S97">
            <v>2408</v>
          </cell>
          <cell r="T97">
            <v>5158.0368969696974</v>
          </cell>
          <cell r="U97">
            <v>2874.9620424242421</v>
          </cell>
          <cell r="V97">
            <v>0</v>
          </cell>
          <cell r="W97">
            <v>0</v>
          </cell>
          <cell r="X97">
            <v>218</v>
          </cell>
          <cell r="Y97">
            <v>17514.503030303029</v>
          </cell>
          <cell r="Z97">
            <v>4504.2409090909096</v>
          </cell>
          <cell r="AA97">
            <v>0</v>
          </cell>
          <cell r="AB97">
            <v>0</v>
          </cell>
          <cell r="AC97">
            <v>195</v>
          </cell>
          <cell r="AD97">
            <v>13622.695151515152</v>
          </cell>
          <cell r="AE97">
            <v>3712.8751515151521</v>
          </cell>
          <cell r="AF97">
            <v>400</v>
          </cell>
          <cell r="AG97">
            <v>400</v>
          </cell>
          <cell r="AH97">
            <v>0</v>
          </cell>
          <cell r="AI97">
            <v>54.400000000000006</v>
          </cell>
          <cell r="AJ97">
            <v>0</v>
          </cell>
          <cell r="AK97">
            <v>4914.3999999999996</v>
          </cell>
          <cell r="AL97">
            <v>59776.883030303026</v>
          </cell>
          <cell r="AM97">
            <v>23080.292434554973</v>
          </cell>
          <cell r="AN97">
            <v>23081.292434554976</v>
          </cell>
          <cell r="AO97">
            <v>20499</v>
          </cell>
          <cell r="AP97">
            <v>12746</v>
          </cell>
          <cell r="AQ97">
            <v>4539.1670630816652</v>
          </cell>
          <cell r="AR97">
            <v>9446.6320413742123</v>
          </cell>
        </row>
        <row r="98">
          <cell r="F98">
            <v>0</v>
          </cell>
          <cell r="G98">
            <v>2806.3625654450261</v>
          </cell>
          <cell r="H98">
            <v>2263.6374345549739</v>
          </cell>
          <cell r="P98">
            <v>689</v>
          </cell>
          <cell r="Q98">
            <v>0</v>
          </cell>
          <cell r="R98">
            <v>0</v>
          </cell>
          <cell r="S98">
            <v>2348</v>
          </cell>
          <cell r="T98">
            <v>2213.0368969696974</v>
          </cell>
          <cell r="U98">
            <v>2874.9620424242421</v>
          </cell>
          <cell r="V98">
            <v>0</v>
          </cell>
          <cell r="W98">
            <v>0</v>
          </cell>
          <cell r="X98">
            <v>218</v>
          </cell>
          <cell r="Y98">
            <v>2602</v>
          </cell>
          <cell r="Z98">
            <v>1023.2409090909096</v>
          </cell>
          <cell r="AA98">
            <v>0</v>
          </cell>
          <cell r="AB98">
            <v>0</v>
          </cell>
          <cell r="AC98">
            <v>195</v>
          </cell>
          <cell r="AD98">
            <v>1785</v>
          </cell>
          <cell r="AE98">
            <v>724.87515151515208</v>
          </cell>
          <cell r="AF98">
            <v>400</v>
          </cell>
          <cell r="AG98">
            <v>400</v>
          </cell>
          <cell r="AH98">
            <v>0</v>
          </cell>
          <cell r="AI98">
            <v>54.400000000000006</v>
          </cell>
          <cell r="AK98">
            <v>3914.4</v>
          </cell>
          <cell r="AL98">
            <v>58993.683030303029</v>
          </cell>
          <cell r="AM98">
            <v>31922.973706111836</v>
          </cell>
          <cell r="AN98">
            <v>13667.292434554976</v>
          </cell>
          <cell r="AO98">
            <v>4252</v>
          </cell>
          <cell r="AP98">
            <v>3332</v>
          </cell>
          <cell r="AQ98">
            <v>4539.1670630816652</v>
          </cell>
          <cell r="AR98">
            <v>9446.6320413742123</v>
          </cell>
        </row>
        <row r="99">
          <cell r="F99">
            <v>0</v>
          </cell>
          <cell r="P99">
            <v>0</v>
          </cell>
          <cell r="S99">
            <v>1948.2</v>
          </cell>
          <cell r="X99">
            <v>0</v>
          </cell>
          <cell r="Y99">
            <v>15984.24090909091</v>
          </cell>
          <cell r="AC99">
            <v>229.5</v>
          </cell>
          <cell r="AD99">
            <v>12866.875151515153</v>
          </cell>
          <cell r="AF99">
            <v>202.29999999999998</v>
          </cell>
          <cell r="AG99">
            <v>119</v>
          </cell>
          <cell r="AH99">
            <v>83.299999999999983</v>
          </cell>
          <cell r="AK99">
            <v>0</v>
          </cell>
          <cell r="AL99">
            <v>53480.441666666673</v>
          </cell>
        </row>
        <row r="100">
          <cell r="F100">
            <v>850</v>
          </cell>
          <cell r="P100">
            <v>0</v>
          </cell>
          <cell r="S100">
            <v>60</v>
          </cell>
          <cell r="X100">
            <v>0</v>
          </cell>
          <cell r="AC100">
            <v>0</v>
          </cell>
          <cell r="AF100">
            <v>0</v>
          </cell>
          <cell r="AG100">
            <v>0</v>
          </cell>
          <cell r="AH100">
            <v>0</v>
          </cell>
          <cell r="AI100">
            <v>0</v>
          </cell>
          <cell r="AK100">
            <v>1000</v>
          </cell>
          <cell r="AL100">
            <v>53480.441666666666</v>
          </cell>
          <cell r="AM100">
            <v>30399.149232111693</v>
          </cell>
        </row>
        <row r="101">
          <cell r="F101">
            <v>0</v>
          </cell>
          <cell r="P101">
            <v>0</v>
          </cell>
          <cell r="S101">
            <v>0</v>
          </cell>
          <cell r="X101">
            <v>9</v>
          </cell>
          <cell r="AK101">
            <v>287</v>
          </cell>
        </row>
        <row r="102">
          <cell r="F102">
            <v>0</v>
          </cell>
          <cell r="P102">
            <v>344.5</v>
          </cell>
          <cell r="S102">
            <v>0</v>
          </cell>
          <cell r="X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X105">
            <v>0</v>
          </cell>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cell r="AM113">
            <v>0</v>
          </cell>
        </row>
        <row r="114">
          <cell r="F114">
            <v>0</v>
          </cell>
          <cell r="P114">
            <v>0</v>
          </cell>
          <cell r="S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cell r="AL115">
            <v>0</v>
          </cell>
          <cell r="AM115">
            <v>0</v>
          </cell>
        </row>
        <row r="116">
          <cell r="F116">
            <v>0</v>
          </cell>
          <cell r="P116">
            <v>0</v>
          </cell>
          <cell r="S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C118">
            <v>0</v>
          </cell>
          <cell r="AG118">
            <v>0</v>
          </cell>
          <cell r="AH118">
            <v>0</v>
          </cell>
          <cell r="AK118">
            <v>0</v>
          </cell>
          <cell r="AL118">
            <v>0</v>
          </cell>
          <cell r="AM118">
            <v>0</v>
          </cell>
        </row>
        <row r="119">
          <cell r="F119">
            <v>700</v>
          </cell>
          <cell r="P119">
            <v>0</v>
          </cell>
          <cell r="S119">
            <v>0</v>
          </cell>
          <cell r="AC119">
            <v>0</v>
          </cell>
          <cell r="AG119">
            <v>0</v>
          </cell>
          <cell r="AH119">
            <v>0</v>
          </cell>
          <cell r="AK119">
            <v>700</v>
          </cell>
        </row>
        <row r="120">
          <cell r="F120">
            <v>1000</v>
          </cell>
          <cell r="P120">
            <v>0</v>
          </cell>
          <cell r="S120">
            <v>0</v>
          </cell>
          <cell r="X120">
            <v>0</v>
          </cell>
          <cell r="AC120">
            <v>0</v>
          </cell>
          <cell r="AF120">
            <v>0</v>
          </cell>
          <cell r="AG120">
            <v>0</v>
          </cell>
          <cell r="AH120">
            <v>0</v>
          </cell>
          <cell r="AK120">
            <v>1000</v>
          </cell>
        </row>
        <row r="121">
          <cell r="F121">
            <v>3500</v>
          </cell>
          <cell r="P121">
            <v>0</v>
          </cell>
          <cell r="S121">
            <v>0</v>
          </cell>
          <cell r="X121">
            <v>0</v>
          </cell>
          <cell r="AC121">
            <v>0</v>
          </cell>
          <cell r="AG121">
            <v>0</v>
          </cell>
          <cell r="AH121">
            <v>0</v>
          </cell>
          <cell r="AK121">
            <v>3500</v>
          </cell>
        </row>
        <row r="122">
          <cell r="F122">
            <v>595</v>
          </cell>
          <cell r="AK122">
            <v>0</v>
          </cell>
        </row>
        <row r="123">
          <cell r="S123">
            <v>0</v>
          </cell>
          <cell r="X123">
            <v>0</v>
          </cell>
          <cell r="AF123">
            <v>0</v>
          </cell>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cell r="AL126">
            <v>-13112.934166666666</v>
          </cell>
        </row>
        <row r="127">
          <cell r="F127">
            <v>0</v>
          </cell>
          <cell r="AK127">
            <v>-7171.8031212121205</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-7171.8031212121205</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-10245.433030303029</v>
          </cell>
          <cell r="AL129">
            <v>5888.0262938881679</v>
          </cell>
          <cell r="AM129">
            <v>-16998.709324191197</v>
          </cell>
        </row>
        <row r="130">
          <cell r="AK130">
            <v>-7506.2341666666662</v>
          </cell>
          <cell r="AL130">
            <v>5716.7</v>
          </cell>
        </row>
        <row r="131">
          <cell r="AK131">
            <v>-3073.6299090909088</v>
          </cell>
          <cell r="AO131">
            <v>0</v>
          </cell>
        </row>
        <row r="132">
          <cell r="AK132">
            <v>-10723.191666666666</v>
          </cell>
          <cell r="AL132">
            <v>2697.850767888307</v>
          </cell>
          <cell r="AM132">
            <v>-14286.292434554973</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M137">
            <v>8794</v>
          </cell>
          <cell r="AO137" t="e">
            <v>#DIV/0!</v>
          </cell>
          <cell r="AQ137">
            <v>0</v>
          </cell>
        </row>
        <row r="138">
          <cell r="AK138">
            <v>0</v>
          </cell>
          <cell r="AO138">
            <v>0</v>
          </cell>
        </row>
        <row r="139">
          <cell r="AK139">
            <v>5.57</v>
          </cell>
          <cell r="AO139" t="e">
            <v>#DIV/0!</v>
          </cell>
        </row>
        <row r="140">
          <cell r="AK140">
            <v>9.56</v>
          </cell>
          <cell r="AO140" t="e">
            <v>#DIV/0!</v>
          </cell>
        </row>
        <row r="141">
          <cell r="AK141">
            <v>0</v>
          </cell>
          <cell r="AO141">
            <v>0</v>
          </cell>
        </row>
        <row r="142">
          <cell r="AJ142">
            <v>0</v>
          </cell>
          <cell r="AK142">
            <v>8.07</v>
          </cell>
          <cell r="AO142" t="e">
            <v>#DIV/0!</v>
          </cell>
        </row>
        <row r="143">
          <cell r="AK143">
            <v>37810</v>
          </cell>
          <cell r="AL143">
            <v>37810</v>
          </cell>
          <cell r="AO143" t="e">
            <v>#DIV/0!</v>
          </cell>
        </row>
        <row r="145">
          <cell r="AJ145">
            <v>300</v>
          </cell>
          <cell r="AK145">
            <v>7.68</v>
          </cell>
          <cell r="AO145" t="e">
            <v>#DIV/0!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S150">
            <v>0</v>
          </cell>
          <cell r="AK150">
            <v>0</v>
          </cell>
        </row>
        <row r="151">
          <cell r="AK151">
            <v>47883</v>
          </cell>
          <cell r="AL151">
            <v>37810</v>
          </cell>
          <cell r="AM151">
            <v>10073</v>
          </cell>
        </row>
        <row r="152">
          <cell r="AK152">
            <v>0</v>
          </cell>
          <cell r="AL152">
            <v>33098</v>
          </cell>
          <cell r="AM152">
            <v>8794</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0</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F161">
            <v>204</v>
          </cell>
          <cell r="P161">
            <v>110</v>
          </cell>
          <cell r="S161">
            <v>59</v>
          </cell>
          <cell r="X161">
            <v>74</v>
          </cell>
          <cell r="AB161">
            <v>9</v>
          </cell>
          <cell r="AC161">
            <v>34</v>
          </cell>
          <cell r="AF161">
            <v>115</v>
          </cell>
          <cell r="AG161">
            <v>115</v>
          </cell>
          <cell r="AH161">
            <v>0</v>
          </cell>
          <cell r="AK161">
            <v>277</v>
          </cell>
        </row>
        <row r="162">
          <cell r="F162">
            <v>204</v>
          </cell>
          <cell r="P162">
            <v>497.6</v>
          </cell>
          <cell r="S162">
            <v>916.75</v>
          </cell>
          <cell r="X162">
            <v>1694.1499999999999</v>
          </cell>
          <cell r="AF162">
            <v>242</v>
          </cell>
          <cell r="AG162">
            <v>242</v>
          </cell>
          <cell r="AH162">
            <v>0</v>
          </cell>
          <cell r="AK162">
            <v>0</v>
          </cell>
        </row>
        <row r="163">
          <cell r="F163">
            <v>14.170833333333334</v>
          </cell>
          <cell r="P163">
            <v>247</v>
          </cell>
          <cell r="S163">
            <v>303</v>
          </cell>
          <cell r="X163">
            <v>73</v>
          </cell>
          <cell r="AC163">
            <v>87</v>
          </cell>
          <cell r="AF163">
            <v>99</v>
          </cell>
          <cell r="AG163">
            <v>99</v>
          </cell>
          <cell r="AH163">
            <v>0</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F166">
            <v>14.170833333333334</v>
          </cell>
          <cell r="S166">
            <v>1487</v>
          </cell>
          <cell r="X166">
            <v>2754</v>
          </cell>
          <cell r="AC166">
            <v>1364</v>
          </cell>
          <cell r="AK166">
            <v>14.170833333333334</v>
          </cell>
        </row>
        <row r="167">
          <cell r="F167">
            <v>60</v>
          </cell>
          <cell r="P167">
            <v>0</v>
          </cell>
          <cell r="S167">
            <v>0</v>
          </cell>
          <cell r="X167">
            <v>0</v>
          </cell>
          <cell r="AC167">
            <v>0</v>
          </cell>
          <cell r="AF167">
            <v>187</v>
          </cell>
          <cell r="AG167">
            <v>187</v>
          </cell>
          <cell r="AK167">
            <v>60</v>
          </cell>
        </row>
        <row r="168">
          <cell r="F168">
            <v>-255</v>
          </cell>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0</v>
          </cell>
          <cell r="AH172">
            <v>83.299999999999983</v>
          </cell>
          <cell r="AK172">
            <v>0</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0</v>
          </cell>
        </row>
        <row r="174">
          <cell r="F174">
            <v>3500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8302</v>
          </cell>
          <cell r="P180">
            <v>386.99999999999977</v>
          </cell>
          <cell r="Q180">
            <v>0</v>
          </cell>
          <cell r="R180">
            <v>0</v>
          </cell>
          <cell r="S180">
            <v>2471</v>
          </cell>
          <cell r="T180">
            <v>13.666666666666666</v>
          </cell>
          <cell r="U180">
            <v>0</v>
          </cell>
          <cell r="V180">
            <v>0</v>
          </cell>
          <cell r="W180">
            <v>0</v>
          </cell>
          <cell r="X180">
            <v>523.33333333333189</v>
          </cell>
          <cell r="AA180">
            <v>0</v>
          </cell>
          <cell r="AB180">
            <v>0</v>
          </cell>
          <cell r="AC180">
            <v>535.66666666666731</v>
          </cell>
          <cell r="AF180">
            <v>1453.6666666666665</v>
          </cell>
          <cell r="AG180">
            <v>733</v>
          </cell>
          <cell r="AH180">
            <v>721.66666666666663</v>
          </cell>
          <cell r="AK180">
            <v>-2374.9574999999995</v>
          </cell>
          <cell r="AO180">
            <v>518</v>
          </cell>
          <cell r="AP180">
            <v>1507.2</v>
          </cell>
          <cell r="AQ180">
            <v>7.9613874345549789</v>
          </cell>
          <cell r="AR180">
            <v>85.038612565445021</v>
          </cell>
        </row>
        <row r="181">
          <cell r="AO181" t="str">
            <v>ОЧИК.18.02.</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v>14.7</v>
          </cell>
          <cell r="X187">
            <v>64.7</v>
          </cell>
          <cell r="Y187" t="str">
            <v>Е/Е</v>
          </cell>
          <cell r="Z187" t="str">
            <v xml:space="preserve"> Т/Е</v>
          </cell>
          <cell r="AC187">
            <v>55</v>
          </cell>
          <cell r="AD187" t="str">
            <v>Е/Е</v>
          </cell>
          <cell r="AE187" t="str">
            <v xml:space="preserve"> Т/Е</v>
          </cell>
          <cell r="AF187" t="str">
            <v>Е/Е</v>
          </cell>
          <cell r="AG187" t="str">
            <v xml:space="preserve"> Т/Е</v>
          </cell>
          <cell r="AK187">
            <v>134.4</v>
          </cell>
          <cell r="AL187" t="str">
            <v>Е/Е</v>
          </cell>
          <cell r="AM187" t="str">
            <v xml:space="preserve"> Т/Е</v>
          </cell>
          <cell r="AO187">
            <v>221.49122807017542</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P192">
            <v>0</v>
          </cell>
          <cell r="S192">
            <v>0</v>
          </cell>
          <cell r="X192">
            <v>0</v>
          </cell>
          <cell r="AC192">
            <v>0</v>
          </cell>
          <cell r="AK192">
            <v>25873</v>
          </cell>
          <cell r="AO192">
            <v>66</v>
          </cell>
        </row>
        <row r="193">
          <cell r="P193">
            <v>0</v>
          </cell>
          <cell r="S193">
            <v>192.5</v>
          </cell>
          <cell r="X193">
            <v>0</v>
          </cell>
          <cell r="AC193">
            <v>0</v>
          </cell>
          <cell r="AK193">
            <v>0</v>
          </cell>
          <cell r="AO193">
            <v>0</v>
          </cell>
        </row>
        <row r="194">
          <cell r="S194">
            <v>2945</v>
          </cell>
          <cell r="X194">
            <v>0</v>
          </cell>
          <cell r="AC194">
            <v>0</v>
          </cell>
          <cell r="AK194">
            <v>0</v>
          </cell>
          <cell r="AO194">
            <v>0</v>
          </cell>
        </row>
        <row r="195">
          <cell r="X195">
            <v>82.5</v>
          </cell>
          <cell r="AC195">
            <v>82.5</v>
          </cell>
          <cell r="AK195">
            <v>25661</v>
          </cell>
        </row>
        <row r="196">
          <cell r="X196">
            <v>0</v>
          </cell>
          <cell r="AC196">
            <v>0</v>
          </cell>
          <cell r="AK196">
            <v>0</v>
          </cell>
        </row>
        <row r="197">
          <cell r="S197">
            <v>0</v>
          </cell>
          <cell r="X197">
            <v>0</v>
          </cell>
          <cell r="AC197">
            <v>0</v>
          </cell>
          <cell r="AK197">
            <v>0</v>
          </cell>
        </row>
        <row r="198">
          <cell r="X198">
            <v>82.5</v>
          </cell>
          <cell r="AC198">
            <v>82.5</v>
          </cell>
        </row>
        <row r="199">
          <cell r="X199">
            <v>0</v>
          </cell>
          <cell r="AC199">
            <v>0</v>
          </cell>
          <cell r="AK199">
            <v>0</v>
          </cell>
          <cell r="AO199">
            <v>75.839416058394164</v>
          </cell>
        </row>
        <row r="200">
          <cell r="S200">
            <v>0</v>
          </cell>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F204">
            <v>75</v>
          </cell>
          <cell r="P204">
            <v>75</v>
          </cell>
          <cell r="AK204">
            <v>0</v>
          </cell>
          <cell r="AO204" t="e">
            <v>#DIV/0!</v>
          </cell>
          <cell r="AR204">
            <v>75</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0</v>
          </cell>
          <cell r="AO208">
            <v>52</v>
          </cell>
          <cell r="AP208">
            <v>52</v>
          </cell>
          <cell r="AQ208">
            <v>281.5</v>
          </cell>
        </row>
        <row r="209">
          <cell r="S209">
            <v>2945</v>
          </cell>
          <cell r="X209">
            <v>12455</v>
          </cell>
          <cell r="Y209">
            <v>8878</v>
          </cell>
          <cell r="Z209">
            <v>3481</v>
          </cell>
          <cell r="AA209">
            <v>3481</v>
          </cell>
          <cell r="AC209">
            <v>10588</v>
          </cell>
          <cell r="AD209">
            <v>7369</v>
          </cell>
          <cell r="AE209">
            <v>2988</v>
          </cell>
          <cell r="AK209">
            <v>25872</v>
          </cell>
          <cell r="AL209">
            <v>14425</v>
          </cell>
          <cell r="AM209">
            <v>11447</v>
          </cell>
          <cell r="AO209">
            <v>14862</v>
          </cell>
          <cell r="AP209">
            <v>3164.427048260382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t="str">
            <v>тис.грн.</v>
          </cell>
          <cell r="AM255">
            <v>42757.25</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Q257">
            <v>0</v>
          </cell>
          <cell r="R257">
            <v>0</v>
          </cell>
          <cell r="S257">
            <v>7710.7648484848487</v>
          </cell>
          <cell r="T257">
            <v>0</v>
          </cell>
          <cell r="U257">
            <v>0</v>
          </cell>
          <cell r="V257">
            <v>0</v>
          </cell>
          <cell r="W257">
            <v>0</v>
          </cell>
          <cell r="X257">
            <v>4714.5030303030289</v>
          </cell>
          <cell r="Y257">
            <v>0</v>
          </cell>
          <cell r="Z257">
            <v>0</v>
          </cell>
          <cell r="AA257">
            <v>0</v>
          </cell>
          <cell r="AB257">
            <v>0</v>
          </cell>
          <cell r="AC257">
            <v>2516.6951515151522</v>
          </cell>
          <cell r="AD257">
            <v>0</v>
          </cell>
          <cell r="AE257">
            <v>0</v>
          </cell>
          <cell r="AF257">
            <v>4357.5593939393939</v>
          </cell>
          <cell r="AG257">
            <v>3406</v>
          </cell>
          <cell r="AH257">
            <v>952.89272727272737</v>
          </cell>
          <cell r="AI257">
            <v>1531</v>
          </cell>
          <cell r="AJ257">
            <v>7599</v>
          </cell>
          <cell r="AK257">
            <v>27115.242424242424</v>
          </cell>
          <cell r="AL257" t="b">
            <v>1</v>
          </cell>
          <cell r="AM257" t="e">
            <v>#NULL!</v>
          </cell>
          <cell r="AN257" t="b">
            <v>1</v>
          </cell>
          <cell r="AO257">
            <v>0</v>
          </cell>
          <cell r="AP257">
            <v>0</v>
          </cell>
          <cell r="AQ257">
            <v>0</v>
          </cell>
          <cell r="AR257">
            <v>0</v>
          </cell>
        </row>
        <row r="258">
          <cell r="F258">
            <v>25661</v>
          </cell>
          <cell r="AK258">
            <v>25661</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Q260">
            <v>0</v>
          </cell>
          <cell r="R260">
            <v>0</v>
          </cell>
          <cell r="S260">
            <v>2828</v>
          </cell>
          <cell r="T260">
            <v>1887.8566666666666</v>
          </cell>
          <cell r="U260">
            <v>1017.81</v>
          </cell>
          <cell r="V260">
            <v>0</v>
          </cell>
          <cell r="W260">
            <v>0</v>
          </cell>
          <cell r="X260">
            <v>1333.6666666666656</v>
          </cell>
          <cell r="Y260">
            <v>2289</v>
          </cell>
          <cell r="Z260">
            <v>1210.6666666666672</v>
          </cell>
          <cell r="AA260">
            <v>0</v>
          </cell>
          <cell r="AB260">
            <v>0</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P266">
            <v>0</v>
          </cell>
          <cell r="S266">
            <v>0</v>
          </cell>
          <cell r="X266">
            <v>0</v>
          </cell>
          <cell r="AC266">
            <v>0</v>
          </cell>
          <cell r="AF266">
            <v>0</v>
          </cell>
          <cell r="AG266">
            <v>0</v>
          </cell>
          <cell r="AH266">
            <v>0</v>
          </cell>
          <cell r="AK266">
            <v>0</v>
          </cell>
        </row>
        <row r="267">
          <cell r="F267">
            <v>2381.4</v>
          </cell>
          <cell r="AK267">
            <v>2381.4</v>
          </cell>
        </row>
        <row r="268">
          <cell r="F268">
            <v>3500</v>
          </cell>
          <cell r="P268">
            <v>0</v>
          </cell>
          <cell r="S268">
            <v>0</v>
          </cell>
          <cell r="X268">
            <v>0</v>
          </cell>
          <cell r="AC268">
            <v>0</v>
          </cell>
          <cell r="AF268">
            <v>0</v>
          </cell>
          <cell r="AG268">
            <v>0</v>
          </cell>
          <cell r="AH268">
            <v>0</v>
          </cell>
          <cell r="AK268">
            <v>3500</v>
          </cell>
        </row>
        <row r="269">
          <cell r="F269">
            <v>0</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0</v>
          </cell>
        </row>
        <row r="270">
          <cell r="F270">
            <v>606</v>
          </cell>
          <cell r="P270">
            <v>0</v>
          </cell>
          <cell r="Q270">
            <v>0</v>
          </cell>
          <cell r="R270">
            <v>0</v>
          </cell>
          <cell r="S270">
            <v>0</v>
          </cell>
          <cell r="T270">
            <v>670.49373030303025</v>
          </cell>
          <cell r="U270">
            <v>683.33020909090919</v>
          </cell>
          <cell r="V270">
            <v>0</v>
          </cell>
          <cell r="W270">
            <v>0</v>
          </cell>
          <cell r="X270">
            <v>0</v>
          </cell>
          <cell r="Y270">
            <v>494</v>
          </cell>
          <cell r="Z270">
            <v>194.2409090909091</v>
          </cell>
          <cell r="AA270">
            <v>0</v>
          </cell>
          <cell r="AB270">
            <v>0</v>
          </cell>
          <cell r="AC270">
            <v>0</v>
          </cell>
          <cell r="AD270">
            <v>293</v>
          </cell>
          <cell r="AE270">
            <v>120.37515151515153</v>
          </cell>
          <cell r="AF270">
            <v>0</v>
          </cell>
          <cell r="AG270">
            <v>0</v>
          </cell>
          <cell r="AH270">
            <v>0</v>
          </cell>
          <cell r="AI270">
            <v>0</v>
          </cell>
          <cell r="AK270">
            <v>606</v>
          </cell>
        </row>
        <row r="271">
          <cell r="F271">
            <v>4200</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4200</v>
          </cell>
        </row>
        <row r="272">
          <cell r="F272">
            <v>83</v>
          </cell>
          <cell r="P272">
            <v>0</v>
          </cell>
          <cell r="Q272">
            <v>0</v>
          </cell>
          <cell r="R272">
            <v>0</v>
          </cell>
          <cell r="S272">
            <v>0</v>
          </cell>
          <cell r="T272">
            <v>13.666666666666666</v>
          </cell>
          <cell r="U272">
            <v>0</v>
          </cell>
          <cell r="V272">
            <v>0</v>
          </cell>
          <cell r="W272">
            <v>0</v>
          </cell>
          <cell r="X272">
            <v>0</v>
          </cell>
          <cell r="Y272">
            <v>199</v>
          </cell>
          <cell r="Z272">
            <v>78</v>
          </cell>
          <cell r="AA272">
            <v>0</v>
          </cell>
          <cell r="AB272">
            <v>0</v>
          </cell>
          <cell r="AC272">
            <v>0</v>
          </cell>
          <cell r="AD272">
            <v>9</v>
          </cell>
          <cell r="AE272">
            <v>4.3333333333333339</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Q278">
            <v>0</v>
          </cell>
          <cell r="R278">
            <v>0</v>
          </cell>
          <cell r="S278">
            <v>750</v>
          </cell>
          <cell r="T278">
            <v>0</v>
          </cell>
          <cell r="U278">
            <v>0</v>
          </cell>
          <cell r="V278">
            <v>0</v>
          </cell>
          <cell r="W278">
            <v>0</v>
          </cell>
          <cell r="X278">
            <v>102</v>
          </cell>
          <cell r="Y278">
            <v>0</v>
          </cell>
          <cell r="Z278">
            <v>0</v>
          </cell>
          <cell r="AA278">
            <v>0</v>
          </cell>
          <cell r="AB278">
            <v>0</v>
          </cell>
          <cell r="AC278">
            <v>97</v>
          </cell>
          <cell r="AD278">
            <v>0</v>
          </cell>
          <cell r="AE278">
            <v>0</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H280">
            <v>499.81666666666649</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Q283">
            <v>0</v>
          </cell>
          <cell r="R283">
            <v>0</v>
          </cell>
          <cell r="S283">
            <v>0</v>
          </cell>
          <cell r="T283">
            <v>-670.49373030303025</v>
          </cell>
          <cell r="U283">
            <v>-683.33020909090919</v>
          </cell>
          <cell r="V283">
            <v>0</v>
          </cell>
          <cell r="W283">
            <v>0</v>
          </cell>
          <cell r="X283">
            <v>0</v>
          </cell>
          <cell r="Y283">
            <v>-494</v>
          </cell>
          <cell r="Z283">
            <v>-194.2409090909091</v>
          </cell>
          <cell r="AA283">
            <v>0</v>
          </cell>
          <cell r="AB283">
            <v>0</v>
          </cell>
          <cell r="AC283">
            <v>0</v>
          </cell>
          <cell r="AD283">
            <v>-293</v>
          </cell>
          <cell r="AE283">
            <v>-120.37515151515153</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364</v>
          </cell>
        </row>
        <row r="286">
          <cell r="F286">
            <v>555</v>
          </cell>
          <cell r="P286">
            <v>205.5</v>
          </cell>
          <cell r="S286">
            <v>250</v>
          </cell>
          <cell r="X286">
            <v>-91.5</v>
          </cell>
          <cell r="AC286">
            <v>99.5</v>
          </cell>
          <cell r="AF286">
            <v>52.299999999999983</v>
          </cell>
          <cell r="AG286">
            <v>-31</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F288">
            <v>0</v>
          </cell>
          <cell r="P288">
            <v>0</v>
          </cell>
          <cell r="S288">
            <v>0</v>
          </cell>
          <cell r="X288">
            <v>0</v>
          </cell>
          <cell r="AC288">
            <v>0</v>
          </cell>
          <cell r="AF288">
            <v>0</v>
          </cell>
          <cell r="AG288">
            <v>0</v>
          </cell>
          <cell r="AH288">
            <v>0</v>
          </cell>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Q290">
            <v>0</v>
          </cell>
          <cell r="R290">
            <v>0</v>
          </cell>
          <cell r="S290">
            <v>1738</v>
          </cell>
          <cell r="T290">
            <v>0</v>
          </cell>
          <cell r="U290">
            <v>0</v>
          </cell>
          <cell r="V290">
            <v>0</v>
          </cell>
          <cell r="W290">
            <v>0</v>
          </cell>
          <cell r="X290">
            <v>118</v>
          </cell>
          <cell r="Y290">
            <v>0</v>
          </cell>
          <cell r="Z290">
            <v>0</v>
          </cell>
          <cell r="AA290">
            <v>0</v>
          </cell>
          <cell r="AB290">
            <v>0</v>
          </cell>
          <cell r="AC290">
            <v>95</v>
          </cell>
          <cell r="AD290">
            <v>0</v>
          </cell>
          <cell r="AE290">
            <v>0</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Q296">
            <v>0</v>
          </cell>
          <cell r="R296">
            <v>0</v>
          </cell>
          <cell r="S296">
            <v>355</v>
          </cell>
          <cell r="T296">
            <v>-670.49373030303025</v>
          </cell>
          <cell r="U296">
            <v>-683.33020909090919</v>
          </cell>
          <cell r="V296">
            <v>0</v>
          </cell>
          <cell r="W296">
            <v>0</v>
          </cell>
          <cell r="X296">
            <v>221.66666666666663</v>
          </cell>
          <cell r="Y296">
            <v>-494</v>
          </cell>
          <cell r="Z296">
            <v>-194.2409090909091</v>
          </cell>
          <cell r="AA296">
            <v>0</v>
          </cell>
          <cell r="AB296">
            <v>0</v>
          </cell>
          <cell r="AC296">
            <v>84.333333333333329</v>
          </cell>
          <cell r="AD296">
            <v>-293</v>
          </cell>
          <cell r="AE296">
            <v>-120.37515151515153</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G299">
            <v>0</v>
          </cell>
          <cell r="H299">
            <v>0</v>
          </cell>
          <cell r="P299">
            <v>66</v>
          </cell>
          <cell r="Q299">
            <v>0</v>
          </cell>
          <cell r="R299">
            <v>0</v>
          </cell>
          <cell r="S299">
            <v>0</v>
          </cell>
          <cell r="T299">
            <v>-670.49373030303025</v>
          </cell>
          <cell r="U299">
            <v>-683.33020909090919</v>
          </cell>
          <cell r="V299">
            <v>0</v>
          </cell>
          <cell r="W299">
            <v>0</v>
          </cell>
          <cell r="X299">
            <v>28.333333333333332</v>
          </cell>
          <cell r="Y299">
            <v>-494</v>
          </cell>
          <cell r="Z299">
            <v>-194.2409090909091</v>
          </cell>
          <cell r="AA299">
            <v>0</v>
          </cell>
          <cell r="AB299">
            <v>0</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cell r="AM335">
            <v>2176.6999999999998</v>
          </cell>
        </row>
        <row r="336">
          <cell r="AK336">
            <v>606</v>
          </cell>
          <cell r="AM336">
            <v>606</v>
          </cell>
        </row>
        <row r="337">
          <cell r="AK337">
            <v>4200</v>
          </cell>
          <cell r="AM337">
            <v>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cell r="AM347">
            <v>89.416666666666657</v>
          </cell>
        </row>
        <row r="348">
          <cell r="P348">
            <v>225</v>
          </cell>
          <cell r="S348">
            <v>296</v>
          </cell>
          <cell r="X348">
            <v>56</v>
          </cell>
          <cell r="AC348">
            <v>561.88181818181829</v>
          </cell>
          <cell r="AF348">
            <v>470</v>
          </cell>
          <cell r="AG348">
            <v>470</v>
          </cell>
          <cell r="AH348">
            <v>0</v>
          </cell>
          <cell r="AK348">
            <v>712</v>
          </cell>
        </row>
        <row r="349">
          <cell r="AK349">
            <v>0</v>
          </cell>
          <cell r="AM349">
            <v>0</v>
          </cell>
        </row>
        <row r="350">
          <cell r="F350">
            <v>33</v>
          </cell>
          <cell r="P350">
            <v>0</v>
          </cell>
          <cell r="S350">
            <v>0</v>
          </cell>
          <cell r="X350">
            <v>0</v>
          </cell>
          <cell r="AC350">
            <v>0</v>
          </cell>
          <cell r="AF350">
            <v>0</v>
          </cell>
          <cell r="AG350">
            <v>0</v>
          </cell>
          <cell r="AH350">
            <v>0</v>
          </cell>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лютий</v>
          </cell>
          <cell r="P383" t="str">
            <v>лютий</v>
          </cell>
          <cell r="X383" t="str">
            <v>лютий</v>
          </cell>
          <cell r="AC383" t="str">
            <v>лютий</v>
          </cell>
          <cell r="AK383" t="str">
            <v>ПЛАН</v>
          </cell>
          <cell r="AL383" t="str">
            <v>ПЛАН</v>
          </cell>
        </row>
        <row r="384">
          <cell r="F384" t="str">
            <v>АППАРАТ</v>
          </cell>
          <cell r="G384">
            <v>104</v>
          </cell>
          <cell r="H384">
            <v>102</v>
          </cell>
          <cell r="P384" t="str">
            <v>ККМ</v>
          </cell>
          <cell r="S384">
            <v>14.333333333333332</v>
          </cell>
          <cell r="X384" t="str">
            <v>ТЕЦ5</v>
          </cell>
          <cell r="Y384">
            <v>131</v>
          </cell>
          <cell r="Z384">
            <v>130</v>
          </cell>
          <cell r="AC384" t="str">
            <v>ТЕЦ6</v>
          </cell>
          <cell r="AD384">
            <v>230</v>
          </cell>
          <cell r="AE384">
            <v>231</v>
          </cell>
          <cell r="AK384" t="str">
            <v>АК "КЕ"</v>
          </cell>
          <cell r="AL384" t="str">
            <v>Е/Е</v>
          </cell>
          <cell r="AM384">
            <v>490.33333333333331</v>
          </cell>
        </row>
        <row r="385">
          <cell r="F385" t="str">
            <v>ПЛАН</v>
          </cell>
          <cell r="G385">
            <v>18</v>
          </cell>
          <cell r="P385" t="str">
            <v>ПЛАН</v>
          </cell>
          <cell r="X385" t="str">
            <v>ПЛАН</v>
          </cell>
          <cell r="Y385">
            <v>0</v>
          </cell>
          <cell r="AC385" t="str">
            <v>ПЛАН</v>
          </cell>
          <cell r="AD385">
            <v>3</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cell r="AM396">
            <v>427.83333333333337</v>
          </cell>
        </row>
        <row r="397">
          <cell r="F397">
            <v>0</v>
          </cell>
          <cell r="G397">
            <v>0</v>
          </cell>
          <cell r="P397">
            <v>0</v>
          </cell>
          <cell r="X397">
            <v>0</v>
          </cell>
          <cell r="Y397">
            <v>0</v>
          </cell>
          <cell r="AC397">
            <v>0</v>
          </cell>
          <cell r="AD397">
            <v>0</v>
          </cell>
          <cell r="AK397">
            <v>0</v>
          </cell>
          <cell r="AL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cell r="AM403">
            <v>46</v>
          </cell>
        </row>
        <row r="404">
          <cell r="F404">
            <v>0</v>
          </cell>
          <cell r="G404">
            <v>0</v>
          </cell>
          <cell r="P404">
            <v>0</v>
          </cell>
          <cell r="X404">
            <v>0</v>
          </cell>
          <cell r="Y404">
            <v>0</v>
          </cell>
          <cell r="AC404">
            <v>0</v>
          </cell>
          <cell r="AD404">
            <v>0</v>
          </cell>
          <cell r="AK404">
            <v>0</v>
          </cell>
          <cell r="AL404">
            <v>5.3333333333333339</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H407">
            <v>130</v>
          </cell>
          <cell r="P407">
            <v>35.666666666666664</v>
          </cell>
          <cell r="S407">
            <v>50.166666666666671</v>
          </cell>
          <cell r="X407">
            <v>0</v>
          </cell>
          <cell r="Y407">
            <v>0</v>
          </cell>
          <cell r="AC407">
            <v>0</v>
          </cell>
          <cell r="AD407">
            <v>0</v>
          </cell>
          <cell r="AK407">
            <v>43</v>
          </cell>
          <cell r="AL407">
            <v>39.666666666666664</v>
          </cell>
          <cell r="AM407">
            <v>481.16666666666663</v>
          </cell>
        </row>
        <row r="408">
          <cell r="F408">
            <v>0</v>
          </cell>
          <cell r="G408">
            <v>0</v>
          </cell>
          <cell r="P408">
            <v>0</v>
          </cell>
          <cell r="X408">
            <v>0</v>
          </cell>
          <cell r="Y408">
            <v>0</v>
          </cell>
          <cell r="AC408">
            <v>0</v>
          </cell>
          <cell r="AD408">
            <v>0</v>
          </cell>
          <cell r="AK408">
            <v>0</v>
          </cell>
          <cell r="AL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2"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V48">
            <v>2576.1318181818187</v>
          </cell>
          <cell r="X48">
            <v>3133.4075757575761</v>
          </cell>
          <cell r="AA48">
            <v>2709.5690909090908</v>
          </cell>
          <cell r="AC48">
            <v>2333.3751515151525</v>
          </cell>
          <cell r="AF48">
            <v>4511.4533333333329</v>
          </cell>
          <cell r="AG48">
            <v>3609.54</v>
          </cell>
          <cell r="AH48">
            <v>856.9133333333333</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327</v>
          </cell>
          <cell r="H51">
            <v>408</v>
          </cell>
          <cell r="P51">
            <v>145.6</v>
          </cell>
          <cell r="S51">
            <v>1069.6666666666665</v>
          </cell>
          <cell r="T51">
            <v>534.83333333333326</v>
          </cell>
          <cell r="U51">
            <v>534.83333333333326</v>
          </cell>
          <cell r="V51">
            <v>187</v>
          </cell>
          <cell r="W51">
            <v>152</v>
          </cell>
          <cell r="X51">
            <v>223.4</v>
          </cell>
          <cell r="Y51">
            <v>160</v>
          </cell>
          <cell r="Z51">
            <v>63.400000000000006</v>
          </cell>
          <cell r="AA51">
            <v>48</v>
          </cell>
          <cell r="AB51">
            <v>38</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V52">
            <v>132</v>
          </cell>
          <cell r="W52">
            <v>107</v>
          </cell>
          <cell r="X52">
            <v>128</v>
          </cell>
          <cell r="Y52">
            <v>92</v>
          </cell>
          <cell r="Z52">
            <v>36</v>
          </cell>
          <cell r="AA52">
            <v>100</v>
          </cell>
          <cell r="AB52">
            <v>79</v>
          </cell>
          <cell r="AC52">
            <v>89</v>
          </cell>
          <cell r="AD52">
            <v>63</v>
          </cell>
          <cell r="AE52">
            <v>26</v>
          </cell>
          <cell r="AF52">
            <v>616</v>
          </cell>
          <cell r="AG52">
            <v>616</v>
          </cell>
          <cell r="AH52">
            <v>0</v>
          </cell>
          <cell r="AK52">
            <v>1849</v>
          </cell>
          <cell r="AL52">
            <v>375</v>
          </cell>
          <cell r="AM52">
            <v>1474</v>
          </cell>
          <cell r="AN52">
            <v>1474</v>
          </cell>
        </row>
        <row r="53">
          <cell r="F53">
            <v>20</v>
          </cell>
          <cell r="G53">
            <v>0</v>
          </cell>
          <cell r="H53">
            <v>12</v>
          </cell>
          <cell r="P53">
            <v>0</v>
          </cell>
          <cell r="S53">
            <v>368.66666666666669</v>
          </cell>
          <cell r="T53">
            <v>287.56</v>
          </cell>
          <cell r="U53">
            <v>81.106666666666683</v>
          </cell>
          <cell r="V53">
            <v>0</v>
          </cell>
          <cell r="W53">
            <v>0</v>
          </cell>
          <cell r="X53">
            <v>2.5499999999999998</v>
          </cell>
          <cell r="Y53">
            <v>2</v>
          </cell>
          <cell r="Z53">
            <v>0.54999999999999982</v>
          </cell>
          <cell r="AA53">
            <v>-300</v>
          </cell>
          <cell r="AB53">
            <v>-238</v>
          </cell>
          <cell r="AC53">
            <v>0</v>
          </cell>
          <cell r="AD53">
            <v>0</v>
          </cell>
          <cell r="AE53">
            <v>0</v>
          </cell>
          <cell r="AF53">
            <v>189.33333333333334</v>
          </cell>
          <cell r="AG53">
            <v>110</v>
          </cell>
          <cell r="AH53">
            <v>0</v>
          </cell>
          <cell r="AI53">
            <v>36</v>
          </cell>
          <cell r="AK53">
            <v>2.5499999999999998</v>
          </cell>
          <cell r="AL53">
            <v>2</v>
          </cell>
          <cell r="AM53">
            <v>0.54999999999999982</v>
          </cell>
          <cell r="AN53">
            <v>0.54999999999999982</v>
          </cell>
          <cell r="AO53">
            <v>690</v>
          </cell>
          <cell r="AP53">
            <v>498</v>
          </cell>
          <cell r="AQ53">
            <v>61.666666666666629</v>
          </cell>
          <cell r="AR53">
            <v>365.66666666666663</v>
          </cell>
        </row>
        <row r="54">
          <cell r="F54">
            <v>561</v>
          </cell>
          <cell r="G54">
            <v>249</v>
          </cell>
          <cell r="H54">
            <v>312</v>
          </cell>
          <cell r="P54">
            <v>30</v>
          </cell>
          <cell r="S54">
            <v>79</v>
          </cell>
          <cell r="T54">
            <v>13.666666666666666</v>
          </cell>
          <cell r="U54">
            <v>0</v>
          </cell>
          <cell r="V54">
            <v>44</v>
          </cell>
          <cell r="W54">
            <v>36</v>
          </cell>
          <cell r="X54">
            <v>69</v>
          </cell>
          <cell r="Y54">
            <v>50</v>
          </cell>
          <cell r="Z54">
            <v>19</v>
          </cell>
          <cell r="AA54">
            <v>47</v>
          </cell>
          <cell r="AB54">
            <v>37</v>
          </cell>
          <cell r="AC54">
            <v>55</v>
          </cell>
          <cell r="AD54">
            <v>39</v>
          </cell>
          <cell r="AE54">
            <v>16</v>
          </cell>
          <cell r="AF54">
            <v>4</v>
          </cell>
          <cell r="AG54">
            <v>3</v>
          </cell>
          <cell r="AH54">
            <v>0</v>
          </cell>
          <cell r="AK54">
            <v>954</v>
          </cell>
          <cell r="AL54">
            <v>404</v>
          </cell>
          <cell r="AM54">
            <v>550</v>
          </cell>
          <cell r="AN54">
            <v>550</v>
          </cell>
          <cell r="AO54">
            <v>503</v>
          </cell>
          <cell r="AP54">
            <v>272</v>
          </cell>
          <cell r="AQ54">
            <v>0</v>
          </cell>
          <cell r="AR54">
            <v>9</v>
          </cell>
        </row>
        <row r="55">
          <cell r="F55">
            <v>1</v>
          </cell>
          <cell r="G55">
            <v>0</v>
          </cell>
          <cell r="H55">
            <v>1</v>
          </cell>
          <cell r="P55">
            <v>27.766666666666676</v>
          </cell>
          <cell r="S55">
            <v>613</v>
          </cell>
          <cell r="T55">
            <v>478.14000000000004</v>
          </cell>
          <cell r="U55">
            <v>134.85999999999996</v>
          </cell>
          <cell r="V55">
            <v>995</v>
          </cell>
          <cell r="W55">
            <v>807</v>
          </cell>
          <cell r="X55">
            <v>453</v>
          </cell>
          <cell r="Y55">
            <v>325</v>
          </cell>
          <cell r="Z55">
            <v>128</v>
          </cell>
          <cell r="AA55">
            <v>84</v>
          </cell>
          <cell r="AB55">
            <v>67</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P56">
            <v>0</v>
          </cell>
          <cell r="S56">
            <v>13.666666666666666</v>
          </cell>
          <cell r="T56">
            <v>13.666666666666666</v>
          </cell>
          <cell r="U56">
            <v>0</v>
          </cell>
          <cell r="V56">
            <v>910</v>
          </cell>
          <cell r="W56">
            <v>738</v>
          </cell>
          <cell r="X56">
            <v>277</v>
          </cell>
          <cell r="Y56">
            <v>199</v>
          </cell>
          <cell r="Z56">
            <v>78</v>
          </cell>
          <cell r="AA56">
            <v>13.333333333333334</v>
          </cell>
          <cell r="AB56">
            <v>11</v>
          </cell>
          <cell r="AC56">
            <v>13.333333333333334</v>
          </cell>
          <cell r="AD56">
            <v>9</v>
          </cell>
          <cell r="AE56">
            <v>4.3333333333333339</v>
          </cell>
          <cell r="AF56">
            <v>0.33333333333333331</v>
          </cell>
          <cell r="AG56">
            <v>2</v>
          </cell>
          <cell r="AH56">
            <v>0.33333333333333331</v>
          </cell>
          <cell r="AI56">
            <v>0</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V57">
            <v>11300</v>
          </cell>
          <cell r="W57">
            <v>9168</v>
          </cell>
          <cell r="X57">
            <v>12359</v>
          </cell>
          <cell r="Y57">
            <v>8878</v>
          </cell>
          <cell r="Z57">
            <v>3481</v>
          </cell>
          <cell r="AA57">
            <v>10588</v>
          </cell>
          <cell r="AB57">
            <v>8403</v>
          </cell>
          <cell r="AC57">
            <v>10357</v>
          </cell>
          <cell r="AD57">
            <v>7369</v>
          </cell>
          <cell r="AE57">
            <v>2988</v>
          </cell>
          <cell r="AF57">
            <v>0</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V58">
            <v>11300</v>
          </cell>
          <cell r="W58">
            <v>9168</v>
          </cell>
          <cell r="X58">
            <v>12359</v>
          </cell>
          <cell r="Y58">
            <v>8878</v>
          </cell>
          <cell r="Z58">
            <v>3481</v>
          </cell>
          <cell r="AA58">
            <v>10588</v>
          </cell>
          <cell r="AB58">
            <v>8403</v>
          </cell>
          <cell r="AC58">
            <v>10357</v>
          </cell>
          <cell r="AD58">
            <v>7369</v>
          </cell>
          <cell r="AE58">
            <v>2988</v>
          </cell>
          <cell r="AF58">
            <v>0</v>
          </cell>
          <cell r="AG58">
            <v>0</v>
          </cell>
          <cell r="AH58">
            <v>0</v>
          </cell>
          <cell r="AI58">
            <v>241</v>
          </cell>
          <cell r="AK58">
            <v>25661</v>
          </cell>
          <cell r="AL58">
            <v>16247</v>
          </cell>
          <cell r="AM58">
            <v>9414</v>
          </cell>
          <cell r="AN58">
            <v>9414</v>
          </cell>
          <cell r="AO58">
            <v>16247</v>
          </cell>
          <cell r="AP58">
            <v>9414</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164</v>
          </cell>
          <cell r="AE59">
            <v>113.36181818181819</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18.416666666666661</v>
          </cell>
          <cell r="S60">
            <v>65</v>
          </cell>
          <cell r="T60">
            <v>65</v>
          </cell>
          <cell r="U60">
            <v>0</v>
          </cell>
          <cell r="V60">
            <v>0</v>
          </cell>
          <cell r="W60">
            <v>0</v>
          </cell>
          <cell r="X60">
            <v>0</v>
          </cell>
          <cell r="Y60">
            <v>0</v>
          </cell>
          <cell r="Z60">
            <v>0</v>
          </cell>
          <cell r="AA60">
            <v>0</v>
          </cell>
          <cell r="AB60">
            <v>0</v>
          </cell>
          <cell r="AC60">
            <v>0</v>
          </cell>
          <cell r="AD60">
            <v>0</v>
          </cell>
          <cell r="AE60">
            <v>0</v>
          </cell>
          <cell r="AF60">
            <v>837.81666666666649</v>
          </cell>
          <cell r="AG60">
            <v>338</v>
          </cell>
          <cell r="AH60">
            <v>499.81666666666649</v>
          </cell>
          <cell r="AI60">
            <v>15</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V61">
            <v>191.13181818181818</v>
          </cell>
          <cell r="W61">
            <v>155</v>
          </cell>
          <cell r="X61">
            <v>299.2409090909091</v>
          </cell>
          <cell r="Y61">
            <v>215</v>
          </cell>
          <cell r="Z61">
            <v>84.240909090909099</v>
          </cell>
          <cell r="AA61">
            <v>277.5690909090909</v>
          </cell>
          <cell r="AB61">
            <v>220</v>
          </cell>
          <cell r="AC61">
            <v>291.0418181818182</v>
          </cell>
          <cell r="AD61">
            <v>207</v>
          </cell>
          <cell r="AE61">
            <v>84.041818181818201</v>
          </cell>
          <cell r="AF61">
            <v>1109.0700000000002</v>
          </cell>
          <cell r="AG61">
            <v>1000</v>
          </cell>
          <cell r="AH61">
            <v>109.07000000000016</v>
          </cell>
          <cell r="AI61">
            <v>88</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V62">
            <v>11</v>
          </cell>
          <cell r="W62">
            <v>9</v>
          </cell>
          <cell r="X62">
            <v>16</v>
          </cell>
          <cell r="Y62">
            <v>11</v>
          </cell>
          <cell r="Z62">
            <v>5</v>
          </cell>
          <cell r="AA62">
            <v>15</v>
          </cell>
          <cell r="AB62">
            <v>12</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V63">
            <v>61</v>
          </cell>
          <cell r="W63">
            <v>49</v>
          </cell>
          <cell r="X63">
            <v>96</v>
          </cell>
          <cell r="Y63">
            <v>69</v>
          </cell>
          <cell r="Z63">
            <v>27</v>
          </cell>
          <cell r="AA63">
            <v>89</v>
          </cell>
          <cell r="AB63">
            <v>71</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T64">
            <v>18</v>
          </cell>
          <cell r="U64">
            <v>95</v>
          </cell>
          <cell r="V64">
            <v>0</v>
          </cell>
          <cell r="X64">
            <v>0</v>
          </cell>
          <cell r="AH64">
            <v>0</v>
          </cell>
          <cell r="AI64">
            <v>0</v>
          </cell>
          <cell r="AJ64">
            <v>0</v>
          </cell>
          <cell r="AK64">
            <v>0</v>
          </cell>
          <cell r="AN64">
            <v>0</v>
          </cell>
          <cell r="AO64">
            <v>79</v>
          </cell>
          <cell r="AP64">
            <v>87</v>
          </cell>
          <cell r="AQ64">
            <v>61</v>
          </cell>
          <cell r="AR64">
            <v>132</v>
          </cell>
        </row>
        <row r="65">
          <cell r="F65">
            <v>92</v>
          </cell>
          <cell r="G65">
            <v>41</v>
          </cell>
          <cell r="H65">
            <v>51</v>
          </cell>
          <cell r="P65">
            <v>361</v>
          </cell>
          <cell r="S65">
            <v>549</v>
          </cell>
          <cell r="T65">
            <v>87.84</v>
          </cell>
          <cell r="U65">
            <v>461.15999999999997</v>
          </cell>
          <cell r="V65">
            <v>551</v>
          </cell>
          <cell r="W65">
            <v>447</v>
          </cell>
          <cell r="X65">
            <v>500.33333333333337</v>
          </cell>
          <cell r="Y65">
            <v>359</v>
          </cell>
          <cell r="Z65">
            <v>141.33333333333337</v>
          </cell>
          <cell r="AA65">
            <v>573</v>
          </cell>
          <cell r="AB65">
            <v>455</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45</v>
          </cell>
          <cell r="AQ66">
            <v>40</v>
          </cell>
          <cell r="AR66">
            <v>100</v>
          </cell>
        </row>
        <row r="67">
          <cell r="F67">
            <v>84</v>
          </cell>
          <cell r="G67">
            <v>37</v>
          </cell>
          <cell r="H67">
            <v>47</v>
          </cell>
          <cell r="P67">
            <v>361</v>
          </cell>
          <cell r="S67">
            <v>549</v>
          </cell>
          <cell r="T67">
            <v>162.16</v>
          </cell>
          <cell r="U67">
            <v>850.84</v>
          </cell>
          <cell r="V67">
            <v>80</v>
          </cell>
          <cell r="X67">
            <v>8.5</v>
          </cell>
          <cell r="Y67">
            <v>368</v>
          </cell>
          <cell r="Z67">
            <v>195</v>
          </cell>
          <cell r="AA67">
            <v>300</v>
          </cell>
          <cell r="AC67">
            <v>229.5</v>
          </cell>
          <cell r="AD67">
            <v>423</v>
          </cell>
          <cell r="AE67">
            <v>290</v>
          </cell>
          <cell r="AF67">
            <v>202</v>
          </cell>
          <cell r="AG67">
            <v>119</v>
          </cell>
          <cell r="AH67">
            <v>83</v>
          </cell>
          <cell r="AI67">
            <v>0</v>
          </cell>
          <cell r="AJ67">
            <v>0</v>
          </cell>
          <cell r="AK67">
            <v>1351</v>
          </cell>
          <cell r="AL67">
            <v>398</v>
          </cell>
          <cell r="AM67">
            <v>953</v>
          </cell>
          <cell r="AN67">
            <v>715</v>
          </cell>
          <cell r="AO67">
            <v>712</v>
          </cell>
          <cell r="AP67">
            <v>151</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555</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4</v>
          </cell>
          <cell r="P69">
            <v>0</v>
          </cell>
          <cell r="S69">
            <v>0</v>
          </cell>
          <cell r="T69">
            <v>78.84</v>
          </cell>
          <cell r="U69">
            <v>415.15999999999997</v>
          </cell>
          <cell r="V69">
            <v>471</v>
          </cell>
          <cell r="W69">
            <v>447</v>
          </cell>
          <cell r="X69">
            <v>491.83333333333337</v>
          </cell>
          <cell r="Y69">
            <v>359</v>
          </cell>
          <cell r="Z69">
            <v>141.33333333333337</v>
          </cell>
          <cell r="AA69">
            <v>273</v>
          </cell>
          <cell r="AB69">
            <v>455</v>
          </cell>
          <cell r="AC69">
            <v>176.5</v>
          </cell>
          <cell r="AD69">
            <v>289</v>
          </cell>
          <cell r="AE69">
            <v>117</v>
          </cell>
          <cell r="AF69">
            <v>383</v>
          </cell>
          <cell r="AG69">
            <v>383</v>
          </cell>
          <cell r="AH69">
            <v>0</v>
          </cell>
          <cell r="AK69">
            <v>1051.3333333333335</v>
          </cell>
          <cell r="AL69">
            <v>323</v>
          </cell>
          <cell r="AM69">
            <v>812.09090909090924</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V70">
            <v>1070</v>
          </cell>
          <cell r="W70">
            <v>868</v>
          </cell>
          <cell r="X70">
            <v>1767.1499999999999</v>
          </cell>
          <cell r="Y70">
            <v>1269</v>
          </cell>
          <cell r="Z70">
            <v>498.14999999999986</v>
          </cell>
          <cell r="AA70">
            <v>1777</v>
          </cell>
          <cell r="AB70">
            <v>1410</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F71">
            <v>0</v>
          </cell>
          <cell r="G71">
            <v>0</v>
          </cell>
          <cell r="H71">
            <v>0</v>
          </cell>
          <cell r="P71">
            <v>90</v>
          </cell>
          <cell r="S71">
            <v>419.63636363636363</v>
          </cell>
          <cell r="V71">
            <v>333.81818181818181</v>
          </cell>
          <cell r="W71">
            <v>271</v>
          </cell>
          <cell r="X71">
            <v>242.90909090909091</v>
          </cell>
          <cell r="Y71">
            <v>174</v>
          </cell>
          <cell r="Z71">
            <v>68.909090909090907</v>
          </cell>
          <cell r="AA71">
            <v>157.09090909090909</v>
          </cell>
          <cell r="AB71">
            <v>125</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V72">
            <v>18</v>
          </cell>
          <cell r="W72">
            <v>15</v>
          </cell>
          <cell r="X72">
            <v>13</v>
          </cell>
          <cell r="Y72">
            <v>9</v>
          </cell>
          <cell r="Z72">
            <v>4</v>
          </cell>
          <cell r="AA72">
            <v>9</v>
          </cell>
          <cell r="AB72">
            <v>7</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V73">
            <v>107</v>
          </cell>
          <cell r="W73">
            <v>87</v>
          </cell>
          <cell r="X73">
            <v>78</v>
          </cell>
          <cell r="Y73">
            <v>56</v>
          </cell>
          <cell r="Z73">
            <v>22</v>
          </cell>
          <cell r="AA73">
            <v>50</v>
          </cell>
          <cell r="AB73">
            <v>40</v>
          </cell>
          <cell r="AC73">
            <v>49</v>
          </cell>
          <cell r="AD73">
            <v>35</v>
          </cell>
          <cell r="AE73">
            <v>14</v>
          </cell>
          <cell r="AF73">
            <v>44</v>
          </cell>
          <cell r="AG73">
            <v>44</v>
          </cell>
          <cell r="AH73">
            <v>0</v>
          </cell>
          <cell r="AK73">
            <v>334</v>
          </cell>
          <cell r="AL73">
            <v>120</v>
          </cell>
          <cell r="AM73">
            <v>214</v>
          </cell>
          <cell r="AN73">
            <v>214</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0</v>
          </cell>
          <cell r="AL74">
            <v>0</v>
          </cell>
          <cell r="AM74">
            <v>0</v>
          </cell>
          <cell r="AN74">
            <v>0</v>
          </cell>
        </row>
        <row r="75">
          <cell r="F75">
            <v>1689</v>
          </cell>
          <cell r="G75">
            <v>0</v>
          </cell>
          <cell r="H75">
            <v>1029</v>
          </cell>
          <cell r="P75">
            <v>744.6</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744.6</v>
          </cell>
          <cell r="AL75">
            <v>744.6</v>
          </cell>
          <cell r="AM75">
            <v>0</v>
          </cell>
          <cell r="AN75">
            <v>0</v>
          </cell>
          <cell r="AO75">
            <v>115</v>
          </cell>
          <cell r="AP75">
            <v>213</v>
          </cell>
          <cell r="AQ75">
            <v>960.66666666666652</v>
          </cell>
          <cell r="AR75">
            <v>1708.3333333333335</v>
          </cell>
        </row>
        <row r="76">
          <cell r="F76">
            <v>83</v>
          </cell>
          <cell r="G76">
            <v>0</v>
          </cell>
          <cell r="H76">
            <v>51</v>
          </cell>
          <cell r="P76">
            <v>289</v>
          </cell>
          <cell r="S76">
            <v>1765.45</v>
          </cell>
          <cell r="T76">
            <v>0</v>
          </cell>
          <cell r="U76">
            <v>0</v>
          </cell>
          <cell r="V76">
            <v>0</v>
          </cell>
          <cell r="X76">
            <v>0</v>
          </cell>
          <cell r="Y76">
            <v>0</v>
          </cell>
          <cell r="Z76">
            <v>0</v>
          </cell>
          <cell r="AA76">
            <v>0</v>
          </cell>
          <cell r="AB76">
            <v>0</v>
          </cell>
          <cell r="AC76">
            <v>0</v>
          </cell>
          <cell r="AD76">
            <v>0</v>
          </cell>
          <cell r="AE76">
            <v>0</v>
          </cell>
          <cell r="AH76">
            <v>0</v>
          </cell>
          <cell r="AK76">
            <v>2054.4499999999998</v>
          </cell>
          <cell r="AL76">
            <v>289</v>
          </cell>
          <cell r="AM76">
            <v>1765.4499999999998</v>
          </cell>
          <cell r="AN76">
            <v>1765.45</v>
          </cell>
          <cell r="AO76">
            <v>0</v>
          </cell>
          <cell r="AP76">
            <v>0</v>
          </cell>
          <cell r="AQ76">
            <v>32</v>
          </cell>
          <cell r="AR76">
            <v>51</v>
          </cell>
        </row>
        <row r="77">
          <cell r="F77">
            <v>2982</v>
          </cell>
          <cell r="G77">
            <v>1718</v>
          </cell>
          <cell r="H77">
            <v>1264</v>
          </cell>
          <cell r="P77">
            <v>98.883333333333326</v>
          </cell>
          <cell r="S77">
            <v>231.42499999999998</v>
          </cell>
          <cell r="T77">
            <v>85.458999999999975</v>
          </cell>
          <cell r="U77">
            <v>145.96600000000001</v>
          </cell>
          <cell r="V77">
            <v>110</v>
          </cell>
          <cell r="W77">
            <v>89</v>
          </cell>
          <cell r="X77">
            <v>98.11666666666666</v>
          </cell>
          <cell r="Y77">
            <v>70</v>
          </cell>
          <cell r="Z77">
            <v>28.11666666666666</v>
          </cell>
          <cell r="AA77">
            <v>119</v>
          </cell>
          <cell r="AB77">
            <v>80</v>
          </cell>
          <cell r="AC77">
            <v>63.466666666666669</v>
          </cell>
          <cell r="AD77">
            <v>45</v>
          </cell>
          <cell r="AE77">
            <v>18.466666666666669</v>
          </cell>
          <cell r="AF77">
            <v>193.38333333333335</v>
          </cell>
          <cell r="AG77">
            <v>176.29000000000002</v>
          </cell>
          <cell r="AH77">
            <v>17.093333333333334</v>
          </cell>
          <cell r="AI77">
            <v>59</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P78">
            <v>66</v>
          </cell>
          <cell r="S78">
            <v>152.33333333333334</v>
          </cell>
          <cell r="T78">
            <v>0</v>
          </cell>
          <cell r="U78">
            <v>0</v>
          </cell>
          <cell r="W78">
            <v>0</v>
          </cell>
          <cell r="X78">
            <v>0</v>
          </cell>
          <cell r="Y78">
            <v>0</v>
          </cell>
          <cell r="Z78">
            <v>0</v>
          </cell>
          <cell r="AA78">
            <v>18</v>
          </cell>
          <cell r="AC78">
            <v>18</v>
          </cell>
          <cell r="AD78">
            <v>51</v>
          </cell>
          <cell r="AE78">
            <v>0</v>
          </cell>
          <cell r="AF78">
            <v>141</v>
          </cell>
          <cell r="AG78">
            <v>119</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V79">
            <v>110</v>
          </cell>
          <cell r="W79">
            <v>89</v>
          </cell>
          <cell r="X79">
            <v>98.11666666666666</v>
          </cell>
          <cell r="Y79">
            <v>70</v>
          </cell>
          <cell r="Z79">
            <v>28.11666666666666</v>
          </cell>
          <cell r="AA79">
            <v>101</v>
          </cell>
          <cell r="AB79">
            <v>80</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V80">
            <v>74</v>
          </cell>
          <cell r="W80">
            <v>60</v>
          </cell>
          <cell r="X80">
            <v>61</v>
          </cell>
          <cell r="Y80">
            <v>44</v>
          </cell>
          <cell r="Z80">
            <v>17</v>
          </cell>
          <cell r="AA80">
            <v>36</v>
          </cell>
          <cell r="AB80">
            <v>29</v>
          </cell>
          <cell r="AC80">
            <v>24.65</v>
          </cell>
          <cell r="AD80">
            <v>14</v>
          </cell>
          <cell r="AE80">
            <v>10.649999999999999</v>
          </cell>
          <cell r="AF80">
            <v>119.85</v>
          </cell>
          <cell r="AG80">
            <v>127</v>
          </cell>
          <cell r="AH80">
            <v>-7.1500000000000057</v>
          </cell>
          <cell r="AI80">
            <v>18.600000000000001</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X81">
            <v>25</v>
          </cell>
          <cell r="AC81">
            <v>32</v>
          </cell>
          <cell r="AF81">
            <v>39.666666666666664</v>
          </cell>
          <cell r="AG81">
            <v>26</v>
          </cell>
          <cell r="AH81">
            <v>13.666666666666664</v>
          </cell>
          <cell r="AI81">
            <v>15.3</v>
          </cell>
          <cell r="AK81">
            <v>342</v>
          </cell>
          <cell r="AL81">
            <v>148</v>
          </cell>
          <cell r="AM81">
            <v>194</v>
          </cell>
          <cell r="AN81">
            <v>194</v>
          </cell>
          <cell r="AR81">
            <v>194</v>
          </cell>
        </row>
        <row r="82">
          <cell r="F82">
            <v>265</v>
          </cell>
          <cell r="G82">
            <v>118</v>
          </cell>
          <cell r="H82">
            <v>147</v>
          </cell>
          <cell r="P82">
            <v>7.0833333333333348</v>
          </cell>
          <cell r="S82">
            <v>72</v>
          </cell>
          <cell r="T82">
            <v>33</v>
          </cell>
          <cell r="U82">
            <v>17</v>
          </cell>
          <cell r="V82">
            <v>11</v>
          </cell>
          <cell r="W82">
            <v>9</v>
          </cell>
          <cell r="X82">
            <v>15.866666666666662</v>
          </cell>
          <cell r="AA82">
            <v>26</v>
          </cell>
          <cell r="AB82">
            <v>21</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T83">
            <v>33.660000000000004</v>
          </cell>
          <cell r="U83">
            <v>17.339999999999996</v>
          </cell>
          <cell r="V83">
            <v>25</v>
          </cell>
          <cell r="W83">
            <v>20</v>
          </cell>
          <cell r="X83">
            <v>21.25</v>
          </cell>
          <cell r="AA83">
            <v>39</v>
          </cell>
          <cell r="AB83">
            <v>31</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392</v>
          </cell>
          <cell r="AM84">
            <v>489</v>
          </cell>
          <cell r="AN84">
            <v>489</v>
          </cell>
          <cell r="AO84">
            <v>19380</v>
          </cell>
          <cell r="AP84">
            <v>16419</v>
          </cell>
          <cell r="AQ84">
            <v>4052.62</v>
          </cell>
          <cell r="AR84">
            <v>9718.3963636363642</v>
          </cell>
        </row>
        <row r="85">
          <cell r="F85">
            <v>13</v>
          </cell>
          <cell r="G85">
            <v>0</v>
          </cell>
          <cell r="H85">
            <v>0</v>
          </cell>
          <cell r="P85">
            <v>18</v>
          </cell>
          <cell r="Q85">
            <v>0</v>
          </cell>
          <cell r="R85">
            <v>0</v>
          </cell>
          <cell r="S85">
            <v>7.5</v>
          </cell>
          <cell r="T85">
            <v>452.808109090909</v>
          </cell>
          <cell r="U85">
            <v>471.29007272727262</v>
          </cell>
          <cell r="V85">
            <v>0</v>
          </cell>
          <cell r="W85">
            <v>0</v>
          </cell>
          <cell r="X85">
            <v>5</v>
          </cell>
          <cell r="Y85">
            <v>351</v>
          </cell>
          <cell r="Z85">
            <v>185.2</v>
          </cell>
          <cell r="AA85">
            <v>4</v>
          </cell>
          <cell r="AB85">
            <v>0</v>
          </cell>
          <cell r="AC85">
            <v>1.7</v>
          </cell>
          <cell r="AD85">
            <v>253</v>
          </cell>
          <cell r="AE85">
            <v>174.18</v>
          </cell>
          <cell r="AF85">
            <v>85</v>
          </cell>
          <cell r="AG85">
            <v>85</v>
          </cell>
          <cell r="AH85">
            <v>0</v>
          </cell>
          <cell r="AI85">
            <v>274</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V86">
            <v>14476.131818181819</v>
          </cell>
          <cell r="W86">
            <v>11744</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X87">
            <v>98.949999999999989</v>
          </cell>
          <cell r="Y87">
            <v>389</v>
          </cell>
          <cell r="Z87">
            <v>153.15</v>
          </cell>
          <cell r="AA87">
            <v>0</v>
          </cell>
          <cell r="AB87">
            <v>0</v>
          </cell>
          <cell r="AC87">
            <v>89.66</v>
          </cell>
          <cell r="AD87">
            <v>314</v>
          </cell>
          <cell r="AE87">
            <v>126.86000000000001</v>
          </cell>
          <cell r="AH87">
            <v>109.07000000000016</v>
          </cell>
          <cell r="AK87">
            <v>4846.3236363636361</v>
          </cell>
          <cell r="AL87">
            <v>1715.52</v>
          </cell>
          <cell r="AM87">
            <v>3130.8036363636365</v>
          </cell>
          <cell r="AN87">
            <v>600.01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25518.786666666667</v>
          </cell>
          <cell r="AM88">
            <v>26872.396363636362</v>
          </cell>
          <cell r="AN88">
            <v>0</v>
          </cell>
          <cell r="AO88">
            <v>19380</v>
          </cell>
          <cell r="AP88">
            <v>16419</v>
          </cell>
          <cell r="AQ88">
            <v>4052.62</v>
          </cell>
          <cell r="AR88">
            <v>9718.3963636363642</v>
          </cell>
        </row>
        <row r="89">
          <cell r="F89">
            <v>4189</v>
          </cell>
          <cell r="G89">
            <v>4189</v>
          </cell>
          <cell r="H89">
            <v>0</v>
          </cell>
          <cell r="AA89" t="str">
            <v>`</v>
          </cell>
          <cell r="AH89">
            <v>0</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419</v>
          </cell>
          <cell r="G92">
            <v>331</v>
          </cell>
          <cell r="H92">
            <v>88</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V94">
            <v>-129</v>
          </cell>
          <cell r="W94">
            <v>-105</v>
          </cell>
          <cell r="X94">
            <v>172</v>
          </cell>
          <cell r="Y94">
            <v>124</v>
          </cell>
          <cell r="Z94">
            <v>48</v>
          </cell>
          <cell r="AA94">
            <v>0</v>
          </cell>
          <cell r="AB94">
            <v>0</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I97">
            <v>54.400000000000006</v>
          </cell>
          <cell r="AJ97">
            <v>0</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I98">
            <v>54.400000000000006</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V99">
            <v>80</v>
          </cell>
          <cell r="W99">
            <v>14347.131818181819</v>
          </cell>
          <cell r="X99">
            <v>8.5</v>
          </cell>
          <cell r="Y99">
            <v>15984.24090909091</v>
          </cell>
          <cell r="AA99">
            <v>300</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V100">
            <v>80</v>
          </cell>
          <cell r="X100">
            <v>9</v>
          </cell>
          <cell r="AA100">
            <v>300</v>
          </cell>
          <cell r="AC100">
            <v>230</v>
          </cell>
          <cell r="AF100">
            <v>202</v>
          </cell>
          <cell r="AG100">
            <v>119</v>
          </cell>
          <cell r="AH100">
            <v>0</v>
          </cell>
          <cell r="AI100">
            <v>0</v>
          </cell>
          <cell r="AK100">
            <v>1360</v>
          </cell>
          <cell r="AL100">
            <v>53480.441666666666</v>
          </cell>
          <cell r="AM100">
            <v>30399.149232111693</v>
          </cell>
        </row>
        <row r="101">
          <cell r="F101">
            <v>0</v>
          </cell>
          <cell r="P101">
            <v>600</v>
          </cell>
          <cell r="S101">
            <v>278</v>
          </cell>
          <cell r="V101">
            <v>80</v>
          </cell>
          <cell r="X101">
            <v>9</v>
          </cell>
          <cell r="AA101">
            <v>300</v>
          </cell>
          <cell r="AF101">
            <v>0</v>
          </cell>
          <cell r="AK101">
            <v>287</v>
          </cell>
        </row>
        <row r="102">
          <cell r="F102">
            <v>463</v>
          </cell>
          <cell r="P102">
            <v>344.5</v>
          </cell>
          <cell r="S102">
            <v>1399.2</v>
          </cell>
          <cell r="V102">
            <v>0</v>
          </cell>
          <cell r="X102">
            <v>0</v>
          </cell>
          <cell r="AA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V105">
            <v>0</v>
          </cell>
          <cell r="X105">
            <v>0</v>
          </cell>
          <cell r="AK105">
            <v>0</v>
          </cell>
        </row>
        <row r="106">
          <cell r="F106">
            <v>850</v>
          </cell>
          <cell r="P106">
            <v>550</v>
          </cell>
          <cell r="S106">
            <v>530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463</v>
          </cell>
          <cell r="P109">
            <v>344.5</v>
          </cell>
          <cell r="S109">
            <v>1369.2</v>
          </cell>
          <cell r="V109">
            <v>0</v>
          </cell>
          <cell r="X109">
            <v>0</v>
          </cell>
          <cell r="AA109">
            <v>0</v>
          </cell>
          <cell r="AC109">
            <v>0</v>
          </cell>
          <cell r="AF109">
            <v>0</v>
          </cell>
          <cell r="AG109">
            <v>0</v>
          </cell>
          <cell r="AH109">
            <v>0</v>
          </cell>
          <cell r="AK109">
            <v>2176.6999999999998</v>
          </cell>
        </row>
        <row r="110">
          <cell r="F110">
            <v>463</v>
          </cell>
          <cell r="P110">
            <v>344.5</v>
          </cell>
          <cell r="S110">
            <v>1369.2</v>
          </cell>
          <cell r="X110">
            <v>0</v>
          </cell>
          <cell r="AA110">
            <v>0</v>
          </cell>
          <cell r="AC110">
            <v>0</v>
          </cell>
          <cell r="AF110">
            <v>0</v>
          </cell>
          <cell r="AG110">
            <v>0</v>
          </cell>
          <cell r="AH110">
            <v>0</v>
          </cell>
          <cell r="AI110">
            <v>64</v>
          </cell>
          <cell r="AK110">
            <v>2176.6999999999998</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30</v>
          </cell>
          <cell r="V113">
            <v>0</v>
          </cell>
          <cell r="X113">
            <v>0</v>
          </cell>
          <cell r="AA113">
            <v>0</v>
          </cell>
          <cell r="AC113">
            <v>0</v>
          </cell>
          <cell r="AF113">
            <v>0</v>
          </cell>
          <cell r="AG113">
            <v>0</v>
          </cell>
          <cell r="AH113">
            <v>0</v>
          </cell>
          <cell r="AK113">
            <v>30</v>
          </cell>
          <cell r="AM113">
            <v>0</v>
          </cell>
        </row>
        <row r="114">
          <cell r="F114">
            <v>0</v>
          </cell>
          <cell r="P114">
            <v>0</v>
          </cell>
          <cell r="S114">
            <v>30</v>
          </cell>
          <cell r="AA114">
            <v>0</v>
          </cell>
          <cell r="AC114">
            <v>0</v>
          </cell>
          <cell r="AF114">
            <v>0</v>
          </cell>
          <cell r="AG114">
            <v>0</v>
          </cell>
          <cell r="AH114">
            <v>0</v>
          </cell>
          <cell r="AK114">
            <v>30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AA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A118">
            <v>0</v>
          </cell>
          <cell r="AC118">
            <v>0</v>
          </cell>
          <cell r="AG118">
            <v>0</v>
          </cell>
          <cell r="AH118">
            <v>0</v>
          </cell>
          <cell r="AK118">
            <v>0</v>
          </cell>
          <cell r="AL118">
            <v>0</v>
          </cell>
          <cell r="AM118">
            <v>0</v>
          </cell>
        </row>
        <row r="119">
          <cell r="F119">
            <v>700</v>
          </cell>
          <cell r="P119">
            <v>0</v>
          </cell>
          <cell r="S119">
            <v>0</v>
          </cell>
          <cell r="AA119">
            <v>0</v>
          </cell>
          <cell r="AC119">
            <v>0</v>
          </cell>
          <cell r="AG119">
            <v>0</v>
          </cell>
          <cell r="AH119">
            <v>0</v>
          </cell>
          <cell r="AK119">
            <v>0</v>
          </cell>
        </row>
        <row r="120">
          <cell r="F120">
            <v>0</v>
          </cell>
          <cell r="P120">
            <v>0</v>
          </cell>
          <cell r="S120">
            <v>0</v>
          </cell>
          <cell r="X120">
            <v>0</v>
          </cell>
          <cell r="AA120">
            <v>0</v>
          </cell>
          <cell r="AC120">
            <v>0</v>
          </cell>
          <cell r="AF120">
            <v>0</v>
          </cell>
          <cell r="AG120">
            <v>0</v>
          </cell>
          <cell r="AH120">
            <v>0</v>
          </cell>
          <cell r="AK120">
            <v>0</v>
          </cell>
        </row>
        <row r="121">
          <cell r="F121">
            <v>3500</v>
          </cell>
          <cell r="P121">
            <v>0</v>
          </cell>
          <cell r="S121">
            <v>0</v>
          </cell>
          <cell r="V121">
            <v>0</v>
          </cell>
          <cell r="X121">
            <v>0</v>
          </cell>
          <cell r="AA121">
            <v>0</v>
          </cell>
          <cell r="AC121">
            <v>0</v>
          </cell>
          <cell r="AG121">
            <v>0</v>
          </cell>
          <cell r="AH121">
            <v>0</v>
          </cell>
          <cell r="AK121">
            <v>0</v>
          </cell>
        </row>
        <row r="122">
          <cell r="F122">
            <v>595</v>
          </cell>
          <cell r="AK122">
            <v>595</v>
          </cell>
        </row>
        <row r="123">
          <cell r="S123">
            <v>0</v>
          </cell>
          <cell r="V123">
            <v>0</v>
          </cell>
          <cell r="X123">
            <v>0</v>
          </cell>
          <cell r="AF123">
            <v>0</v>
          </cell>
          <cell r="AK123">
            <v>0</v>
          </cell>
          <cell r="AL123">
            <v>-13345.80312121212</v>
          </cell>
        </row>
        <row r="124">
          <cell r="F124">
            <v>2805</v>
          </cell>
          <cell r="AK124">
            <v>2805</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-13112.934166666666</v>
          </cell>
        </row>
        <row r="127">
          <cell r="F127">
            <v>0</v>
          </cell>
          <cell r="AK127">
            <v>0</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V129">
            <v>0</v>
          </cell>
          <cell r="W129">
            <v>0</v>
          </cell>
          <cell r="X129">
            <v>0</v>
          </cell>
          <cell r="Y129">
            <v>0</v>
          </cell>
          <cell r="Z129">
            <v>0</v>
          </cell>
          <cell r="AA129">
            <v>0</v>
          </cell>
          <cell r="AB129">
            <v>0</v>
          </cell>
          <cell r="AC129">
            <v>0</v>
          </cell>
          <cell r="AD129">
            <v>0</v>
          </cell>
          <cell r="AE129">
            <v>0</v>
          </cell>
          <cell r="AF129">
            <v>0.29999999999998295</v>
          </cell>
          <cell r="AG129">
            <v>0</v>
          </cell>
          <cell r="AH129">
            <v>83.299999999999983</v>
          </cell>
          <cell r="AK129">
            <v>5606.7</v>
          </cell>
          <cell r="AL129">
            <v>5888.0262938881679</v>
          </cell>
          <cell r="AM129">
            <v>-16998.709324191197</v>
          </cell>
        </row>
        <row r="130">
          <cell r="AK130">
            <v>-7506.2341666666662</v>
          </cell>
          <cell r="AL130">
            <v>5716.7</v>
          </cell>
        </row>
        <row r="131">
          <cell r="AK131">
            <v>-7506.2341666666662</v>
          </cell>
          <cell r="AO131">
            <v>0</v>
          </cell>
        </row>
        <row r="132">
          <cell r="AK132">
            <v>-10723.191666666666</v>
          </cell>
          <cell r="AL132">
            <v>2697.850767888307</v>
          </cell>
          <cell r="AM132">
            <v>-14286.292434554973</v>
          </cell>
        </row>
        <row r="134">
          <cell r="AK134">
            <v>-3216.9574999999995</v>
          </cell>
          <cell r="AM134">
            <v>10073</v>
          </cell>
          <cell r="AO134">
            <v>0</v>
          </cell>
          <cell r="AQ134">
            <v>0</v>
          </cell>
        </row>
        <row r="135">
          <cell r="AK135">
            <v>-16998.709324191197</v>
          </cell>
          <cell r="AO135">
            <v>0</v>
          </cell>
        </row>
        <row r="136">
          <cell r="AK136">
            <v>6.38</v>
          </cell>
          <cell r="AO136" t="e">
            <v>#DIV/0!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2">
          <cell r="AJ142">
            <v>0</v>
          </cell>
          <cell r="AK142">
            <v>8.07</v>
          </cell>
          <cell r="AO142" t="e">
            <v>#DIV/0!</v>
          </cell>
        </row>
        <row r="143">
          <cell r="AK143">
            <v>8.3699999999999992</v>
          </cell>
          <cell r="AL143">
            <v>37810</v>
          </cell>
          <cell r="AO143" t="e">
            <v>#DIV/0!</v>
          </cell>
        </row>
        <row r="145">
          <cell r="AJ145">
            <v>300</v>
          </cell>
          <cell r="AK145">
            <v>7.68</v>
          </cell>
          <cell r="AO145" t="e">
            <v>#DIV/0!</v>
          </cell>
        </row>
        <row r="146">
          <cell r="AK146">
            <v>33098</v>
          </cell>
          <cell r="AL146">
            <v>33098</v>
          </cell>
          <cell r="AM146">
            <v>-27071.709324191197</v>
          </cell>
        </row>
        <row r="147">
          <cell r="S147">
            <v>0</v>
          </cell>
          <cell r="AK147">
            <v>865.25</v>
          </cell>
        </row>
        <row r="149">
          <cell r="AJ149">
            <v>0</v>
          </cell>
          <cell r="AK149">
            <v>8009.5714285714284</v>
          </cell>
          <cell r="AL149">
            <v>-30400.149232111693</v>
          </cell>
          <cell r="AM149">
            <v>-23080.292434554973</v>
          </cell>
          <cell r="AO149">
            <v>0</v>
          </cell>
        </row>
        <row r="150">
          <cell r="S150">
            <v>0</v>
          </cell>
          <cell r="AK150">
            <v>865.25</v>
          </cell>
        </row>
        <row r="151">
          <cell r="AK151">
            <v>47883</v>
          </cell>
          <cell r="AL151">
            <v>37810</v>
          </cell>
          <cell r="AM151">
            <v>10073</v>
          </cell>
        </row>
        <row r="152">
          <cell r="AK152">
            <v>41892</v>
          </cell>
          <cell r="AL152">
            <v>33098</v>
          </cell>
          <cell r="AM152">
            <v>8794</v>
          </cell>
          <cell r="AO152">
            <v>0</v>
          </cell>
          <cell r="AP152">
            <v>4992</v>
          </cell>
          <cell r="AQ152">
            <v>4153.252222919521</v>
          </cell>
          <cell r="AR152">
            <v>9754.6660308805876</v>
          </cell>
        </row>
        <row r="153">
          <cell r="AK153">
            <v>0</v>
          </cell>
          <cell r="AL153">
            <v>18.399999999999999</v>
          </cell>
          <cell r="AM153">
            <v>-62.8</v>
          </cell>
        </row>
        <row r="154">
          <cell r="AK154">
            <v>41892</v>
          </cell>
          <cell r="AL154">
            <v>33098</v>
          </cell>
          <cell r="AM154">
            <v>8794</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14.976636652504762</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0</v>
          </cell>
          <cell r="P160">
            <v>0</v>
          </cell>
          <cell r="S160">
            <v>0</v>
          </cell>
          <cell r="V160">
            <v>0</v>
          </cell>
          <cell r="X160">
            <v>0</v>
          </cell>
          <cell r="AA160">
            <v>0</v>
          </cell>
          <cell r="AC160">
            <v>0</v>
          </cell>
          <cell r="AF160">
            <v>125</v>
          </cell>
          <cell r="AG160">
            <v>125</v>
          </cell>
          <cell r="AH160">
            <v>0</v>
          </cell>
          <cell r="AI160">
            <v>210</v>
          </cell>
          <cell r="AK160">
            <v>0</v>
          </cell>
        </row>
        <row r="161">
          <cell r="F161">
            <v>204</v>
          </cell>
          <cell r="P161">
            <v>744.6</v>
          </cell>
          <cell r="S161">
            <v>1219.75</v>
          </cell>
          <cell r="V161">
            <v>1070</v>
          </cell>
          <cell r="X161">
            <v>1767.1499999999999</v>
          </cell>
          <cell r="AA161">
            <v>1777</v>
          </cell>
          <cell r="AB161">
            <v>9</v>
          </cell>
          <cell r="AC161">
            <v>768.7</v>
          </cell>
          <cell r="AF161">
            <v>899</v>
          </cell>
          <cell r="AG161">
            <v>899</v>
          </cell>
          <cell r="AH161">
            <v>0</v>
          </cell>
          <cell r="AK161">
            <v>5603.2</v>
          </cell>
        </row>
        <row r="162">
          <cell r="F162">
            <v>204</v>
          </cell>
          <cell r="P162">
            <v>497.6</v>
          </cell>
          <cell r="S162">
            <v>916.75</v>
          </cell>
          <cell r="V162">
            <v>1070</v>
          </cell>
          <cell r="X162">
            <v>1694.1499999999999</v>
          </cell>
          <cell r="AA162">
            <v>1639</v>
          </cell>
          <cell r="AF162">
            <v>242</v>
          </cell>
          <cell r="AG162">
            <v>242</v>
          </cell>
          <cell r="AH162">
            <v>0</v>
          </cell>
          <cell r="AK162">
            <v>3312.5</v>
          </cell>
        </row>
        <row r="163">
          <cell r="F163">
            <v>204</v>
          </cell>
          <cell r="P163">
            <v>247</v>
          </cell>
          <cell r="S163">
            <v>303</v>
          </cell>
          <cell r="V163">
            <v>0</v>
          </cell>
          <cell r="X163">
            <v>73</v>
          </cell>
          <cell r="AA163">
            <v>138</v>
          </cell>
          <cell r="AC163">
            <v>87</v>
          </cell>
          <cell r="AF163">
            <v>99</v>
          </cell>
          <cell r="AG163">
            <v>99</v>
          </cell>
          <cell r="AH163">
            <v>0</v>
          </cell>
          <cell r="AK163">
            <v>1013</v>
          </cell>
        </row>
        <row r="164">
          <cell r="P164">
            <v>100</v>
          </cell>
          <cell r="S164">
            <v>107</v>
          </cell>
          <cell r="V164">
            <v>0</v>
          </cell>
          <cell r="X164">
            <v>54</v>
          </cell>
          <cell r="AA164">
            <v>12</v>
          </cell>
          <cell r="AC164">
            <v>206.81818181818181</v>
          </cell>
          <cell r="AF164">
            <v>92</v>
          </cell>
          <cell r="AG164">
            <v>308.72727272727275</v>
          </cell>
          <cell r="AK164">
            <v>161</v>
          </cell>
        </row>
        <row r="165">
          <cell r="F165">
            <v>260</v>
          </cell>
          <cell r="S165">
            <v>868.81818181818176</v>
          </cell>
          <cell r="X165">
            <v>2450.6363636363635</v>
          </cell>
          <cell r="AC165">
            <v>1157.1818181818182</v>
          </cell>
          <cell r="AK165">
            <v>0</v>
          </cell>
        </row>
        <row r="166">
          <cell r="F166">
            <v>14.170833333333334</v>
          </cell>
          <cell r="S166">
            <v>1487</v>
          </cell>
          <cell r="X166">
            <v>2754</v>
          </cell>
          <cell r="AC166">
            <v>1364</v>
          </cell>
          <cell r="AK166">
            <v>14.170833333333334</v>
          </cell>
        </row>
        <row r="167">
          <cell r="F167">
            <v>60</v>
          </cell>
          <cell r="P167">
            <v>124</v>
          </cell>
          <cell r="S167">
            <v>576.63636363636363</v>
          </cell>
          <cell r="V167">
            <v>458.81818181818181</v>
          </cell>
          <cell r="X167">
            <v>333.90909090909088</v>
          </cell>
          <cell r="AA167">
            <v>216.09090909090909</v>
          </cell>
          <cell r="AC167">
            <v>206.81818181818181</v>
          </cell>
          <cell r="AF167">
            <v>187</v>
          </cell>
          <cell r="AG167">
            <v>187</v>
          </cell>
          <cell r="AK167">
            <v>1241.3636363636363</v>
          </cell>
        </row>
        <row r="168">
          <cell r="F168">
            <v>-255</v>
          </cell>
          <cell r="S168">
            <v>643.11363636363637</v>
          </cell>
          <cell r="V168">
            <v>611.18181818181824</v>
          </cell>
          <cell r="X168">
            <v>1433.2409090909091</v>
          </cell>
          <cell r="AA168">
            <v>1560.909090909091</v>
          </cell>
          <cell r="AC168">
            <v>561.88181818181829</v>
          </cell>
          <cell r="AF168">
            <v>0</v>
          </cell>
          <cell r="AG168">
            <v>0</v>
          </cell>
          <cell r="AH168">
            <v>0</v>
          </cell>
          <cell r="AK168">
            <v>2383.2363636363639</v>
          </cell>
        </row>
        <row r="169">
          <cell r="F169">
            <v>850</v>
          </cell>
          <cell r="G169">
            <v>11562.099999999999</v>
          </cell>
          <cell r="H169">
            <v>0</v>
          </cell>
          <cell r="P169">
            <v>689</v>
          </cell>
          <cell r="Q169">
            <v>0</v>
          </cell>
          <cell r="R169">
            <v>0</v>
          </cell>
          <cell r="S169">
            <v>1219.75</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5038.3999999999996</v>
          </cell>
        </row>
        <row r="170">
          <cell r="F170">
            <v>459</v>
          </cell>
          <cell r="G170">
            <v>11562.099999999999</v>
          </cell>
          <cell r="H170">
            <v>0</v>
          </cell>
          <cell r="P170">
            <v>0</v>
          </cell>
          <cell r="Q170">
            <v>0</v>
          </cell>
          <cell r="R170">
            <v>0</v>
          </cell>
          <cell r="S170">
            <v>0</v>
          </cell>
          <cell r="T170">
            <v>0</v>
          </cell>
          <cell r="U170">
            <v>0</v>
          </cell>
          <cell r="V170">
            <v>0</v>
          </cell>
          <cell r="W170">
            <v>0</v>
          </cell>
          <cell r="X170">
            <v>0</v>
          </cell>
          <cell r="Y170">
            <v>17514.503030303029</v>
          </cell>
          <cell r="Z170">
            <v>0</v>
          </cell>
          <cell r="AA170">
            <v>0</v>
          </cell>
          <cell r="AB170">
            <v>0</v>
          </cell>
          <cell r="AC170">
            <v>0</v>
          </cell>
          <cell r="AD170">
            <v>13622.695151515152</v>
          </cell>
          <cell r="AE170">
            <v>0</v>
          </cell>
          <cell r="AF170">
            <v>400</v>
          </cell>
          <cell r="AG170">
            <v>400</v>
          </cell>
          <cell r="AH170">
            <v>0</v>
          </cell>
          <cell r="AI170">
            <v>118.4</v>
          </cell>
          <cell r="AJ170">
            <v>0</v>
          </cell>
          <cell r="AK170">
            <v>459</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0</v>
          </cell>
          <cell r="AH175">
            <v>157.89272727272737</v>
          </cell>
          <cell r="AJ175">
            <v>0</v>
          </cell>
          <cell r="AK175">
            <v>0</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2805</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2805</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Y178">
            <v>0</v>
          </cell>
          <cell r="Z178">
            <v>0</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Y180">
            <v>0</v>
          </cell>
          <cell r="Z180">
            <v>0</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1">
          <cell r="AO181" t="str">
            <v>ОЧИК.18.02.</v>
          </cell>
        </row>
        <row r="183">
          <cell r="F183">
            <v>11799</v>
          </cell>
          <cell r="P183">
            <v>290.6666666666664</v>
          </cell>
          <cell r="S183">
            <v>1936.4249999999993</v>
          </cell>
          <cell r="V183">
            <v>382.00000000000051</v>
          </cell>
          <cell r="X183">
            <v>497.51666666666711</v>
          </cell>
          <cell r="AA183">
            <v>237.66666666666663</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ТЕЦ-5 ВСЬОГО</v>
          </cell>
          <cell r="Y187" t="str">
            <v>Е/Е</v>
          </cell>
          <cell r="Z187" t="str">
            <v xml:space="preserve"> Т/Е</v>
          </cell>
          <cell r="AA187" t="str">
            <v>ТЕЦ-6 ВСЬОГО</v>
          </cell>
          <cell r="AB187" t="str">
            <v>Е/Е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15.3</v>
          </cell>
          <cell r="V190">
            <v>58.7</v>
          </cell>
          <cell r="X190">
            <v>64.2</v>
          </cell>
          <cell r="AA190">
            <v>55</v>
          </cell>
          <cell r="AC190">
            <v>53.8</v>
          </cell>
          <cell r="AK190">
            <v>133.30000000000001</v>
          </cell>
          <cell r="AO190">
            <v>221.49122807017542</v>
          </cell>
        </row>
        <row r="191">
          <cell r="S191">
            <v>17.600000000000001</v>
          </cell>
          <cell r="V191">
            <v>67.3</v>
          </cell>
          <cell r="X191">
            <v>73.5</v>
          </cell>
          <cell r="AA191">
            <v>63</v>
          </cell>
          <cell r="AC191">
            <v>61.7</v>
          </cell>
          <cell r="AK191">
            <v>152.79999999999998</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192.5</v>
          </cell>
          <cell r="AA193">
            <v>192.5</v>
          </cell>
          <cell r="AC193">
            <v>192.5</v>
          </cell>
          <cell r="AK193">
            <v>192.5</v>
          </cell>
          <cell r="AO193">
            <v>0</v>
          </cell>
        </row>
        <row r="194">
          <cell r="S194">
            <v>2945</v>
          </cell>
          <cell r="V194">
            <v>11300</v>
          </cell>
          <cell r="X194">
            <v>12359</v>
          </cell>
          <cell r="AA194">
            <v>10588</v>
          </cell>
          <cell r="AC194">
            <v>10357</v>
          </cell>
          <cell r="AK194">
            <v>25661</v>
          </cell>
          <cell r="AO194">
            <v>0</v>
          </cell>
        </row>
        <row r="195">
          <cell r="X195">
            <v>82.5</v>
          </cell>
          <cell r="AC195">
            <v>82.5</v>
          </cell>
          <cell r="AK195">
            <v>25661</v>
          </cell>
        </row>
        <row r="196">
          <cell r="V196">
            <v>0</v>
          </cell>
          <cell r="X196">
            <v>0</v>
          </cell>
          <cell r="AA196">
            <v>0</v>
          </cell>
          <cell r="AC196">
            <v>0</v>
          </cell>
          <cell r="AK196">
            <v>0</v>
          </cell>
        </row>
        <row r="197">
          <cell r="S197">
            <v>0</v>
          </cell>
          <cell r="V197">
            <v>0</v>
          </cell>
          <cell r="X197">
            <v>0</v>
          </cell>
          <cell r="AA197">
            <v>0</v>
          </cell>
          <cell r="AC197">
            <v>0</v>
          </cell>
          <cell r="AK197">
            <v>0</v>
          </cell>
        </row>
        <row r="198">
          <cell r="V198">
            <v>82.5</v>
          </cell>
          <cell r="X198">
            <v>82.5</v>
          </cell>
          <cell r="AA198">
            <v>82.5</v>
          </cell>
          <cell r="AC198">
            <v>82.5</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385</v>
          </cell>
          <cell r="Y205">
            <v>48.4</v>
          </cell>
          <cell r="Z205">
            <v>25.6</v>
          </cell>
          <cell r="AA205">
            <v>385</v>
          </cell>
          <cell r="AC205">
            <v>385</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0</v>
          </cell>
          <cell r="AL207">
            <v>168.32</v>
          </cell>
          <cell r="AM207">
            <v>168.11</v>
          </cell>
          <cell r="AO207">
            <v>41.55</v>
          </cell>
          <cell r="AP207">
            <v>41.55</v>
          </cell>
          <cell r="AQ207">
            <v>41.55</v>
          </cell>
          <cell r="AR207" t="str">
            <v/>
          </cell>
        </row>
        <row r="208">
          <cell r="S208">
            <v>17.600000000000001</v>
          </cell>
          <cell r="V208">
            <v>67.3</v>
          </cell>
          <cell r="W208">
            <v>54.6</v>
          </cell>
          <cell r="X208">
            <v>73.5</v>
          </cell>
          <cell r="Y208">
            <v>52.8</v>
          </cell>
          <cell r="Z208">
            <v>20.700000000000003</v>
          </cell>
          <cell r="AA208">
            <v>63</v>
          </cell>
          <cell r="AB208">
            <v>50</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V209">
            <v>11300</v>
          </cell>
          <cell r="W209">
            <v>9168</v>
          </cell>
          <cell r="X209">
            <v>12359</v>
          </cell>
          <cell r="Y209">
            <v>8878</v>
          </cell>
          <cell r="Z209">
            <v>3481</v>
          </cell>
          <cell r="AA209">
            <v>3481</v>
          </cell>
          <cell r="AB209">
            <v>8403</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V210">
            <v>167.9</v>
          </cell>
          <cell r="W210">
            <v>167.91</v>
          </cell>
          <cell r="X210">
            <v>168.15</v>
          </cell>
          <cell r="Y210">
            <v>168.14</v>
          </cell>
          <cell r="Z210">
            <v>168.16</v>
          </cell>
          <cell r="AA210">
            <v>168.06</v>
          </cell>
          <cell r="AB210">
            <v>168.06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V212">
            <v>11300</v>
          </cell>
          <cell r="X212">
            <v>12359</v>
          </cell>
          <cell r="AA212">
            <v>10588</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ТЕЦ-5 ВСЬОГО</v>
          </cell>
          <cell r="Y252" t="str">
            <v>Е/Е</v>
          </cell>
          <cell r="Z252" t="str">
            <v xml:space="preserve"> Т/Е</v>
          </cell>
          <cell r="AA252" t="str">
            <v>ТЕЦ-6 ВСЬОГО</v>
          </cell>
          <cell r="AB252" t="str">
            <v>Е/Е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V253">
            <v>2576.1318181818187</v>
          </cell>
          <cell r="X253">
            <v>3133.4075757575761</v>
          </cell>
          <cell r="AA253">
            <v>2709.5690909090908</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v>61359.725952380955</v>
          </cell>
          <cell r="AM255">
            <v>42757.25</v>
          </cell>
        </row>
        <row r="256">
          <cell r="F256">
            <v>9158.2509523809513</v>
          </cell>
          <cell r="G256">
            <v>2560.3625654450261</v>
          </cell>
          <cell r="H256">
            <v>1952.6374345549739</v>
          </cell>
          <cell r="P256">
            <v>475.74999999999989</v>
          </cell>
          <cell r="Q256" t="str">
            <v>ТМ</v>
          </cell>
          <cell r="S256">
            <v>2876.2916666666656</v>
          </cell>
          <cell r="T256">
            <v>1380.5298333333337</v>
          </cell>
          <cell r="U256">
            <v>1269.3118333333332</v>
          </cell>
          <cell r="V256">
            <v>1033.0000000000005</v>
          </cell>
          <cell r="W256">
            <v>1364</v>
          </cell>
          <cell r="X256">
            <v>721.46666666666692</v>
          </cell>
          <cell r="Y256">
            <v>1589</v>
          </cell>
          <cell r="Z256">
            <v>624.33333333333371</v>
          </cell>
          <cell r="AA256">
            <v>624</v>
          </cell>
          <cell r="AB256">
            <v>1140</v>
          </cell>
          <cell r="AC256">
            <v>940.63333333333412</v>
          </cell>
          <cell r="AD256">
            <v>923</v>
          </cell>
          <cell r="AE256">
            <v>374.83333333333388</v>
          </cell>
          <cell r="AF256">
            <v>578.56666666666615</v>
          </cell>
          <cell r="AG256">
            <v>327.53999999999996</v>
          </cell>
          <cell r="AH256">
            <v>207.02666666666664</v>
          </cell>
          <cell r="AI256" t="str">
            <v xml:space="preserve">ДОП.ВИР. </v>
          </cell>
          <cell r="AJ256" t="str">
            <v>ДОП.ВИР. СТ.ОРГ.</v>
          </cell>
          <cell r="AK256">
            <v>45600.045952380948</v>
          </cell>
          <cell r="AL256" t="str">
            <v>АК КЕ ВСЬОГО</v>
          </cell>
          <cell r="AM256">
            <v>14494.392619047618</v>
          </cell>
          <cell r="AO256" t="str">
            <v>СТАНЦІї ЕЛЕКТРО</v>
          </cell>
          <cell r="AP256" t="str">
            <v>СТАНЦІІ ТЕПЛОВІ</v>
          </cell>
          <cell r="AQ256" t="str">
            <v>МЕРЕЖІ ЕЛЕКТРО</v>
          </cell>
          <cell r="AR256" t="str">
            <v>МЕРЕЖІ ТЕПЛОВІ</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J257">
            <v>7599</v>
          </cell>
          <cell r="AK257">
            <v>39848.917619047621</v>
          </cell>
        </row>
        <row r="258">
          <cell r="F258">
            <v>25661</v>
          </cell>
          <cell r="AK258">
            <v>25661</v>
          </cell>
        </row>
        <row r="259">
          <cell r="F259">
            <v>4189</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4189</v>
          </cell>
          <cell r="AM259">
            <v>48748.25</v>
          </cell>
        </row>
        <row r="260">
          <cell r="F260">
            <v>6438.9176190476192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6438.9176190476192</v>
          </cell>
          <cell r="AM260">
            <v>14653.6</v>
          </cell>
        </row>
        <row r="261">
          <cell r="F261">
            <v>290.33333333333331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290.33333333333331</v>
          </cell>
        </row>
        <row r="262">
          <cell r="F262">
            <v>0</v>
          </cell>
          <cell r="AK262">
            <v>0</v>
          </cell>
        </row>
        <row r="263">
          <cell r="F263">
            <v>2162.5842857142857</v>
          </cell>
          <cell r="AK263">
            <v>2162.5842857142857</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486</v>
          </cell>
          <cell r="P266">
            <v>0</v>
          </cell>
          <cell r="S266">
            <v>0</v>
          </cell>
          <cell r="V266">
            <v>0</v>
          </cell>
          <cell r="X266">
            <v>0</v>
          </cell>
          <cell r="AA266">
            <v>0</v>
          </cell>
          <cell r="AC266">
            <v>0</v>
          </cell>
          <cell r="AF266">
            <v>0</v>
          </cell>
          <cell r="AG266">
            <v>0</v>
          </cell>
          <cell r="AH266">
            <v>0</v>
          </cell>
          <cell r="AK266">
            <v>486</v>
          </cell>
        </row>
        <row r="267">
          <cell r="F267">
            <v>3400</v>
          </cell>
          <cell r="AK267">
            <v>3400</v>
          </cell>
        </row>
        <row r="268">
          <cell r="F268">
            <v>160</v>
          </cell>
          <cell r="P268">
            <v>0</v>
          </cell>
          <cell r="S268">
            <v>0</v>
          </cell>
          <cell r="V268">
            <v>0</v>
          </cell>
          <cell r="X268">
            <v>0</v>
          </cell>
          <cell r="AA268">
            <v>18</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I270">
            <v>0</v>
          </cell>
          <cell r="AK270">
            <v>13676.510303030303</v>
          </cell>
        </row>
        <row r="271">
          <cell r="F271">
            <v>553</v>
          </cell>
          <cell r="G271">
            <v>246</v>
          </cell>
          <cell r="H271">
            <v>307</v>
          </cell>
          <cell r="P271">
            <v>871.5200000000001</v>
          </cell>
          <cell r="S271">
            <v>1917.7936363636363</v>
          </cell>
          <cell r="T271">
            <v>656.82706363636362</v>
          </cell>
          <cell r="U271">
            <v>683.33020909090919</v>
          </cell>
          <cell r="V271">
            <v>721.95</v>
          </cell>
          <cell r="W271">
            <v>213</v>
          </cell>
          <cell r="X271">
            <v>745.15</v>
          </cell>
          <cell r="Y271">
            <v>295</v>
          </cell>
          <cell r="Z271">
            <v>116.2409090909091</v>
          </cell>
          <cell r="AA271">
            <v>597.66</v>
          </cell>
          <cell r="AB271">
            <v>303</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I272">
            <v>0</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I273">
            <v>0</v>
          </cell>
          <cell r="AK273">
            <v>5083</v>
          </cell>
        </row>
        <row r="274">
          <cell r="F274">
            <v>163</v>
          </cell>
          <cell r="P274">
            <v>118</v>
          </cell>
          <cell r="Q274">
            <v>0</v>
          </cell>
          <cell r="R274">
            <v>0</v>
          </cell>
          <cell r="S274">
            <v>703</v>
          </cell>
          <cell r="T274">
            <v>636.47477575757569</v>
          </cell>
          <cell r="U274">
            <v>648.29007272727267</v>
          </cell>
          <cell r="V274">
            <v>132</v>
          </cell>
          <cell r="W274">
            <v>0</v>
          </cell>
          <cell r="X274">
            <v>128</v>
          </cell>
          <cell r="Y274">
            <v>779</v>
          </cell>
          <cell r="Z274">
            <v>411.83636363636361</v>
          </cell>
          <cell r="AA274">
            <v>100</v>
          </cell>
          <cell r="AB274">
            <v>9</v>
          </cell>
          <cell r="AC274">
            <v>89</v>
          </cell>
          <cell r="AD274">
            <v>234</v>
          </cell>
          <cell r="AE274">
            <v>160.69515151515154</v>
          </cell>
          <cell r="AF274">
            <v>616</v>
          </cell>
          <cell r="AG274">
            <v>616</v>
          </cell>
          <cell r="AH274">
            <v>0</v>
          </cell>
          <cell r="AI274">
            <v>618</v>
          </cell>
          <cell r="AK274">
            <v>1849</v>
          </cell>
        </row>
        <row r="275">
          <cell r="F275">
            <v>761</v>
          </cell>
          <cell r="G275">
            <v>197</v>
          </cell>
          <cell r="H275">
            <v>307.10000000000002</v>
          </cell>
          <cell r="P275">
            <v>30</v>
          </cell>
          <cell r="S275">
            <v>79</v>
          </cell>
          <cell r="T275">
            <v>622.80810909090906</v>
          </cell>
          <cell r="U275">
            <v>648.29007272727267</v>
          </cell>
          <cell r="V275">
            <v>44</v>
          </cell>
          <cell r="X275">
            <v>69</v>
          </cell>
          <cell r="Y275">
            <v>284</v>
          </cell>
          <cell r="Z275">
            <v>149.83636363636361</v>
          </cell>
          <cell r="AA275">
            <v>47</v>
          </cell>
          <cell r="AC275">
            <v>55</v>
          </cell>
          <cell r="AD275">
            <v>226</v>
          </cell>
          <cell r="AE275">
            <v>155.36181818181819</v>
          </cell>
          <cell r="AF275">
            <v>4</v>
          </cell>
          <cell r="AG275">
            <v>3</v>
          </cell>
          <cell r="AH275">
            <v>0</v>
          </cell>
          <cell r="AI275">
            <v>377</v>
          </cell>
          <cell r="AK275">
            <v>1155</v>
          </cell>
        </row>
        <row r="276">
          <cell r="F276">
            <v>60</v>
          </cell>
          <cell r="P276">
            <v>500</v>
          </cell>
          <cell r="Q276">
            <v>0</v>
          </cell>
          <cell r="R276">
            <v>0</v>
          </cell>
          <cell r="S276">
            <v>430</v>
          </cell>
          <cell r="T276">
            <v>13.666666666666666</v>
          </cell>
          <cell r="U276">
            <v>0</v>
          </cell>
          <cell r="V276">
            <v>100</v>
          </cell>
          <cell r="W276">
            <v>0</v>
          </cell>
          <cell r="X276">
            <v>100</v>
          </cell>
          <cell r="Y276">
            <v>495</v>
          </cell>
          <cell r="Z276">
            <v>262</v>
          </cell>
          <cell r="AA276">
            <v>130</v>
          </cell>
          <cell r="AB276">
            <v>0</v>
          </cell>
          <cell r="AC276">
            <v>130</v>
          </cell>
          <cell r="AD276">
            <v>8</v>
          </cell>
          <cell r="AE276">
            <v>5.3333333333333339</v>
          </cell>
          <cell r="AF276">
            <v>150</v>
          </cell>
          <cell r="AG276">
            <v>150</v>
          </cell>
          <cell r="AH276">
            <v>0.33333333333333331</v>
          </cell>
          <cell r="AI276">
            <v>0</v>
          </cell>
          <cell r="AK276">
            <v>1370</v>
          </cell>
        </row>
        <row r="277">
          <cell r="F277">
            <v>204</v>
          </cell>
          <cell r="P277">
            <v>145</v>
          </cell>
          <cell r="Q277">
            <v>0</v>
          </cell>
          <cell r="R277">
            <v>0</v>
          </cell>
          <cell r="S277">
            <v>145</v>
          </cell>
          <cell r="T277">
            <v>0</v>
          </cell>
          <cell r="U277">
            <v>0</v>
          </cell>
          <cell r="V277">
            <v>66</v>
          </cell>
          <cell r="W277">
            <v>0</v>
          </cell>
          <cell r="X277">
            <v>66</v>
          </cell>
          <cell r="Y277">
            <v>0</v>
          </cell>
          <cell r="Z277">
            <v>0</v>
          </cell>
          <cell r="AA277">
            <v>50</v>
          </cell>
          <cell r="AB277">
            <v>9</v>
          </cell>
          <cell r="AC277">
            <v>50</v>
          </cell>
          <cell r="AD277">
            <v>0</v>
          </cell>
          <cell r="AE277">
            <v>0</v>
          </cell>
          <cell r="AF277">
            <v>99</v>
          </cell>
          <cell r="AG277">
            <v>99</v>
          </cell>
          <cell r="AH277">
            <v>0</v>
          </cell>
          <cell r="AI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I278">
            <v>0</v>
          </cell>
          <cell r="AK278">
            <v>1238.7833333333333</v>
          </cell>
        </row>
        <row r="279">
          <cell r="F279">
            <v>0</v>
          </cell>
          <cell r="P279">
            <v>0</v>
          </cell>
          <cell r="S279">
            <v>0</v>
          </cell>
          <cell r="V279">
            <v>0</v>
          </cell>
          <cell r="X279">
            <v>2.5499999999999998</v>
          </cell>
          <cell r="AA279">
            <v>-300</v>
          </cell>
          <cell r="AC279">
            <v>0</v>
          </cell>
          <cell r="AF279">
            <v>0</v>
          </cell>
          <cell r="AG279">
            <v>0</v>
          </cell>
          <cell r="AH279">
            <v>0</v>
          </cell>
          <cell r="AI279">
            <v>0</v>
          </cell>
          <cell r="AK279">
            <v>2.5499999999999998</v>
          </cell>
        </row>
        <row r="280">
          <cell r="F280">
            <v>6</v>
          </cell>
          <cell r="P280">
            <v>18.416666666666661</v>
          </cell>
          <cell r="S280">
            <v>65</v>
          </cell>
          <cell r="V280">
            <v>0</v>
          </cell>
          <cell r="X280">
            <v>0</v>
          </cell>
          <cell r="AA280">
            <v>0</v>
          </cell>
          <cell r="AC280">
            <v>0</v>
          </cell>
          <cell r="AF280">
            <v>837.81666666666649</v>
          </cell>
          <cell r="AG280">
            <v>338</v>
          </cell>
          <cell r="AH280">
            <v>499.81666666666649</v>
          </cell>
          <cell r="AK280">
            <v>927.23333333333312</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309</v>
          </cell>
        </row>
        <row r="282">
          <cell r="F282">
            <v>8</v>
          </cell>
          <cell r="P282">
            <v>21.666666666666668</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0</v>
          </cell>
          <cell r="AI282">
            <v>241</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I283">
            <v>0</v>
          </cell>
          <cell r="AK283">
            <v>51324.128982683971</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V286">
            <v>-20</v>
          </cell>
          <cell r="X286">
            <v>-91.5</v>
          </cell>
          <cell r="AA286">
            <v>170</v>
          </cell>
          <cell r="AC286">
            <v>99.5</v>
          </cell>
          <cell r="AF286">
            <v>52.299999999999983</v>
          </cell>
          <cell r="AG286">
            <v>-31</v>
          </cell>
          <cell r="AH286">
            <v>83.299999999999983</v>
          </cell>
          <cell r="AI286">
            <v>0</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I287">
            <v>-618</v>
          </cell>
          <cell r="AK287">
            <v>3669.8363636363633</v>
          </cell>
        </row>
        <row r="288">
          <cell r="F288">
            <v>0</v>
          </cell>
          <cell r="P288">
            <v>0</v>
          </cell>
          <cell r="S288">
            <v>0</v>
          </cell>
          <cell r="V288">
            <v>0</v>
          </cell>
          <cell r="X288">
            <v>0</v>
          </cell>
          <cell r="AA288">
            <v>0</v>
          </cell>
          <cell r="AC288">
            <v>0</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283.60000000000002</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I290">
            <v>118.4</v>
          </cell>
          <cell r="AK290">
            <v>5453.0083333333332</v>
          </cell>
        </row>
        <row r="291">
          <cell r="F291">
            <v>11</v>
          </cell>
          <cell r="P291">
            <v>-2.4000000000000057</v>
          </cell>
          <cell r="Q291">
            <v>0</v>
          </cell>
          <cell r="R291">
            <v>0</v>
          </cell>
          <cell r="S291">
            <v>287.66666666666652</v>
          </cell>
          <cell r="T291">
            <v>0</v>
          </cell>
          <cell r="U291">
            <v>0</v>
          </cell>
          <cell r="V291">
            <v>11</v>
          </cell>
          <cell r="W291">
            <v>0</v>
          </cell>
          <cell r="X291">
            <v>23.850000000000005</v>
          </cell>
          <cell r="Y291">
            <v>0</v>
          </cell>
          <cell r="Z291">
            <v>0</v>
          </cell>
          <cell r="AA291">
            <v>201</v>
          </cell>
          <cell r="AB291">
            <v>0</v>
          </cell>
          <cell r="AC291">
            <v>394.98333333333346</v>
          </cell>
          <cell r="AD291">
            <v>0</v>
          </cell>
          <cell r="AE291">
            <v>0</v>
          </cell>
          <cell r="AF291">
            <v>15.25</v>
          </cell>
          <cell r="AG291">
            <v>-162.75</v>
          </cell>
          <cell r="AH291">
            <v>179</v>
          </cell>
          <cell r="AI291">
            <v>0</v>
          </cell>
          <cell r="AK291">
            <v>746.35</v>
          </cell>
        </row>
        <row r="292">
          <cell r="F292">
            <v>1</v>
          </cell>
          <cell r="P292">
            <v>27.766666666666676</v>
          </cell>
          <cell r="S292">
            <v>599.33333333333337</v>
          </cell>
          <cell r="V292">
            <v>85</v>
          </cell>
          <cell r="X292">
            <v>176</v>
          </cell>
          <cell r="AA292">
            <v>84</v>
          </cell>
          <cell r="AC292">
            <v>71.683333333333351</v>
          </cell>
          <cell r="AF292">
            <v>160.59999999999994</v>
          </cell>
          <cell r="AG292">
            <v>150</v>
          </cell>
          <cell r="AH292">
            <v>10.599999999999946</v>
          </cell>
          <cell r="AI292">
            <v>0</v>
          </cell>
          <cell r="AK292">
            <v>1036.3833333333334</v>
          </cell>
        </row>
        <row r="293">
          <cell r="F293">
            <v>2789</v>
          </cell>
          <cell r="P293">
            <v>98.883333333333326</v>
          </cell>
          <cell r="S293">
            <v>231.42499999999998</v>
          </cell>
          <cell r="V293">
            <v>110</v>
          </cell>
          <cell r="X293">
            <v>98.11666666666666</v>
          </cell>
          <cell r="AA293">
            <v>101</v>
          </cell>
          <cell r="AC293">
            <v>63.466666666666669</v>
          </cell>
          <cell r="AF293">
            <v>193.38333333333335</v>
          </cell>
          <cell r="AG293">
            <v>176.29000000000002</v>
          </cell>
          <cell r="AH293">
            <v>17.093333333333334</v>
          </cell>
          <cell r="AI293">
            <v>0</v>
          </cell>
          <cell r="AK293">
            <v>3670.2750000000001</v>
          </cell>
        </row>
        <row r="294">
          <cell r="F294">
            <v>1626</v>
          </cell>
          <cell r="P294">
            <v>0</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0</v>
          </cell>
          <cell r="AG294">
            <v>0</v>
          </cell>
          <cell r="AH294">
            <v>0</v>
          </cell>
          <cell r="AI294">
            <v>165.2</v>
          </cell>
          <cell r="AK294">
            <v>0</v>
          </cell>
        </row>
        <row r="295">
          <cell r="F295">
            <v>11</v>
          </cell>
          <cell r="P295">
            <v>1</v>
          </cell>
          <cell r="S295">
            <v>81</v>
          </cell>
          <cell r="V295">
            <v>-129</v>
          </cell>
          <cell r="X295">
            <v>172</v>
          </cell>
          <cell r="AA295">
            <v>0</v>
          </cell>
          <cell r="AC295">
            <v>261</v>
          </cell>
          <cell r="AF295">
            <v>58</v>
          </cell>
          <cell r="AG295">
            <v>13</v>
          </cell>
          <cell r="AH295">
            <v>0</v>
          </cell>
          <cell r="AI295">
            <v>70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I296">
            <v>36</v>
          </cell>
          <cell r="AK296">
            <v>51324.128982683971</v>
          </cell>
        </row>
        <row r="297">
          <cell r="F297">
            <v>1606</v>
          </cell>
          <cell r="P297">
            <v>91.666666666666671</v>
          </cell>
          <cell r="S297">
            <v>425.33333333333337</v>
          </cell>
          <cell r="X297">
            <v>97.666666666666671</v>
          </cell>
          <cell r="AC297">
            <v>85.333333333333343</v>
          </cell>
          <cell r="AF297">
            <v>226.33333333333331</v>
          </cell>
          <cell r="AG297">
            <v>173</v>
          </cell>
          <cell r="AH297">
            <v>191</v>
          </cell>
          <cell r="AI297">
            <v>59.2</v>
          </cell>
          <cell r="AK297">
            <v>0</v>
          </cell>
        </row>
        <row r="298">
          <cell r="P298">
            <v>0</v>
          </cell>
          <cell r="AF298">
            <v>0</v>
          </cell>
          <cell r="AG298">
            <v>0</v>
          </cell>
          <cell r="AH298">
            <v>0</v>
          </cell>
          <cell r="AI298">
            <v>0</v>
          </cell>
          <cell r="AK298">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I299">
            <v>0</v>
          </cell>
          <cell r="AK299">
            <v>51324.128982683971</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V302">
            <v>0</v>
          </cell>
          <cell r="X302">
            <v>0</v>
          </cell>
          <cell r="AA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2805</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2805</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V325">
            <v>197</v>
          </cell>
          <cell r="X325">
            <v>203</v>
          </cell>
          <cell r="AA325">
            <v>163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584</v>
          </cell>
          <cell r="AM328">
            <v>526</v>
          </cell>
        </row>
        <row r="329">
          <cell r="F329">
            <v>137</v>
          </cell>
          <cell r="P329">
            <v>237</v>
          </cell>
          <cell r="S329">
            <v>515</v>
          </cell>
          <cell r="X329">
            <v>201</v>
          </cell>
          <cell r="AC329">
            <v>161</v>
          </cell>
          <cell r="AF329">
            <v>444</v>
          </cell>
          <cell r="AG329">
            <v>400</v>
          </cell>
          <cell r="AH329">
            <v>44</v>
          </cell>
          <cell r="AI329">
            <v>103</v>
          </cell>
          <cell r="AK329">
            <v>2162.5842857142857</v>
          </cell>
          <cell r="AM329">
            <v>2162.5842857142857</v>
          </cell>
        </row>
        <row r="330">
          <cell r="AJ330">
            <v>36</v>
          </cell>
          <cell r="AK330">
            <v>3500</v>
          </cell>
          <cell r="AM330">
            <v>3500</v>
          </cell>
        </row>
        <row r="331">
          <cell r="AK331">
            <v>0</v>
          </cell>
          <cell r="AM331">
            <v>770.33333333333337</v>
          </cell>
        </row>
        <row r="332">
          <cell r="AJ332">
            <v>36</v>
          </cell>
          <cell r="AK332">
            <v>486</v>
          </cell>
          <cell r="AM332">
            <v>486</v>
          </cell>
        </row>
        <row r="333">
          <cell r="AK333">
            <v>3400</v>
          </cell>
          <cell r="AM333">
            <v>2381.4</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cell r="AM343">
            <v>0</v>
          </cell>
        </row>
        <row r="344">
          <cell r="AK344">
            <v>709</v>
          </cell>
          <cell r="AM344">
            <v>4338</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V348">
            <v>56</v>
          </cell>
          <cell r="X348">
            <v>56</v>
          </cell>
          <cell r="AA348">
            <v>-78.090909090909093</v>
          </cell>
          <cell r="AC348">
            <v>561.88181818181829</v>
          </cell>
          <cell r="AF348">
            <v>470</v>
          </cell>
          <cell r="AG348">
            <v>470</v>
          </cell>
          <cell r="AH348">
            <v>0</v>
          </cell>
          <cell r="AK348">
            <v>1608.8818181818183</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342</v>
          </cell>
          <cell r="AM350">
            <v>342</v>
          </cell>
        </row>
        <row r="351">
          <cell r="AK351">
            <v>160</v>
          </cell>
          <cell r="AM351">
            <v>160</v>
          </cell>
        </row>
        <row r="352">
          <cell r="P352">
            <v>225</v>
          </cell>
          <cell r="S352">
            <v>296</v>
          </cell>
          <cell r="X352">
            <v>56</v>
          </cell>
          <cell r="AC352">
            <v>76.181818181818187</v>
          </cell>
          <cell r="AF352">
            <v>304.27272727272725</v>
          </cell>
          <cell r="AG352">
            <v>291.27272727272725</v>
          </cell>
          <cell r="AH352">
            <v>13</v>
          </cell>
          <cell r="AK352">
            <v>0</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5453.0083333333332</v>
          </cell>
          <cell r="AM354" t="e">
            <v>#REF!</v>
          </cell>
        </row>
        <row r="355">
          <cell r="AK355">
            <v>746.35</v>
          </cell>
          <cell r="AM355">
            <v>83</v>
          </cell>
        </row>
        <row r="356">
          <cell r="AK356">
            <v>1036.3833333333334</v>
          </cell>
          <cell r="AM356">
            <v>0</v>
          </cell>
        </row>
        <row r="357">
          <cell r="AK357">
            <v>3670.2750000000001</v>
          </cell>
          <cell r="AM357">
            <v>0</v>
          </cell>
        </row>
        <row r="358">
          <cell r="F358">
            <v>0</v>
          </cell>
          <cell r="P358">
            <v>0</v>
          </cell>
          <cell r="S358">
            <v>0</v>
          </cell>
          <cell r="T358">
            <v>87.84</v>
          </cell>
          <cell r="U358">
            <v>461.15999999999997</v>
          </cell>
          <cell r="V358">
            <v>471</v>
          </cell>
          <cell r="W358">
            <v>447</v>
          </cell>
          <cell r="X358">
            <v>491.83333333333337</v>
          </cell>
          <cell r="Y358">
            <v>359</v>
          </cell>
          <cell r="Z358">
            <v>141.33333333333337</v>
          </cell>
          <cell r="AA358">
            <v>273</v>
          </cell>
          <cell r="AB358">
            <v>455</v>
          </cell>
          <cell r="AC358">
            <v>176.5</v>
          </cell>
          <cell r="AD358">
            <v>289</v>
          </cell>
          <cell r="AE358">
            <v>117</v>
          </cell>
          <cell r="AF358">
            <v>383</v>
          </cell>
          <cell r="AG358">
            <v>383</v>
          </cell>
          <cell r="AH358">
            <v>0</v>
          </cell>
          <cell r="AJ358">
            <v>-2491</v>
          </cell>
          <cell r="AK358">
            <v>1051.3333333333335</v>
          </cell>
          <cell r="AM358">
            <v>668.33333333333337</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V384">
            <v>182</v>
          </cell>
          <cell r="W384">
            <v>148</v>
          </cell>
          <cell r="X384">
            <v>182</v>
          </cell>
          <cell r="Y384">
            <v>131</v>
          </cell>
          <cell r="Z384">
            <v>130</v>
          </cell>
          <cell r="AA384">
            <v>323.66666666666674</v>
          </cell>
          <cell r="AB384">
            <v>257</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V385">
            <v>0</v>
          </cell>
          <cell r="W385">
            <v>0</v>
          </cell>
          <cell r="X385">
            <v>0</v>
          </cell>
          <cell r="Y385">
            <v>0</v>
          </cell>
          <cell r="AA385">
            <v>3.6666666666666665</v>
          </cell>
          <cell r="AB385">
            <v>3</v>
          </cell>
          <cell r="AC385">
            <v>3.6666666666666665</v>
          </cell>
          <cell r="AD385">
            <v>3</v>
          </cell>
          <cell r="AK385">
            <v>46</v>
          </cell>
          <cell r="AL385">
            <v>24</v>
          </cell>
        </row>
        <row r="386">
          <cell r="F386">
            <v>0</v>
          </cell>
          <cell r="G386">
            <v>0</v>
          </cell>
          <cell r="H386">
            <v>91</v>
          </cell>
          <cell r="P386">
            <v>0.66666666666666663</v>
          </cell>
          <cell r="S386">
            <v>14.333333333333332</v>
          </cell>
          <cell r="V386">
            <v>146.66666666666666</v>
          </cell>
          <cell r="W386">
            <v>119</v>
          </cell>
          <cell r="X386">
            <v>146.66666666666666</v>
          </cell>
          <cell r="Y386">
            <v>105</v>
          </cell>
          <cell r="Z386">
            <v>120</v>
          </cell>
          <cell r="AA386">
            <v>280.66666666666669</v>
          </cell>
          <cell r="AB386">
            <v>223</v>
          </cell>
          <cell r="AC386">
            <v>280.66666666666669</v>
          </cell>
          <cell r="AD386">
            <v>200</v>
          </cell>
          <cell r="AE386">
            <v>191</v>
          </cell>
          <cell r="AK386">
            <v>428</v>
          </cell>
          <cell r="AL386">
            <v>305.66666666666669</v>
          </cell>
          <cell r="AM386">
            <v>429.33333333333331</v>
          </cell>
        </row>
        <row r="387">
          <cell r="F387">
            <v>0</v>
          </cell>
          <cell r="G387">
            <v>0</v>
          </cell>
          <cell r="P387">
            <v>2</v>
          </cell>
          <cell r="V387">
            <v>0</v>
          </cell>
          <cell r="W387">
            <v>0</v>
          </cell>
          <cell r="X387">
            <v>0</v>
          </cell>
          <cell r="Y387">
            <v>0</v>
          </cell>
          <cell r="AA387">
            <v>25</v>
          </cell>
          <cell r="AB387">
            <v>20</v>
          </cell>
          <cell r="AC387">
            <v>25</v>
          </cell>
          <cell r="AD387">
            <v>18</v>
          </cell>
          <cell r="AK387">
            <v>33.666666666666671</v>
          </cell>
          <cell r="AL387">
            <v>23</v>
          </cell>
        </row>
        <row r="388">
          <cell r="F388">
            <v>0</v>
          </cell>
          <cell r="G388">
            <v>0</v>
          </cell>
          <cell r="P388">
            <v>0</v>
          </cell>
          <cell r="V388">
            <v>25.333333333333332</v>
          </cell>
          <cell r="W388">
            <v>21</v>
          </cell>
          <cell r="X388">
            <v>25.333333333333332</v>
          </cell>
          <cell r="Y388">
            <v>18</v>
          </cell>
          <cell r="AA388">
            <v>0.66666666666666663</v>
          </cell>
          <cell r="AB388">
            <v>1</v>
          </cell>
          <cell r="AC388">
            <v>0.66666666666666663</v>
          </cell>
          <cell r="AD388">
            <v>0</v>
          </cell>
          <cell r="AK388">
            <v>26</v>
          </cell>
          <cell r="AL388">
            <v>18</v>
          </cell>
        </row>
        <row r="389">
          <cell r="F389">
            <v>120.63333333333333</v>
          </cell>
          <cell r="G389">
            <v>76</v>
          </cell>
          <cell r="P389">
            <v>0</v>
          </cell>
          <cell r="V389">
            <v>0</v>
          </cell>
          <cell r="W389">
            <v>0</v>
          </cell>
          <cell r="X389">
            <v>0</v>
          </cell>
          <cell r="Y389">
            <v>0</v>
          </cell>
          <cell r="AA389">
            <v>0</v>
          </cell>
          <cell r="AB389">
            <v>0</v>
          </cell>
          <cell r="AC389">
            <v>0</v>
          </cell>
          <cell r="AD389">
            <v>0</v>
          </cell>
          <cell r="AK389">
            <v>120.63333333333333</v>
          </cell>
          <cell r="AL389">
            <v>78</v>
          </cell>
        </row>
        <row r="390">
          <cell r="F390">
            <v>8.6666666666666661</v>
          </cell>
          <cell r="G390">
            <v>5</v>
          </cell>
          <cell r="P390">
            <v>0</v>
          </cell>
          <cell r="V390">
            <v>0</v>
          </cell>
          <cell r="W390">
            <v>0</v>
          </cell>
          <cell r="X390">
            <v>0</v>
          </cell>
          <cell r="Y390">
            <v>0</v>
          </cell>
          <cell r="AA390">
            <v>0</v>
          </cell>
          <cell r="AB390">
            <v>0</v>
          </cell>
          <cell r="AC390">
            <v>0</v>
          </cell>
          <cell r="AD390">
            <v>0</v>
          </cell>
          <cell r="AK390">
            <v>8.6666666666666661</v>
          </cell>
          <cell r="AL390">
            <v>0</v>
          </cell>
        </row>
        <row r="391">
          <cell r="F391">
            <v>0</v>
          </cell>
          <cell r="G391">
            <v>0</v>
          </cell>
          <cell r="P391">
            <v>5.333333333333333</v>
          </cell>
          <cell r="V391">
            <v>0</v>
          </cell>
          <cell r="W391">
            <v>0</v>
          </cell>
          <cell r="X391">
            <v>0</v>
          </cell>
          <cell r="Y391">
            <v>0</v>
          </cell>
          <cell r="AA391">
            <v>0</v>
          </cell>
          <cell r="AB391">
            <v>0</v>
          </cell>
          <cell r="AC391">
            <v>0</v>
          </cell>
          <cell r="AD391">
            <v>0</v>
          </cell>
          <cell r="AK391">
            <v>22</v>
          </cell>
          <cell r="AL391">
            <v>15.333333333333332</v>
          </cell>
        </row>
        <row r="392">
          <cell r="F392">
            <v>5.333333333333333</v>
          </cell>
          <cell r="G392">
            <v>3</v>
          </cell>
          <cell r="P392">
            <v>0</v>
          </cell>
          <cell r="V392">
            <v>0</v>
          </cell>
          <cell r="W392">
            <v>0</v>
          </cell>
          <cell r="X392">
            <v>0</v>
          </cell>
          <cell r="Y392">
            <v>0</v>
          </cell>
          <cell r="AA392">
            <v>0</v>
          </cell>
          <cell r="AB392">
            <v>0</v>
          </cell>
          <cell r="AC392">
            <v>0</v>
          </cell>
          <cell r="AD392">
            <v>0</v>
          </cell>
          <cell r="AK392">
            <v>5.333333333333333</v>
          </cell>
          <cell r="AL392">
            <v>3</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10</v>
          </cell>
          <cell r="Y394">
            <v>7</v>
          </cell>
          <cell r="AA394">
            <v>13.666666666666666</v>
          </cell>
          <cell r="AB394">
            <v>11</v>
          </cell>
          <cell r="AC394">
            <v>13.666666666666666</v>
          </cell>
          <cell r="AD394">
            <v>10</v>
          </cell>
          <cell r="AK394">
            <v>26</v>
          </cell>
          <cell r="AL394">
            <v>19</v>
          </cell>
        </row>
        <row r="395">
          <cell r="F395">
            <v>0</v>
          </cell>
          <cell r="G395">
            <v>0</v>
          </cell>
          <cell r="P395">
            <v>0</v>
          </cell>
          <cell r="V395">
            <v>0</v>
          </cell>
          <cell r="W395">
            <v>0</v>
          </cell>
          <cell r="X395">
            <v>0</v>
          </cell>
          <cell r="Y395">
            <v>0</v>
          </cell>
          <cell r="AA395">
            <v>0</v>
          </cell>
          <cell r="AB395">
            <v>0</v>
          </cell>
          <cell r="AC395">
            <v>0</v>
          </cell>
          <cell r="AD395">
            <v>0</v>
          </cell>
          <cell r="AK395">
            <v>0</v>
          </cell>
          <cell r="AL395">
            <v>4.333333333333333</v>
          </cell>
        </row>
        <row r="396">
          <cell r="F396">
            <v>1.1666666666666667</v>
          </cell>
          <cell r="G396">
            <v>1</v>
          </cell>
          <cell r="P396">
            <v>20.5</v>
          </cell>
          <cell r="V396">
            <v>522.33333333333337</v>
          </cell>
          <cell r="W396">
            <v>424</v>
          </cell>
          <cell r="X396">
            <v>522.33333333333337</v>
          </cell>
          <cell r="Y396">
            <v>375</v>
          </cell>
          <cell r="AA396">
            <v>43</v>
          </cell>
          <cell r="AB396">
            <v>34</v>
          </cell>
          <cell r="AC396">
            <v>43</v>
          </cell>
          <cell r="AD396">
            <v>31</v>
          </cell>
          <cell r="AK396">
            <v>587.33333333333337</v>
          </cell>
          <cell r="AL396">
            <v>427.5</v>
          </cell>
          <cell r="AM396">
            <v>427.83333333333337</v>
          </cell>
        </row>
        <row r="397">
          <cell r="F397">
            <v>0</v>
          </cell>
          <cell r="G397">
            <v>0</v>
          </cell>
          <cell r="P397">
            <v>0</v>
          </cell>
          <cell r="V397">
            <v>0</v>
          </cell>
          <cell r="W397">
            <v>0</v>
          </cell>
          <cell r="X397">
            <v>0</v>
          </cell>
          <cell r="Y397">
            <v>0</v>
          </cell>
          <cell r="AA397">
            <v>0</v>
          </cell>
          <cell r="AB397">
            <v>0</v>
          </cell>
          <cell r="AC397">
            <v>0</v>
          </cell>
          <cell r="AD397">
            <v>0</v>
          </cell>
          <cell r="AK397">
            <v>0</v>
          </cell>
          <cell r="AL397">
            <v>0</v>
          </cell>
        </row>
        <row r="398">
          <cell r="F398">
            <v>0</v>
          </cell>
          <cell r="G398">
            <v>0</v>
          </cell>
          <cell r="P398">
            <v>0</v>
          </cell>
          <cell r="V398">
            <v>480.66666666666669</v>
          </cell>
          <cell r="W398">
            <v>390</v>
          </cell>
          <cell r="X398">
            <v>480.66666666666669</v>
          </cell>
          <cell r="Y398">
            <v>345</v>
          </cell>
          <cell r="AA398">
            <v>11</v>
          </cell>
          <cell r="AB398">
            <v>9</v>
          </cell>
          <cell r="AC398">
            <v>11</v>
          </cell>
          <cell r="AD398">
            <v>8</v>
          </cell>
          <cell r="AK398">
            <v>491.66666666666669</v>
          </cell>
          <cell r="AL398">
            <v>353</v>
          </cell>
          <cell r="AM398">
            <v>388.83333333333337</v>
          </cell>
        </row>
        <row r="399">
          <cell r="F399">
            <v>0</v>
          </cell>
          <cell r="G399">
            <v>0</v>
          </cell>
          <cell r="P399">
            <v>0</v>
          </cell>
          <cell r="V399">
            <v>0</v>
          </cell>
          <cell r="W399">
            <v>0</v>
          </cell>
          <cell r="X399">
            <v>0</v>
          </cell>
          <cell r="Y399">
            <v>0</v>
          </cell>
          <cell r="AA399">
            <v>0</v>
          </cell>
          <cell r="AB399">
            <v>0</v>
          </cell>
          <cell r="AC399">
            <v>0</v>
          </cell>
          <cell r="AD399">
            <v>0</v>
          </cell>
          <cell r="AK399">
            <v>0</v>
          </cell>
          <cell r="AL399">
            <v>0</v>
          </cell>
        </row>
        <row r="400">
          <cell r="F400">
            <v>1.1666666666666667</v>
          </cell>
          <cell r="G400">
            <v>1</v>
          </cell>
          <cell r="P400">
            <v>15.833333333333334</v>
          </cell>
          <cell r="V400">
            <v>41.666666666666664</v>
          </cell>
          <cell r="W400">
            <v>34</v>
          </cell>
          <cell r="X400">
            <v>41.666666666666664</v>
          </cell>
          <cell r="Y400">
            <v>30</v>
          </cell>
          <cell r="AA400">
            <v>32</v>
          </cell>
          <cell r="AB400">
            <v>25</v>
          </cell>
          <cell r="AC400">
            <v>32</v>
          </cell>
          <cell r="AD400">
            <v>23</v>
          </cell>
          <cell r="AK400">
            <v>91</v>
          </cell>
          <cell r="AL400">
            <v>74.833333333333343</v>
          </cell>
        </row>
        <row r="401">
          <cell r="F401">
            <v>0</v>
          </cell>
          <cell r="G401">
            <v>0</v>
          </cell>
          <cell r="P401">
            <v>4.666666666666667</v>
          </cell>
          <cell r="V401">
            <v>0</v>
          </cell>
          <cell r="W401">
            <v>0</v>
          </cell>
          <cell r="X401">
            <v>0</v>
          </cell>
          <cell r="Y401">
            <v>0</v>
          </cell>
          <cell r="AA401">
            <v>0</v>
          </cell>
          <cell r="AB401">
            <v>0</v>
          </cell>
          <cell r="AC401">
            <v>0</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67.833333333333343</v>
          </cell>
        </row>
        <row r="403">
          <cell r="F403">
            <v>10</v>
          </cell>
          <cell r="G403">
            <v>6</v>
          </cell>
          <cell r="P403">
            <v>39</v>
          </cell>
          <cell r="V403">
            <v>0</v>
          </cell>
          <cell r="W403">
            <v>0</v>
          </cell>
          <cell r="X403">
            <v>0</v>
          </cell>
          <cell r="Y403">
            <v>0</v>
          </cell>
          <cell r="AA403">
            <v>0</v>
          </cell>
          <cell r="AB403">
            <v>0</v>
          </cell>
          <cell r="AC403">
            <v>0</v>
          </cell>
          <cell r="AD403">
            <v>0</v>
          </cell>
          <cell r="AK403">
            <v>49</v>
          </cell>
          <cell r="AL403">
            <v>45</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4.3333333333333339</v>
          </cell>
        </row>
        <row r="407">
          <cell r="F407">
            <v>206.33333333333329</v>
          </cell>
          <cell r="G407">
            <v>131</v>
          </cell>
          <cell r="H407">
            <v>130</v>
          </cell>
          <cell r="P407">
            <v>50.166666666666671</v>
          </cell>
          <cell r="S407">
            <v>50.166666666666671</v>
          </cell>
          <cell r="V407">
            <v>37.833333333333343</v>
          </cell>
          <cell r="W407">
            <v>31</v>
          </cell>
          <cell r="X407">
            <v>37.833333333333343</v>
          </cell>
          <cell r="Y407">
            <v>27</v>
          </cell>
          <cell r="AA407">
            <v>26.000000000000004</v>
          </cell>
          <cell r="AB407">
            <v>21</v>
          </cell>
          <cell r="AC407">
            <v>26.000000000000004</v>
          </cell>
          <cell r="AD407">
            <v>18</v>
          </cell>
          <cell r="AK407">
            <v>1965.0000000000002</v>
          </cell>
          <cell r="AL407">
            <v>481.16666666666663</v>
          </cell>
          <cell r="AM407">
            <v>481.16666666666663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P410">
            <v>0</v>
          </cell>
          <cell r="V410">
            <v>0</v>
          </cell>
          <cell r="W410">
            <v>0</v>
          </cell>
          <cell r="X410">
            <v>0</v>
          </cell>
          <cell r="Y410">
            <v>0</v>
          </cell>
          <cell r="AA410">
            <v>0</v>
          </cell>
          <cell r="AB410">
            <v>0</v>
          </cell>
          <cell r="AC410">
            <v>0</v>
          </cell>
          <cell r="AD410">
            <v>0</v>
          </cell>
          <cell r="AK410">
            <v>0</v>
          </cell>
          <cell r="AL410">
            <v>0</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3</v>
          </cell>
          <cell r="Y413">
            <v>2</v>
          </cell>
          <cell r="AA413">
            <v>3</v>
          </cell>
          <cell r="AB413">
            <v>2</v>
          </cell>
          <cell r="AC413">
            <v>3</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4.5</v>
          </cell>
          <cell r="Y416">
            <v>3</v>
          </cell>
          <cell r="AA416">
            <v>1.3333333333333333</v>
          </cell>
          <cell r="AB416">
            <v>1</v>
          </cell>
          <cell r="AC416">
            <v>1.3333333333333333</v>
          </cell>
          <cell r="AD416">
            <v>1</v>
          </cell>
          <cell r="AK416">
            <v>28.5</v>
          </cell>
          <cell r="AL416">
            <v>26.5</v>
          </cell>
        </row>
        <row r="417">
          <cell r="F417">
            <v>0</v>
          </cell>
          <cell r="G417">
            <v>0</v>
          </cell>
          <cell r="P417">
            <v>1.3333333333333333</v>
          </cell>
          <cell r="V417">
            <v>0</v>
          </cell>
          <cell r="W417">
            <v>0</v>
          </cell>
          <cell r="X417">
            <v>0</v>
          </cell>
          <cell r="Y417">
            <v>0</v>
          </cell>
          <cell r="AA417">
            <v>1.6666666666666667</v>
          </cell>
          <cell r="AB417">
            <v>1</v>
          </cell>
          <cell r="AC417">
            <v>1.6666666666666667</v>
          </cell>
          <cell r="AD417">
            <v>1</v>
          </cell>
          <cell r="AK417">
            <v>69</v>
          </cell>
          <cell r="AL417">
            <v>52.333333333333336</v>
          </cell>
        </row>
        <row r="418">
          <cell r="F418">
            <v>177</v>
          </cell>
          <cell r="G418">
            <v>112</v>
          </cell>
          <cell r="P418">
            <v>0</v>
          </cell>
          <cell r="V418">
            <v>0</v>
          </cell>
          <cell r="W418">
            <v>0</v>
          </cell>
          <cell r="X418">
            <v>0</v>
          </cell>
          <cell r="Y418">
            <v>0</v>
          </cell>
          <cell r="AA418">
            <v>0</v>
          </cell>
          <cell r="AB418">
            <v>0</v>
          </cell>
          <cell r="AC418">
            <v>0</v>
          </cell>
          <cell r="AD418">
            <v>0</v>
          </cell>
          <cell r="AK418">
            <v>177</v>
          </cell>
          <cell r="AL418">
            <v>112</v>
          </cell>
        </row>
        <row r="419">
          <cell r="F419">
            <v>0</v>
          </cell>
          <cell r="G419">
            <v>0</v>
          </cell>
          <cell r="P419">
            <v>0</v>
          </cell>
          <cell r="V419">
            <v>10</v>
          </cell>
          <cell r="W419">
            <v>8</v>
          </cell>
          <cell r="X419">
            <v>10</v>
          </cell>
          <cell r="Y419">
            <v>7</v>
          </cell>
          <cell r="AA419">
            <v>7.666666666666667</v>
          </cell>
          <cell r="AB419">
            <v>6</v>
          </cell>
          <cell r="AC419">
            <v>7.666666666666667</v>
          </cell>
          <cell r="AD419">
            <v>5</v>
          </cell>
          <cell r="AK419">
            <v>17.666666666666668</v>
          </cell>
          <cell r="AL419">
            <v>12</v>
          </cell>
        </row>
        <row r="420">
          <cell r="F420">
            <v>0.66666666666666663</v>
          </cell>
          <cell r="G420">
            <v>0</v>
          </cell>
          <cell r="P420">
            <v>2</v>
          </cell>
          <cell r="V420">
            <v>1.3333333333333333</v>
          </cell>
          <cell r="W420">
            <v>1</v>
          </cell>
          <cell r="X420">
            <v>1.3333333333333333</v>
          </cell>
          <cell r="Y420">
            <v>1</v>
          </cell>
          <cell r="AA420">
            <v>1</v>
          </cell>
          <cell r="AB420">
            <v>1</v>
          </cell>
          <cell r="AC420">
            <v>1</v>
          </cell>
          <cell r="AD420">
            <v>1</v>
          </cell>
          <cell r="AK420">
            <v>6</v>
          </cell>
          <cell r="AL420">
            <v>4</v>
          </cell>
        </row>
        <row r="421">
          <cell r="F421">
            <v>2.6666666666666665</v>
          </cell>
          <cell r="G421">
            <v>2</v>
          </cell>
          <cell r="P421">
            <v>0.33333333333333331</v>
          </cell>
          <cell r="V421">
            <v>1</v>
          </cell>
          <cell r="W421">
            <v>1</v>
          </cell>
          <cell r="X421">
            <v>1</v>
          </cell>
          <cell r="Y421">
            <v>1</v>
          </cell>
          <cell r="AA421">
            <v>0.66666666666666663</v>
          </cell>
          <cell r="AB421">
            <v>1</v>
          </cell>
          <cell r="AC421">
            <v>0.66666666666666663</v>
          </cell>
          <cell r="AD421">
            <v>0</v>
          </cell>
          <cell r="AK421">
            <v>9.3333333333333339</v>
          </cell>
          <cell r="AL421">
            <v>5.333333333333333</v>
          </cell>
        </row>
        <row r="422">
          <cell r="F422">
            <v>0</v>
          </cell>
          <cell r="G422">
            <v>0</v>
          </cell>
          <cell r="P422">
            <v>2.3333333333333335</v>
          </cell>
          <cell r="V422">
            <v>6</v>
          </cell>
          <cell r="W422">
            <v>5</v>
          </cell>
          <cell r="X422">
            <v>6</v>
          </cell>
          <cell r="Y422">
            <v>4</v>
          </cell>
          <cell r="AA422">
            <v>5</v>
          </cell>
          <cell r="AB422">
            <v>4</v>
          </cell>
          <cell r="AC422">
            <v>5</v>
          </cell>
          <cell r="AD422">
            <v>4</v>
          </cell>
          <cell r="AK422">
            <v>13.333333333333334</v>
          </cell>
          <cell r="AL422">
            <v>10.333333333333334</v>
          </cell>
        </row>
        <row r="423">
          <cell r="F423">
            <v>0</v>
          </cell>
          <cell r="G423">
            <v>0</v>
          </cell>
          <cell r="P423">
            <v>0</v>
          </cell>
          <cell r="V423">
            <v>0</v>
          </cell>
          <cell r="W423">
            <v>0</v>
          </cell>
          <cell r="X423">
            <v>0</v>
          </cell>
          <cell r="Y423">
            <v>0</v>
          </cell>
          <cell r="AA423">
            <v>0</v>
          </cell>
          <cell r="AB423">
            <v>0</v>
          </cell>
          <cell r="AC423">
            <v>0</v>
          </cell>
          <cell r="AD423">
            <v>0</v>
          </cell>
          <cell r="AK423">
            <v>0</v>
          </cell>
          <cell r="AL423">
            <v>0</v>
          </cell>
        </row>
        <row r="424">
          <cell r="F424">
            <v>0</v>
          </cell>
          <cell r="G424">
            <v>0</v>
          </cell>
          <cell r="P424">
            <v>0</v>
          </cell>
          <cell r="V424">
            <v>0</v>
          </cell>
          <cell r="W424">
            <v>0</v>
          </cell>
          <cell r="X424">
            <v>0</v>
          </cell>
          <cell r="Y424">
            <v>0</v>
          </cell>
          <cell r="AA424">
            <v>0</v>
          </cell>
          <cell r="AB424">
            <v>0</v>
          </cell>
          <cell r="AC424">
            <v>0</v>
          </cell>
          <cell r="AD424">
            <v>0</v>
          </cell>
          <cell r="AK424">
            <v>0</v>
          </cell>
          <cell r="AL424">
            <v>0</v>
          </cell>
        </row>
        <row r="425">
          <cell r="F425">
            <v>9.6666666666666661</v>
          </cell>
          <cell r="G425">
            <v>6</v>
          </cell>
          <cell r="P425">
            <v>1</v>
          </cell>
          <cell r="V425">
            <v>0</v>
          </cell>
          <cell r="W425">
            <v>0</v>
          </cell>
          <cell r="X425">
            <v>0</v>
          </cell>
          <cell r="Y425">
            <v>0</v>
          </cell>
          <cell r="AA425">
            <v>0</v>
          </cell>
          <cell r="AB425">
            <v>0</v>
          </cell>
          <cell r="AC425">
            <v>0</v>
          </cell>
          <cell r="AD425">
            <v>0</v>
          </cell>
          <cell r="AK425">
            <v>12</v>
          </cell>
          <cell r="AL425">
            <v>8</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1</v>
          </cell>
          <cell r="P427">
            <v>0.66666666666666663</v>
          </cell>
          <cell r="V427">
            <v>0.66666666666666663</v>
          </cell>
          <cell r="W427">
            <v>1</v>
          </cell>
          <cell r="X427">
            <v>0.66666666666666663</v>
          </cell>
          <cell r="Y427">
            <v>0</v>
          </cell>
          <cell r="AA427">
            <v>0.66666666666666663</v>
          </cell>
          <cell r="AB427">
            <v>1</v>
          </cell>
          <cell r="AC427">
            <v>0.66666666666666663</v>
          </cell>
          <cell r="AD427">
            <v>0</v>
          </cell>
          <cell r="AK427">
            <v>4.333333333333333</v>
          </cell>
          <cell r="AL427">
            <v>1.6666666666666665</v>
          </cell>
        </row>
        <row r="428">
          <cell r="F428">
            <v>1.6666666666666667</v>
          </cell>
          <cell r="G428">
            <v>1</v>
          </cell>
          <cell r="P428">
            <v>0.66666666666666663</v>
          </cell>
          <cell r="V428">
            <v>0.66666666666666663</v>
          </cell>
          <cell r="W428">
            <v>1</v>
          </cell>
          <cell r="X428">
            <v>0.66666666666666663</v>
          </cell>
          <cell r="Y428">
            <v>0</v>
          </cell>
          <cell r="AA428">
            <v>0.66666666666666663</v>
          </cell>
          <cell r="AB428">
            <v>1</v>
          </cell>
          <cell r="AC428">
            <v>0.66666666666666663</v>
          </cell>
          <cell r="AD428">
            <v>0</v>
          </cell>
          <cell r="AK428">
            <v>3.6666666666666665</v>
          </cell>
          <cell r="AL428">
            <v>1.6666666666666665</v>
          </cell>
        </row>
        <row r="429">
          <cell r="F429">
            <v>6.666666666666667</v>
          </cell>
          <cell r="G429">
            <v>4</v>
          </cell>
          <cell r="P429">
            <v>4.666666666666667</v>
          </cell>
          <cell r="V429">
            <v>3</v>
          </cell>
          <cell r="W429">
            <v>2</v>
          </cell>
          <cell r="X429">
            <v>3</v>
          </cell>
          <cell r="Y429">
            <v>2</v>
          </cell>
          <cell r="AA429">
            <v>2</v>
          </cell>
          <cell r="AB429">
            <v>2</v>
          </cell>
          <cell r="AC429">
            <v>2</v>
          </cell>
          <cell r="AD429">
            <v>1</v>
          </cell>
          <cell r="AK429">
            <v>33</v>
          </cell>
          <cell r="AL429">
            <v>21.666666666666668</v>
          </cell>
        </row>
        <row r="430">
          <cell r="F430">
            <v>0</v>
          </cell>
          <cell r="G430">
            <v>0</v>
          </cell>
          <cell r="P430">
            <v>0</v>
          </cell>
          <cell r="V430">
            <v>0</v>
          </cell>
          <cell r="W430">
            <v>0</v>
          </cell>
          <cell r="X430">
            <v>0</v>
          </cell>
          <cell r="Y430">
            <v>0</v>
          </cell>
          <cell r="AA430">
            <v>0</v>
          </cell>
          <cell r="AB430">
            <v>0</v>
          </cell>
          <cell r="AC430">
            <v>0</v>
          </cell>
          <cell r="AD430">
            <v>0</v>
          </cell>
          <cell r="AK430">
            <v>0</v>
          </cell>
          <cell r="AL430">
            <v>0</v>
          </cell>
        </row>
        <row r="431">
          <cell r="F431">
            <v>0</v>
          </cell>
          <cell r="G431">
            <v>0</v>
          </cell>
          <cell r="P431">
            <v>0</v>
          </cell>
          <cell r="V431">
            <v>0</v>
          </cell>
          <cell r="W431">
            <v>0</v>
          </cell>
          <cell r="X431">
            <v>0</v>
          </cell>
          <cell r="Y431">
            <v>0</v>
          </cell>
          <cell r="AA431">
            <v>0</v>
          </cell>
          <cell r="AB431">
            <v>0</v>
          </cell>
          <cell r="AC431">
            <v>0</v>
          </cell>
          <cell r="AD431">
            <v>0</v>
          </cell>
          <cell r="AK431">
            <v>0</v>
          </cell>
          <cell r="AL431">
            <v>53</v>
          </cell>
        </row>
        <row r="432">
          <cell r="F432">
            <v>1</v>
          </cell>
          <cell r="G432">
            <v>1</v>
          </cell>
          <cell r="P432">
            <v>0</v>
          </cell>
          <cell r="V432">
            <v>0</v>
          </cell>
          <cell r="W432">
            <v>0</v>
          </cell>
          <cell r="X432">
            <v>0</v>
          </cell>
          <cell r="Y432">
            <v>0</v>
          </cell>
          <cell r="AA432">
            <v>0</v>
          </cell>
          <cell r="AB432">
            <v>0</v>
          </cell>
          <cell r="AC432">
            <v>0</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4</v>
          </cell>
          <cell r="Y435">
            <v>3</v>
          </cell>
          <cell r="AA435">
            <v>2</v>
          </cell>
          <cell r="AB435">
            <v>2</v>
          </cell>
          <cell r="AC435">
            <v>2</v>
          </cell>
          <cell r="AD435">
            <v>1</v>
          </cell>
          <cell r="AK435">
            <v>15.666666666666666</v>
          </cell>
          <cell r="AL435">
            <v>10</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3.3333333333333335</v>
          </cell>
          <cell r="Y437">
            <v>2</v>
          </cell>
          <cell r="AA437">
            <v>0</v>
          </cell>
          <cell r="AB437">
            <v>0</v>
          </cell>
          <cell r="AC437">
            <v>0</v>
          </cell>
          <cell r="AD437">
            <v>0</v>
          </cell>
          <cell r="AK437">
            <v>3.3333333333333335</v>
          </cell>
          <cell r="AL437">
            <v>2</v>
          </cell>
        </row>
        <row r="438">
          <cell r="F438">
            <v>0.33333333333333331</v>
          </cell>
          <cell r="G438">
            <v>0</v>
          </cell>
          <cell r="P438">
            <v>0.33333333333333331</v>
          </cell>
          <cell r="V438">
            <v>0.33333333333333331</v>
          </cell>
          <cell r="W438">
            <v>0</v>
          </cell>
          <cell r="X438">
            <v>0.33333333333333331</v>
          </cell>
          <cell r="Y438">
            <v>0</v>
          </cell>
          <cell r="AA438">
            <v>0.33333333333333331</v>
          </cell>
          <cell r="AB438">
            <v>0</v>
          </cell>
          <cell r="AC438">
            <v>0.33333333333333331</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0</v>
          </cell>
          <cell r="Y440">
            <v>0</v>
          </cell>
          <cell r="AA440">
            <v>0</v>
          </cell>
          <cell r="AB440">
            <v>0</v>
          </cell>
          <cell r="AC440">
            <v>0</v>
          </cell>
          <cell r="AD440">
            <v>0</v>
          </cell>
          <cell r="AK440">
            <v>0</v>
          </cell>
          <cell r="AL440">
            <v>0</v>
          </cell>
        </row>
        <row r="441">
          <cell r="F441">
            <v>0</v>
          </cell>
          <cell r="G441">
            <v>0</v>
          </cell>
          <cell r="P441">
            <v>0</v>
          </cell>
          <cell r="V441">
            <v>0</v>
          </cell>
          <cell r="W441">
            <v>0</v>
          </cell>
          <cell r="X441">
            <v>0</v>
          </cell>
          <cell r="Y441">
            <v>0</v>
          </cell>
          <cell r="AA441">
            <v>0</v>
          </cell>
          <cell r="AB441">
            <v>0</v>
          </cell>
          <cell r="AC441">
            <v>0</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3"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52204</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Y36" t="str">
            <v>Е/Е</v>
          </cell>
          <cell r="Z36" t="str">
            <v xml:space="preserve"> Т/Е</v>
          </cell>
          <cell r="AA36" t="str">
            <v>ТЕЦ-6 ВСЬОГО</v>
          </cell>
          <cell r="AB36" t="str">
            <v>Е/Е</v>
          </cell>
          <cell r="AC36" t="str">
            <v xml:space="preserve"> Т/Е</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14901</v>
          </cell>
          <cell r="P48">
            <v>3080.62</v>
          </cell>
          <cell r="S48">
            <v>8423.52</v>
          </cell>
          <cell r="T48">
            <v>2620.8347999999996</v>
          </cell>
          <cell r="U48">
            <v>2617.6851999999999</v>
          </cell>
          <cell r="V48">
            <v>2576.1318181818187</v>
          </cell>
          <cell r="X48">
            <v>1941.8530303030293</v>
          </cell>
          <cell r="AA48">
            <v>2709.5690909090908</v>
          </cell>
          <cell r="AC48">
            <v>1753.5509090909086</v>
          </cell>
          <cell r="AF48">
            <v>4466.8781818181815</v>
          </cell>
          <cell r="AG48">
            <v>3618.3</v>
          </cell>
          <cell r="AH48">
            <v>848.57818181818175</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702</v>
          </cell>
          <cell r="G51">
            <v>336</v>
          </cell>
          <cell r="H51">
            <v>366</v>
          </cell>
          <cell r="P51">
            <v>320</v>
          </cell>
          <cell r="S51">
            <v>913</v>
          </cell>
          <cell r="T51">
            <v>456.5</v>
          </cell>
          <cell r="U51">
            <v>456.5</v>
          </cell>
          <cell r="V51">
            <v>187</v>
          </cell>
          <cell r="W51">
            <v>152</v>
          </cell>
          <cell r="X51">
            <v>35</v>
          </cell>
          <cell r="Y51">
            <v>136</v>
          </cell>
          <cell r="Z51">
            <v>48</v>
          </cell>
          <cell r="AA51">
            <v>48</v>
          </cell>
          <cell r="AB51">
            <v>38</v>
          </cell>
          <cell r="AC51">
            <v>10</v>
          </cell>
          <cell r="AD51">
            <v>-123</v>
          </cell>
          <cell r="AE51">
            <v>-77</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Y52">
            <v>85</v>
          </cell>
          <cell r="Z52">
            <v>30</v>
          </cell>
          <cell r="AA52">
            <v>100</v>
          </cell>
          <cell r="AB52">
            <v>79</v>
          </cell>
          <cell r="AC52">
            <v>21</v>
          </cell>
          <cell r="AD52">
            <v>68</v>
          </cell>
          <cell r="AE52">
            <v>42</v>
          </cell>
          <cell r="AF52">
            <v>343</v>
          </cell>
          <cell r="AG52">
            <v>300</v>
          </cell>
          <cell r="AH52">
            <v>43</v>
          </cell>
          <cell r="AK52">
            <v>1660</v>
          </cell>
          <cell r="AL52">
            <v>576</v>
          </cell>
          <cell r="AM52">
            <v>1084</v>
          </cell>
          <cell r="AN52">
            <v>1084</v>
          </cell>
        </row>
        <row r="53">
          <cell r="F53">
            <v>20</v>
          </cell>
          <cell r="G53">
            <v>0</v>
          </cell>
          <cell r="H53">
            <v>12</v>
          </cell>
          <cell r="P53">
            <v>0</v>
          </cell>
          <cell r="S53">
            <v>368.66666666666669</v>
          </cell>
          <cell r="T53">
            <v>287.56</v>
          </cell>
          <cell r="U53">
            <v>81.106666666666683</v>
          </cell>
          <cell r="V53">
            <v>0</v>
          </cell>
          <cell r="W53">
            <v>0</v>
          </cell>
          <cell r="X53">
            <v>0</v>
          </cell>
          <cell r="Y53">
            <v>0</v>
          </cell>
          <cell r="Z53">
            <v>0</v>
          </cell>
          <cell r="AA53">
            <v>-300</v>
          </cell>
          <cell r="AB53">
            <v>-238</v>
          </cell>
          <cell r="AC53">
            <v>-62</v>
          </cell>
          <cell r="AD53">
            <v>0</v>
          </cell>
          <cell r="AE53">
            <v>0</v>
          </cell>
          <cell r="AF53">
            <v>189.33333333333334</v>
          </cell>
          <cell r="AG53">
            <v>110</v>
          </cell>
          <cell r="AH53">
            <v>0</v>
          </cell>
          <cell r="AI53">
            <v>36</v>
          </cell>
          <cell r="AK53">
            <v>-300</v>
          </cell>
          <cell r="AL53">
            <v>-238</v>
          </cell>
          <cell r="AM53">
            <v>-62</v>
          </cell>
          <cell r="AN53">
            <v>-62</v>
          </cell>
          <cell r="AO53">
            <v>690</v>
          </cell>
          <cell r="AP53">
            <v>498</v>
          </cell>
          <cell r="AQ53">
            <v>61.666666666666629</v>
          </cell>
          <cell r="AR53">
            <v>365.66666666666663</v>
          </cell>
        </row>
        <row r="54">
          <cell r="F54">
            <v>562</v>
          </cell>
          <cell r="G54">
            <v>269</v>
          </cell>
          <cell r="H54">
            <v>293</v>
          </cell>
          <cell r="P54">
            <v>7</v>
          </cell>
          <cell r="S54">
            <v>65</v>
          </cell>
          <cell r="T54">
            <v>13.666666666666666</v>
          </cell>
          <cell r="U54">
            <v>0</v>
          </cell>
          <cell r="V54">
            <v>44</v>
          </cell>
          <cell r="W54">
            <v>36</v>
          </cell>
          <cell r="X54">
            <v>8</v>
          </cell>
          <cell r="Y54">
            <v>42</v>
          </cell>
          <cell r="Z54">
            <v>15</v>
          </cell>
          <cell r="AA54">
            <v>47</v>
          </cell>
          <cell r="AB54">
            <v>37</v>
          </cell>
          <cell r="AC54">
            <v>10</v>
          </cell>
          <cell r="AD54">
            <v>38</v>
          </cell>
          <cell r="AE54">
            <v>24</v>
          </cell>
          <cell r="AF54">
            <v>25</v>
          </cell>
          <cell r="AG54">
            <v>30</v>
          </cell>
          <cell r="AH54">
            <v>2</v>
          </cell>
          <cell r="AK54">
            <v>864</v>
          </cell>
          <cell r="AL54">
            <v>374</v>
          </cell>
          <cell r="AM54">
            <v>490</v>
          </cell>
          <cell r="AN54">
            <v>490</v>
          </cell>
          <cell r="AO54">
            <v>503</v>
          </cell>
          <cell r="AP54">
            <v>272</v>
          </cell>
          <cell r="AQ54">
            <v>0</v>
          </cell>
          <cell r="AR54">
            <v>9</v>
          </cell>
        </row>
        <row r="55">
          <cell r="F55">
            <v>2</v>
          </cell>
          <cell r="G55">
            <v>1</v>
          </cell>
          <cell r="H55">
            <v>1</v>
          </cell>
          <cell r="P55">
            <v>42</v>
          </cell>
          <cell r="S55">
            <v>329</v>
          </cell>
          <cell r="T55">
            <v>256.62</v>
          </cell>
          <cell r="U55">
            <v>72.38</v>
          </cell>
          <cell r="V55">
            <v>995</v>
          </cell>
          <cell r="W55">
            <v>807</v>
          </cell>
          <cell r="X55">
            <v>188</v>
          </cell>
          <cell r="Y55">
            <v>311</v>
          </cell>
          <cell r="Z55">
            <v>110</v>
          </cell>
          <cell r="AA55">
            <v>84</v>
          </cell>
          <cell r="AB55">
            <v>67</v>
          </cell>
          <cell r="AC55">
            <v>17</v>
          </cell>
          <cell r="AD55">
            <v>52</v>
          </cell>
          <cell r="AE55">
            <v>32</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P56">
            <v>0</v>
          </cell>
          <cell r="S56">
            <v>10</v>
          </cell>
          <cell r="T56">
            <v>10</v>
          </cell>
          <cell r="U56">
            <v>0</v>
          </cell>
          <cell r="V56">
            <v>910</v>
          </cell>
          <cell r="W56">
            <v>738</v>
          </cell>
          <cell r="X56">
            <v>172</v>
          </cell>
          <cell r="Y56">
            <v>248</v>
          </cell>
          <cell r="Z56">
            <v>88</v>
          </cell>
          <cell r="AA56">
            <v>13.333333333333334</v>
          </cell>
          <cell r="AB56">
            <v>11</v>
          </cell>
          <cell r="AC56">
            <v>2.3333333333333339</v>
          </cell>
          <cell r="AD56">
            <v>8</v>
          </cell>
          <cell r="AE56">
            <v>5.3333333333333339</v>
          </cell>
          <cell r="AF56">
            <v>2</v>
          </cell>
          <cell r="AG56">
            <v>2</v>
          </cell>
          <cell r="AH56">
            <v>0</v>
          </cell>
          <cell r="AI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Y57">
            <v>9289</v>
          </cell>
          <cell r="Z57">
            <v>3281</v>
          </cell>
          <cell r="AA57">
            <v>10588</v>
          </cell>
          <cell r="AB57">
            <v>8403</v>
          </cell>
          <cell r="AC57">
            <v>2185</v>
          </cell>
          <cell r="AD57">
            <v>6867</v>
          </cell>
          <cell r="AE57">
            <v>4298</v>
          </cell>
          <cell r="AF57">
            <v>0</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Y58">
            <v>9289</v>
          </cell>
          <cell r="Z58">
            <v>3281</v>
          </cell>
          <cell r="AA58">
            <v>10588</v>
          </cell>
          <cell r="AB58">
            <v>8403</v>
          </cell>
          <cell r="AC58">
            <v>2185</v>
          </cell>
          <cell r="AD58">
            <v>6867</v>
          </cell>
          <cell r="AE58">
            <v>4298</v>
          </cell>
          <cell r="AF58">
            <v>0</v>
          </cell>
          <cell r="AG58">
            <v>0</v>
          </cell>
          <cell r="AH58">
            <v>0</v>
          </cell>
          <cell r="AI58">
            <v>241</v>
          </cell>
          <cell r="AK58">
            <v>24063</v>
          </cell>
          <cell r="AL58">
            <v>17571</v>
          </cell>
          <cell r="AM58">
            <v>6492</v>
          </cell>
          <cell r="AN58">
            <v>6492</v>
          </cell>
          <cell r="AO58">
            <v>17571</v>
          </cell>
          <cell r="AP58">
            <v>6492</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0</v>
          </cell>
          <cell r="AE59">
            <v>0</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15</v>
          </cell>
          <cell r="S60">
            <v>506</v>
          </cell>
          <cell r="T60">
            <v>506</v>
          </cell>
          <cell r="U60">
            <v>0</v>
          </cell>
          <cell r="V60">
            <v>0</v>
          </cell>
          <cell r="W60">
            <v>0</v>
          </cell>
          <cell r="X60">
            <v>0</v>
          </cell>
          <cell r="Y60">
            <v>0</v>
          </cell>
          <cell r="Z60">
            <v>0</v>
          </cell>
          <cell r="AA60">
            <v>0</v>
          </cell>
          <cell r="AB60">
            <v>0</v>
          </cell>
          <cell r="AC60">
            <v>0</v>
          </cell>
          <cell r="AD60">
            <v>0</v>
          </cell>
          <cell r="AE60">
            <v>0</v>
          </cell>
          <cell r="AF60">
            <v>670</v>
          </cell>
          <cell r="AG60">
            <v>253</v>
          </cell>
          <cell r="AH60">
            <v>417</v>
          </cell>
          <cell r="AI60">
            <v>15</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Y61">
            <v>199</v>
          </cell>
          <cell r="Z61">
            <v>70.386363636363626</v>
          </cell>
          <cell r="AA61">
            <v>277.5690909090909</v>
          </cell>
          <cell r="AB61">
            <v>220</v>
          </cell>
          <cell r="AC61">
            <v>57.569090909090903</v>
          </cell>
          <cell r="AD61">
            <v>159</v>
          </cell>
          <cell r="AE61">
            <v>98.850909090909113</v>
          </cell>
          <cell r="AF61">
            <v>1135.8781818181817</v>
          </cell>
          <cell r="AG61">
            <v>969.3</v>
          </cell>
          <cell r="AH61">
            <v>166.57818181818175</v>
          </cell>
          <cell r="AI61">
            <v>88</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Y62">
            <v>11</v>
          </cell>
          <cell r="Z62">
            <v>4</v>
          </cell>
          <cell r="AA62">
            <v>15</v>
          </cell>
          <cell r="AB62">
            <v>12</v>
          </cell>
          <cell r="AC62">
            <v>3</v>
          </cell>
          <cell r="AD62">
            <v>9</v>
          </cell>
          <cell r="AE62">
            <v>5</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Y63">
            <v>64</v>
          </cell>
          <cell r="Z63">
            <v>22</v>
          </cell>
          <cell r="AA63">
            <v>89</v>
          </cell>
          <cell r="AB63">
            <v>71</v>
          </cell>
          <cell r="AC63">
            <v>18</v>
          </cell>
          <cell r="AD63">
            <v>51</v>
          </cell>
          <cell r="AE63">
            <v>32</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T64">
            <v>18</v>
          </cell>
          <cell r="U64">
            <v>95</v>
          </cell>
          <cell r="V64">
            <v>0</v>
          </cell>
          <cell r="X64">
            <v>0</v>
          </cell>
          <cell r="AD64">
            <v>0</v>
          </cell>
          <cell r="AE64">
            <v>0</v>
          </cell>
          <cell r="AH64">
            <v>0</v>
          </cell>
          <cell r="AI64">
            <v>0</v>
          </cell>
          <cell r="AJ64">
            <v>0</v>
          </cell>
          <cell r="AK64">
            <v>0</v>
          </cell>
          <cell r="AN64">
            <v>0</v>
          </cell>
          <cell r="AO64">
            <v>79</v>
          </cell>
          <cell r="AP64">
            <v>87</v>
          </cell>
          <cell r="AQ64">
            <v>61</v>
          </cell>
          <cell r="AR64">
            <v>132</v>
          </cell>
        </row>
        <row r="65">
          <cell r="F65">
            <v>79</v>
          </cell>
          <cell r="G65">
            <v>38</v>
          </cell>
          <cell r="H65">
            <v>41</v>
          </cell>
          <cell r="P65">
            <v>464</v>
          </cell>
          <cell r="S65">
            <v>1018</v>
          </cell>
          <cell r="T65">
            <v>162.88</v>
          </cell>
          <cell r="U65">
            <v>855.12</v>
          </cell>
          <cell r="V65">
            <v>551</v>
          </cell>
          <cell r="W65">
            <v>447</v>
          </cell>
          <cell r="X65">
            <v>104</v>
          </cell>
          <cell r="Y65">
            <v>407</v>
          </cell>
          <cell r="Z65">
            <v>144</v>
          </cell>
          <cell r="AA65">
            <v>573</v>
          </cell>
          <cell r="AB65">
            <v>455</v>
          </cell>
          <cell r="AC65">
            <v>118</v>
          </cell>
          <cell r="AD65">
            <v>359</v>
          </cell>
          <cell r="AE65">
            <v>224.66666666666663</v>
          </cell>
          <cell r="AF65">
            <v>526</v>
          </cell>
          <cell r="AG65">
            <v>526</v>
          </cell>
          <cell r="AH65">
            <v>0</v>
          </cell>
          <cell r="AK65">
            <v>3211</v>
          </cell>
          <cell r="AL65">
            <v>1404</v>
          </cell>
          <cell r="AM65">
            <v>1807</v>
          </cell>
          <cell r="AN65">
            <v>1807</v>
          </cell>
          <cell r="AO65">
            <v>902</v>
          </cell>
          <cell r="AP65">
            <v>568</v>
          </cell>
          <cell r="AQ65">
            <v>502</v>
          </cell>
          <cell r="AR65">
            <v>1239</v>
          </cell>
        </row>
        <row r="66">
          <cell r="F66">
            <v>0</v>
          </cell>
          <cell r="G66">
            <v>0</v>
          </cell>
          <cell r="P66">
            <v>0</v>
          </cell>
          <cell r="S66">
            <v>0</v>
          </cell>
          <cell r="T66">
            <v>16</v>
          </cell>
          <cell r="U66">
            <v>86</v>
          </cell>
          <cell r="X66">
            <v>0</v>
          </cell>
          <cell r="AC66">
            <v>0</v>
          </cell>
          <cell r="AD66">
            <v>0</v>
          </cell>
          <cell r="AE66">
            <v>0</v>
          </cell>
          <cell r="AH66">
            <v>0</v>
          </cell>
          <cell r="AK66">
            <v>0</v>
          </cell>
          <cell r="AL66">
            <v>0</v>
          </cell>
          <cell r="AM66">
            <v>0</v>
          </cell>
          <cell r="AN66">
            <v>0</v>
          </cell>
          <cell r="AO66">
            <v>90</v>
          </cell>
          <cell r="AP66">
            <v>57</v>
          </cell>
          <cell r="AQ66">
            <v>50</v>
          </cell>
          <cell r="AR66">
            <v>124</v>
          </cell>
        </row>
        <row r="67">
          <cell r="F67">
            <v>84</v>
          </cell>
          <cell r="G67">
            <v>40</v>
          </cell>
          <cell r="H67">
            <v>44</v>
          </cell>
          <cell r="P67">
            <v>464</v>
          </cell>
          <cell r="S67">
            <v>1018</v>
          </cell>
          <cell r="T67">
            <v>162.16</v>
          </cell>
          <cell r="U67">
            <v>850.84</v>
          </cell>
          <cell r="V67">
            <v>80</v>
          </cell>
          <cell r="X67">
            <v>85</v>
          </cell>
          <cell r="Y67">
            <v>368</v>
          </cell>
          <cell r="Z67">
            <v>195</v>
          </cell>
          <cell r="AA67">
            <v>300</v>
          </cell>
          <cell r="AC67">
            <v>60</v>
          </cell>
          <cell r="AD67">
            <v>37</v>
          </cell>
          <cell r="AE67">
            <v>23</v>
          </cell>
          <cell r="AF67">
            <v>554</v>
          </cell>
          <cell r="AG67">
            <v>554</v>
          </cell>
          <cell r="AH67">
            <v>0</v>
          </cell>
          <cell r="AI67">
            <v>0</v>
          </cell>
          <cell r="AJ67">
            <v>0</v>
          </cell>
          <cell r="AK67">
            <v>2500</v>
          </cell>
          <cell r="AL67">
            <v>504</v>
          </cell>
          <cell r="AM67">
            <v>1996</v>
          </cell>
          <cell r="AN67">
            <v>1616</v>
          </cell>
          <cell r="AO67">
            <v>712</v>
          </cell>
          <cell r="AP67">
            <v>280</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0</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0</v>
          </cell>
          <cell r="P69">
            <v>0</v>
          </cell>
          <cell r="S69">
            <v>0</v>
          </cell>
          <cell r="T69">
            <v>146.88</v>
          </cell>
          <cell r="U69">
            <v>769.12</v>
          </cell>
          <cell r="V69">
            <v>471</v>
          </cell>
          <cell r="W69">
            <v>447</v>
          </cell>
          <cell r="X69">
            <v>104</v>
          </cell>
          <cell r="Y69">
            <v>407</v>
          </cell>
          <cell r="Z69">
            <v>144</v>
          </cell>
          <cell r="AA69">
            <v>273</v>
          </cell>
          <cell r="AB69">
            <v>455</v>
          </cell>
          <cell r="AC69">
            <v>118</v>
          </cell>
          <cell r="AD69">
            <v>322</v>
          </cell>
          <cell r="AE69">
            <v>201.66666666666663</v>
          </cell>
          <cell r="AF69">
            <v>-28</v>
          </cell>
          <cell r="AG69">
            <v>-28</v>
          </cell>
          <cell r="AH69">
            <v>0</v>
          </cell>
          <cell r="AK69">
            <v>716</v>
          </cell>
          <cell r="AL69">
            <v>323</v>
          </cell>
          <cell r="AM69">
            <v>812.09090909090924</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Y70">
            <v>658</v>
          </cell>
          <cell r="Z70">
            <v>232.79999999999995</v>
          </cell>
          <cell r="AA70">
            <v>1777</v>
          </cell>
          <cell r="AB70">
            <v>1410</v>
          </cell>
          <cell r="AC70">
            <v>367</v>
          </cell>
          <cell r="AD70">
            <v>833</v>
          </cell>
          <cell r="AE70">
            <v>521.70000000000005</v>
          </cell>
          <cell r="AF70">
            <v>780</v>
          </cell>
          <cell r="AG70">
            <v>780</v>
          </cell>
          <cell r="AH70">
            <v>0</v>
          </cell>
          <cell r="AK70">
            <v>5957</v>
          </cell>
          <cell r="AL70">
            <v>3168</v>
          </cell>
          <cell r="AM70">
            <v>2789</v>
          </cell>
          <cell r="AN70">
            <v>2789</v>
          </cell>
          <cell r="AO70">
            <v>2278</v>
          </cell>
          <cell r="AP70">
            <v>1059</v>
          </cell>
          <cell r="AQ70">
            <v>890</v>
          </cell>
          <cell r="AR70">
            <v>1730</v>
          </cell>
        </row>
        <row r="71">
          <cell r="F71">
            <v>0</v>
          </cell>
          <cell r="G71">
            <v>0</v>
          </cell>
          <cell r="H71">
            <v>0</v>
          </cell>
          <cell r="P71">
            <v>65</v>
          </cell>
          <cell r="S71">
            <v>465</v>
          </cell>
          <cell r="V71">
            <v>333.81818181818181</v>
          </cell>
          <cell r="W71">
            <v>271</v>
          </cell>
          <cell r="X71">
            <v>62.818181818181813</v>
          </cell>
          <cell r="Y71">
            <v>145</v>
          </cell>
          <cell r="Z71">
            <v>51.363636363636374</v>
          </cell>
          <cell r="AA71">
            <v>157.09090909090909</v>
          </cell>
          <cell r="AB71">
            <v>125</v>
          </cell>
          <cell r="AC71">
            <v>32.090909090909093</v>
          </cell>
          <cell r="AD71">
            <v>81</v>
          </cell>
          <cell r="AE71">
            <v>49.909090909090907</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Y72">
            <v>8</v>
          </cell>
          <cell r="Z72">
            <v>3</v>
          </cell>
          <cell r="AA72">
            <v>9</v>
          </cell>
          <cell r="AB72">
            <v>7</v>
          </cell>
          <cell r="AC72">
            <v>2</v>
          </cell>
          <cell r="AD72">
            <v>4</v>
          </cell>
          <cell r="AE72">
            <v>3</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Y73">
            <v>47</v>
          </cell>
          <cell r="Z73">
            <v>16</v>
          </cell>
          <cell r="AA73">
            <v>50</v>
          </cell>
          <cell r="AB73">
            <v>40</v>
          </cell>
          <cell r="AC73">
            <v>10</v>
          </cell>
          <cell r="AD73">
            <v>26</v>
          </cell>
          <cell r="AE73">
            <v>16</v>
          </cell>
          <cell r="AF73">
            <v>70</v>
          </cell>
          <cell r="AG73">
            <v>70</v>
          </cell>
          <cell r="AH73">
            <v>0</v>
          </cell>
          <cell r="AK73">
            <v>397</v>
          </cell>
          <cell r="AL73">
            <v>148</v>
          </cell>
          <cell r="AM73">
            <v>249</v>
          </cell>
          <cell r="AN73">
            <v>249</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78</v>
          </cell>
          <cell r="AL74">
            <v>78</v>
          </cell>
          <cell r="AM74">
            <v>0</v>
          </cell>
          <cell r="AN74">
            <v>0</v>
          </cell>
        </row>
        <row r="75">
          <cell r="F75">
            <v>1689</v>
          </cell>
          <cell r="G75">
            <v>0</v>
          </cell>
          <cell r="H75">
            <v>1029</v>
          </cell>
          <cell r="P75">
            <v>890</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890</v>
          </cell>
          <cell r="AL75">
            <v>890</v>
          </cell>
          <cell r="AM75">
            <v>0</v>
          </cell>
          <cell r="AN75">
            <v>0</v>
          </cell>
          <cell r="AO75">
            <v>115</v>
          </cell>
          <cell r="AP75">
            <v>213</v>
          </cell>
          <cell r="AQ75">
            <v>960.66666666666652</v>
          </cell>
          <cell r="AR75">
            <v>1708.3333333333335</v>
          </cell>
        </row>
        <row r="76">
          <cell r="F76">
            <v>83</v>
          </cell>
          <cell r="G76">
            <v>0</v>
          </cell>
          <cell r="H76">
            <v>51</v>
          </cell>
          <cell r="P76">
            <v>570</v>
          </cell>
          <cell r="S76">
            <v>2910</v>
          </cell>
          <cell r="T76">
            <v>0</v>
          </cell>
          <cell r="U76">
            <v>0</v>
          </cell>
          <cell r="V76">
            <v>0</v>
          </cell>
          <cell r="X76">
            <v>0</v>
          </cell>
          <cell r="Y76">
            <v>0</v>
          </cell>
          <cell r="Z76">
            <v>0</v>
          </cell>
          <cell r="AA76">
            <v>0</v>
          </cell>
          <cell r="AB76">
            <v>0</v>
          </cell>
          <cell r="AC76">
            <v>0</v>
          </cell>
          <cell r="AD76">
            <v>185</v>
          </cell>
          <cell r="AE76">
            <v>115</v>
          </cell>
          <cell r="AH76">
            <v>0</v>
          </cell>
          <cell r="AK76">
            <v>3480</v>
          </cell>
          <cell r="AL76">
            <v>570</v>
          </cell>
          <cell r="AM76">
            <v>2910</v>
          </cell>
          <cell r="AN76">
            <v>2910</v>
          </cell>
          <cell r="AO76">
            <v>0</v>
          </cell>
          <cell r="AP76">
            <v>0</v>
          </cell>
          <cell r="AQ76">
            <v>32</v>
          </cell>
          <cell r="AR76">
            <v>51</v>
          </cell>
        </row>
        <row r="77">
          <cell r="F77">
            <v>2789</v>
          </cell>
          <cell r="G77">
            <v>1335</v>
          </cell>
          <cell r="H77">
            <v>1454</v>
          </cell>
          <cell r="P77">
            <v>151</v>
          </cell>
          <cell r="S77">
            <v>607</v>
          </cell>
          <cell r="T77">
            <v>333.96000000000004</v>
          </cell>
          <cell r="U77">
            <v>273.03999999999996</v>
          </cell>
          <cell r="V77">
            <v>110</v>
          </cell>
          <cell r="W77">
            <v>89</v>
          </cell>
          <cell r="X77">
            <v>21</v>
          </cell>
          <cell r="Y77">
            <v>89</v>
          </cell>
          <cell r="Z77">
            <v>31</v>
          </cell>
          <cell r="AA77">
            <v>119</v>
          </cell>
          <cell r="AB77">
            <v>80</v>
          </cell>
          <cell r="AC77">
            <v>39</v>
          </cell>
          <cell r="AD77">
            <v>62</v>
          </cell>
          <cell r="AE77">
            <v>38</v>
          </cell>
          <cell r="AF77">
            <v>210</v>
          </cell>
          <cell r="AG77">
            <v>151</v>
          </cell>
          <cell r="AH77">
            <v>59</v>
          </cell>
          <cell r="AI77">
            <v>59</v>
          </cell>
          <cell r="AK77">
            <v>4640</v>
          </cell>
          <cell r="AL77">
            <v>2547</v>
          </cell>
          <cell r="AM77">
            <v>2093</v>
          </cell>
          <cell r="AN77">
            <v>2515</v>
          </cell>
          <cell r="AO77">
            <v>169</v>
          </cell>
          <cell r="AP77">
            <v>266</v>
          </cell>
          <cell r="AQ77">
            <v>1956</v>
          </cell>
          <cell r="AR77">
            <v>1827</v>
          </cell>
        </row>
        <row r="78">
          <cell r="F78">
            <v>377</v>
          </cell>
          <cell r="G78">
            <v>180</v>
          </cell>
          <cell r="H78">
            <v>197</v>
          </cell>
          <cell r="P78">
            <v>66</v>
          </cell>
          <cell r="S78">
            <v>152.33333333333334</v>
          </cell>
          <cell r="T78">
            <v>0</v>
          </cell>
          <cell r="U78">
            <v>0</v>
          </cell>
          <cell r="W78">
            <v>0</v>
          </cell>
          <cell r="X78">
            <v>0</v>
          </cell>
          <cell r="Y78">
            <v>0</v>
          </cell>
          <cell r="Z78">
            <v>0</v>
          </cell>
          <cell r="AA78">
            <v>18</v>
          </cell>
          <cell r="AC78">
            <v>18</v>
          </cell>
          <cell r="AD78">
            <v>0</v>
          </cell>
          <cell r="AE78">
            <v>0</v>
          </cell>
          <cell r="AF78">
            <v>141</v>
          </cell>
          <cell r="AG78">
            <v>119</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Y79">
            <v>89</v>
          </cell>
          <cell r="Z79">
            <v>31</v>
          </cell>
          <cell r="AA79">
            <v>101</v>
          </cell>
          <cell r="AB79">
            <v>80</v>
          </cell>
          <cell r="AC79">
            <v>21</v>
          </cell>
          <cell r="AD79">
            <v>62</v>
          </cell>
          <cell r="AE79">
            <v>38</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Y80">
            <v>55</v>
          </cell>
          <cell r="Z80">
            <v>19</v>
          </cell>
          <cell r="AA80">
            <v>36</v>
          </cell>
          <cell r="AB80">
            <v>29</v>
          </cell>
          <cell r="AC80">
            <v>7</v>
          </cell>
          <cell r="AD80">
            <v>22</v>
          </cell>
          <cell r="AE80">
            <v>14</v>
          </cell>
          <cell r="AF80">
            <v>137</v>
          </cell>
          <cell r="AG80">
            <v>96</v>
          </cell>
          <cell r="AH80">
            <v>41</v>
          </cell>
          <cell r="AI80">
            <v>18.600000000000001</v>
          </cell>
          <cell r="AK80">
            <v>3548</v>
          </cell>
          <cell r="AL80">
            <v>1668</v>
          </cell>
          <cell r="AM80">
            <v>1880</v>
          </cell>
          <cell r="AN80">
            <v>1880</v>
          </cell>
          <cell r="AR80">
            <v>1880</v>
          </cell>
        </row>
        <row r="81">
          <cell r="F81">
            <v>33</v>
          </cell>
          <cell r="G81">
            <v>16</v>
          </cell>
          <cell r="H81">
            <v>17</v>
          </cell>
          <cell r="P81">
            <v>0</v>
          </cell>
          <cell r="S81">
            <v>0</v>
          </cell>
          <cell r="X81">
            <v>25</v>
          </cell>
          <cell r="AC81">
            <v>32</v>
          </cell>
          <cell r="AD81">
            <v>0</v>
          </cell>
          <cell r="AE81">
            <v>0</v>
          </cell>
          <cell r="AF81">
            <v>39.666666666666664</v>
          </cell>
          <cell r="AG81">
            <v>26</v>
          </cell>
          <cell r="AH81">
            <v>13.666666666666664</v>
          </cell>
          <cell r="AI81">
            <v>15.3</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Y82">
            <v>16</v>
          </cell>
          <cell r="Z82">
            <v>5</v>
          </cell>
          <cell r="AA82">
            <v>26</v>
          </cell>
          <cell r="AB82">
            <v>21</v>
          </cell>
          <cell r="AC82">
            <v>5</v>
          </cell>
          <cell r="AD82">
            <v>15</v>
          </cell>
          <cell r="AE82">
            <v>10</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Y83">
            <v>18</v>
          </cell>
          <cell r="Z83">
            <v>7</v>
          </cell>
          <cell r="AA83">
            <v>39</v>
          </cell>
          <cell r="AB83">
            <v>31</v>
          </cell>
          <cell r="AC83">
            <v>8</v>
          </cell>
          <cell r="AD83">
            <v>24</v>
          </cell>
          <cell r="AE83">
            <v>15</v>
          </cell>
          <cell r="AF83">
            <v>40</v>
          </cell>
          <cell r="AG83">
            <v>30</v>
          </cell>
          <cell r="AH83">
            <v>10</v>
          </cell>
          <cell r="AK83">
            <v>658</v>
          </cell>
          <cell r="AL83">
            <v>307</v>
          </cell>
          <cell r="AM83">
            <v>351</v>
          </cell>
          <cell r="AN83">
            <v>351</v>
          </cell>
        </row>
        <row r="84">
          <cell r="F84">
            <v>881</v>
          </cell>
          <cell r="G84">
            <v>422</v>
          </cell>
          <cell r="H84">
            <v>459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422</v>
          </cell>
          <cell r="AM84">
            <v>459</v>
          </cell>
          <cell r="AN84">
            <v>459</v>
          </cell>
          <cell r="AO84">
            <v>19380</v>
          </cell>
          <cell r="AP84">
            <v>16419</v>
          </cell>
          <cell r="AQ84">
            <v>4052.62</v>
          </cell>
          <cell r="AR84">
            <v>9718.3963636363642</v>
          </cell>
        </row>
        <row r="85">
          <cell r="F85">
            <v>13</v>
          </cell>
          <cell r="G85">
            <v>6</v>
          </cell>
          <cell r="H85">
            <v>7</v>
          </cell>
          <cell r="P85">
            <v>6</v>
          </cell>
          <cell r="Q85">
            <v>0</v>
          </cell>
          <cell r="R85">
            <v>0</v>
          </cell>
          <cell r="S85">
            <v>1</v>
          </cell>
          <cell r="T85">
            <v>452.808109090909</v>
          </cell>
          <cell r="U85">
            <v>471.29007272727262</v>
          </cell>
          <cell r="V85">
            <v>0</v>
          </cell>
          <cell r="W85">
            <v>0</v>
          </cell>
          <cell r="X85">
            <v>5</v>
          </cell>
          <cell r="Y85">
            <v>351</v>
          </cell>
          <cell r="Z85">
            <v>185.2</v>
          </cell>
          <cell r="AA85">
            <v>4</v>
          </cell>
          <cell r="AB85">
            <v>0</v>
          </cell>
          <cell r="AC85">
            <v>10</v>
          </cell>
          <cell r="AD85">
            <v>253</v>
          </cell>
          <cell r="AE85">
            <v>174.18</v>
          </cell>
          <cell r="AF85">
            <v>51</v>
          </cell>
          <cell r="AG85">
            <v>51</v>
          </cell>
          <cell r="AH85">
            <v>0</v>
          </cell>
          <cell r="AI85">
            <v>274</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D86">
            <v>8269</v>
          </cell>
          <cell r="AE86">
            <v>5173.217575757576</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V87">
            <v>0</v>
          </cell>
          <cell r="W87">
            <v>426</v>
          </cell>
          <cell r="X87">
            <v>98.949999999999989</v>
          </cell>
          <cell r="Y87">
            <v>0</v>
          </cell>
          <cell r="Z87">
            <v>0</v>
          </cell>
          <cell r="AA87">
            <v>0</v>
          </cell>
          <cell r="AB87">
            <v>345</v>
          </cell>
          <cell r="AC87">
            <v>89.66</v>
          </cell>
          <cell r="AD87">
            <v>314</v>
          </cell>
          <cell r="AE87">
            <v>126.86000000000001</v>
          </cell>
          <cell r="AH87">
            <v>166.75999999999993</v>
          </cell>
          <cell r="AK87">
            <v>4998.05</v>
          </cell>
          <cell r="AL87">
            <v>1821.62</v>
          </cell>
          <cell r="AM87">
            <v>3176.4300000000003</v>
          </cell>
          <cell r="AN87">
            <v>534.61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27960.62</v>
          </cell>
          <cell r="AM88">
            <v>26872.396363636362</v>
          </cell>
          <cell r="AN88">
            <v>0</v>
          </cell>
          <cell r="AO88">
            <v>19380</v>
          </cell>
          <cell r="AP88">
            <v>16419</v>
          </cell>
          <cell r="AQ88">
            <v>4052.62</v>
          </cell>
          <cell r="AR88">
            <v>9718.3963636363642</v>
          </cell>
        </row>
        <row r="89">
          <cell r="F89">
            <v>6512</v>
          </cell>
          <cell r="G89">
            <v>6512</v>
          </cell>
          <cell r="H89">
            <v>0</v>
          </cell>
          <cell r="AA89" t="str">
            <v>`</v>
          </cell>
          <cell r="AH89">
            <v>0</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D90">
            <v>8269</v>
          </cell>
          <cell r="AE90">
            <v>5173.217575757576</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401</v>
          </cell>
          <cell r="G92">
            <v>352</v>
          </cell>
          <cell r="H92">
            <v>49</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Y94">
            <v>-96</v>
          </cell>
          <cell r="Z94">
            <v>-33.333333333333343</v>
          </cell>
          <cell r="AA94">
            <v>0</v>
          </cell>
          <cell r="AB94">
            <v>0</v>
          </cell>
          <cell r="AC94">
            <v>0</v>
          </cell>
          <cell r="AD94">
            <v>0</v>
          </cell>
          <cell r="AE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D97">
            <v>8269</v>
          </cell>
          <cell r="AE97">
            <v>5173.217575757576</v>
          </cell>
          <cell r="AF97">
            <v>4438.8781818181815</v>
          </cell>
          <cell r="AG97">
            <v>3590.3</v>
          </cell>
          <cell r="AH97">
            <v>848.57818181818175</v>
          </cell>
          <cell r="AI97">
            <v>54.400000000000006</v>
          </cell>
          <cell r="AJ97">
            <v>0</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I98">
            <v>54.400000000000006</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G99">
            <v>2573.3582491582492</v>
          </cell>
          <cell r="H99">
            <v>2944.8417508417506</v>
          </cell>
          <cell r="P99">
            <v>830</v>
          </cell>
          <cell r="Q99">
            <v>0</v>
          </cell>
          <cell r="R99">
            <v>0</v>
          </cell>
          <cell r="S99">
            <v>3176</v>
          </cell>
          <cell r="T99">
            <v>2384.0618606060607</v>
          </cell>
          <cell r="U99">
            <v>3467.8793515151519</v>
          </cell>
          <cell r="V99">
            <v>80</v>
          </cell>
          <cell r="W99">
            <v>14347.131818181819</v>
          </cell>
          <cell r="X99">
            <v>2407.8530303030293</v>
          </cell>
          <cell r="Y99">
            <v>1779</v>
          </cell>
          <cell r="Z99">
            <v>628.85303030302975</v>
          </cell>
          <cell r="AA99">
            <v>300</v>
          </cell>
          <cell r="AB99">
            <v>0</v>
          </cell>
          <cell r="AC99">
            <v>2277.2175757575751</v>
          </cell>
          <cell r="AD99">
            <v>1402</v>
          </cell>
          <cell r="AE99">
            <v>875.21757575757601</v>
          </cell>
          <cell r="AF99">
            <v>554</v>
          </cell>
          <cell r="AG99">
            <v>554</v>
          </cell>
          <cell r="AH99">
            <v>0</v>
          </cell>
          <cell r="AK99">
            <v>4982</v>
          </cell>
          <cell r="AL99">
            <v>55030.140909090915</v>
          </cell>
          <cell r="AM99">
            <v>14321.203569023572</v>
          </cell>
          <cell r="AN99">
            <v>14701.20356902357</v>
          </cell>
          <cell r="AO99">
            <v>3066</v>
          </cell>
          <cell r="AP99">
            <v>3316</v>
          </cell>
          <cell r="AQ99">
            <v>5168.7494313394982</v>
          </cell>
          <cell r="AR99">
            <v>10162.313669924872</v>
          </cell>
        </row>
        <row r="100">
          <cell r="F100">
            <v>0</v>
          </cell>
          <cell r="P100">
            <v>464</v>
          </cell>
          <cell r="S100">
            <v>1018</v>
          </cell>
          <cell r="V100">
            <v>80</v>
          </cell>
          <cell r="X100">
            <v>85</v>
          </cell>
          <cell r="AA100">
            <v>300</v>
          </cell>
          <cell r="AC100">
            <v>60</v>
          </cell>
          <cell r="AF100">
            <v>554</v>
          </cell>
          <cell r="AG100">
            <v>554</v>
          </cell>
          <cell r="AH100">
            <v>0</v>
          </cell>
          <cell r="AI100">
            <v>0</v>
          </cell>
          <cell r="AK100">
            <v>2416</v>
          </cell>
          <cell r="AL100">
            <v>55030.1409090909</v>
          </cell>
          <cell r="AM100">
            <v>34771.290391061455</v>
          </cell>
        </row>
        <row r="101">
          <cell r="F101">
            <v>0</v>
          </cell>
          <cell r="P101">
            <v>600</v>
          </cell>
          <cell r="S101">
            <v>730</v>
          </cell>
          <cell r="V101">
            <v>80</v>
          </cell>
          <cell r="X101">
            <v>100</v>
          </cell>
          <cell r="AA101">
            <v>300</v>
          </cell>
          <cell r="AC101">
            <v>60</v>
          </cell>
          <cell r="AF101">
            <v>0</v>
          </cell>
          <cell r="AG101">
            <v>0</v>
          </cell>
          <cell r="AH101">
            <v>0</v>
          </cell>
          <cell r="AK101">
            <v>1710</v>
          </cell>
          <cell r="AL101">
            <v>53285.681818181823</v>
          </cell>
          <cell r="AM101">
            <v>29773.478249158248</v>
          </cell>
        </row>
        <row r="102">
          <cell r="F102">
            <v>0</v>
          </cell>
          <cell r="P102">
            <v>366</v>
          </cell>
          <cell r="S102">
            <v>2158</v>
          </cell>
          <cell r="V102">
            <v>0</v>
          </cell>
          <cell r="X102">
            <v>100</v>
          </cell>
          <cell r="AA102">
            <v>0</v>
          </cell>
          <cell r="AC102">
            <v>60</v>
          </cell>
          <cell r="AF102">
            <v>0</v>
          </cell>
          <cell r="AG102">
            <v>0</v>
          </cell>
          <cell r="AH102">
            <v>0</v>
          </cell>
          <cell r="AK102">
            <v>2566</v>
          </cell>
        </row>
        <row r="103">
          <cell r="F103">
            <v>-1308</v>
          </cell>
          <cell r="P103">
            <v>1223</v>
          </cell>
          <cell r="S103">
            <v>0</v>
          </cell>
          <cell r="X103">
            <v>0</v>
          </cell>
          <cell r="AC103">
            <v>0</v>
          </cell>
          <cell r="AF103">
            <v>-904.4</v>
          </cell>
          <cell r="AG103">
            <v>0</v>
          </cell>
          <cell r="AH103">
            <v>-904.4</v>
          </cell>
          <cell r="AK103">
            <v>-78.200000000000045</v>
          </cell>
        </row>
        <row r="104">
          <cell r="P104">
            <v>570</v>
          </cell>
          <cell r="S104">
            <v>2910</v>
          </cell>
          <cell r="AK104">
            <v>0</v>
          </cell>
        </row>
        <row r="105">
          <cell r="P105">
            <v>1075</v>
          </cell>
          <cell r="S105">
            <v>0</v>
          </cell>
          <cell r="V105">
            <v>0</v>
          </cell>
          <cell r="X105">
            <v>0</v>
          </cell>
          <cell r="AC105">
            <v>300</v>
          </cell>
          <cell r="AK105">
            <v>1375</v>
          </cell>
        </row>
        <row r="106">
          <cell r="F106">
            <v>850</v>
          </cell>
          <cell r="P106">
            <v>550</v>
          </cell>
          <cell r="S106">
            <v>530</v>
          </cell>
          <cell r="X106">
            <v>0</v>
          </cell>
          <cell r="AC106">
            <v>0</v>
          </cell>
          <cell r="AF106">
            <v>0</v>
          </cell>
          <cell r="AG106">
            <v>0</v>
          </cell>
          <cell r="AH106">
            <v>0</v>
          </cell>
          <cell r="AI106">
            <v>0</v>
          </cell>
          <cell r="AK106">
            <v>850</v>
          </cell>
        </row>
        <row r="107">
          <cell r="F107">
            <v>850</v>
          </cell>
          <cell r="P107">
            <v>800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0</v>
          </cell>
          <cell r="P109">
            <v>366</v>
          </cell>
          <cell r="S109">
            <v>2158</v>
          </cell>
          <cell r="V109">
            <v>0</v>
          </cell>
          <cell r="X109">
            <v>0</v>
          </cell>
          <cell r="AA109">
            <v>0</v>
          </cell>
          <cell r="AC109">
            <v>0</v>
          </cell>
          <cell r="AF109">
            <v>0</v>
          </cell>
          <cell r="AG109">
            <v>0</v>
          </cell>
          <cell r="AH109">
            <v>0</v>
          </cell>
          <cell r="AK109">
            <v>2524</v>
          </cell>
        </row>
        <row r="110">
          <cell r="F110">
            <v>0</v>
          </cell>
          <cell r="P110">
            <v>366</v>
          </cell>
          <cell r="S110">
            <v>2158</v>
          </cell>
          <cell r="X110">
            <v>0</v>
          </cell>
          <cell r="AA110">
            <v>0</v>
          </cell>
          <cell r="AC110">
            <v>0</v>
          </cell>
          <cell r="AF110">
            <v>0</v>
          </cell>
          <cell r="AG110">
            <v>0</v>
          </cell>
          <cell r="AH110">
            <v>0</v>
          </cell>
          <cell r="AI110">
            <v>64</v>
          </cell>
          <cell r="AK110">
            <v>2524</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cell r="AM113">
            <v>0</v>
          </cell>
        </row>
        <row r="114">
          <cell r="F114">
            <v>0</v>
          </cell>
          <cell r="P114">
            <v>0</v>
          </cell>
          <cell r="S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AC117">
            <v>0</v>
          </cell>
          <cell r="AF117">
            <v>0</v>
          </cell>
          <cell r="AG117">
            <v>0</v>
          </cell>
          <cell r="AH117">
            <v>0</v>
          </cell>
          <cell r="AK117">
            <v>0</v>
          </cell>
          <cell r="AM117">
            <v>0</v>
          </cell>
        </row>
        <row r="118">
          <cell r="F118">
            <v>0</v>
          </cell>
          <cell r="P118">
            <v>0</v>
          </cell>
          <cell r="S118">
            <v>0</v>
          </cell>
          <cell r="X118">
            <v>0</v>
          </cell>
          <cell r="AA118">
            <v>0</v>
          </cell>
          <cell r="AC118">
            <v>0</v>
          </cell>
          <cell r="AG118">
            <v>0</v>
          </cell>
          <cell r="AH118">
            <v>0</v>
          </cell>
          <cell r="AK118">
            <v>0</v>
          </cell>
          <cell r="AL118">
            <v>0</v>
          </cell>
          <cell r="AM118">
            <v>0</v>
          </cell>
        </row>
        <row r="119">
          <cell r="F119">
            <v>0</v>
          </cell>
          <cell r="P119">
            <v>0</v>
          </cell>
          <cell r="S119">
            <v>0</v>
          </cell>
          <cell r="AA119">
            <v>0</v>
          </cell>
          <cell r="AC119">
            <v>0</v>
          </cell>
          <cell r="AG119">
            <v>0</v>
          </cell>
          <cell r="AH119">
            <v>0</v>
          </cell>
          <cell r="AK119">
            <v>0</v>
          </cell>
          <cell r="AL119">
            <v>0</v>
          </cell>
          <cell r="AM119">
            <v>0</v>
          </cell>
        </row>
        <row r="120">
          <cell r="F120">
            <v>0</v>
          </cell>
          <cell r="P120">
            <v>0</v>
          </cell>
          <cell r="S120">
            <v>0</v>
          </cell>
          <cell r="X120">
            <v>0</v>
          </cell>
          <cell r="AA120">
            <v>0</v>
          </cell>
          <cell r="AC120">
            <v>0</v>
          </cell>
          <cell r="AF120">
            <v>0</v>
          </cell>
          <cell r="AG120">
            <v>0</v>
          </cell>
          <cell r="AH120">
            <v>0</v>
          </cell>
          <cell r="AK120">
            <v>0</v>
          </cell>
        </row>
        <row r="121">
          <cell r="F121">
            <v>0</v>
          </cell>
          <cell r="P121">
            <v>0</v>
          </cell>
          <cell r="S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595</v>
          </cell>
        </row>
        <row r="123">
          <cell r="F123">
            <v>100</v>
          </cell>
          <cell r="S123">
            <v>0</v>
          </cell>
          <cell r="V123">
            <v>0</v>
          </cell>
          <cell r="X123">
            <v>0</v>
          </cell>
          <cell r="AF123">
            <v>0</v>
          </cell>
          <cell r="AK123">
            <v>0</v>
          </cell>
          <cell r="AL123">
            <v>-13345.80312121212</v>
          </cell>
        </row>
        <row r="124">
          <cell r="F124">
            <v>3400</v>
          </cell>
          <cell r="S124">
            <v>0</v>
          </cell>
          <cell r="X124">
            <v>0</v>
          </cell>
          <cell r="AF124">
            <v>0</v>
          </cell>
          <cell r="AK124">
            <v>3400</v>
          </cell>
        </row>
        <row r="125">
          <cell r="F125">
            <v>3500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500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2000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-16343.423636363636</v>
          </cell>
        </row>
        <row r="127">
          <cell r="F127">
            <v>0</v>
          </cell>
          <cell r="AK127">
            <v>0</v>
          </cell>
          <cell r="AL127">
            <v>6264</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6519</v>
          </cell>
          <cell r="AL129">
            <v>-9671.302272727271</v>
          </cell>
          <cell r="AM129">
            <v>-16998.709324191197</v>
          </cell>
        </row>
        <row r="130">
          <cell r="F130">
            <v>0</v>
          </cell>
          <cell r="AK130">
            <v>-9824.4236363636355</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-9824.4236363636355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-14034.890909090907</v>
          </cell>
          <cell r="AL132">
            <v>35.709608938552265</v>
          </cell>
          <cell r="AM132">
            <v>-14935.850518029456</v>
          </cell>
        </row>
        <row r="133">
          <cell r="AK133">
            <v>-5656.302272727271</v>
          </cell>
          <cell r="AL133">
            <v>3521.8</v>
          </cell>
        </row>
        <row r="134">
          <cell r="AK134">
            <v>-4210.4672727272718</v>
          </cell>
          <cell r="AM134">
            <v>10073</v>
          </cell>
          <cell r="AO134">
            <v>0</v>
          </cell>
          <cell r="AQ134">
            <v>0</v>
          </cell>
        </row>
        <row r="135">
          <cell r="AK135">
            <v>-8080.4318181818162</v>
          </cell>
          <cell r="AL135">
            <v>6361.5217508417518</v>
          </cell>
          <cell r="AM135">
            <v>-15307.203569023572</v>
          </cell>
          <cell r="AO135">
            <v>0</v>
          </cell>
        </row>
        <row r="136">
          <cell r="AK136">
            <v>6.38</v>
          </cell>
          <cell r="AO136" t="e">
            <v>#DIV/0!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M140">
            <v>7825</v>
          </cell>
          <cell r="AO140" t="e">
            <v>#DIV/0!</v>
          </cell>
          <cell r="AQ140">
            <v>0</v>
          </cell>
        </row>
        <row r="141">
          <cell r="AK141">
            <v>0</v>
          </cell>
          <cell r="AO141">
            <v>0</v>
          </cell>
        </row>
        <row r="142">
          <cell r="AJ142">
            <v>0</v>
          </cell>
          <cell r="AK142">
            <v>4.95</v>
          </cell>
          <cell r="AO142" t="e">
            <v>#DIV/0!</v>
          </cell>
        </row>
        <row r="143">
          <cell r="AK143">
            <v>8.91</v>
          </cell>
          <cell r="AL143">
            <v>37810</v>
          </cell>
          <cell r="AO143" t="e">
            <v>#DIV/0!</v>
          </cell>
        </row>
        <row r="144">
          <cell r="AK144">
            <v>0</v>
          </cell>
          <cell r="AO144">
            <v>0</v>
          </cell>
        </row>
        <row r="145">
          <cell r="AJ145">
            <v>300</v>
          </cell>
          <cell r="AK145">
            <v>8.9</v>
          </cell>
          <cell r="AO145" t="e">
            <v>#DIV/0!</v>
          </cell>
        </row>
        <row r="146">
          <cell r="AK146">
            <v>35229</v>
          </cell>
          <cell r="AL146">
            <v>35229</v>
          </cell>
          <cell r="AM146">
            <v>-27071.709324191197</v>
          </cell>
          <cell r="AO146" t="e">
            <v>#DIV/0!</v>
          </cell>
        </row>
        <row r="147">
          <cell r="S147">
            <v>0</v>
          </cell>
          <cell r="AK147">
            <v>865.25</v>
          </cell>
        </row>
        <row r="148">
          <cell r="AK148">
            <v>7.62</v>
          </cell>
          <cell r="AO148" t="e">
            <v>#DIV/0!</v>
          </cell>
        </row>
        <row r="149">
          <cell r="AJ149">
            <v>0</v>
          </cell>
          <cell r="AK149">
            <v>9312.8571428571431</v>
          </cell>
          <cell r="AL149">
            <v>-35193.290391061448</v>
          </cell>
          <cell r="AM149">
            <v>-19836.850518029456</v>
          </cell>
          <cell r="AO149">
            <v>0</v>
          </cell>
        </row>
        <row r="150">
          <cell r="S150">
            <v>0</v>
          </cell>
          <cell r="AK150">
            <v>865.25</v>
          </cell>
        </row>
        <row r="151">
          <cell r="AK151">
            <v>47883</v>
          </cell>
          <cell r="AL151">
            <v>37810</v>
          </cell>
          <cell r="AM151">
            <v>10073</v>
          </cell>
        </row>
        <row r="152">
          <cell r="AK152">
            <v>40130</v>
          </cell>
          <cell r="AL152">
            <v>35229</v>
          </cell>
          <cell r="AM152">
            <v>4901</v>
          </cell>
          <cell r="AO152">
            <v>0</v>
          </cell>
          <cell r="AP152">
            <v>4992</v>
          </cell>
          <cell r="AQ152">
            <v>4153.252222919521</v>
          </cell>
          <cell r="AR152">
            <v>9754.6660308805876</v>
          </cell>
        </row>
        <row r="153">
          <cell r="S153">
            <v>0</v>
          </cell>
          <cell r="AK153">
            <v>0</v>
          </cell>
          <cell r="AL153">
            <v>18.399999999999999</v>
          </cell>
          <cell r="AM153">
            <v>-62.8</v>
          </cell>
        </row>
        <row r="154">
          <cell r="AK154">
            <v>40130</v>
          </cell>
          <cell r="AL154">
            <v>35229</v>
          </cell>
          <cell r="AM154">
            <v>4901</v>
          </cell>
        </row>
        <row r="155">
          <cell r="AK155">
            <v>0</v>
          </cell>
          <cell r="AL155">
            <v>36515</v>
          </cell>
          <cell r="AM155">
            <v>7825</v>
          </cell>
          <cell r="AO155">
            <v>4704</v>
          </cell>
          <cell r="AP155">
            <v>3182</v>
          </cell>
          <cell r="AQ155">
            <v>5179.5709186145641</v>
          </cell>
          <cell r="AR155">
            <v>9343.4348160198533</v>
          </cell>
        </row>
        <row r="156">
          <cell r="AK156">
            <v>-25.5</v>
          </cell>
          <cell r="AL156">
            <v>0.1</v>
          </cell>
          <cell r="AM156">
            <v>-75.3</v>
          </cell>
        </row>
        <row r="157">
          <cell r="F157">
            <v>0</v>
          </cell>
          <cell r="P157">
            <v>0</v>
          </cell>
          <cell r="S157">
            <v>0</v>
          </cell>
          <cell r="X157">
            <v>0</v>
          </cell>
          <cell r="AC157">
            <v>0</v>
          </cell>
          <cell r="AI157">
            <v>0</v>
          </cell>
          <cell r="AJ157">
            <v>142</v>
          </cell>
          <cell r="AK157">
            <v>16.923193342793478</v>
          </cell>
          <cell r="AL157">
            <v>-100</v>
          </cell>
          <cell r="AM157">
            <v>-100</v>
          </cell>
        </row>
        <row r="158">
          <cell r="F158">
            <v>320</v>
          </cell>
          <cell r="P158">
            <v>810</v>
          </cell>
          <cell r="S158">
            <v>1487</v>
          </cell>
          <cell r="X158">
            <v>2754</v>
          </cell>
          <cell r="AC158">
            <v>1364</v>
          </cell>
          <cell r="AF158">
            <v>1173</v>
          </cell>
          <cell r="AG158">
            <v>1100</v>
          </cell>
          <cell r="AH158">
            <v>73</v>
          </cell>
          <cell r="AK158">
            <v>0</v>
          </cell>
          <cell r="AL158">
            <v>0</v>
          </cell>
          <cell r="AM158">
            <v>0</v>
          </cell>
          <cell r="AO158">
            <v>3066</v>
          </cell>
          <cell r="AP158">
            <v>3316</v>
          </cell>
          <cell r="AQ158">
            <v>5168.7494313394982</v>
          </cell>
          <cell r="AR158">
            <v>10162.313669924872</v>
          </cell>
        </row>
        <row r="159">
          <cell r="F159">
            <v>320</v>
          </cell>
          <cell r="P159">
            <v>390</v>
          </cell>
          <cell r="S159">
            <v>512</v>
          </cell>
          <cell r="X159">
            <v>2374</v>
          </cell>
          <cell r="AC159">
            <v>1081</v>
          </cell>
          <cell r="AF159">
            <v>560</v>
          </cell>
          <cell r="AG159">
            <v>500</v>
          </cell>
          <cell r="AH159">
            <v>60</v>
          </cell>
          <cell r="AK159">
            <v>-15.2</v>
          </cell>
          <cell r="AL159">
            <v>21.1</v>
          </cell>
          <cell r="AM159">
            <v>-66.2</v>
          </cell>
        </row>
        <row r="160">
          <cell r="F160">
            <v>0</v>
          </cell>
          <cell r="P160">
            <v>0</v>
          </cell>
          <cell r="S160">
            <v>0</v>
          </cell>
          <cell r="V160">
            <v>0</v>
          </cell>
          <cell r="X160">
            <v>0</v>
          </cell>
          <cell r="AA160">
            <v>0</v>
          </cell>
          <cell r="AC160">
            <v>0</v>
          </cell>
          <cell r="AF160">
            <v>125</v>
          </cell>
          <cell r="AG160">
            <v>125</v>
          </cell>
          <cell r="AH160">
            <v>0</v>
          </cell>
          <cell r="AI160">
            <v>210</v>
          </cell>
          <cell r="AK160">
            <v>0</v>
          </cell>
          <cell r="AL160">
            <v>-100</v>
          </cell>
          <cell r="AM160">
            <v>-100</v>
          </cell>
        </row>
        <row r="161">
          <cell r="F161">
            <v>0</v>
          </cell>
          <cell r="P161">
            <v>890</v>
          </cell>
          <cell r="S161">
            <v>1440</v>
          </cell>
          <cell r="V161">
            <v>1070</v>
          </cell>
          <cell r="X161">
            <v>1767.1499999999999</v>
          </cell>
          <cell r="AA161">
            <v>1777</v>
          </cell>
          <cell r="AB161">
            <v>9</v>
          </cell>
          <cell r="AC161">
            <v>768.7</v>
          </cell>
          <cell r="AF161">
            <v>780</v>
          </cell>
          <cell r="AG161">
            <v>780</v>
          </cell>
          <cell r="AH161">
            <v>0</v>
          </cell>
          <cell r="AK161">
            <v>5957</v>
          </cell>
          <cell r="AL161">
            <v>0</v>
          </cell>
          <cell r="AM161">
            <v>0</v>
          </cell>
        </row>
        <row r="162">
          <cell r="F162">
            <v>0</v>
          </cell>
          <cell r="P162">
            <v>700</v>
          </cell>
          <cell r="S162">
            <v>1440</v>
          </cell>
          <cell r="V162">
            <v>1070</v>
          </cell>
          <cell r="X162">
            <v>1694.1499999999999</v>
          </cell>
          <cell r="AA162">
            <v>1639</v>
          </cell>
          <cell r="AF162">
            <v>730</v>
          </cell>
          <cell r="AG162">
            <v>730</v>
          </cell>
          <cell r="AH162">
            <v>0</v>
          </cell>
          <cell r="AK162">
            <v>4849</v>
          </cell>
        </row>
        <row r="163">
          <cell r="F163">
            <v>0</v>
          </cell>
          <cell r="P163">
            <v>190</v>
          </cell>
          <cell r="S163">
            <v>0</v>
          </cell>
          <cell r="V163">
            <v>0</v>
          </cell>
          <cell r="X163">
            <v>0</v>
          </cell>
          <cell r="AA163">
            <v>138</v>
          </cell>
          <cell r="AC163">
            <v>0</v>
          </cell>
          <cell r="AF163">
            <v>50</v>
          </cell>
          <cell r="AG163">
            <v>50</v>
          </cell>
          <cell r="AH163">
            <v>0</v>
          </cell>
          <cell r="AK163">
            <v>378</v>
          </cell>
        </row>
        <row r="164">
          <cell r="F164">
            <v>0</v>
          </cell>
          <cell r="P164">
            <v>100</v>
          </cell>
          <cell r="S164">
            <v>0</v>
          </cell>
          <cell r="V164">
            <v>0</v>
          </cell>
          <cell r="X164">
            <v>890.8</v>
          </cell>
          <cell r="AA164">
            <v>12</v>
          </cell>
          <cell r="AC164">
            <v>1354.7</v>
          </cell>
          <cell r="AF164">
            <v>10</v>
          </cell>
          <cell r="AG164">
            <v>665.35</v>
          </cell>
          <cell r="AH164">
            <v>0</v>
          </cell>
          <cell r="AK164">
            <v>112</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0</v>
          </cell>
        </row>
        <row r="166">
          <cell r="F166">
            <v>14.170833333333334</v>
          </cell>
          <cell r="P166">
            <v>119</v>
          </cell>
          <cell r="S166">
            <v>187</v>
          </cell>
          <cell r="X166">
            <v>197.2</v>
          </cell>
          <cell r="AC166">
            <v>62.05</v>
          </cell>
          <cell r="AF166">
            <v>130.04999999999998</v>
          </cell>
          <cell r="AG166">
            <v>130.04999999999998</v>
          </cell>
          <cell r="AH166">
            <v>0</v>
          </cell>
          <cell r="AK166">
            <v>14.170833333333334</v>
          </cell>
        </row>
        <row r="167">
          <cell r="F167">
            <v>295</v>
          </cell>
          <cell r="P167">
            <v>168</v>
          </cell>
          <cell r="S167">
            <v>640</v>
          </cell>
          <cell r="V167">
            <v>458.81818181818181</v>
          </cell>
          <cell r="X167">
            <v>154</v>
          </cell>
          <cell r="AA167">
            <v>216.09090909090909</v>
          </cell>
          <cell r="AC167">
            <v>22</v>
          </cell>
          <cell r="AF167">
            <v>300.18181818181819</v>
          </cell>
          <cell r="AG167">
            <v>300</v>
          </cell>
          <cell r="AK167">
            <v>1482.9090909090908</v>
          </cell>
        </row>
        <row r="168">
          <cell r="F168">
            <v>-459</v>
          </cell>
          <cell r="S168">
            <v>800</v>
          </cell>
          <cell r="V168">
            <v>611.18181818181824</v>
          </cell>
          <cell r="X168">
            <v>1433.2409090909091</v>
          </cell>
          <cell r="AA168">
            <v>1560.909090909091</v>
          </cell>
          <cell r="AC168">
            <v>561.88181818181829</v>
          </cell>
          <cell r="AF168">
            <v>0</v>
          </cell>
          <cell r="AG168">
            <v>0</v>
          </cell>
          <cell r="AH168">
            <v>0</v>
          </cell>
          <cell r="AK168">
            <v>2513.090909090909</v>
          </cell>
        </row>
        <row r="169">
          <cell r="F169">
            <v>14.170833333333334</v>
          </cell>
          <cell r="G169">
            <v>11562.099999999999</v>
          </cell>
          <cell r="H169">
            <v>0</v>
          </cell>
          <cell r="P169">
            <v>689</v>
          </cell>
          <cell r="Q169">
            <v>0</v>
          </cell>
          <cell r="R169">
            <v>0</v>
          </cell>
          <cell r="S169">
            <v>1440</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14.170833333333334</v>
          </cell>
        </row>
        <row r="170">
          <cell r="F170">
            <v>459</v>
          </cell>
          <cell r="G170">
            <v>11562.099999999999</v>
          </cell>
          <cell r="H170">
            <v>0</v>
          </cell>
          <cell r="P170">
            <v>0</v>
          </cell>
          <cell r="Q170">
            <v>0</v>
          </cell>
          <cell r="R170">
            <v>0</v>
          </cell>
          <cell r="S170">
            <v>0</v>
          </cell>
          <cell r="T170">
            <v>0</v>
          </cell>
          <cell r="U170">
            <v>0</v>
          </cell>
          <cell r="V170">
            <v>0</v>
          </cell>
          <cell r="W170">
            <v>0</v>
          </cell>
          <cell r="X170">
            <v>270.36363636363637</v>
          </cell>
          <cell r="Y170">
            <v>17514.503030303029</v>
          </cell>
          <cell r="Z170">
            <v>0</v>
          </cell>
          <cell r="AA170">
            <v>0</v>
          </cell>
          <cell r="AB170">
            <v>0</v>
          </cell>
          <cell r="AC170">
            <v>179.90909090909091</v>
          </cell>
          <cell r="AD170">
            <v>13622.695151515152</v>
          </cell>
          <cell r="AE170">
            <v>0</v>
          </cell>
          <cell r="AF170">
            <v>297.72727272727275</v>
          </cell>
          <cell r="AG170">
            <v>298</v>
          </cell>
          <cell r="AH170">
            <v>0</v>
          </cell>
          <cell r="AI170">
            <v>118.4</v>
          </cell>
          <cell r="AJ170">
            <v>0</v>
          </cell>
          <cell r="AK170">
            <v>459</v>
          </cell>
        </row>
        <row r="171">
          <cell r="F171">
            <v>-459</v>
          </cell>
          <cell r="G171">
            <v>0</v>
          </cell>
          <cell r="H171">
            <v>0</v>
          </cell>
          <cell r="P171">
            <v>0</v>
          </cell>
          <cell r="R171">
            <v>0</v>
          </cell>
          <cell r="S171">
            <v>0</v>
          </cell>
          <cell r="T171">
            <v>0</v>
          </cell>
          <cell r="U171">
            <v>0</v>
          </cell>
          <cell r="V171">
            <v>0</v>
          </cell>
          <cell r="W171">
            <v>0</v>
          </cell>
          <cell r="X171">
            <v>620.43636363636358</v>
          </cell>
          <cell r="Y171">
            <v>0</v>
          </cell>
          <cell r="Z171">
            <v>0</v>
          </cell>
          <cell r="AA171">
            <v>0</v>
          </cell>
          <cell r="AB171">
            <v>0</v>
          </cell>
          <cell r="AC171">
            <v>1174.7909090909091</v>
          </cell>
          <cell r="AE171">
            <v>0</v>
          </cell>
          <cell r="AF171">
            <v>0</v>
          </cell>
          <cell r="AG171">
            <v>0</v>
          </cell>
          <cell r="AH171">
            <v>0</v>
          </cell>
          <cell r="AI171">
            <v>0</v>
          </cell>
          <cell r="AJ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D172">
            <v>12866.875151515153</v>
          </cell>
          <cell r="AE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J175">
            <v>0</v>
          </cell>
          <cell r="AK175">
            <v>0</v>
          </cell>
          <cell r="AO175">
            <v>391</v>
          </cell>
          <cell r="AP175">
            <v>558</v>
          </cell>
          <cell r="AQ175">
            <v>897.62000000000012</v>
          </cell>
          <cell r="AR175">
            <v>1862.3963636363642</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D176">
            <v>123</v>
          </cell>
          <cell r="AE176">
            <v>83.818181818181813</v>
          </cell>
          <cell r="AF176">
            <v>-904.4</v>
          </cell>
          <cell r="AG176">
            <v>0</v>
          </cell>
          <cell r="AH176">
            <v>-904.4</v>
          </cell>
          <cell r="AK176">
            <v>0</v>
          </cell>
        </row>
        <row r="177">
          <cell r="F177">
            <v>3400</v>
          </cell>
          <cell r="G177">
            <v>0</v>
          </cell>
          <cell r="H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I177">
            <v>0</v>
          </cell>
          <cell r="AJ177">
            <v>0</v>
          </cell>
          <cell r="AK177">
            <v>3400</v>
          </cell>
          <cell r="AO177">
            <v>538</v>
          </cell>
          <cell r="AP177">
            <v>293</v>
          </cell>
          <cell r="AQ177">
            <v>76.587126137841352</v>
          </cell>
          <cell r="AR177">
            <v>30.079540528825305</v>
          </cell>
        </row>
        <row r="178">
          <cell r="F178">
            <v>426</v>
          </cell>
          <cell r="P178">
            <v>920.62</v>
          </cell>
          <cell r="Q178">
            <v>0</v>
          </cell>
          <cell r="R178">
            <v>0</v>
          </cell>
          <cell r="S178">
            <v>2085.52</v>
          </cell>
          <cell r="T178">
            <v>707.75479999999993</v>
          </cell>
          <cell r="U178">
            <v>735.76520000000005</v>
          </cell>
          <cell r="V178">
            <v>721.95</v>
          </cell>
          <cell r="W178">
            <v>0</v>
          </cell>
          <cell r="X178">
            <v>745.15</v>
          </cell>
          <cell r="Y178">
            <v>0</v>
          </cell>
          <cell r="Z178">
            <v>0</v>
          </cell>
          <cell r="AA178">
            <v>597.66</v>
          </cell>
          <cell r="AB178">
            <v>0</v>
          </cell>
          <cell r="AC178">
            <v>606.86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25</v>
          </cell>
          <cell r="P180">
            <v>2</v>
          </cell>
          <cell r="Q180">
            <v>0</v>
          </cell>
          <cell r="R180">
            <v>0</v>
          </cell>
          <cell r="S180">
            <v>17</v>
          </cell>
          <cell r="T180">
            <v>10</v>
          </cell>
          <cell r="U180">
            <v>0</v>
          </cell>
          <cell r="V180">
            <v>781</v>
          </cell>
          <cell r="W180">
            <v>0</v>
          </cell>
          <cell r="X180">
            <v>449</v>
          </cell>
          <cell r="Y180">
            <v>0</v>
          </cell>
          <cell r="Z180">
            <v>0</v>
          </cell>
          <cell r="AA180">
            <v>13.333333333333334</v>
          </cell>
          <cell r="AB180">
            <v>0</v>
          </cell>
          <cell r="AC180">
            <v>274.33333333333331</v>
          </cell>
          <cell r="AF180">
            <v>15</v>
          </cell>
          <cell r="AG180">
            <v>15</v>
          </cell>
          <cell r="AH180">
            <v>0</v>
          </cell>
          <cell r="AK180">
            <v>-3357.1339393939384</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14450</v>
          </cell>
          <cell r="P183">
            <v>527.99999999999989</v>
          </cell>
          <cell r="Q183">
            <v>0</v>
          </cell>
          <cell r="R183">
            <v>0</v>
          </cell>
          <cell r="S183">
            <v>2345.0000000000005</v>
          </cell>
          <cell r="T183">
            <v>10</v>
          </cell>
          <cell r="U183">
            <v>0</v>
          </cell>
          <cell r="V183">
            <v>382.00000000000051</v>
          </cell>
          <cell r="W183">
            <v>0</v>
          </cell>
          <cell r="X183">
            <v>206.66666666666666</v>
          </cell>
          <cell r="AA183">
            <v>237.66666666666663</v>
          </cell>
          <cell r="AB183">
            <v>0</v>
          </cell>
          <cell r="AC183">
            <v>13.333333333333334</v>
          </cell>
          <cell r="AF183">
            <v>1556.9999999999998</v>
          </cell>
          <cell r="AG183">
            <v>937.00000000000023</v>
          </cell>
          <cell r="AH183">
            <v>620</v>
          </cell>
          <cell r="AK183">
            <v>-2005.1295454545448</v>
          </cell>
          <cell r="AO183">
            <v>160</v>
          </cell>
          <cell r="AP183">
            <v>1507.2</v>
          </cell>
          <cell r="AQ183">
            <v>85.94410774410774</v>
          </cell>
          <cell r="AR183">
            <v>87.055892255892232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F190" t="str">
            <v>АПАРАТ ВСЬОГО</v>
          </cell>
          <cell r="G190" t="str">
            <v>АПАРАТ ЕЛЕКТРО</v>
          </cell>
          <cell r="H190" t="str">
            <v>АПАРАТ ТЕПЛО</v>
          </cell>
          <cell r="P190" t="str">
            <v>ККМ</v>
          </cell>
          <cell r="S190">
            <v>11.3</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v>125</v>
          </cell>
          <cell r="AL190" t="str">
            <v>Е/Е</v>
          </cell>
          <cell r="AM190" t="str">
            <v xml:space="preserve"> Т/Е</v>
          </cell>
          <cell r="AO190">
            <v>221.49122807017542</v>
          </cell>
          <cell r="AP190" t="str">
            <v>СТАНЦІІ ТЕПЛОВІ</v>
          </cell>
          <cell r="AQ190" t="str">
            <v>МЕРЕЖІ ЕЛЕКТРО</v>
          </cell>
          <cell r="AR190" t="str">
            <v>МЕРЕЖІ ТЕПЛОВІ</v>
          </cell>
        </row>
        <row r="191">
          <cell r="S191">
            <v>12.9</v>
          </cell>
          <cell r="V191">
            <v>67.3</v>
          </cell>
          <cell r="X191">
            <v>73.5</v>
          </cell>
          <cell r="AA191">
            <v>63</v>
          </cell>
          <cell r="AC191">
            <v>61.7</v>
          </cell>
          <cell r="AK191">
            <v>143.20000000000002</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65.3</v>
          </cell>
          <cell r="AA193">
            <v>192.5</v>
          </cell>
          <cell r="AC193">
            <v>58</v>
          </cell>
          <cell r="AK193">
            <v>192.5</v>
          </cell>
          <cell r="AO193">
            <v>0</v>
          </cell>
        </row>
        <row r="194">
          <cell r="S194">
            <v>2175</v>
          </cell>
          <cell r="V194">
            <v>11300</v>
          </cell>
          <cell r="X194">
            <v>74.7</v>
          </cell>
          <cell r="AA194">
            <v>10588</v>
          </cell>
          <cell r="AC194">
            <v>66.5</v>
          </cell>
          <cell r="AK194">
            <v>24063</v>
          </cell>
          <cell r="AO194">
            <v>0</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0</v>
          </cell>
          <cell r="AO196">
            <v>0</v>
          </cell>
        </row>
        <row r="197">
          <cell r="S197">
            <v>1232</v>
          </cell>
          <cell r="V197">
            <v>0</v>
          </cell>
          <cell r="X197">
            <v>12570</v>
          </cell>
          <cell r="AA197">
            <v>0</v>
          </cell>
          <cell r="AC197">
            <v>11165</v>
          </cell>
          <cell r="AK197">
            <v>0</v>
          </cell>
          <cell r="AO197">
            <v>0</v>
          </cell>
        </row>
        <row r="198">
          <cell r="V198">
            <v>82.5</v>
          </cell>
          <cell r="X198">
            <v>82.5</v>
          </cell>
          <cell r="AA198">
            <v>82.5</v>
          </cell>
          <cell r="AC198">
            <v>82.5</v>
          </cell>
          <cell r="AK198">
            <v>24967</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X201">
            <v>82.5</v>
          </cell>
          <cell r="AC201">
            <v>82.5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0</v>
          </cell>
          <cell r="Y205">
            <v>48.4</v>
          </cell>
          <cell r="Z205">
            <v>25.6</v>
          </cell>
          <cell r="AA205">
            <v>385</v>
          </cell>
          <cell r="AC205">
            <v>0</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F207">
            <v>75</v>
          </cell>
          <cell r="P207">
            <v>75</v>
          </cell>
          <cell r="S207">
            <v>167.46</v>
          </cell>
          <cell r="X207">
            <v>168.31</v>
          </cell>
          <cell r="Y207">
            <v>168.31</v>
          </cell>
          <cell r="Z207">
            <v>168.32</v>
          </cell>
          <cell r="AC207">
            <v>168.33</v>
          </cell>
          <cell r="AD207">
            <v>168.34</v>
          </cell>
          <cell r="AE207">
            <v>168.32</v>
          </cell>
          <cell r="AI207" t="str">
            <v/>
          </cell>
          <cell r="AJ207" t="str">
            <v/>
          </cell>
          <cell r="AK207">
            <v>0</v>
          </cell>
          <cell r="AL207">
            <v>168.32</v>
          </cell>
          <cell r="AM207">
            <v>168.11</v>
          </cell>
          <cell r="AO207" t="e">
            <v>#DIV/0!</v>
          </cell>
          <cell r="AP207">
            <v>41.55</v>
          </cell>
          <cell r="AQ207">
            <v>41.55</v>
          </cell>
          <cell r="AR207">
            <v>75</v>
          </cell>
        </row>
        <row r="208">
          <cell r="S208">
            <v>12.9</v>
          </cell>
          <cell r="V208">
            <v>67.3</v>
          </cell>
          <cell r="W208">
            <v>54.6</v>
          </cell>
          <cell r="X208">
            <v>12.699999999999996</v>
          </cell>
          <cell r="Y208">
            <v>52.8</v>
          </cell>
          <cell r="Z208">
            <v>20.700000000000003</v>
          </cell>
          <cell r="AA208">
            <v>63</v>
          </cell>
          <cell r="AB208">
            <v>50</v>
          </cell>
          <cell r="AC208">
            <v>13</v>
          </cell>
          <cell r="AD208">
            <v>43.9</v>
          </cell>
          <cell r="AE208">
            <v>17.8</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Z209">
            <v>3481</v>
          </cell>
          <cell r="AA209">
            <v>10588</v>
          </cell>
          <cell r="AB209">
            <v>8403</v>
          </cell>
          <cell r="AC209">
            <v>2185</v>
          </cell>
          <cell r="AD209">
            <v>7369</v>
          </cell>
          <cell r="AE209">
            <v>2988</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168.04</v>
          </cell>
          <cell r="AL210">
            <v>167.98</v>
          </cell>
          <cell r="AM210">
            <v>168.19</v>
          </cell>
          <cell r="AO210">
            <v>41.55</v>
          </cell>
          <cell r="AP210">
            <v>41.55</v>
          </cell>
          <cell r="AQ210">
            <v>41.55</v>
          </cell>
          <cell r="AR210" t="str">
            <v/>
          </cell>
        </row>
        <row r="211">
          <cell r="S211">
            <v>7.3</v>
          </cell>
          <cell r="X211">
            <v>74.7</v>
          </cell>
          <cell r="Y211">
            <v>55.2</v>
          </cell>
          <cell r="Z211">
            <v>19.5</v>
          </cell>
          <cell r="AC211">
            <v>66.5</v>
          </cell>
          <cell r="AD211">
            <v>40.9</v>
          </cell>
          <cell r="AE211">
            <v>25.6</v>
          </cell>
          <cell r="AK211">
            <v>148.5</v>
          </cell>
          <cell r="AL211">
            <v>96.1</v>
          </cell>
          <cell r="AM211">
            <v>0</v>
          </cell>
          <cell r="AO211">
            <v>52</v>
          </cell>
          <cell r="AP211">
            <v>52</v>
          </cell>
          <cell r="AQ211">
            <v>281.5</v>
          </cell>
        </row>
        <row r="212">
          <cell r="S212">
            <v>1232</v>
          </cell>
          <cell r="V212">
            <v>11300</v>
          </cell>
          <cell r="X212">
            <v>12570</v>
          </cell>
          <cell r="Y212">
            <v>9289</v>
          </cell>
          <cell r="Z212">
            <v>3281</v>
          </cell>
          <cell r="AA212">
            <v>10588</v>
          </cell>
          <cell r="AC212">
            <v>11165</v>
          </cell>
          <cell r="AD212">
            <v>6867</v>
          </cell>
          <cell r="AE212">
            <v>4298</v>
          </cell>
          <cell r="AK212">
            <v>24063</v>
          </cell>
          <cell r="AL212">
            <v>17571</v>
          </cell>
          <cell r="AM212">
            <v>6492</v>
          </cell>
          <cell r="AO212">
            <v>14862</v>
          </cell>
          <cell r="AP212">
            <v>3164.427048260382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6">
          <cell r="AP226">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Голова правління </v>
          </cell>
        </row>
        <row r="243">
          <cell r="AG243" t="str">
            <v xml:space="preserve">                        І.В.Плачков</v>
          </cell>
        </row>
        <row r="244">
          <cell r="AG244" t="str">
            <v xml:space="preserve">   "_____" ________2000 р.</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8">
          <cell r="F248" t="str">
            <v>РОЗРАХУНОК ФІНАНСОВИХ ПОТОКІВ НА   березень  2000 року</v>
          </cell>
        </row>
        <row r="249">
          <cell r="F249" t="str">
            <v>ПО ФІЛІАЛАХ АК КИЇВЕНЕРГО</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X253">
            <v>3133.4075757575761</v>
          </cell>
          <cell r="AA253">
            <v>2709.5690909090908</v>
          </cell>
          <cell r="AC253">
            <v>2333.3751515151525</v>
          </cell>
          <cell r="AF253">
            <v>4466.8781818181815</v>
          </cell>
          <cell r="AG253">
            <v>3618.3</v>
          </cell>
          <cell r="AH253">
            <v>848.57818181818175</v>
          </cell>
          <cell r="AK253">
            <v>26332.719090909093</v>
          </cell>
        </row>
        <row r="254">
          <cell r="AK254" t="str">
            <v>тис.грн.</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D255">
            <v>1496</v>
          </cell>
          <cell r="AE255">
            <v>607.87515151515208</v>
          </cell>
          <cell r="AF255">
            <v>4466.8781818181815</v>
          </cell>
          <cell r="AG255">
            <v>3618.3</v>
          </cell>
          <cell r="AH255">
            <v>848.57818181818175</v>
          </cell>
          <cell r="AI255" t="str">
            <v>ТИС.ГРН.</v>
          </cell>
          <cell r="AK255">
            <v>64105.612337662344</v>
          </cell>
          <cell r="AL255" t="str">
            <v>АК КЕ ВСЬОГО</v>
          </cell>
          <cell r="AM255">
            <v>40995.25</v>
          </cell>
          <cell r="AO255" t="str">
            <v>СТАНЦІї ЕЛЕКТРО</v>
          </cell>
          <cell r="AP255" t="str">
            <v>СТАНЦІІ ТЕПЛОВІ</v>
          </cell>
          <cell r="AQ255" t="str">
            <v>МЕРЕЖІ ЕЛЕКТРО</v>
          </cell>
          <cell r="AR255" t="str">
            <v>МЕРЕЖІ ТЕПЛОВІ</v>
          </cell>
        </row>
        <row r="256">
          <cell r="F256">
            <v>8174.138095238095</v>
          </cell>
          <cell r="G256">
            <v>2114.6703910614524</v>
          </cell>
          <cell r="H256">
            <v>1932.3296089385476</v>
          </cell>
          <cell r="P256">
            <v>605</v>
          </cell>
          <cell r="Q256" t="str">
            <v>ТМ</v>
          </cell>
          <cell r="S256">
            <v>4046</v>
          </cell>
          <cell r="T256">
            <v>1750.1999999999996</v>
          </cell>
          <cell r="U256">
            <v>1026.8</v>
          </cell>
          <cell r="V256">
            <v>1033.0000000000005</v>
          </cell>
          <cell r="W256">
            <v>1364</v>
          </cell>
          <cell r="X256">
            <v>318.00000000000011</v>
          </cell>
          <cell r="Y256">
            <v>1589</v>
          </cell>
          <cell r="Z256">
            <v>624.33333333333371</v>
          </cell>
          <cell r="AA256">
            <v>624</v>
          </cell>
          <cell r="AB256">
            <v>1140</v>
          </cell>
          <cell r="AC256">
            <v>314.99999999999994</v>
          </cell>
          <cell r="AD256">
            <v>923</v>
          </cell>
          <cell r="AE256">
            <v>374.83333333333388</v>
          </cell>
          <cell r="AF256">
            <v>987.99999999999977</v>
          </cell>
          <cell r="AG256">
            <v>823.00000000000023</v>
          </cell>
          <cell r="AH256">
            <v>158</v>
          </cell>
          <cell r="AI256" t="str">
            <v xml:space="preserve">ДОП.ВИР. </v>
          </cell>
          <cell r="AJ256" t="str">
            <v>ДОП.ВИР. СТ.ОРГ.</v>
          </cell>
          <cell r="AK256">
            <v>47832.559913419922</v>
          </cell>
          <cell r="AL256" t="str">
            <v>АК КЕ ВСЬОГО</v>
          </cell>
          <cell r="AM256">
            <v>14890.138095238095</v>
          </cell>
          <cell r="AO256" t="str">
            <v>СТАНЦІї ЕЛЕКТРО</v>
          </cell>
          <cell r="AP256" t="str">
            <v>СТАНЦІІ ТЕПЛОВІ</v>
          </cell>
          <cell r="AQ256" t="str">
            <v>МЕРЕЖІ ЕЛЕКТРО</v>
          </cell>
          <cell r="AR256" t="str">
            <v>МЕРЕЖІ ТЕПЛОВІ</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D257">
            <v>0</v>
          </cell>
          <cell r="AE257">
            <v>0</v>
          </cell>
          <cell r="AF257">
            <v>0</v>
          </cell>
          <cell r="AG257">
            <v>0</v>
          </cell>
          <cell r="AH257">
            <v>0</v>
          </cell>
          <cell r="AJ257">
            <v>7599</v>
          </cell>
          <cell r="AK257">
            <v>42344.804761904765</v>
          </cell>
        </row>
        <row r="258">
          <cell r="F258">
            <v>24063</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24063</v>
          </cell>
          <cell r="AM258">
            <v>45205.25</v>
          </cell>
        </row>
        <row r="259">
          <cell r="F259">
            <v>6512</v>
          </cell>
          <cell r="G259">
            <v>2277.3582491582492</v>
          </cell>
          <cell r="H259">
            <v>2559.6417508417508</v>
          </cell>
          <cell r="P259">
            <v>1403</v>
          </cell>
          <cell r="Q259">
            <v>0</v>
          </cell>
          <cell r="R259">
            <v>0</v>
          </cell>
          <cell r="S259">
            <v>323.66666666666629</v>
          </cell>
          <cell r="T259">
            <v>1413.9233333333332</v>
          </cell>
          <cell r="U259">
            <v>1087.1433333333339</v>
          </cell>
          <cell r="V259">
            <v>0</v>
          </cell>
          <cell r="W259">
            <v>0</v>
          </cell>
          <cell r="X259">
            <v>474.66666666666572</v>
          </cell>
          <cell r="Y259">
            <v>691</v>
          </cell>
          <cell r="Z259">
            <v>244.46666666666613</v>
          </cell>
          <cell r="AA259">
            <v>0</v>
          </cell>
          <cell r="AB259">
            <v>0</v>
          </cell>
          <cell r="AC259">
            <v>-208.00000000000045</v>
          </cell>
          <cell r="AD259">
            <v>1377</v>
          </cell>
          <cell r="AE259">
            <v>944.69515151515134</v>
          </cell>
          <cell r="AF259">
            <v>428.71666666666636</v>
          </cell>
          <cell r="AG259">
            <v>373.04999999999984</v>
          </cell>
          <cell r="AH259">
            <v>136.66666666666663</v>
          </cell>
          <cell r="AI259">
            <v>847.2</v>
          </cell>
          <cell r="AJ259">
            <v>0</v>
          </cell>
          <cell r="AK259">
            <v>6512</v>
          </cell>
          <cell r="AM259">
            <v>9679.4428571428543</v>
          </cell>
        </row>
        <row r="260">
          <cell r="F260">
            <v>7379.804761904762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7379.804761904762</v>
          </cell>
          <cell r="AM260">
            <v>14653.6</v>
          </cell>
        </row>
        <row r="261">
          <cell r="F261">
            <v>921.33333333333337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921.33333333333337</v>
          </cell>
        </row>
        <row r="262">
          <cell r="F262">
            <v>0</v>
          </cell>
          <cell r="AK262">
            <v>0</v>
          </cell>
        </row>
        <row r="263">
          <cell r="F263">
            <v>2514.4714285714285</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2514.4714285714285</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444</v>
          </cell>
          <cell r="P266">
            <v>0</v>
          </cell>
          <cell r="S266">
            <v>0</v>
          </cell>
          <cell r="V266">
            <v>0</v>
          </cell>
          <cell r="X266">
            <v>0</v>
          </cell>
          <cell r="AA266">
            <v>0</v>
          </cell>
          <cell r="AC266">
            <v>0</v>
          </cell>
          <cell r="AF266">
            <v>0</v>
          </cell>
          <cell r="AG266">
            <v>0</v>
          </cell>
          <cell r="AH266">
            <v>0</v>
          </cell>
          <cell r="AK266">
            <v>444</v>
          </cell>
        </row>
        <row r="267">
          <cell r="F267">
            <v>3995</v>
          </cell>
          <cell r="AK267">
            <v>3995</v>
          </cell>
        </row>
        <row r="268">
          <cell r="F268">
            <v>377</v>
          </cell>
          <cell r="P268">
            <v>0</v>
          </cell>
          <cell r="S268">
            <v>0</v>
          </cell>
          <cell r="V268">
            <v>0</v>
          </cell>
          <cell r="X268">
            <v>0</v>
          </cell>
          <cell r="AA268">
            <v>18</v>
          </cell>
          <cell r="AC268">
            <v>0</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I270">
            <v>0</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Y271">
            <v>295</v>
          </cell>
          <cell r="Z271">
            <v>116.2409090909091</v>
          </cell>
          <cell r="AA271">
            <v>597.66</v>
          </cell>
          <cell r="AB271">
            <v>303</v>
          </cell>
          <cell r="AC271">
            <v>78.569090909090903</v>
          </cell>
          <cell r="AD271">
            <v>284</v>
          </cell>
          <cell r="AE271">
            <v>116.0418181818182</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D272">
            <v>9</v>
          </cell>
          <cell r="AE272">
            <v>4.3333333333333339</v>
          </cell>
          <cell r="AF272">
            <v>2</v>
          </cell>
          <cell r="AG272">
            <v>2</v>
          </cell>
          <cell r="AH272">
            <v>0</v>
          </cell>
          <cell r="AI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D273">
            <v>0</v>
          </cell>
          <cell r="AE273">
            <v>0</v>
          </cell>
          <cell r="AF273">
            <v>568</v>
          </cell>
          <cell r="AG273">
            <v>530</v>
          </cell>
          <cell r="AH273">
            <v>45</v>
          </cell>
          <cell r="AI273">
            <v>0</v>
          </cell>
          <cell r="AK273">
            <v>4588</v>
          </cell>
        </row>
        <row r="274">
          <cell r="F274">
            <v>138</v>
          </cell>
          <cell r="G274">
            <v>296</v>
          </cell>
          <cell r="H274">
            <v>388.2</v>
          </cell>
          <cell r="P274">
            <v>300</v>
          </cell>
          <cell r="Q274">
            <v>0</v>
          </cell>
          <cell r="R274">
            <v>0</v>
          </cell>
          <cell r="S274">
            <v>636</v>
          </cell>
          <cell r="T274">
            <v>644.3785272727273</v>
          </cell>
          <cell r="U274">
            <v>670.49601818181827</v>
          </cell>
          <cell r="V274">
            <v>132</v>
          </cell>
          <cell r="W274">
            <v>0</v>
          </cell>
          <cell r="X274">
            <v>640.75</v>
          </cell>
          <cell r="Y274">
            <v>274</v>
          </cell>
          <cell r="Z274">
            <v>96.386363636363626</v>
          </cell>
          <cell r="AA274">
            <v>100</v>
          </cell>
          <cell r="AB274">
            <v>9</v>
          </cell>
          <cell r="AC274">
            <v>534.76</v>
          </cell>
          <cell r="AD274">
            <v>234</v>
          </cell>
          <cell r="AE274">
            <v>160.69515151515154</v>
          </cell>
          <cell r="AF274">
            <v>343</v>
          </cell>
          <cell r="AG274">
            <v>300</v>
          </cell>
          <cell r="AH274">
            <v>43</v>
          </cell>
          <cell r="AI274">
            <v>618</v>
          </cell>
          <cell r="AK274">
            <v>1703</v>
          </cell>
        </row>
        <row r="275">
          <cell r="F275">
            <v>762</v>
          </cell>
          <cell r="G275">
            <v>197</v>
          </cell>
          <cell r="H275">
            <v>307.10000000000002</v>
          </cell>
          <cell r="P275">
            <v>7</v>
          </cell>
          <cell r="Q275">
            <v>0</v>
          </cell>
          <cell r="R275">
            <v>0</v>
          </cell>
          <cell r="S275">
            <v>65</v>
          </cell>
          <cell r="T275">
            <v>10</v>
          </cell>
          <cell r="U275">
            <v>0</v>
          </cell>
          <cell r="V275">
            <v>44</v>
          </cell>
          <cell r="W275">
            <v>0</v>
          </cell>
          <cell r="X275">
            <v>336</v>
          </cell>
          <cell r="Y275">
            <v>248</v>
          </cell>
          <cell r="Z275">
            <v>88</v>
          </cell>
          <cell r="AA275">
            <v>47</v>
          </cell>
          <cell r="AB275">
            <v>0</v>
          </cell>
          <cell r="AC275">
            <v>-0.66666666666666607</v>
          </cell>
          <cell r="AD275">
            <v>226</v>
          </cell>
          <cell r="AE275">
            <v>155.36181818181819</v>
          </cell>
          <cell r="AF275">
            <v>25</v>
          </cell>
          <cell r="AG275">
            <v>30</v>
          </cell>
          <cell r="AH275">
            <v>2</v>
          </cell>
          <cell r="AI275">
            <v>377</v>
          </cell>
          <cell r="AK275">
            <v>1059</v>
          </cell>
        </row>
        <row r="276">
          <cell r="F276">
            <v>60</v>
          </cell>
          <cell r="P276">
            <v>500</v>
          </cell>
          <cell r="Q276">
            <v>0</v>
          </cell>
          <cell r="R276">
            <v>0</v>
          </cell>
          <cell r="S276">
            <v>430</v>
          </cell>
          <cell r="T276">
            <v>0</v>
          </cell>
          <cell r="U276">
            <v>0</v>
          </cell>
          <cell r="V276">
            <v>100</v>
          </cell>
          <cell r="W276">
            <v>0</v>
          </cell>
          <cell r="X276">
            <v>338</v>
          </cell>
          <cell r="Y276">
            <v>0</v>
          </cell>
          <cell r="Z276">
            <v>0</v>
          </cell>
          <cell r="AA276">
            <v>130</v>
          </cell>
          <cell r="AB276">
            <v>0</v>
          </cell>
          <cell r="AC276">
            <v>352</v>
          </cell>
          <cell r="AD276">
            <v>8</v>
          </cell>
          <cell r="AE276">
            <v>5.3333333333333339</v>
          </cell>
          <cell r="AF276">
            <v>150</v>
          </cell>
          <cell r="AG276">
            <v>150</v>
          </cell>
          <cell r="AH276">
            <v>-369</v>
          </cell>
          <cell r="AI276">
            <v>0</v>
          </cell>
          <cell r="AK276">
            <v>1370</v>
          </cell>
        </row>
        <row r="277">
          <cell r="F277">
            <v>0</v>
          </cell>
          <cell r="P277">
            <v>145</v>
          </cell>
          <cell r="Q277">
            <v>0</v>
          </cell>
          <cell r="R277">
            <v>0</v>
          </cell>
          <cell r="S277">
            <v>145</v>
          </cell>
          <cell r="T277">
            <v>0</v>
          </cell>
          <cell r="U277">
            <v>0</v>
          </cell>
          <cell r="V277">
            <v>66</v>
          </cell>
          <cell r="W277">
            <v>0</v>
          </cell>
          <cell r="X277">
            <v>115</v>
          </cell>
          <cell r="Y277">
            <v>0</v>
          </cell>
          <cell r="Z277">
            <v>0</v>
          </cell>
          <cell r="AA277">
            <v>50</v>
          </cell>
          <cell r="AB277">
            <v>9</v>
          </cell>
          <cell r="AC277">
            <v>110</v>
          </cell>
          <cell r="AD277">
            <v>0</v>
          </cell>
          <cell r="AE277">
            <v>0</v>
          </cell>
          <cell r="AF277">
            <v>50</v>
          </cell>
          <cell r="AG277">
            <v>50</v>
          </cell>
          <cell r="AH277">
            <v>0</v>
          </cell>
          <cell r="AI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D278">
            <v>0</v>
          </cell>
          <cell r="AE278">
            <v>0</v>
          </cell>
          <cell r="AF278">
            <v>670</v>
          </cell>
          <cell r="AG278">
            <v>253</v>
          </cell>
          <cell r="AH278">
            <v>417</v>
          </cell>
          <cell r="AI278">
            <v>0</v>
          </cell>
          <cell r="AK278">
            <v>1260</v>
          </cell>
        </row>
        <row r="279">
          <cell r="F279">
            <v>0</v>
          </cell>
          <cell r="P279">
            <v>0</v>
          </cell>
          <cell r="S279">
            <v>0</v>
          </cell>
          <cell r="V279">
            <v>0</v>
          </cell>
          <cell r="X279">
            <v>100</v>
          </cell>
          <cell r="AA279">
            <v>-300</v>
          </cell>
          <cell r="AC279">
            <v>130</v>
          </cell>
          <cell r="AF279">
            <v>0</v>
          </cell>
          <cell r="AG279">
            <v>0</v>
          </cell>
          <cell r="AH279">
            <v>0</v>
          </cell>
          <cell r="AI279">
            <v>0</v>
          </cell>
          <cell r="AK279">
            <v>-300</v>
          </cell>
        </row>
        <row r="280">
          <cell r="F280">
            <v>6</v>
          </cell>
          <cell r="P280">
            <v>15</v>
          </cell>
          <cell r="S280">
            <v>506</v>
          </cell>
          <cell r="V280">
            <v>0</v>
          </cell>
          <cell r="X280">
            <v>66</v>
          </cell>
          <cell r="AA280">
            <v>0</v>
          </cell>
          <cell r="AC280">
            <v>50</v>
          </cell>
          <cell r="AF280">
            <v>670</v>
          </cell>
          <cell r="AG280">
            <v>253</v>
          </cell>
          <cell r="AH280">
            <v>417</v>
          </cell>
          <cell r="AK280">
            <v>1197</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D281">
            <v>0</v>
          </cell>
          <cell r="AE281">
            <v>0</v>
          </cell>
          <cell r="AF281">
            <v>670</v>
          </cell>
          <cell r="AG281">
            <v>253</v>
          </cell>
          <cell r="AH281">
            <v>417</v>
          </cell>
          <cell r="AI281">
            <v>0</v>
          </cell>
          <cell r="AJ281">
            <v>0</v>
          </cell>
          <cell r="AK281">
            <v>363</v>
          </cell>
        </row>
        <row r="282">
          <cell r="F282">
            <v>0</v>
          </cell>
          <cell r="P282">
            <v>0</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241</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D283">
            <v>-293</v>
          </cell>
          <cell r="AE283">
            <v>-120.37515151515153</v>
          </cell>
          <cell r="AF283">
            <v>1365.8181818181815</v>
          </cell>
          <cell r="AG283">
            <v>1201</v>
          </cell>
          <cell r="AH283">
            <v>157.81818181818176</v>
          </cell>
          <cell r="AI283">
            <v>0</v>
          </cell>
          <cell r="AK283">
            <v>54477.380519480525</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157.81818181818181</v>
          </cell>
          <cell r="AK285">
            <v>12339.90909090909</v>
          </cell>
        </row>
        <row r="286">
          <cell r="F286">
            <v>0</v>
          </cell>
          <cell r="P286">
            <v>330</v>
          </cell>
          <cell r="Q286">
            <v>0</v>
          </cell>
          <cell r="R286">
            <v>0</v>
          </cell>
          <cell r="S286">
            <v>2496</v>
          </cell>
          <cell r="T286">
            <v>-654.3785272727273</v>
          </cell>
          <cell r="U286">
            <v>-670.49601818181827</v>
          </cell>
          <cell r="V286">
            <v>-20</v>
          </cell>
          <cell r="W286">
            <v>0</v>
          </cell>
          <cell r="X286">
            <v>627.1030303030293</v>
          </cell>
          <cell r="Y286">
            <v>-522</v>
          </cell>
          <cell r="Z286">
            <v>-184.38636363636363</v>
          </cell>
          <cell r="AA286">
            <v>170</v>
          </cell>
          <cell r="AB286">
            <v>0</v>
          </cell>
          <cell r="AC286">
            <v>867.45757575757523</v>
          </cell>
          <cell r="AF286">
            <v>404</v>
          </cell>
          <cell r="AG286">
            <v>404</v>
          </cell>
          <cell r="AH286">
            <v>0</v>
          </cell>
          <cell r="AI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I287">
            <v>-618</v>
          </cell>
          <cell r="AK287">
            <v>3795.909090909091</v>
          </cell>
        </row>
        <row r="288">
          <cell r="F288">
            <v>0</v>
          </cell>
          <cell r="P288">
            <v>0</v>
          </cell>
          <cell r="Q288">
            <v>0</v>
          </cell>
          <cell r="R288">
            <v>0</v>
          </cell>
          <cell r="S288">
            <v>0</v>
          </cell>
          <cell r="T288">
            <v>0</v>
          </cell>
          <cell r="U288">
            <v>0</v>
          </cell>
          <cell r="V288">
            <v>0</v>
          </cell>
          <cell r="W288">
            <v>0</v>
          </cell>
          <cell r="X288">
            <v>627.10303030303021</v>
          </cell>
          <cell r="Y288">
            <v>0</v>
          </cell>
          <cell r="Z288">
            <v>0</v>
          </cell>
          <cell r="AA288">
            <v>0</v>
          </cell>
          <cell r="AB288">
            <v>0</v>
          </cell>
          <cell r="AC288">
            <v>866.79090909090905</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-15</v>
          </cell>
          <cell r="Y289">
            <v>0</v>
          </cell>
          <cell r="Z289">
            <v>0</v>
          </cell>
          <cell r="AA289">
            <v>0</v>
          </cell>
          <cell r="AB289">
            <v>0</v>
          </cell>
          <cell r="AC289">
            <v>-70</v>
          </cell>
          <cell r="AD289">
            <v>0</v>
          </cell>
          <cell r="AE289">
            <v>0</v>
          </cell>
          <cell r="AF289">
            <v>0</v>
          </cell>
          <cell r="AG289">
            <v>0</v>
          </cell>
          <cell r="AH289">
            <v>0</v>
          </cell>
          <cell r="AI289">
            <v>283.60000000000002</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D290">
            <v>0</v>
          </cell>
          <cell r="AE290">
            <v>0</v>
          </cell>
          <cell r="AF290">
            <v>519</v>
          </cell>
          <cell r="AG290">
            <v>354</v>
          </cell>
          <cell r="AH290">
            <v>158</v>
          </cell>
          <cell r="AI290">
            <v>118.4</v>
          </cell>
          <cell r="AK290">
            <v>5204</v>
          </cell>
        </row>
        <row r="291">
          <cell r="F291">
            <v>2</v>
          </cell>
          <cell r="P291">
            <v>13</v>
          </cell>
          <cell r="Q291">
            <v>0</v>
          </cell>
          <cell r="R291">
            <v>0</v>
          </cell>
          <cell r="S291">
            <v>212</v>
          </cell>
          <cell r="T291">
            <v>0</v>
          </cell>
          <cell r="U291">
            <v>0</v>
          </cell>
          <cell r="V291">
            <v>11</v>
          </cell>
          <cell r="W291">
            <v>0</v>
          </cell>
          <cell r="X291">
            <v>0</v>
          </cell>
          <cell r="Y291">
            <v>0</v>
          </cell>
          <cell r="Z291">
            <v>0</v>
          </cell>
          <cell r="AA291">
            <v>201</v>
          </cell>
          <cell r="AB291">
            <v>0</v>
          </cell>
          <cell r="AC291">
            <v>0</v>
          </cell>
          <cell r="AD291">
            <v>0</v>
          </cell>
          <cell r="AE291">
            <v>0</v>
          </cell>
          <cell r="AF291">
            <v>115</v>
          </cell>
          <cell r="AG291">
            <v>70</v>
          </cell>
          <cell r="AH291">
            <v>38</v>
          </cell>
          <cell r="AI291">
            <v>0</v>
          </cell>
          <cell r="AK291">
            <v>570</v>
          </cell>
        </row>
        <row r="292">
          <cell r="F292">
            <v>2</v>
          </cell>
          <cell r="P292">
            <v>42</v>
          </cell>
          <cell r="S292">
            <v>319</v>
          </cell>
          <cell r="V292">
            <v>85</v>
          </cell>
          <cell r="X292">
            <v>0</v>
          </cell>
          <cell r="AA292">
            <v>84</v>
          </cell>
          <cell r="AC292">
            <v>0</v>
          </cell>
          <cell r="AF292">
            <v>194</v>
          </cell>
          <cell r="AG292">
            <v>133</v>
          </cell>
          <cell r="AH292">
            <v>61</v>
          </cell>
          <cell r="AI292">
            <v>0</v>
          </cell>
          <cell r="AK292">
            <v>726</v>
          </cell>
        </row>
        <row r="293">
          <cell r="F293">
            <v>2379</v>
          </cell>
          <cell r="P293">
            <v>151</v>
          </cell>
          <cell r="Q293">
            <v>0</v>
          </cell>
          <cell r="R293">
            <v>0</v>
          </cell>
          <cell r="S293">
            <v>607</v>
          </cell>
          <cell r="T293">
            <v>0</v>
          </cell>
          <cell r="U293">
            <v>0</v>
          </cell>
          <cell r="V293">
            <v>110</v>
          </cell>
          <cell r="W293">
            <v>0</v>
          </cell>
          <cell r="X293">
            <v>217</v>
          </cell>
          <cell r="Y293">
            <v>0</v>
          </cell>
          <cell r="Z293">
            <v>0</v>
          </cell>
          <cell r="AA293">
            <v>101</v>
          </cell>
          <cell r="AB293">
            <v>0</v>
          </cell>
          <cell r="AC293">
            <v>-188</v>
          </cell>
          <cell r="AF293">
            <v>210</v>
          </cell>
          <cell r="AG293">
            <v>151</v>
          </cell>
          <cell r="AH293">
            <v>59</v>
          </cell>
          <cell r="AI293">
            <v>0</v>
          </cell>
          <cell r="AK293">
            <v>3908</v>
          </cell>
        </row>
        <row r="294">
          <cell r="F294">
            <v>100</v>
          </cell>
          <cell r="P294">
            <v>0</v>
          </cell>
          <cell r="Q294">
            <v>0</v>
          </cell>
          <cell r="R294">
            <v>0</v>
          </cell>
          <cell r="S294">
            <v>97.666666666666629</v>
          </cell>
          <cell r="T294">
            <v>0</v>
          </cell>
          <cell r="U294">
            <v>0</v>
          </cell>
          <cell r="V294">
            <v>0</v>
          </cell>
          <cell r="W294">
            <v>0</v>
          </cell>
          <cell r="X294">
            <v>12</v>
          </cell>
          <cell r="Y294">
            <v>0</v>
          </cell>
          <cell r="Z294">
            <v>0</v>
          </cell>
          <cell r="AA294">
            <v>0</v>
          </cell>
          <cell r="AB294">
            <v>0</v>
          </cell>
          <cell r="AC294">
            <v>-372</v>
          </cell>
          <cell r="AD294">
            <v>0</v>
          </cell>
          <cell r="AE294">
            <v>0</v>
          </cell>
          <cell r="AF294">
            <v>0</v>
          </cell>
          <cell r="AG294">
            <v>0</v>
          </cell>
          <cell r="AH294">
            <v>0</v>
          </cell>
          <cell r="AI294">
            <v>165.2</v>
          </cell>
          <cell r="AK294">
            <v>0</v>
          </cell>
        </row>
        <row r="295">
          <cell r="F295">
            <v>25</v>
          </cell>
          <cell r="P295">
            <v>2</v>
          </cell>
          <cell r="S295">
            <v>7</v>
          </cell>
          <cell r="V295">
            <v>-129</v>
          </cell>
          <cell r="X295">
            <v>85</v>
          </cell>
          <cell r="AA295">
            <v>0</v>
          </cell>
          <cell r="AC295">
            <v>84</v>
          </cell>
          <cell r="AF295">
            <v>13</v>
          </cell>
          <cell r="AG295">
            <v>13</v>
          </cell>
          <cell r="AH295">
            <v>0</v>
          </cell>
          <cell r="AI295">
            <v>70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D296">
            <v>-293</v>
          </cell>
          <cell r="AE296">
            <v>-120.37515151515153</v>
          </cell>
          <cell r="AF296">
            <v>1365.8181818181815</v>
          </cell>
          <cell r="AG296">
            <v>1201</v>
          </cell>
          <cell r="AH296">
            <v>157.81818181818176</v>
          </cell>
          <cell r="AI296">
            <v>36</v>
          </cell>
          <cell r="AK296">
            <v>54477.380519480525</v>
          </cell>
        </row>
        <row r="297">
          <cell r="F297">
            <v>1606</v>
          </cell>
          <cell r="P297">
            <v>0</v>
          </cell>
          <cell r="S297">
            <v>425.33333333333337</v>
          </cell>
          <cell r="X297">
            <v>97.666666666666671</v>
          </cell>
          <cell r="AC297">
            <v>85.333333333333343</v>
          </cell>
          <cell r="AF297">
            <v>0</v>
          </cell>
          <cell r="AG297">
            <v>0</v>
          </cell>
          <cell r="AH297">
            <v>191</v>
          </cell>
          <cell r="AI297">
            <v>59.2</v>
          </cell>
          <cell r="AK297">
            <v>0</v>
          </cell>
        </row>
        <row r="298">
          <cell r="F298">
            <v>37</v>
          </cell>
          <cell r="P298">
            <v>62</v>
          </cell>
          <cell r="S298">
            <v>81</v>
          </cell>
          <cell r="X298">
            <v>-129.33333333333334</v>
          </cell>
          <cell r="AC298">
            <v>0</v>
          </cell>
          <cell r="AF298">
            <v>8</v>
          </cell>
          <cell r="AG298">
            <v>7</v>
          </cell>
          <cell r="AH298">
            <v>1</v>
          </cell>
          <cell r="AI298">
            <v>0</v>
          </cell>
          <cell r="AK298">
            <v>58.666666666666657</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B299">
            <v>0</v>
          </cell>
          <cell r="AC299">
            <v>867.45757575757523</v>
          </cell>
          <cell r="AF299">
            <v>1365.8181818181815</v>
          </cell>
          <cell r="AG299">
            <v>1016.9999999999998</v>
          </cell>
          <cell r="AH299">
            <v>348.81818181818176</v>
          </cell>
          <cell r="AI299">
            <v>0</v>
          </cell>
          <cell r="AK299">
            <v>54477.380519480525</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191</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G302">
            <v>0</v>
          </cell>
          <cell r="H302">
            <v>0</v>
          </cell>
          <cell r="P302">
            <v>0</v>
          </cell>
          <cell r="Q302">
            <v>0</v>
          </cell>
          <cell r="R302">
            <v>0</v>
          </cell>
          <cell r="S302">
            <v>0</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0</v>
          </cell>
          <cell r="AG302">
            <v>0</v>
          </cell>
          <cell r="AH302">
            <v>0</v>
          </cell>
          <cell r="AK302">
            <v>0</v>
          </cell>
        </row>
        <row r="303">
          <cell r="F303">
            <v>0</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D304">
            <v>-293</v>
          </cell>
          <cell r="AE304">
            <v>-120.37515151515153</v>
          </cell>
          <cell r="AF304">
            <v>1365.8181818181815</v>
          </cell>
          <cell r="AG304">
            <v>1016.9999999999998</v>
          </cell>
          <cell r="AH304">
            <v>348.81818181818176</v>
          </cell>
          <cell r="AK304">
            <v>54477.380519480525</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F307">
            <v>41158.976190476198</v>
          </cell>
          <cell r="P307">
            <v>1708.5</v>
          </cell>
          <cell r="Q307">
            <v>0</v>
          </cell>
          <cell r="R307">
            <v>0</v>
          </cell>
          <cell r="S307">
            <v>0</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0</v>
          </cell>
        </row>
        <row r="308">
          <cell r="F308">
            <v>3400</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3400</v>
          </cell>
        </row>
        <row r="309">
          <cell r="P309">
            <v>0</v>
          </cell>
          <cell r="S309">
            <v>0</v>
          </cell>
          <cell r="AK309">
            <v>0</v>
          </cell>
        </row>
        <row r="310">
          <cell r="F310">
            <v>0</v>
          </cell>
          <cell r="P310">
            <v>0</v>
          </cell>
          <cell r="S310">
            <v>0</v>
          </cell>
          <cell r="AK310">
            <v>0</v>
          </cell>
        </row>
        <row r="311">
          <cell r="F311">
            <v>3500</v>
          </cell>
          <cell r="S311">
            <v>0</v>
          </cell>
          <cell r="AK311">
            <v>0</v>
          </cell>
        </row>
        <row r="312">
          <cell r="F312">
            <v>3500</v>
          </cell>
          <cell r="S312">
            <v>0</v>
          </cell>
          <cell r="AK312">
            <v>3500</v>
          </cell>
        </row>
        <row r="313">
          <cell r="F313">
            <v>0</v>
          </cell>
          <cell r="S313">
            <v>0</v>
          </cell>
          <cell r="AK313">
            <v>0</v>
          </cell>
        </row>
        <row r="314">
          <cell r="F314">
            <v>0</v>
          </cell>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cell r="AK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F328">
            <v>186</v>
          </cell>
          <cell r="P328">
            <v>348</v>
          </cell>
          <cell r="S328">
            <v>517</v>
          </cell>
          <cell r="X328">
            <v>175</v>
          </cell>
          <cell r="AC328">
            <v>146</v>
          </cell>
          <cell r="AF328">
            <v>470</v>
          </cell>
          <cell r="AG328">
            <v>407</v>
          </cell>
          <cell r="AH328">
            <v>63</v>
          </cell>
          <cell r="AJ328">
            <v>2455</v>
          </cell>
          <cell r="AK328">
            <v>-82</v>
          </cell>
          <cell r="AM328">
            <v>-95</v>
          </cell>
        </row>
        <row r="329">
          <cell r="F329">
            <v>137</v>
          </cell>
          <cell r="P329">
            <v>237</v>
          </cell>
          <cell r="S329">
            <v>515</v>
          </cell>
          <cell r="X329">
            <v>201</v>
          </cell>
          <cell r="AC329">
            <v>161</v>
          </cell>
          <cell r="AF329">
            <v>444</v>
          </cell>
          <cell r="AG329">
            <v>400</v>
          </cell>
          <cell r="AH329">
            <v>44</v>
          </cell>
          <cell r="AI329">
            <v>103</v>
          </cell>
          <cell r="AK329">
            <v>2514.4714285714285</v>
          </cell>
          <cell r="AM329">
            <v>2514.4714285714285</v>
          </cell>
        </row>
        <row r="330">
          <cell r="AJ330">
            <v>36</v>
          </cell>
          <cell r="AK330">
            <v>3500</v>
          </cell>
          <cell r="AM330">
            <v>3500</v>
          </cell>
        </row>
        <row r="331">
          <cell r="AK331">
            <v>0</v>
          </cell>
          <cell r="AM331">
            <v>50.666666666666657</v>
          </cell>
        </row>
        <row r="332">
          <cell r="AJ332">
            <v>36</v>
          </cell>
          <cell r="AK332">
            <v>444</v>
          </cell>
          <cell r="AM332">
            <v>444</v>
          </cell>
        </row>
        <row r="333">
          <cell r="AK333">
            <v>3995</v>
          </cell>
          <cell r="AM333">
            <v>3500</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cell r="AM343">
            <v>4166</v>
          </cell>
        </row>
        <row r="344">
          <cell r="AK344">
            <v>456</v>
          </cell>
          <cell r="AM344">
            <v>1457</v>
          </cell>
        </row>
        <row r="345">
          <cell r="AK345">
            <v>0</v>
          </cell>
          <cell r="AM345">
            <v>0</v>
          </cell>
        </row>
        <row r="346">
          <cell r="AK346">
            <v>-300</v>
          </cell>
          <cell r="AM346">
            <v>-300</v>
          </cell>
        </row>
        <row r="347">
          <cell r="AK347">
            <v>1197</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248.72727272727269</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396</v>
          </cell>
          <cell r="AM350">
            <v>396</v>
          </cell>
        </row>
        <row r="351">
          <cell r="P351">
            <v>225</v>
          </cell>
          <cell r="S351">
            <v>296</v>
          </cell>
          <cell r="X351">
            <v>56</v>
          </cell>
          <cell r="AC351">
            <v>-117.85909090909095</v>
          </cell>
          <cell r="AF351">
            <v>-167.67727272727276</v>
          </cell>
          <cell r="AG351">
            <v>-167.95000000000005</v>
          </cell>
          <cell r="AH351">
            <v>0.27272727272728048</v>
          </cell>
          <cell r="AK351">
            <v>395</v>
          </cell>
          <cell r="AM351">
            <v>395</v>
          </cell>
        </row>
        <row r="352">
          <cell r="P352">
            <v>225</v>
          </cell>
          <cell r="S352">
            <v>296</v>
          </cell>
          <cell r="X352">
            <v>56</v>
          </cell>
          <cell r="AC352">
            <v>76.181818181818187</v>
          </cell>
          <cell r="AF352">
            <v>304.27272727272725</v>
          </cell>
          <cell r="AG352">
            <v>291.27272727272725</v>
          </cell>
          <cell r="AH352">
            <v>13</v>
          </cell>
          <cell r="AK352">
            <v>0</v>
          </cell>
          <cell r="AM352">
            <v>0</v>
          </cell>
        </row>
        <row r="353">
          <cell r="F353">
            <v>33</v>
          </cell>
          <cell r="P353">
            <v>0</v>
          </cell>
          <cell r="S353">
            <v>0</v>
          </cell>
          <cell r="X353">
            <v>0</v>
          </cell>
          <cell r="AC353">
            <v>0</v>
          </cell>
          <cell r="AF353">
            <v>0</v>
          </cell>
          <cell r="AG353">
            <v>0</v>
          </cell>
          <cell r="AH353">
            <v>0</v>
          </cell>
          <cell r="AK353">
            <v>0</v>
          </cell>
          <cell r="AM353">
            <v>0</v>
          </cell>
        </row>
        <row r="354">
          <cell r="F354">
            <v>0</v>
          </cell>
          <cell r="P354">
            <v>0</v>
          </cell>
          <cell r="S354">
            <v>0</v>
          </cell>
          <cell r="X354">
            <v>0</v>
          </cell>
          <cell r="AC354">
            <v>0</v>
          </cell>
          <cell r="AF354">
            <v>0</v>
          </cell>
          <cell r="AG354">
            <v>0</v>
          </cell>
          <cell r="AH354">
            <v>0</v>
          </cell>
          <cell r="AI354">
            <v>0</v>
          </cell>
          <cell r="AK354">
            <v>5204</v>
          </cell>
          <cell r="AM354" t="e">
            <v>#REF!</v>
          </cell>
        </row>
        <row r="355">
          <cell r="AK355">
            <v>570</v>
          </cell>
          <cell r="AM355">
            <v>0</v>
          </cell>
        </row>
        <row r="356">
          <cell r="AK356">
            <v>726</v>
          </cell>
          <cell r="AM356">
            <v>0</v>
          </cell>
        </row>
        <row r="357">
          <cell r="AK357">
            <v>3908</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J358">
            <v>-2491</v>
          </cell>
          <cell r="AK358">
            <v>716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0">
          <cell r="F370">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Y384">
            <v>131</v>
          </cell>
          <cell r="Z384">
            <v>130</v>
          </cell>
          <cell r="AA384">
            <v>323.66666666666674</v>
          </cell>
          <cell r="AB384">
            <v>257</v>
          </cell>
          <cell r="AC384">
            <v>258</v>
          </cell>
          <cell r="AD384">
            <v>230</v>
          </cell>
          <cell r="AE384">
            <v>231</v>
          </cell>
          <cell r="AK384">
            <v>735.30000000000018</v>
          </cell>
          <cell r="AL384">
            <v>580.33333333333337</v>
          </cell>
          <cell r="AM384">
            <v>551.33333333333337</v>
          </cell>
        </row>
        <row r="385">
          <cell r="F385">
            <v>29</v>
          </cell>
          <cell r="G385">
            <v>21</v>
          </cell>
          <cell r="P385">
            <v>0</v>
          </cell>
          <cell r="V385">
            <v>0</v>
          </cell>
          <cell r="W385">
            <v>0</v>
          </cell>
          <cell r="X385" t="str">
            <v>ТЕЦ5</v>
          </cell>
          <cell r="Y385">
            <v>0</v>
          </cell>
          <cell r="AA385">
            <v>3.6666666666666665</v>
          </cell>
          <cell r="AB385">
            <v>3</v>
          </cell>
          <cell r="AC385" t="str">
            <v>ТЕЦ6</v>
          </cell>
          <cell r="AD385">
            <v>3</v>
          </cell>
          <cell r="AK385">
            <v>46</v>
          </cell>
          <cell r="AL385">
            <v>27</v>
          </cell>
        </row>
        <row r="386">
          <cell r="F386">
            <v>0</v>
          </cell>
          <cell r="G386">
            <v>0</v>
          </cell>
          <cell r="H386">
            <v>91</v>
          </cell>
          <cell r="P386">
            <v>0.66666666666666663</v>
          </cell>
          <cell r="S386">
            <v>14.333333333333332</v>
          </cell>
          <cell r="V386">
            <v>146.66666666666666</v>
          </cell>
          <cell r="W386">
            <v>119</v>
          </cell>
          <cell r="X386" t="str">
            <v>ПЛАН</v>
          </cell>
          <cell r="Y386">
            <v>105</v>
          </cell>
          <cell r="Z386">
            <v>120</v>
          </cell>
          <cell r="AA386">
            <v>280.66666666666669</v>
          </cell>
          <cell r="AB386">
            <v>223</v>
          </cell>
          <cell r="AC386" t="str">
            <v>ПЛАН</v>
          </cell>
          <cell r="AD386">
            <v>200</v>
          </cell>
          <cell r="AE386">
            <v>191</v>
          </cell>
          <cell r="AK386">
            <v>428</v>
          </cell>
          <cell r="AL386">
            <v>342.66666666666669</v>
          </cell>
          <cell r="AM386">
            <v>429.33333333333331</v>
          </cell>
        </row>
        <row r="387">
          <cell r="F387">
            <v>0</v>
          </cell>
          <cell r="G387">
            <v>0</v>
          </cell>
          <cell r="H387">
            <v>106</v>
          </cell>
          <cell r="P387">
            <v>2</v>
          </cell>
          <cell r="S387">
            <v>14.333333333333332</v>
          </cell>
          <cell r="V387">
            <v>0</v>
          </cell>
          <cell r="W387">
            <v>0</v>
          </cell>
          <cell r="X387">
            <v>182</v>
          </cell>
          <cell r="Y387">
            <v>134</v>
          </cell>
          <cell r="Z387">
            <v>134</v>
          </cell>
          <cell r="AA387">
            <v>25</v>
          </cell>
          <cell r="AB387">
            <v>20</v>
          </cell>
          <cell r="AC387">
            <v>323.66666666666674</v>
          </cell>
          <cell r="AD387">
            <v>18</v>
          </cell>
          <cell r="AK387">
            <v>33.666666666666671</v>
          </cell>
          <cell r="AL387">
            <v>25</v>
          </cell>
          <cell r="AM387">
            <v>266.33333333333337</v>
          </cell>
        </row>
        <row r="388">
          <cell r="F388">
            <v>0</v>
          </cell>
          <cell r="G388">
            <v>0</v>
          </cell>
          <cell r="P388">
            <v>0</v>
          </cell>
          <cell r="V388">
            <v>25.333333333333332</v>
          </cell>
          <cell r="W388">
            <v>21</v>
          </cell>
          <cell r="X388">
            <v>0</v>
          </cell>
          <cell r="Y388">
            <v>0</v>
          </cell>
          <cell r="AA388">
            <v>0.66666666666666663</v>
          </cell>
          <cell r="AB388">
            <v>1</v>
          </cell>
          <cell r="AC388">
            <v>3.6666666666666665</v>
          </cell>
          <cell r="AD388">
            <v>0</v>
          </cell>
          <cell r="AK388">
            <v>26</v>
          </cell>
          <cell r="AL388">
            <v>22</v>
          </cell>
        </row>
        <row r="389">
          <cell r="F389">
            <v>120.63333333333333</v>
          </cell>
          <cell r="G389">
            <v>88</v>
          </cell>
          <cell r="P389">
            <v>0</v>
          </cell>
          <cell r="V389">
            <v>0</v>
          </cell>
          <cell r="W389">
            <v>0</v>
          </cell>
          <cell r="X389">
            <v>146.66666666666666</v>
          </cell>
          <cell r="Y389">
            <v>108</v>
          </cell>
          <cell r="AA389">
            <v>0</v>
          </cell>
          <cell r="AB389">
            <v>0</v>
          </cell>
          <cell r="AC389">
            <v>280.66666666666669</v>
          </cell>
          <cell r="AD389">
            <v>0</v>
          </cell>
          <cell r="AK389">
            <v>120.63333333333333</v>
          </cell>
          <cell r="AL389">
            <v>90</v>
          </cell>
        </row>
        <row r="390">
          <cell r="F390">
            <v>8.6666666666666661</v>
          </cell>
          <cell r="G390">
            <v>6</v>
          </cell>
          <cell r="P390">
            <v>0</v>
          </cell>
          <cell r="V390">
            <v>0</v>
          </cell>
          <cell r="W390">
            <v>0</v>
          </cell>
          <cell r="X390">
            <v>0</v>
          </cell>
          <cell r="Y390">
            <v>0</v>
          </cell>
          <cell r="AA390">
            <v>0</v>
          </cell>
          <cell r="AB390">
            <v>0</v>
          </cell>
          <cell r="AC390">
            <v>25</v>
          </cell>
          <cell r="AD390">
            <v>0</v>
          </cell>
          <cell r="AK390">
            <v>8.6666666666666661</v>
          </cell>
          <cell r="AL390">
            <v>0</v>
          </cell>
        </row>
        <row r="391">
          <cell r="F391">
            <v>0</v>
          </cell>
          <cell r="G391">
            <v>0</v>
          </cell>
          <cell r="P391">
            <v>5.333333333333333</v>
          </cell>
          <cell r="V391">
            <v>0</v>
          </cell>
          <cell r="W391">
            <v>0</v>
          </cell>
          <cell r="X391">
            <v>25.333333333333332</v>
          </cell>
          <cell r="Y391">
            <v>19</v>
          </cell>
          <cell r="AA391">
            <v>0</v>
          </cell>
          <cell r="AB391">
            <v>0</v>
          </cell>
          <cell r="AC391">
            <v>0.66666666666666663</v>
          </cell>
          <cell r="AD391">
            <v>0</v>
          </cell>
          <cell r="AK391">
            <v>22</v>
          </cell>
          <cell r="AL391">
            <v>15.333333333333332</v>
          </cell>
        </row>
        <row r="392">
          <cell r="F392">
            <v>5.333333333333333</v>
          </cell>
          <cell r="G392">
            <v>4</v>
          </cell>
          <cell r="P392">
            <v>0</v>
          </cell>
          <cell r="V392">
            <v>0</v>
          </cell>
          <cell r="W392">
            <v>0</v>
          </cell>
          <cell r="X392">
            <v>0</v>
          </cell>
          <cell r="Y392">
            <v>0</v>
          </cell>
          <cell r="AA392">
            <v>0</v>
          </cell>
          <cell r="AB392">
            <v>0</v>
          </cell>
          <cell r="AC392">
            <v>0</v>
          </cell>
          <cell r="AD392">
            <v>0</v>
          </cell>
          <cell r="AK392">
            <v>5.333333333333333</v>
          </cell>
          <cell r="AL392">
            <v>4</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0</v>
          </cell>
          <cell r="Y394">
            <v>0</v>
          </cell>
          <cell r="AA394">
            <v>13.666666666666666</v>
          </cell>
          <cell r="AB394">
            <v>11</v>
          </cell>
          <cell r="AC394">
            <v>0</v>
          </cell>
          <cell r="AD394">
            <v>10</v>
          </cell>
          <cell r="AK394">
            <v>26</v>
          </cell>
          <cell r="AL394">
            <v>21</v>
          </cell>
        </row>
        <row r="395">
          <cell r="F395">
            <v>0</v>
          </cell>
          <cell r="G395">
            <v>0</v>
          </cell>
          <cell r="P395">
            <v>0</v>
          </cell>
          <cell r="V395">
            <v>0</v>
          </cell>
          <cell r="W395">
            <v>0</v>
          </cell>
          <cell r="X395">
            <v>0</v>
          </cell>
          <cell r="Y395">
            <v>0</v>
          </cell>
          <cell r="AA395">
            <v>0</v>
          </cell>
          <cell r="AB395">
            <v>0</v>
          </cell>
          <cell r="AC395">
            <v>0</v>
          </cell>
          <cell r="AD395">
            <v>0</v>
          </cell>
          <cell r="AK395">
            <v>0</v>
          </cell>
          <cell r="AL395">
            <v>3</v>
          </cell>
        </row>
        <row r="396">
          <cell r="F396">
            <v>1.1666666666666667</v>
          </cell>
          <cell r="G396">
            <v>1</v>
          </cell>
          <cell r="P396">
            <v>20.5</v>
          </cell>
          <cell r="V396">
            <v>522.33333333333337</v>
          </cell>
          <cell r="W396">
            <v>424</v>
          </cell>
          <cell r="X396">
            <v>0</v>
          </cell>
          <cell r="Y396">
            <v>0</v>
          </cell>
          <cell r="AA396">
            <v>43</v>
          </cell>
          <cell r="AB396">
            <v>34</v>
          </cell>
          <cell r="AC396">
            <v>0</v>
          </cell>
          <cell r="AD396">
            <v>31</v>
          </cell>
          <cell r="AK396">
            <v>587.33333333333337</v>
          </cell>
          <cell r="AL396">
            <v>479.5</v>
          </cell>
          <cell r="AM396">
            <v>479.83333333333337</v>
          </cell>
        </row>
        <row r="397">
          <cell r="F397">
            <v>0</v>
          </cell>
          <cell r="G397">
            <v>0</v>
          </cell>
          <cell r="P397">
            <v>0</v>
          </cell>
          <cell r="V397">
            <v>0</v>
          </cell>
          <cell r="W397">
            <v>0</v>
          </cell>
          <cell r="X397">
            <v>10</v>
          </cell>
          <cell r="Y397">
            <v>7</v>
          </cell>
          <cell r="AA397">
            <v>0</v>
          </cell>
          <cell r="AB397">
            <v>0</v>
          </cell>
          <cell r="AC397">
            <v>13.666666666666666</v>
          </cell>
          <cell r="AD397">
            <v>0</v>
          </cell>
          <cell r="AK397">
            <v>0</v>
          </cell>
          <cell r="AL397">
            <v>0</v>
          </cell>
        </row>
        <row r="398">
          <cell r="F398">
            <v>0</v>
          </cell>
          <cell r="G398">
            <v>0</v>
          </cell>
          <cell r="P398">
            <v>0</v>
          </cell>
          <cell r="V398">
            <v>480.66666666666669</v>
          </cell>
          <cell r="W398">
            <v>390</v>
          </cell>
          <cell r="X398">
            <v>0</v>
          </cell>
          <cell r="Y398">
            <v>0</v>
          </cell>
          <cell r="AA398">
            <v>11</v>
          </cell>
          <cell r="AB398">
            <v>9</v>
          </cell>
          <cell r="AC398">
            <v>0</v>
          </cell>
          <cell r="AD398">
            <v>8</v>
          </cell>
          <cell r="AK398">
            <v>491.66666666666669</v>
          </cell>
          <cell r="AL398">
            <v>399</v>
          </cell>
          <cell r="AM398">
            <v>388.83333333333337</v>
          </cell>
        </row>
        <row r="399">
          <cell r="F399">
            <v>0</v>
          </cell>
          <cell r="G399">
            <v>0</v>
          </cell>
          <cell r="P399">
            <v>0</v>
          </cell>
          <cell r="V399">
            <v>0</v>
          </cell>
          <cell r="W399">
            <v>0</v>
          </cell>
          <cell r="X399">
            <v>522.33333333333337</v>
          </cell>
          <cell r="Y399">
            <v>386</v>
          </cell>
          <cell r="AA399">
            <v>0</v>
          </cell>
          <cell r="AB399">
            <v>0</v>
          </cell>
          <cell r="AC399">
            <v>43</v>
          </cell>
          <cell r="AD399">
            <v>0</v>
          </cell>
          <cell r="AK399">
            <v>0</v>
          </cell>
          <cell r="AL399">
            <v>0</v>
          </cell>
          <cell r="AM399">
            <v>407.83333333333331</v>
          </cell>
        </row>
        <row r="400">
          <cell r="F400">
            <v>1.1666666666666667</v>
          </cell>
          <cell r="G400">
            <v>1</v>
          </cell>
          <cell r="P400">
            <v>15.833333333333334</v>
          </cell>
          <cell r="V400">
            <v>41.666666666666664</v>
          </cell>
          <cell r="W400">
            <v>34</v>
          </cell>
          <cell r="X400">
            <v>0</v>
          </cell>
          <cell r="Y400">
            <v>0</v>
          </cell>
          <cell r="AA400">
            <v>32</v>
          </cell>
          <cell r="AB400">
            <v>25</v>
          </cell>
          <cell r="AC400">
            <v>0</v>
          </cell>
          <cell r="AD400">
            <v>23</v>
          </cell>
          <cell r="AK400">
            <v>91</v>
          </cell>
          <cell r="AL400">
            <v>80.833333333333343</v>
          </cell>
        </row>
        <row r="401">
          <cell r="F401">
            <v>0</v>
          </cell>
          <cell r="G401">
            <v>0</v>
          </cell>
          <cell r="P401">
            <v>4.666666666666667</v>
          </cell>
          <cell r="V401">
            <v>0</v>
          </cell>
          <cell r="W401">
            <v>0</v>
          </cell>
          <cell r="X401">
            <v>480.66666666666669</v>
          </cell>
          <cell r="Y401">
            <v>355</v>
          </cell>
          <cell r="AA401">
            <v>0</v>
          </cell>
          <cell r="AB401">
            <v>0</v>
          </cell>
          <cell r="AC401">
            <v>11</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10</v>
          </cell>
          <cell r="G403">
            <v>7</v>
          </cell>
          <cell r="P403">
            <v>39</v>
          </cell>
          <cell r="V403">
            <v>0</v>
          </cell>
          <cell r="W403">
            <v>0</v>
          </cell>
          <cell r="X403">
            <v>41.666666666666664</v>
          </cell>
          <cell r="Y403">
            <v>31</v>
          </cell>
          <cell r="AA403">
            <v>0</v>
          </cell>
          <cell r="AB403">
            <v>0</v>
          </cell>
          <cell r="AC403">
            <v>32</v>
          </cell>
          <cell r="AD403">
            <v>0</v>
          </cell>
          <cell r="AK403">
            <v>49</v>
          </cell>
          <cell r="AL403">
            <v>46</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45</v>
          </cell>
          <cell r="AM406">
            <v>46</v>
          </cell>
        </row>
        <row r="407">
          <cell r="F407">
            <v>206.33333333333329</v>
          </cell>
          <cell r="G407">
            <v>151</v>
          </cell>
          <cell r="H407">
            <v>150</v>
          </cell>
          <cell r="P407">
            <v>50.166666666666671</v>
          </cell>
          <cell r="S407">
            <v>50.166666666666671</v>
          </cell>
          <cell r="V407">
            <v>37.833333333333343</v>
          </cell>
          <cell r="W407">
            <v>31</v>
          </cell>
          <cell r="X407">
            <v>0</v>
          </cell>
          <cell r="Y407">
            <v>0</v>
          </cell>
          <cell r="AA407">
            <v>26.000000000000004</v>
          </cell>
          <cell r="AB407">
            <v>21</v>
          </cell>
          <cell r="AC407">
            <v>0</v>
          </cell>
          <cell r="AD407">
            <v>18</v>
          </cell>
          <cell r="AK407">
            <v>1965.0000000000002</v>
          </cell>
          <cell r="AL407">
            <v>513.16666666666663</v>
          </cell>
          <cell r="AM407">
            <v>513.16666666666663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H410">
            <v>134</v>
          </cell>
          <cell r="P410">
            <v>0</v>
          </cell>
          <cell r="S410">
            <v>50.166666666666671</v>
          </cell>
          <cell r="V410">
            <v>0</v>
          </cell>
          <cell r="W410">
            <v>0</v>
          </cell>
          <cell r="X410">
            <v>37.833333333333343</v>
          </cell>
          <cell r="Y410">
            <v>28</v>
          </cell>
          <cell r="AA410">
            <v>0</v>
          </cell>
          <cell r="AB410">
            <v>0</v>
          </cell>
          <cell r="AC410">
            <v>26.000000000000004</v>
          </cell>
          <cell r="AD410">
            <v>0</v>
          </cell>
          <cell r="AK410">
            <v>0</v>
          </cell>
          <cell r="AL410">
            <v>0</v>
          </cell>
          <cell r="AM410">
            <v>469.16666666666663</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0</v>
          </cell>
          <cell r="Y413">
            <v>0</v>
          </cell>
          <cell r="AA413">
            <v>3</v>
          </cell>
          <cell r="AB413">
            <v>2</v>
          </cell>
          <cell r="AC413">
            <v>0</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3</v>
          </cell>
          <cell r="Y416">
            <v>2</v>
          </cell>
          <cell r="AA416">
            <v>1.3333333333333333</v>
          </cell>
          <cell r="AB416">
            <v>1</v>
          </cell>
          <cell r="AC416">
            <v>3</v>
          </cell>
          <cell r="AD416">
            <v>1</v>
          </cell>
          <cell r="AK416">
            <v>28.5</v>
          </cell>
          <cell r="AL416">
            <v>27.5</v>
          </cell>
        </row>
        <row r="417">
          <cell r="F417">
            <v>0</v>
          </cell>
          <cell r="G417">
            <v>0</v>
          </cell>
          <cell r="P417">
            <v>1.3333333333333333</v>
          </cell>
          <cell r="V417">
            <v>0</v>
          </cell>
          <cell r="W417">
            <v>0</v>
          </cell>
          <cell r="X417">
            <v>0</v>
          </cell>
          <cell r="Y417">
            <v>0</v>
          </cell>
          <cell r="AA417">
            <v>1.6666666666666667</v>
          </cell>
          <cell r="AB417">
            <v>1</v>
          </cell>
          <cell r="AC417">
            <v>0</v>
          </cell>
          <cell r="AD417">
            <v>1</v>
          </cell>
          <cell r="AK417">
            <v>69</v>
          </cell>
          <cell r="AL417">
            <v>52.333333333333336</v>
          </cell>
        </row>
        <row r="418">
          <cell r="F418">
            <v>177</v>
          </cell>
          <cell r="G418">
            <v>129</v>
          </cell>
          <cell r="P418">
            <v>0</v>
          </cell>
          <cell r="V418">
            <v>0</v>
          </cell>
          <cell r="W418">
            <v>0</v>
          </cell>
          <cell r="X418">
            <v>0</v>
          </cell>
          <cell r="Y418">
            <v>0</v>
          </cell>
          <cell r="AA418">
            <v>0</v>
          </cell>
          <cell r="AB418">
            <v>0</v>
          </cell>
          <cell r="AC418">
            <v>0</v>
          </cell>
          <cell r="AD418">
            <v>0</v>
          </cell>
          <cell r="AK418">
            <v>177</v>
          </cell>
          <cell r="AL418">
            <v>129</v>
          </cell>
        </row>
        <row r="419">
          <cell r="F419">
            <v>0</v>
          </cell>
          <cell r="G419">
            <v>0</v>
          </cell>
          <cell r="P419">
            <v>0</v>
          </cell>
          <cell r="V419">
            <v>10</v>
          </cell>
          <cell r="W419">
            <v>8</v>
          </cell>
          <cell r="X419">
            <v>4.5</v>
          </cell>
          <cell r="Y419">
            <v>3</v>
          </cell>
          <cell r="AA419">
            <v>7.666666666666667</v>
          </cell>
          <cell r="AB419">
            <v>6</v>
          </cell>
          <cell r="AC419">
            <v>1.3333333333333333</v>
          </cell>
          <cell r="AD419">
            <v>5</v>
          </cell>
          <cell r="AK419">
            <v>17.666666666666668</v>
          </cell>
          <cell r="AL419">
            <v>14</v>
          </cell>
        </row>
        <row r="420">
          <cell r="F420">
            <v>0.66666666666666663</v>
          </cell>
          <cell r="G420">
            <v>0</v>
          </cell>
          <cell r="P420">
            <v>2</v>
          </cell>
          <cell r="V420">
            <v>1.3333333333333333</v>
          </cell>
          <cell r="W420">
            <v>1</v>
          </cell>
          <cell r="X420">
            <v>0</v>
          </cell>
          <cell r="Y420">
            <v>0</v>
          </cell>
          <cell r="AA420">
            <v>1</v>
          </cell>
          <cell r="AB420">
            <v>1</v>
          </cell>
          <cell r="AC420">
            <v>1.6666666666666667</v>
          </cell>
          <cell r="AD420">
            <v>1</v>
          </cell>
          <cell r="AK420">
            <v>6</v>
          </cell>
          <cell r="AL420">
            <v>4</v>
          </cell>
        </row>
        <row r="421">
          <cell r="F421">
            <v>2.6666666666666665</v>
          </cell>
          <cell r="G421">
            <v>2</v>
          </cell>
          <cell r="P421">
            <v>0.33333333333333331</v>
          </cell>
          <cell r="V421">
            <v>1</v>
          </cell>
          <cell r="W421">
            <v>1</v>
          </cell>
          <cell r="X421">
            <v>0</v>
          </cell>
          <cell r="Y421">
            <v>0</v>
          </cell>
          <cell r="AA421">
            <v>0.66666666666666663</v>
          </cell>
          <cell r="AB421">
            <v>1</v>
          </cell>
          <cell r="AC421">
            <v>0</v>
          </cell>
          <cell r="AD421">
            <v>0</v>
          </cell>
          <cell r="AK421">
            <v>9.3333333333333339</v>
          </cell>
          <cell r="AL421">
            <v>6.333333333333333</v>
          </cell>
        </row>
        <row r="422">
          <cell r="F422">
            <v>0</v>
          </cell>
          <cell r="G422">
            <v>0</v>
          </cell>
          <cell r="P422">
            <v>2.3333333333333335</v>
          </cell>
          <cell r="V422">
            <v>6</v>
          </cell>
          <cell r="W422">
            <v>5</v>
          </cell>
          <cell r="X422">
            <v>10</v>
          </cell>
          <cell r="Y422">
            <v>7</v>
          </cell>
          <cell r="AA422">
            <v>5</v>
          </cell>
          <cell r="AB422">
            <v>4</v>
          </cell>
          <cell r="AC422">
            <v>7.666666666666667</v>
          </cell>
          <cell r="AD422">
            <v>4</v>
          </cell>
          <cell r="AK422">
            <v>13.333333333333334</v>
          </cell>
          <cell r="AL422">
            <v>11.333333333333334</v>
          </cell>
        </row>
        <row r="423">
          <cell r="F423">
            <v>0</v>
          </cell>
          <cell r="G423">
            <v>0</v>
          </cell>
          <cell r="P423">
            <v>0</v>
          </cell>
          <cell r="V423">
            <v>0</v>
          </cell>
          <cell r="W423">
            <v>0</v>
          </cell>
          <cell r="X423">
            <v>1.3333333333333333</v>
          </cell>
          <cell r="Y423">
            <v>1</v>
          </cell>
          <cell r="AA423">
            <v>0</v>
          </cell>
          <cell r="AB423">
            <v>0</v>
          </cell>
          <cell r="AC423">
            <v>1</v>
          </cell>
          <cell r="AD423">
            <v>0</v>
          </cell>
          <cell r="AK423">
            <v>0</v>
          </cell>
          <cell r="AL423">
            <v>0</v>
          </cell>
        </row>
        <row r="424">
          <cell r="F424">
            <v>0</v>
          </cell>
          <cell r="G424">
            <v>0</v>
          </cell>
          <cell r="P424">
            <v>0</v>
          </cell>
          <cell r="V424">
            <v>0</v>
          </cell>
          <cell r="W424">
            <v>0</v>
          </cell>
          <cell r="X424">
            <v>1</v>
          </cell>
          <cell r="Y424">
            <v>1</v>
          </cell>
          <cell r="AA424">
            <v>0</v>
          </cell>
          <cell r="AB424">
            <v>0</v>
          </cell>
          <cell r="AC424">
            <v>0.66666666666666663</v>
          </cell>
          <cell r="AD424">
            <v>0</v>
          </cell>
          <cell r="AK424">
            <v>0</v>
          </cell>
          <cell r="AL424">
            <v>0</v>
          </cell>
        </row>
        <row r="425">
          <cell r="F425">
            <v>9.6666666666666661</v>
          </cell>
          <cell r="G425">
            <v>7</v>
          </cell>
          <cell r="P425">
            <v>1</v>
          </cell>
          <cell r="V425">
            <v>0</v>
          </cell>
          <cell r="W425">
            <v>0</v>
          </cell>
          <cell r="X425">
            <v>6</v>
          </cell>
          <cell r="Y425">
            <v>4</v>
          </cell>
          <cell r="AA425">
            <v>0</v>
          </cell>
          <cell r="AB425">
            <v>0</v>
          </cell>
          <cell r="AC425">
            <v>5</v>
          </cell>
          <cell r="AD425">
            <v>0</v>
          </cell>
          <cell r="AK425">
            <v>12</v>
          </cell>
          <cell r="AL425">
            <v>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2</v>
          </cell>
          <cell r="P427">
            <v>0.66666666666666663</v>
          </cell>
          <cell r="V427">
            <v>0.66666666666666663</v>
          </cell>
          <cell r="W427">
            <v>1</v>
          </cell>
          <cell r="X427">
            <v>0</v>
          </cell>
          <cell r="Y427">
            <v>0</v>
          </cell>
          <cell r="AA427">
            <v>0.66666666666666663</v>
          </cell>
          <cell r="AB427">
            <v>1</v>
          </cell>
          <cell r="AC427">
            <v>0</v>
          </cell>
          <cell r="AD427">
            <v>0</v>
          </cell>
          <cell r="AK427">
            <v>4.333333333333333</v>
          </cell>
          <cell r="AL427">
            <v>4.6666666666666661</v>
          </cell>
        </row>
        <row r="428">
          <cell r="F428">
            <v>1.6666666666666667</v>
          </cell>
          <cell r="G428">
            <v>1</v>
          </cell>
          <cell r="P428">
            <v>0.66666666666666663</v>
          </cell>
          <cell r="V428">
            <v>0.66666666666666663</v>
          </cell>
          <cell r="W428">
            <v>1</v>
          </cell>
          <cell r="X428">
            <v>0</v>
          </cell>
          <cell r="Y428">
            <v>0</v>
          </cell>
          <cell r="AA428">
            <v>0.66666666666666663</v>
          </cell>
          <cell r="AB428">
            <v>1</v>
          </cell>
          <cell r="AC428">
            <v>0</v>
          </cell>
          <cell r="AD428">
            <v>0</v>
          </cell>
          <cell r="AK428">
            <v>3.6666666666666665</v>
          </cell>
          <cell r="AL428">
            <v>3.6666666666666665</v>
          </cell>
        </row>
        <row r="429">
          <cell r="F429">
            <v>6.666666666666667</v>
          </cell>
          <cell r="G429">
            <v>5</v>
          </cell>
          <cell r="P429">
            <v>4.666666666666667</v>
          </cell>
          <cell r="V429">
            <v>3</v>
          </cell>
          <cell r="W429">
            <v>2</v>
          </cell>
          <cell r="X429">
            <v>0</v>
          </cell>
          <cell r="Y429">
            <v>0</v>
          </cell>
          <cell r="AA429">
            <v>2</v>
          </cell>
          <cell r="AB429">
            <v>2</v>
          </cell>
          <cell r="AC429">
            <v>0</v>
          </cell>
          <cell r="AD429">
            <v>1</v>
          </cell>
          <cell r="AK429">
            <v>33</v>
          </cell>
          <cell r="AL429">
            <v>23.666666666666668</v>
          </cell>
        </row>
        <row r="430">
          <cell r="F430">
            <v>0</v>
          </cell>
          <cell r="G430">
            <v>0</v>
          </cell>
          <cell r="P430">
            <v>0</v>
          </cell>
          <cell r="V430">
            <v>0</v>
          </cell>
          <cell r="W430">
            <v>0</v>
          </cell>
          <cell r="X430">
            <v>0.66666666666666663</v>
          </cell>
          <cell r="Y430">
            <v>0</v>
          </cell>
          <cell r="AA430">
            <v>0</v>
          </cell>
          <cell r="AB430">
            <v>0</v>
          </cell>
          <cell r="AC430">
            <v>0.66666666666666663</v>
          </cell>
          <cell r="AD430">
            <v>0</v>
          </cell>
          <cell r="AK430">
            <v>0</v>
          </cell>
          <cell r="AL430">
            <v>0</v>
          </cell>
        </row>
        <row r="431">
          <cell r="F431">
            <v>0</v>
          </cell>
          <cell r="G431">
            <v>0</v>
          </cell>
          <cell r="P431">
            <v>0</v>
          </cell>
          <cell r="V431">
            <v>0</v>
          </cell>
          <cell r="W431">
            <v>0</v>
          </cell>
          <cell r="X431">
            <v>0.66666666666666663</v>
          </cell>
          <cell r="Y431">
            <v>0</v>
          </cell>
          <cell r="AA431">
            <v>0</v>
          </cell>
          <cell r="AB431">
            <v>0</v>
          </cell>
          <cell r="AC431">
            <v>0.66666666666666663</v>
          </cell>
          <cell r="AD431">
            <v>0</v>
          </cell>
          <cell r="AK431">
            <v>0</v>
          </cell>
          <cell r="AL431">
            <v>53</v>
          </cell>
        </row>
        <row r="432">
          <cell r="F432">
            <v>1</v>
          </cell>
          <cell r="G432">
            <v>1</v>
          </cell>
          <cell r="P432">
            <v>0</v>
          </cell>
          <cell r="V432">
            <v>0</v>
          </cell>
          <cell r="W432">
            <v>0</v>
          </cell>
          <cell r="X432">
            <v>3</v>
          </cell>
          <cell r="Y432">
            <v>2</v>
          </cell>
          <cell r="AA432">
            <v>0</v>
          </cell>
          <cell r="AB432">
            <v>0</v>
          </cell>
          <cell r="AC432">
            <v>2</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0</v>
          </cell>
          <cell r="Y435">
            <v>0</v>
          </cell>
          <cell r="AA435">
            <v>2</v>
          </cell>
          <cell r="AB435">
            <v>2</v>
          </cell>
          <cell r="AC435">
            <v>0</v>
          </cell>
          <cell r="AD435">
            <v>1</v>
          </cell>
          <cell r="AK435">
            <v>15.666666666666666</v>
          </cell>
          <cell r="AL435">
            <v>11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3.3333333333333335</v>
          </cell>
          <cell r="AL437">
            <v>3</v>
          </cell>
        </row>
        <row r="438">
          <cell r="F438">
            <v>0.33333333333333331</v>
          </cell>
          <cell r="G438">
            <v>0</v>
          </cell>
          <cell r="P438">
            <v>0.33333333333333331</v>
          </cell>
          <cell r="V438">
            <v>0.33333333333333331</v>
          </cell>
          <cell r="W438">
            <v>0</v>
          </cell>
          <cell r="X438">
            <v>4</v>
          </cell>
          <cell r="Y438">
            <v>3</v>
          </cell>
          <cell r="AA438">
            <v>0.33333333333333331</v>
          </cell>
          <cell r="AB438">
            <v>0</v>
          </cell>
          <cell r="AC438">
            <v>2</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0</v>
          </cell>
          <cell r="AL440">
            <v>0</v>
          </cell>
        </row>
        <row r="441">
          <cell r="F441">
            <v>0</v>
          </cell>
          <cell r="G441">
            <v>0</v>
          </cell>
          <cell r="P441">
            <v>0</v>
          </cell>
          <cell r="V441">
            <v>0</v>
          </cell>
          <cell r="W441">
            <v>0</v>
          </cell>
          <cell r="X441">
            <v>0.33333333333333331</v>
          </cell>
          <cell r="Y441">
            <v>0</v>
          </cell>
          <cell r="AA441">
            <v>0</v>
          </cell>
          <cell r="AB441">
            <v>0</v>
          </cell>
          <cell r="AC441">
            <v>0.33333333333333331</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G448">
            <v>0</v>
          </cell>
          <cell r="P448">
            <v>0</v>
          </cell>
          <cell r="X448">
            <v>0</v>
          </cell>
          <cell r="Y448">
            <v>0</v>
          </cell>
          <cell r="AC448">
            <v>0</v>
          </cell>
          <cell r="AD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Q32">
            <v>248</v>
          </cell>
          <cell r="V32">
            <v>391</v>
          </cell>
        </row>
        <row r="33">
          <cell r="P33">
            <v>12306</v>
          </cell>
          <cell r="Q33">
            <v>233.6</v>
          </cell>
          <cell r="S33">
            <v>52204</v>
          </cell>
          <cell r="V33">
            <v>363.9</v>
          </cell>
          <cell r="X33">
            <v>13845</v>
          </cell>
          <cell r="AC33">
            <v>7693</v>
          </cell>
          <cell r="AF33">
            <v>19609</v>
          </cell>
        </row>
        <row r="34">
          <cell r="Q34" t="str">
            <v>КТМ</v>
          </cell>
          <cell r="V34" t="str">
            <v xml:space="preserve">ТЕЦ-5 </v>
          </cell>
          <cell r="Y34" t="str">
            <v xml:space="preserve">ТЕЦ-6 </v>
          </cell>
          <cell r="AA34" t="str">
            <v xml:space="preserve">ТЕЦ-6 </v>
          </cell>
        </row>
        <row r="35">
          <cell r="V35">
            <v>0</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v>3</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V37">
            <v>0</v>
          </cell>
          <cell r="AL37">
            <v>395</v>
          </cell>
        </row>
        <row r="38">
          <cell r="V38">
            <v>334</v>
          </cell>
          <cell r="AL38">
            <v>336</v>
          </cell>
        </row>
        <row r="39">
          <cell r="V39">
            <v>331</v>
          </cell>
          <cell r="AL39">
            <v>0</v>
          </cell>
        </row>
        <row r="40">
          <cell r="R40">
            <v>67</v>
          </cell>
          <cell r="W40">
            <v>261</v>
          </cell>
        </row>
        <row r="41">
          <cell r="W41">
            <v>0</v>
          </cell>
          <cell r="AL41">
            <v>0</v>
          </cell>
        </row>
        <row r="42">
          <cell r="R42">
            <v>67</v>
          </cell>
          <cell r="W42">
            <v>171</v>
          </cell>
          <cell r="AL42">
            <v>0</v>
          </cell>
        </row>
        <row r="43">
          <cell r="AL43">
            <v>395.6</v>
          </cell>
        </row>
        <row r="44">
          <cell r="P44">
            <v>0</v>
          </cell>
          <cell r="Q44" t="e">
            <v>#REF!</v>
          </cell>
          <cell r="R44" t="e">
            <v>#REF!</v>
          </cell>
          <cell r="T44">
            <v>16</v>
          </cell>
          <cell r="U44" t="e">
            <v>#REF!</v>
          </cell>
          <cell r="V44" t="e">
            <v>#REF!</v>
          </cell>
          <cell r="W44" t="e">
            <v>#REF!</v>
          </cell>
          <cell r="X44" t="e">
            <v>#REF!</v>
          </cell>
          <cell r="Y44" t="str">
            <v/>
          </cell>
          <cell r="Z44" t="e">
            <v>#REF!</v>
          </cell>
          <cell r="AA44" t="e">
            <v>#REF!</v>
          </cell>
          <cell r="AL44">
            <v>395.6</v>
          </cell>
        </row>
        <row r="45">
          <cell r="P45" t="e">
            <v>#REF!</v>
          </cell>
          <cell r="Q45" t="e">
            <v>#REF!</v>
          </cell>
          <cell r="R45" t="e">
            <v>#REF!</v>
          </cell>
          <cell r="U45" t="e">
            <v>#REF!</v>
          </cell>
          <cell r="AM45">
            <v>1580</v>
          </cell>
        </row>
        <row r="46">
          <cell r="P46" t="e">
            <v>#REF!</v>
          </cell>
          <cell r="Q46" t="e">
            <v>#REF!</v>
          </cell>
          <cell r="R46" t="e">
            <v>#REF!</v>
          </cell>
          <cell r="U46" t="e">
            <v>#REF!</v>
          </cell>
          <cell r="AM46">
            <v>0</v>
          </cell>
        </row>
        <row r="47">
          <cell r="P47" t="e">
            <v>#REF!</v>
          </cell>
          <cell r="Q47" t="e">
            <v>#REF!</v>
          </cell>
          <cell r="U47" t="e">
            <v>#REF!</v>
          </cell>
          <cell r="AM47">
            <v>1580</v>
          </cell>
        </row>
        <row r="48">
          <cell r="F48">
            <v>12311.2</v>
          </cell>
          <cell r="P48">
            <v>3642.12</v>
          </cell>
          <cell r="Q48" t="e">
            <v>#REF!</v>
          </cell>
          <cell r="R48" t="e">
            <v>#REF!</v>
          </cell>
          <cell r="S48">
            <v>4914.9412121212117</v>
          </cell>
          <cell r="T48">
            <v>2221.1818606060606</v>
          </cell>
          <cell r="U48">
            <v>2612.759351515152</v>
          </cell>
          <cell r="V48" t="e">
            <v>#REF!</v>
          </cell>
          <cell r="W48" t="e">
            <v>#REF!</v>
          </cell>
          <cell r="X48">
            <v>1941.8530303030293</v>
          </cell>
          <cell r="Y48" t="e">
            <v>#REF!</v>
          </cell>
          <cell r="Z48" t="e">
            <v>#REF!</v>
          </cell>
          <cell r="AA48" t="e">
            <v>#REF!</v>
          </cell>
          <cell r="AC48">
            <v>1753.5509090909086</v>
          </cell>
          <cell r="AF48">
            <v>3698.0493939393937</v>
          </cell>
          <cell r="AG48">
            <v>3251.35</v>
          </cell>
          <cell r="AH48">
            <v>415.69939393939387</v>
          </cell>
        </row>
        <row r="49">
          <cell r="F49">
            <v>0.85</v>
          </cell>
          <cell r="P49" t="e">
            <v>#REF!</v>
          </cell>
          <cell r="Q49" t="e">
            <v>#REF!</v>
          </cell>
          <cell r="R49" t="e">
            <v>#REF!</v>
          </cell>
          <cell r="S49">
            <v>0.85</v>
          </cell>
          <cell r="U49" t="e">
            <v>#REF!</v>
          </cell>
          <cell r="V49" t="e">
            <v>#REF!</v>
          </cell>
          <cell r="W49" t="e">
            <v>#REF!</v>
          </cell>
          <cell r="X49" t="e">
            <v>#REF!</v>
          </cell>
          <cell r="Y49" t="e">
            <v>#REF!</v>
          </cell>
          <cell r="Z49" t="e">
            <v>#REF!</v>
          </cell>
          <cell r="AA49" t="e">
            <v>#REF!</v>
          </cell>
          <cell r="AC49">
            <v>0.85</v>
          </cell>
          <cell r="AF49">
            <v>0.85</v>
          </cell>
          <cell r="AG49">
            <v>0.85</v>
          </cell>
          <cell r="AH49">
            <v>0.85</v>
          </cell>
        </row>
        <row r="50">
          <cell r="P50" t="e">
            <v>#REF!</v>
          </cell>
          <cell r="Q50" t="e">
            <v>#REF!</v>
          </cell>
          <cell r="R50" t="e">
            <v>#REF!</v>
          </cell>
          <cell r="T50">
            <v>0</v>
          </cell>
          <cell r="U50" t="e">
            <v>#REF!</v>
          </cell>
          <cell r="V50" t="e">
            <v>#REF!</v>
          </cell>
          <cell r="W50" t="e">
            <v>#REF!</v>
          </cell>
          <cell r="X50" t="e">
            <v>#REF!</v>
          </cell>
          <cell r="Y50" t="e">
            <v>#REF!</v>
          </cell>
          <cell r="Z50" t="e">
            <v>#REF!</v>
          </cell>
          <cell r="AA50" t="e">
            <v>#REF!</v>
          </cell>
        </row>
        <row r="51">
          <cell r="F51">
            <v>743</v>
          </cell>
          <cell r="G51">
            <v>321</v>
          </cell>
          <cell r="H51">
            <v>422</v>
          </cell>
          <cell r="P51">
            <v>320</v>
          </cell>
          <cell r="Q51" t="e">
            <v>#REF!</v>
          </cell>
          <cell r="R51" t="e">
            <v>#REF!</v>
          </cell>
          <cell r="S51">
            <v>931.66666666666663</v>
          </cell>
          <cell r="T51">
            <v>465.83333333333331</v>
          </cell>
          <cell r="U51">
            <v>465.83333333333331</v>
          </cell>
          <cell r="V51" t="e">
            <v>#REF!</v>
          </cell>
          <cell r="W51" t="e">
            <v>#REF!</v>
          </cell>
          <cell r="X51">
            <v>184</v>
          </cell>
          <cell r="Y51">
            <v>136</v>
          </cell>
          <cell r="Z51">
            <v>48</v>
          </cell>
          <cell r="AA51" t="e">
            <v>#REF!</v>
          </cell>
          <cell r="AB51">
            <v>38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Q52" t="e">
            <v>#REF!</v>
          </cell>
          <cell r="R52">
            <v>0</v>
          </cell>
          <cell r="S52">
            <v>750</v>
          </cell>
          <cell r="U52" t="e">
            <v>#REF!</v>
          </cell>
          <cell r="V52" t="e">
            <v>#REF!</v>
          </cell>
          <cell r="W52" t="e">
            <v>#REF!</v>
          </cell>
          <cell r="X52">
            <v>115</v>
          </cell>
          <cell r="Y52">
            <v>85</v>
          </cell>
          <cell r="Z52">
            <v>30</v>
          </cell>
          <cell r="AA52">
            <v>100</v>
          </cell>
          <cell r="AB52">
            <v>79</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Q53" t="e">
            <v>#REF!</v>
          </cell>
          <cell r="R53" t="e">
            <v>#REF!</v>
          </cell>
          <cell r="T53">
            <v>29</v>
          </cell>
          <cell r="U53" t="e">
            <v>#REF!</v>
          </cell>
          <cell r="V53" t="e">
            <v>#REF!</v>
          </cell>
          <cell r="W53" t="e">
            <v>#REF!</v>
          </cell>
          <cell r="X53">
            <v>0</v>
          </cell>
          <cell r="Y53">
            <v>0</v>
          </cell>
          <cell r="Z53">
            <v>0</v>
          </cell>
          <cell r="AA53" t="e">
            <v>#REF!</v>
          </cell>
          <cell r="AB53">
            <v>-238</v>
          </cell>
          <cell r="AC53">
            <v>0</v>
          </cell>
          <cell r="AD53">
            <v>0</v>
          </cell>
          <cell r="AE53">
            <v>0</v>
          </cell>
          <cell r="AH53">
            <v>0</v>
          </cell>
          <cell r="AK53">
            <v>0</v>
          </cell>
          <cell r="AL53">
            <v>0</v>
          </cell>
          <cell r="AM53">
            <v>0</v>
          </cell>
          <cell r="AN53">
            <v>0</v>
          </cell>
        </row>
        <row r="54">
          <cell r="F54">
            <v>521</v>
          </cell>
          <cell r="G54">
            <v>225</v>
          </cell>
          <cell r="H54">
            <v>296</v>
          </cell>
          <cell r="P54">
            <v>9</v>
          </cell>
          <cell r="Q54" t="e">
            <v>#REF!</v>
          </cell>
          <cell r="R54" t="e">
            <v>#REF!</v>
          </cell>
          <cell r="S54">
            <v>84</v>
          </cell>
          <cell r="T54">
            <v>686</v>
          </cell>
          <cell r="U54" t="e">
            <v>#REF!</v>
          </cell>
          <cell r="V54" t="e">
            <v>#REF!</v>
          </cell>
          <cell r="W54" t="e">
            <v>#REF!</v>
          </cell>
          <cell r="X54">
            <v>57</v>
          </cell>
          <cell r="Y54">
            <v>42</v>
          </cell>
          <cell r="Z54">
            <v>15</v>
          </cell>
          <cell r="AA54" t="e">
            <v>#REF!</v>
          </cell>
          <cell r="AB54">
            <v>37</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Q55" t="e">
            <v>#REF!</v>
          </cell>
          <cell r="R55" t="e">
            <v>#REF!</v>
          </cell>
          <cell r="S55">
            <v>329</v>
          </cell>
          <cell r="T55">
            <v>256.62</v>
          </cell>
          <cell r="U55">
            <v>72.38</v>
          </cell>
          <cell r="V55" t="e">
            <v>#REF!</v>
          </cell>
          <cell r="W55" t="e">
            <v>#REF!</v>
          </cell>
          <cell r="X55">
            <v>421</v>
          </cell>
          <cell r="Y55">
            <v>311</v>
          </cell>
          <cell r="Z55">
            <v>110</v>
          </cell>
          <cell r="AA55" t="e">
            <v>#REF!</v>
          </cell>
          <cell r="AB55">
            <v>67</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P56" t="e">
            <v>#REF!</v>
          </cell>
          <cell r="Q56" t="e">
            <v>#REF!</v>
          </cell>
          <cell r="R56" t="e">
            <v>#REF!</v>
          </cell>
          <cell r="S56">
            <v>10</v>
          </cell>
          <cell r="T56">
            <v>10</v>
          </cell>
          <cell r="U56">
            <v>0</v>
          </cell>
          <cell r="V56" t="e">
            <v>#REF!</v>
          </cell>
          <cell r="W56" t="e">
            <v>#REF!</v>
          </cell>
          <cell r="X56">
            <v>336</v>
          </cell>
          <cell r="Y56">
            <v>248</v>
          </cell>
          <cell r="Z56">
            <v>88</v>
          </cell>
          <cell r="AA56">
            <v>0</v>
          </cell>
          <cell r="AB56">
            <v>11</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P57" t="e">
            <v>#REF!</v>
          </cell>
          <cell r="Q57" t="e">
            <v>#REF!</v>
          </cell>
          <cell r="R57" t="e">
            <v>#REF!</v>
          </cell>
          <cell r="S57">
            <v>1232</v>
          </cell>
          <cell r="T57">
            <v>1232</v>
          </cell>
          <cell r="U57">
            <v>0</v>
          </cell>
          <cell r="V57" t="e">
            <v>#REF!</v>
          </cell>
          <cell r="W57" t="e">
            <v>#REF!</v>
          </cell>
          <cell r="X57">
            <v>12570</v>
          </cell>
          <cell r="Y57">
            <v>9289</v>
          </cell>
          <cell r="Z57">
            <v>3281</v>
          </cell>
          <cell r="AA57" t="e">
            <v>#REF!</v>
          </cell>
          <cell r="AB57">
            <v>8403</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Q58" t="e">
            <v>#REF!</v>
          </cell>
          <cell r="R58" t="e">
            <v>#REF!</v>
          </cell>
          <cell r="S58">
            <v>1232</v>
          </cell>
          <cell r="T58">
            <v>1232</v>
          </cell>
          <cell r="U58">
            <v>0</v>
          </cell>
          <cell r="V58" t="e">
            <v>#REF!</v>
          </cell>
          <cell r="W58" t="e">
            <v>#REF!</v>
          </cell>
          <cell r="X58">
            <v>12570</v>
          </cell>
          <cell r="Y58">
            <v>9289</v>
          </cell>
          <cell r="Z58">
            <v>3281</v>
          </cell>
          <cell r="AA58" t="e">
            <v>#REF!</v>
          </cell>
          <cell r="AB58">
            <v>8403</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P59" t="e">
            <v>#REF!</v>
          </cell>
          <cell r="Q59" t="e">
            <v>#REF!</v>
          </cell>
          <cell r="R59" t="e">
            <v>#REF!</v>
          </cell>
          <cell r="T59">
            <v>0</v>
          </cell>
          <cell r="U59">
            <v>0</v>
          </cell>
          <cell r="V59" t="e">
            <v>#REF!</v>
          </cell>
          <cell r="W59" t="e">
            <v>#REF!</v>
          </cell>
          <cell r="Y59" t="e">
            <v>#REF!</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Q60" t="e">
            <v>#REF!</v>
          </cell>
          <cell r="R60" t="e">
            <v>#REF!</v>
          </cell>
          <cell r="S60">
            <v>420</v>
          </cell>
          <cell r="T60">
            <v>420</v>
          </cell>
          <cell r="U60">
            <v>0</v>
          </cell>
          <cell r="V60" t="e">
            <v>#REF!</v>
          </cell>
          <cell r="W60" t="e">
            <v>#REF!</v>
          </cell>
          <cell r="X60">
            <v>0</v>
          </cell>
          <cell r="Y60">
            <v>0</v>
          </cell>
          <cell r="Z60">
            <v>0</v>
          </cell>
          <cell r="AA60">
            <v>0</v>
          </cell>
          <cell r="AB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Q61" t="e">
            <v>#REF!</v>
          </cell>
          <cell r="R61" t="e">
            <v>#REF!</v>
          </cell>
          <cell r="S61">
            <v>955.87454545454557</v>
          </cell>
          <cell r="T61">
            <v>468.3785272727273</v>
          </cell>
          <cell r="U61">
            <v>487.49601818181827</v>
          </cell>
          <cell r="V61" t="e">
            <v>#REF!</v>
          </cell>
          <cell r="W61" t="e">
            <v>#REF!</v>
          </cell>
          <cell r="X61">
            <v>269.38636363636363</v>
          </cell>
          <cell r="Y61">
            <v>199</v>
          </cell>
          <cell r="Z61">
            <v>70.386363636363626</v>
          </cell>
          <cell r="AA61" t="e">
            <v>#REF!</v>
          </cell>
          <cell r="AB61">
            <v>220</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Q62" t="e">
            <v>#REF!</v>
          </cell>
          <cell r="R62" t="e">
            <v>#REF!</v>
          </cell>
          <cell r="S62">
            <v>53</v>
          </cell>
          <cell r="T62">
            <v>26</v>
          </cell>
          <cell r="U62">
            <v>27</v>
          </cell>
          <cell r="V62" t="e">
            <v>#REF!</v>
          </cell>
          <cell r="W62" t="e">
            <v>#REF!</v>
          </cell>
          <cell r="X62">
            <v>15</v>
          </cell>
          <cell r="Y62">
            <v>11</v>
          </cell>
          <cell r="Z62">
            <v>4</v>
          </cell>
          <cell r="AA62">
            <v>15</v>
          </cell>
          <cell r="AB62">
            <v>12</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Q63" t="e">
            <v>#REF!</v>
          </cell>
          <cell r="R63" t="e">
            <v>#REF!</v>
          </cell>
          <cell r="S63">
            <v>306</v>
          </cell>
          <cell r="T63">
            <v>150</v>
          </cell>
          <cell r="U63">
            <v>156</v>
          </cell>
          <cell r="V63" t="e">
            <v>#REF!</v>
          </cell>
          <cell r="W63" t="e">
            <v>#REF!</v>
          </cell>
          <cell r="X63">
            <v>86</v>
          </cell>
          <cell r="Y63">
            <v>64</v>
          </cell>
          <cell r="Z63">
            <v>22</v>
          </cell>
          <cell r="AA63">
            <v>89</v>
          </cell>
          <cell r="AB63">
            <v>71</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Q64" t="e">
            <v>#REF!</v>
          </cell>
          <cell r="R64" t="e">
            <v>#REF!</v>
          </cell>
          <cell r="U64" t="e">
            <v>#REF!</v>
          </cell>
          <cell r="V64" t="e">
            <v>#REF!</v>
          </cell>
          <cell r="W64" t="e">
            <v>#REF!</v>
          </cell>
          <cell r="X64">
            <v>0</v>
          </cell>
          <cell r="AD64">
            <v>0</v>
          </cell>
          <cell r="AE64">
            <v>0</v>
          </cell>
          <cell r="AH64">
            <v>0</v>
          </cell>
          <cell r="AK64">
            <v>0</v>
          </cell>
          <cell r="AN64">
            <v>0</v>
          </cell>
        </row>
        <row r="65">
          <cell r="F65">
            <v>79</v>
          </cell>
          <cell r="G65">
            <v>34</v>
          </cell>
          <cell r="H65">
            <v>45</v>
          </cell>
          <cell r="P65">
            <v>464</v>
          </cell>
          <cell r="Q65" t="e">
            <v>#REF!</v>
          </cell>
          <cell r="R65" t="e">
            <v>#REF!</v>
          </cell>
          <cell r="S65">
            <v>1018</v>
          </cell>
          <cell r="T65">
            <v>162.88</v>
          </cell>
          <cell r="U65">
            <v>855.12</v>
          </cell>
          <cell r="V65" t="e">
            <v>#REF!</v>
          </cell>
          <cell r="W65" t="e">
            <v>#REF!</v>
          </cell>
          <cell r="X65">
            <v>551</v>
          </cell>
          <cell r="Y65">
            <v>407</v>
          </cell>
          <cell r="Z65">
            <v>144</v>
          </cell>
          <cell r="AA65">
            <v>573</v>
          </cell>
          <cell r="AB65">
            <v>455</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P66" t="e">
            <v>#REF!</v>
          </cell>
          <cell r="Q66" t="e">
            <v>#REF!</v>
          </cell>
          <cell r="R66" t="e">
            <v>#REF!</v>
          </cell>
          <cell r="T66">
            <v>16</v>
          </cell>
          <cell r="U66">
            <v>86</v>
          </cell>
          <cell r="V66" t="e">
            <v>#REF!</v>
          </cell>
          <cell r="W66" t="e">
            <v>#REF!</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Q67" t="e">
            <v>#REF!</v>
          </cell>
          <cell r="R67" t="e">
            <v>#REF!</v>
          </cell>
          <cell r="S67">
            <v>1018</v>
          </cell>
          <cell r="U67" t="e">
            <v>#REF!</v>
          </cell>
          <cell r="V67" t="e">
            <v>#REF!</v>
          </cell>
          <cell r="W67" t="e">
            <v>#REF!</v>
          </cell>
          <cell r="X67">
            <v>85</v>
          </cell>
          <cell r="AA67">
            <v>300</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Q68" t="e">
            <v>#REF!</v>
          </cell>
          <cell r="R68" t="e">
            <v>#REF!</v>
          </cell>
          <cell r="S68">
            <v>0</v>
          </cell>
          <cell r="T68">
            <v>12</v>
          </cell>
          <cell r="U68" t="e">
            <v>#REF!</v>
          </cell>
          <cell r="V68" t="e">
            <v>#REF!</v>
          </cell>
          <cell r="W68" t="e">
            <v>#REF!</v>
          </cell>
          <cell r="X68">
            <v>0</v>
          </cell>
          <cell r="Y68" t="e">
            <v>#REF!</v>
          </cell>
          <cell r="Z68" t="e">
            <v>#REF!</v>
          </cell>
          <cell r="AA68" t="e">
            <v>#REF!</v>
          </cell>
          <cell r="AB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Q69" t="e">
            <v>#REF!</v>
          </cell>
          <cell r="S69">
            <v>1018</v>
          </cell>
          <cell r="T69">
            <v>146.88</v>
          </cell>
          <cell r="U69">
            <v>769.12</v>
          </cell>
          <cell r="V69" t="e">
            <v>#REF!</v>
          </cell>
          <cell r="W69" t="e">
            <v>#REF!</v>
          </cell>
          <cell r="X69">
            <v>466</v>
          </cell>
          <cell r="Y69">
            <v>407</v>
          </cell>
          <cell r="Z69">
            <v>144</v>
          </cell>
          <cell r="AA69" t="e">
            <v>#REF!</v>
          </cell>
          <cell r="AB69">
            <v>455</v>
          </cell>
          <cell r="AC69">
            <v>523.66666666666663</v>
          </cell>
          <cell r="AD69">
            <v>322</v>
          </cell>
          <cell r="AE69">
            <v>201.66666666666663</v>
          </cell>
          <cell r="AF69">
            <v>495</v>
          </cell>
          <cell r="AG69">
            <v>526</v>
          </cell>
          <cell r="AH69">
            <v>0</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Q70" t="e">
            <v>#REF!</v>
          </cell>
          <cell r="R70" t="e">
            <v>#REF!</v>
          </cell>
          <cell r="S70">
            <v>1737.3999999999999</v>
          </cell>
          <cell r="T70">
            <v>434.34999999999997</v>
          </cell>
          <cell r="U70">
            <v>1303.05</v>
          </cell>
          <cell r="V70" t="e">
            <v>#REF!</v>
          </cell>
          <cell r="W70" t="e">
            <v>#REF!</v>
          </cell>
          <cell r="X70">
            <v>890.8</v>
          </cell>
          <cell r="Y70">
            <v>658</v>
          </cell>
          <cell r="Z70">
            <v>232.79999999999995</v>
          </cell>
          <cell r="AA70" t="e">
            <v>#REF!</v>
          </cell>
          <cell r="AB70">
            <v>1410</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Q71" t="e">
            <v>#REF!</v>
          </cell>
          <cell r="R71" t="e">
            <v>#REF!</v>
          </cell>
          <cell r="S71">
            <v>422.54545454545456</v>
          </cell>
          <cell r="U71" t="e">
            <v>#REF!</v>
          </cell>
          <cell r="V71" t="e">
            <v>#REF!</v>
          </cell>
          <cell r="W71" t="e">
            <v>#REF!</v>
          </cell>
          <cell r="X71">
            <v>196.36363636363637</v>
          </cell>
          <cell r="Y71">
            <v>145</v>
          </cell>
          <cell r="Z71">
            <v>51.363636363636374</v>
          </cell>
          <cell r="AA71" t="e">
            <v>#REF!</v>
          </cell>
          <cell r="AB71">
            <v>125</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Q72" t="e">
            <v>#REF!</v>
          </cell>
          <cell r="S72">
            <v>23</v>
          </cell>
          <cell r="U72" t="e">
            <v>#REF!</v>
          </cell>
          <cell r="V72" t="e">
            <v>#REF!</v>
          </cell>
          <cell r="W72" t="e">
            <v>#REF!</v>
          </cell>
          <cell r="X72">
            <v>11</v>
          </cell>
          <cell r="Y72">
            <v>8</v>
          </cell>
          <cell r="Z72">
            <v>3</v>
          </cell>
          <cell r="AA72" t="e">
            <v>#REF!</v>
          </cell>
          <cell r="AB72">
            <v>7</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Q73" t="e">
            <v>#REF!</v>
          </cell>
          <cell r="S73">
            <v>135</v>
          </cell>
          <cell r="U73" t="e">
            <v>#REF!</v>
          </cell>
          <cell r="V73" t="e">
            <v>#REF!</v>
          </cell>
          <cell r="W73" t="e">
            <v>#REF!</v>
          </cell>
          <cell r="X73">
            <v>63</v>
          </cell>
          <cell r="Y73">
            <v>47</v>
          </cell>
          <cell r="Z73">
            <v>16</v>
          </cell>
          <cell r="AA73">
            <v>50</v>
          </cell>
          <cell r="AB73">
            <v>40</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Q74" t="e">
            <v>#REF!</v>
          </cell>
          <cell r="R74" t="e">
            <v>#REF!</v>
          </cell>
          <cell r="U74" t="e">
            <v>#REF!</v>
          </cell>
          <cell r="V74" t="e">
            <v>#REF!</v>
          </cell>
          <cell r="W74" t="e">
            <v>#REF!</v>
          </cell>
          <cell r="X74">
            <v>0</v>
          </cell>
          <cell r="AA74">
            <v>0</v>
          </cell>
          <cell r="AC74">
            <v>0</v>
          </cell>
          <cell r="AD74">
            <v>0</v>
          </cell>
          <cell r="AE74">
            <v>0</v>
          </cell>
          <cell r="AF74">
            <v>0</v>
          </cell>
          <cell r="AG74">
            <v>0</v>
          </cell>
          <cell r="AH74">
            <v>0</v>
          </cell>
          <cell r="AK74">
            <v>120</v>
          </cell>
          <cell r="AL74">
            <v>120</v>
          </cell>
          <cell r="AM74">
            <v>0</v>
          </cell>
          <cell r="AN74">
            <v>0</v>
          </cell>
        </row>
        <row r="75">
          <cell r="G75">
            <v>0</v>
          </cell>
          <cell r="P75">
            <v>671.5</v>
          </cell>
          <cell r="Q75" t="e">
            <v>#REF!</v>
          </cell>
          <cell r="R75" t="e">
            <v>#REF!</v>
          </cell>
          <cell r="S75">
            <v>0</v>
          </cell>
          <cell r="T75">
            <v>1129</v>
          </cell>
          <cell r="U75" t="e">
            <v>#REF!</v>
          </cell>
          <cell r="V75" t="e">
            <v>#REF!</v>
          </cell>
          <cell r="W75" t="e">
            <v>#REF!</v>
          </cell>
          <cell r="X75">
            <v>0</v>
          </cell>
          <cell r="Y75">
            <v>0</v>
          </cell>
          <cell r="Z75">
            <v>0</v>
          </cell>
          <cell r="AA75" t="e">
            <v>#REF!</v>
          </cell>
          <cell r="AB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U76" t="e">
            <v>#REF!</v>
          </cell>
          <cell r="V76" t="e">
            <v>#REF!</v>
          </cell>
          <cell r="W76" t="e">
            <v>#REF!</v>
          </cell>
          <cell r="X76">
            <v>0</v>
          </cell>
          <cell r="Y76" t="e">
            <v>#VALUE!</v>
          </cell>
          <cell r="Z76">
            <v>0</v>
          </cell>
          <cell r="AA76" t="e">
            <v>#REF!</v>
          </cell>
          <cell r="AB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V77">
            <v>110</v>
          </cell>
          <cell r="W77">
            <v>89</v>
          </cell>
          <cell r="X77">
            <v>120</v>
          </cell>
          <cell r="Y77">
            <v>89</v>
          </cell>
          <cell r="Z77">
            <v>31</v>
          </cell>
          <cell r="AA77">
            <v>119</v>
          </cell>
          <cell r="AB77">
            <v>80</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V78" t="e">
            <v>#REF!</v>
          </cell>
          <cell r="W78">
            <v>0</v>
          </cell>
          <cell r="X78">
            <v>0</v>
          </cell>
          <cell r="Y78">
            <v>0</v>
          </cell>
          <cell r="Z78">
            <v>0</v>
          </cell>
          <cell r="AA78">
            <v>0</v>
          </cell>
          <cell r="AC78">
            <v>18</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Q79" t="e">
            <v>#REF!</v>
          </cell>
          <cell r="R79" t="e">
            <v>#REF!</v>
          </cell>
          <cell r="S79">
            <v>0</v>
          </cell>
          <cell r="T79">
            <v>0</v>
          </cell>
          <cell r="U79">
            <v>0</v>
          </cell>
          <cell r="V79" t="e">
            <v>#REF!</v>
          </cell>
          <cell r="W79" t="e">
            <v>#REF!</v>
          </cell>
          <cell r="X79">
            <v>120</v>
          </cell>
          <cell r="Y79">
            <v>89</v>
          </cell>
          <cell r="Z79">
            <v>31</v>
          </cell>
          <cell r="AA79" t="e">
            <v>#REF!</v>
          </cell>
          <cell r="AB79">
            <v>80</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V80" t="e">
            <v>#REF!</v>
          </cell>
          <cell r="W80" t="e">
            <v>#REF!</v>
          </cell>
          <cell r="X80">
            <v>74</v>
          </cell>
          <cell r="Y80">
            <v>55</v>
          </cell>
          <cell r="Z80">
            <v>19</v>
          </cell>
          <cell r="AA80" t="e">
            <v>#REF!</v>
          </cell>
          <cell r="AB80">
            <v>29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U81" t="e">
            <v>#REF!</v>
          </cell>
          <cell r="V81" t="e">
            <v>#REF!</v>
          </cell>
          <cell r="W81" t="e">
            <v>#REF!</v>
          </cell>
          <cell r="X81">
            <v>0</v>
          </cell>
          <cell r="Y81">
            <v>0</v>
          </cell>
          <cell r="Z81" t="e">
            <v>#REF!</v>
          </cell>
          <cell r="AA81" t="e">
            <v>#REF!</v>
          </cell>
          <cell r="AD81">
            <v>0</v>
          </cell>
          <cell r="AE81">
            <v>0</v>
          </cell>
          <cell r="AK81">
            <v>389</v>
          </cell>
          <cell r="AL81">
            <v>170</v>
          </cell>
          <cell r="AM81">
            <v>219</v>
          </cell>
          <cell r="AN81">
            <v>219</v>
          </cell>
          <cell r="AR81">
            <v>219</v>
          </cell>
        </row>
        <row r="82">
          <cell r="F82">
            <v>338</v>
          </cell>
          <cell r="G82">
            <v>146</v>
          </cell>
          <cell r="H82">
            <v>192</v>
          </cell>
          <cell r="P82">
            <v>25</v>
          </cell>
          <cell r="Q82" t="e">
            <v>#REF!</v>
          </cell>
          <cell r="R82" t="e">
            <v>#REF!</v>
          </cell>
          <cell r="S82">
            <v>50</v>
          </cell>
          <cell r="T82">
            <v>33</v>
          </cell>
          <cell r="U82">
            <v>17</v>
          </cell>
          <cell r="V82" t="e">
            <v>#REF!</v>
          </cell>
          <cell r="W82" t="e">
            <v>#REF!</v>
          </cell>
          <cell r="X82">
            <v>21</v>
          </cell>
          <cell r="Y82">
            <v>16</v>
          </cell>
          <cell r="Z82">
            <v>5</v>
          </cell>
          <cell r="AA82" t="e">
            <v>#REF!</v>
          </cell>
          <cell r="AB82">
            <v>21</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V83" t="e">
            <v>#REF!</v>
          </cell>
          <cell r="W83" t="e">
            <v>#REF!</v>
          </cell>
          <cell r="X83">
            <v>25</v>
          </cell>
          <cell r="Y83">
            <v>18</v>
          </cell>
          <cell r="Z83">
            <v>7</v>
          </cell>
          <cell r="AA83" t="e">
            <v>#REF!</v>
          </cell>
          <cell r="AB83">
            <v>31</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cell r="AK84">
            <v>881</v>
          </cell>
          <cell r="AL84">
            <v>381</v>
          </cell>
          <cell r="AM84">
            <v>500</v>
          </cell>
          <cell r="AN84">
            <v>500</v>
          </cell>
        </row>
        <row r="85">
          <cell r="F85">
            <v>13</v>
          </cell>
          <cell r="G85">
            <v>0</v>
          </cell>
          <cell r="H85">
            <v>0</v>
          </cell>
          <cell r="P85">
            <v>14</v>
          </cell>
          <cell r="Q85" t="e">
            <v>#REF!</v>
          </cell>
          <cell r="R85" t="e">
            <v>#REF!</v>
          </cell>
          <cell r="S85">
            <v>1</v>
          </cell>
          <cell r="T85">
            <v>1129</v>
          </cell>
          <cell r="U85" t="e">
            <v>#REF!</v>
          </cell>
          <cell r="V85" t="e">
            <v>#REF!</v>
          </cell>
          <cell r="W85" t="e">
            <v>#REF!</v>
          </cell>
          <cell r="X85" t="e">
            <v>#REF!</v>
          </cell>
          <cell r="Y85" t="e">
            <v>#VALUE!</v>
          </cell>
          <cell r="Z85" t="e">
            <v>#REF!</v>
          </cell>
          <cell r="AA85" t="e">
            <v>#REF!</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V86" t="e">
            <v>#REF!</v>
          </cell>
          <cell r="W86" t="e">
            <v>#REF!</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S87" t="e">
            <v>#REF!</v>
          </cell>
          <cell r="T87">
            <v>468.3785272727273</v>
          </cell>
          <cell r="U87">
            <v>487.49601818181827</v>
          </cell>
          <cell r="V87">
            <v>0</v>
          </cell>
          <cell r="W87">
            <v>0</v>
          </cell>
          <cell r="X87">
            <v>98.949999999999989</v>
          </cell>
          <cell r="Y87">
            <v>344</v>
          </cell>
          <cell r="Z87">
            <v>121.75</v>
          </cell>
          <cell r="AA87">
            <v>0</v>
          </cell>
          <cell r="AB87">
            <v>0</v>
          </cell>
          <cell r="AC87">
            <v>89.66</v>
          </cell>
          <cell r="AD87">
            <v>314</v>
          </cell>
          <cell r="AE87">
            <v>126.86000000000001</v>
          </cell>
          <cell r="AH87">
            <v>167.75999999999996</v>
          </cell>
          <cell r="AK87">
            <v>4773.75</v>
          </cell>
          <cell r="AL87">
            <v>1631.62</v>
          </cell>
          <cell r="AM87">
            <v>3142.1300000000006</v>
          </cell>
          <cell r="AN87">
            <v>678.95</v>
          </cell>
        </row>
        <row r="88">
          <cell r="G88">
            <v>0</v>
          </cell>
          <cell r="P88" t="e">
            <v>#REF!</v>
          </cell>
          <cell r="S88" t="e">
            <v>#REF!</v>
          </cell>
          <cell r="U88" t="e">
            <v>#REF!</v>
          </cell>
          <cell r="AL88">
            <v>24819.119999999995</v>
          </cell>
          <cell r="AN88">
            <v>0</v>
          </cell>
        </row>
        <row r="89">
          <cell r="F89">
            <v>4580</v>
          </cell>
          <cell r="G89">
            <v>4580</v>
          </cell>
          <cell r="P89" t="e">
            <v>#REF!</v>
          </cell>
          <cell r="S89" t="e">
            <v>#REF!</v>
          </cell>
          <cell r="U89" t="e">
            <v>#REF!</v>
          </cell>
          <cell r="AA89" t="str">
            <v>`</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P91" t="e">
            <v>#REF!</v>
          </cell>
          <cell r="S91" t="e">
            <v>#REF!</v>
          </cell>
          <cell r="U91" t="e">
            <v>#REF!</v>
          </cell>
          <cell r="AH91">
            <v>0</v>
          </cell>
          <cell r="AM91">
            <v>0</v>
          </cell>
          <cell r="AN91">
            <v>0</v>
          </cell>
          <cell r="AO91">
            <v>0</v>
          </cell>
          <cell r="AP91">
            <v>0</v>
          </cell>
          <cell r="AQ91">
            <v>0</v>
          </cell>
          <cell r="AR91">
            <v>-1</v>
          </cell>
        </row>
        <row r="92">
          <cell r="F92">
            <v>443</v>
          </cell>
          <cell r="G92">
            <v>365</v>
          </cell>
          <cell r="H92">
            <v>78</v>
          </cell>
          <cell r="P92" t="e">
            <v>#REF!</v>
          </cell>
          <cell r="S92" t="e">
            <v>#REF!</v>
          </cell>
          <cell r="U92" t="e">
            <v>#REF!</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P93" t="e">
            <v>#REF!</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U94" t="e">
            <v>#REF!</v>
          </cell>
          <cell r="V94">
            <v>-129</v>
          </cell>
          <cell r="W94">
            <v>-105</v>
          </cell>
          <cell r="X94">
            <v>-129.33333333333334</v>
          </cell>
          <cell r="Y94">
            <v>-96</v>
          </cell>
          <cell r="Z94">
            <v>-33.333333333333343</v>
          </cell>
          <cell r="AA94">
            <v>0</v>
          </cell>
          <cell r="AB94">
            <v>0</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P95" t="e">
            <v>#REF!</v>
          </cell>
          <cell r="S95" t="e">
            <v>#REF!</v>
          </cell>
          <cell r="U95" t="e">
            <v>#REF!</v>
          </cell>
          <cell r="AN95">
            <v>0</v>
          </cell>
        </row>
        <row r="96">
          <cell r="P96" t="e">
            <v>#REF!</v>
          </cell>
          <cell r="S96" t="e">
            <v>#REF!</v>
          </cell>
          <cell r="U96" t="e">
            <v>#REF!</v>
          </cell>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8">
          <cell r="F98">
            <v>4473</v>
          </cell>
          <cell r="G98">
            <v>2317.6703910614524</v>
          </cell>
          <cell r="H98">
            <v>2155.3296089385476</v>
          </cell>
          <cell r="P98" t="e">
            <v>#REF!</v>
          </cell>
          <cell r="Q98">
            <v>0</v>
          </cell>
          <cell r="R98">
            <v>0</v>
          </cell>
          <cell r="S98" t="e">
            <v>#REF!</v>
          </cell>
          <cell r="T98">
            <v>2783.7147999999997</v>
          </cell>
          <cell r="U98" t="e">
            <v>#REF!</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U100" t="e">
            <v>#REF!</v>
          </cell>
          <cell r="V100">
            <v>80</v>
          </cell>
          <cell r="X100">
            <v>85</v>
          </cell>
          <cell r="AA100">
            <v>300</v>
          </cell>
          <cell r="AC100">
            <v>60</v>
          </cell>
          <cell r="AF100">
            <v>-904.4</v>
          </cell>
          <cell r="AG100">
            <v>0</v>
          </cell>
          <cell r="AH100">
            <v>-904.4</v>
          </cell>
          <cell r="AK100">
            <v>4792.8</v>
          </cell>
          <cell r="AL100">
            <v>53285.681818181816</v>
          </cell>
          <cell r="AM100">
            <v>34771.290391061455</v>
          </cell>
        </row>
        <row r="101">
          <cell r="F101">
            <v>0</v>
          </cell>
          <cell r="P101">
            <v>464</v>
          </cell>
          <cell r="S101">
            <v>4262</v>
          </cell>
          <cell r="U101">
            <v>0</v>
          </cell>
          <cell r="V101">
            <v>0</v>
          </cell>
          <cell r="W101">
            <v>0</v>
          </cell>
          <cell r="X101">
            <v>100</v>
          </cell>
          <cell r="AA101">
            <v>300</v>
          </cell>
          <cell r="AC101">
            <v>60</v>
          </cell>
          <cell r="AF101">
            <v>0</v>
          </cell>
          <cell r="AG101">
            <v>0</v>
          </cell>
          <cell r="AH101">
            <v>0</v>
          </cell>
          <cell r="AK101">
            <v>4886</v>
          </cell>
          <cell r="AL101">
            <v>53285.681818181823</v>
          </cell>
          <cell r="AM101">
            <v>29773.478249158248</v>
          </cell>
        </row>
        <row r="102">
          <cell r="F102">
            <v>0</v>
          </cell>
          <cell r="P102">
            <v>900</v>
          </cell>
          <cell r="S102">
            <v>620</v>
          </cell>
          <cell r="U102" t="e">
            <v>#REF!</v>
          </cell>
          <cell r="V102">
            <v>0</v>
          </cell>
          <cell r="X102">
            <v>100</v>
          </cell>
          <cell r="AA102">
            <v>0</v>
          </cell>
          <cell r="AC102">
            <v>60</v>
          </cell>
          <cell r="AF102">
            <v>0</v>
          </cell>
          <cell r="AG102">
            <v>0</v>
          </cell>
          <cell r="AH102">
            <v>0</v>
          </cell>
          <cell r="AK102">
            <v>1680</v>
          </cell>
        </row>
        <row r="103">
          <cell r="F103">
            <v>-1308</v>
          </cell>
          <cell r="P103">
            <v>1223</v>
          </cell>
          <cell r="S103">
            <v>0</v>
          </cell>
          <cell r="U103" t="e">
            <v>#REF!</v>
          </cell>
          <cell r="X103">
            <v>0</v>
          </cell>
          <cell r="AC103">
            <v>0</v>
          </cell>
          <cell r="AF103">
            <v>-904.4</v>
          </cell>
          <cell r="AG103">
            <v>0</v>
          </cell>
          <cell r="AH103">
            <v>-904.4</v>
          </cell>
          <cell r="AK103">
            <v>-78.200000000000045</v>
          </cell>
        </row>
        <row r="104">
          <cell r="P104" t="e">
            <v>#REF!</v>
          </cell>
          <cell r="S104" t="e">
            <v>#REF!</v>
          </cell>
          <cell r="U104" t="e">
            <v>#REF!</v>
          </cell>
        </row>
        <row r="105">
          <cell r="P105">
            <v>1075</v>
          </cell>
          <cell r="S105">
            <v>0</v>
          </cell>
          <cell r="V105">
            <v>0</v>
          </cell>
          <cell r="X105">
            <v>0</v>
          </cell>
          <cell r="AC105">
            <v>300</v>
          </cell>
          <cell r="AK105">
            <v>1375</v>
          </cell>
        </row>
        <row r="106">
          <cell r="P106">
            <v>550</v>
          </cell>
          <cell r="S106">
            <v>0</v>
          </cell>
          <cell r="U106">
            <v>9142</v>
          </cell>
          <cell r="V106" t="e">
            <v>#REF!</v>
          </cell>
          <cell r="X106">
            <v>0</v>
          </cell>
        </row>
        <row r="107">
          <cell r="P107">
            <v>800</v>
          </cell>
          <cell r="U107">
            <v>0</v>
          </cell>
          <cell r="AK107">
            <v>0</v>
          </cell>
        </row>
        <row r="108">
          <cell r="P108" t="e">
            <v>#REF!</v>
          </cell>
          <cell r="Q108">
            <v>0</v>
          </cell>
          <cell r="R108">
            <v>0</v>
          </cell>
          <cell r="S108" t="e">
            <v>#REF!</v>
          </cell>
          <cell r="T108">
            <v>0</v>
          </cell>
          <cell r="U108" t="e">
            <v>#REF!</v>
          </cell>
          <cell r="V108" t="e">
            <v>#REF!</v>
          </cell>
          <cell r="X108">
            <v>0</v>
          </cell>
          <cell r="Y108">
            <v>0</v>
          </cell>
          <cell r="Z108">
            <v>0</v>
          </cell>
          <cell r="AA108">
            <v>0</v>
          </cell>
          <cell r="AK108">
            <v>0</v>
          </cell>
        </row>
        <row r="109">
          <cell r="F109">
            <v>0</v>
          </cell>
          <cell r="P109" t="e">
            <v>#REF!</v>
          </cell>
          <cell r="S109" t="e">
            <v>#REF!</v>
          </cell>
          <cell r="T109">
            <v>0</v>
          </cell>
          <cell r="U109" t="e">
            <v>#REF!</v>
          </cell>
          <cell r="V109">
            <v>0</v>
          </cell>
          <cell r="X109">
            <v>0</v>
          </cell>
          <cell r="AA109">
            <v>0</v>
          </cell>
          <cell r="AC109">
            <v>0</v>
          </cell>
          <cell r="AF109">
            <v>0</v>
          </cell>
          <cell r="AG109">
            <v>0</v>
          </cell>
          <cell r="AH109">
            <v>0</v>
          </cell>
          <cell r="AK109">
            <v>0</v>
          </cell>
        </row>
        <row r="110">
          <cell r="F110">
            <v>-1308</v>
          </cell>
          <cell r="P110">
            <v>1223</v>
          </cell>
          <cell r="S110">
            <v>0</v>
          </cell>
          <cell r="U110" t="e">
            <v>#REF!</v>
          </cell>
          <cell r="X110">
            <v>0</v>
          </cell>
          <cell r="AA110">
            <v>0</v>
          </cell>
          <cell r="AC110">
            <v>0</v>
          </cell>
          <cell r="AF110">
            <v>0</v>
          </cell>
          <cell r="AG110">
            <v>0</v>
          </cell>
          <cell r="AH110">
            <v>0</v>
          </cell>
          <cell r="AK110">
            <v>-85</v>
          </cell>
        </row>
        <row r="111">
          <cell r="F111">
            <v>-1308</v>
          </cell>
          <cell r="P111">
            <v>1223</v>
          </cell>
          <cell r="S111">
            <v>0</v>
          </cell>
          <cell r="U111" t="e">
            <v>#REF!</v>
          </cell>
          <cell r="AA111">
            <v>0</v>
          </cell>
          <cell r="AC111">
            <v>0</v>
          </cell>
          <cell r="AF111">
            <v>0</v>
          </cell>
          <cell r="AG111">
            <v>0</v>
          </cell>
          <cell r="AH111">
            <v>0</v>
          </cell>
          <cell r="AK111">
            <v>-85</v>
          </cell>
        </row>
        <row r="112">
          <cell r="F112">
            <v>0</v>
          </cell>
          <cell r="P112">
            <v>0</v>
          </cell>
          <cell r="S112">
            <v>0</v>
          </cell>
          <cell r="U112" t="e">
            <v>#REF!</v>
          </cell>
          <cell r="V112" t="e">
            <v>#REF!</v>
          </cell>
          <cell r="W112" t="e">
            <v>#REF!</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row>
        <row r="114">
          <cell r="F114">
            <v>0</v>
          </cell>
          <cell r="P114">
            <v>0</v>
          </cell>
          <cell r="S114">
            <v>0</v>
          </cell>
          <cell r="U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U117" t="e">
            <v>#REF!</v>
          </cell>
          <cell r="W117" t="e">
            <v>#REF!</v>
          </cell>
          <cell r="X117">
            <v>0</v>
          </cell>
          <cell r="Z117">
            <v>0</v>
          </cell>
          <cell r="AC117">
            <v>0</v>
          </cell>
          <cell r="AG117">
            <v>0</v>
          </cell>
          <cell r="AH117">
            <v>0</v>
          </cell>
          <cell r="AK117">
            <v>0</v>
          </cell>
          <cell r="AM117">
            <v>0</v>
          </cell>
        </row>
        <row r="118">
          <cell r="F118">
            <v>0</v>
          </cell>
          <cell r="P118">
            <v>0</v>
          </cell>
          <cell r="S118">
            <v>0</v>
          </cell>
          <cell r="U118" t="e">
            <v>#REF!</v>
          </cell>
          <cell r="X118">
            <v>0</v>
          </cell>
          <cell r="AA118">
            <v>0</v>
          </cell>
          <cell r="AC118">
            <v>0</v>
          </cell>
          <cell r="AG118">
            <v>0</v>
          </cell>
          <cell r="AH118">
            <v>0</v>
          </cell>
          <cell r="AK118">
            <v>0</v>
          </cell>
          <cell r="AL118">
            <v>0</v>
          </cell>
          <cell r="AM118">
            <v>0</v>
          </cell>
        </row>
        <row r="119">
          <cell r="F119">
            <v>0</v>
          </cell>
          <cell r="P119">
            <v>0</v>
          </cell>
          <cell r="S119">
            <v>0</v>
          </cell>
          <cell r="U119" t="e">
            <v>#REF!</v>
          </cell>
          <cell r="X119" t="e">
            <v>#DIV/0!</v>
          </cell>
          <cell r="AA119">
            <v>0</v>
          </cell>
          <cell r="AC119">
            <v>0</v>
          </cell>
          <cell r="AG119">
            <v>0</v>
          </cell>
          <cell r="AH119">
            <v>0</v>
          </cell>
          <cell r="AK119">
            <v>0</v>
          </cell>
          <cell r="AL119">
            <v>0</v>
          </cell>
          <cell r="AM119">
            <v>0</v>
          </cell>
        </row>
        <row r="120">
          <cell r="F120">
            <v>0</v>
          </cell>
          <cell r="P120">
            <v>0</v>
          </cell>
          <cell r="S120">
            <v>0</v>
          </cell>
          <cell r="U120" t="e">
            <v>#REF!</v>
          </cell>
          <cell r="X120" t="e">
            <v>#REF!</v>
          </cell>
          <cell r="AA120">
            <v>0</v>
          </cell>
          <cell r="AC120">
            <v>0</v>
          </cell>
          <cell r="AF120">
            <v>0</v>
          </cell>
          <cell r="AG120">
            <v>0</v>
          </cell>
          <cell r="AH120">
            <v>0</v>
          </cell>
          <cell r="AK120">
            <v>0</v>
          </cell>
        </row>
        <row r="121">
          <cell r="F121">
            <v>0</v>
          </cell>
          <cell r="P121">
            <v>0</v>
          </cell>
          <cell r="S121">
            <v>0</v>
          </cell>
          <cell r="U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0</v>
          </cell>
        </row>
        <row r="123">
          <cell r="F123">
            <v>100</v>
          </cell>
          <cell r="S123">
            <v>0</v>
          </cell>
          <cell r="U123">
            <v>7.59</v>
          </cell>
          <cell r="V123">
            <v>0</v>
          </cell>
          <cell r="X123" t="e">
            <v>#DIV/0!</v>
          </cell>
          <cell r="AF123">
            <v>0</v>
          </cell>
          <cell r="AK123">
            <v>100</v>
          </cell>
        </row>
        <row r="124">
          <cell r="F124">
            <v>3400</v>
          </cell>
          <cell r="S124">
            <v>0</v>
          </cell>
          <cell r="U124">
            <v>0</v>
          </cell>
          <cell r="X124">
            <v>0</v>
          </cell>
          <cell r="AF124">
            <v>0</v>
          </cell>
          <cell r="AK124">
            <v>0</v>
          </cell>
        </row>
        <row r="125">
          <cell r="F125">
            <v>3500</v>
          </cell>
          <cell r="T125">
            <v>0</v>
          </cell>
          <cell r="U125" t="e">
            <v>#REF!</v>
          </cell>
          <cell r="X125" t="e">
            <v>#VALUE!</v>
          </cell>
          <cell r="AC125">
            <v>500</v>
          </cell>
          <cell r="AK125">
            <v>4000</v>
          </cell>
        </row>
        <row r="126">
          <cell r="F126">
            <v>2000</v>
          </cell>
          <cell r="U126">
            <v>25363</v>
          </cell>
          <cell r="V126">
            <v>25363</v>
          </cell>
          <cell r="AK126">
            <v>0</v>
          </cell>
          <cell r="AL126">
            <v>-16343.423636363636</v>
          </cell>
        </row>
        <row r="127">
          <cell r="F127">
            <v>1060</v>
          </cell>
          <cell r="AK127">
            <v>0</v>
          </cell>
        </row>
        <row r="128">
          <cell r="F128">
            <v>3995</v>
          </cell>
          <cell r="G128">
            <v>0</v>
          </cell>
          <cell r="H128">
            <v>0</v>
          </cell>
          <cell r="P128">
            <v>366</v>
          </cell>
          <cell r="Q128">
            <v>0</v>
          </cell>
          <cell r="R128">
            <v>0</v>
          </cell>
          <cell r="S128">
            <v>2158</v>
          </cell>
          <cell r="T128">
            <v>300</v>
          </cell>
          <cell r="U128">
            <v>300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0</v>
          </cell>
          <cell r="AO128">
            <v>0</v>
          </cell>
          <cell r="AP128">
            <v>0</v>
          </cell>
          <cell r="AQ128">
            <v>0</v>
          </cell>
          <cell r="AR128">
            <v>0</v>
          </cell>
        </row>
        <row r="129">
          <cell r="F129">
            <v>3995</v>
          </cell>
          <cell r="G129">
            <v>0</v>
          </cell>
          <cell r="H129">
            <v>0</v>
          </cell>
          <cell r="P129">
            <v>732</v>
          </cell>
          <cell r="S129">
            <v>4316</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0</v>
          </cell>
          <cell r="AL129">
            <v>-9671.302272727271</v>
          </cell>
        </row>
        <row r="130">
          <cell r="F130">
            <v>0</v>
          </cell>
          <cell r="AK130">
            <v>0</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U132">
            <v>187.5</v>
          </cell>
          <cell r="V132">
            <v>187.5</v>
          </cell>
          <cell r="X132">
            <v>0</v>
          </cell>
          <cell r="Y132">
            <v>0</v>
          </cell>
          <cell r="Z132">
            <v>0</v>
          </cell>
          <cell r="AC132">
            <v>0</v>
          </cell>
          <cell r="AF132">
            <v>-904.4</v>
          </cell>
          <cell r="AG132">
            <v>0</v>
          </cell>
          <cell r="AH132">
            <v>-904.4</v>
          </cell>
          <cell r="AK132">
            <v>4015</v>
          </cell>
          <cell r="AL132">
            <v>35.709608938552265</v>
          </cell>
          <cell r="AM132">
            <v>-14935.850518029456</v>
          </cell>
        </row>
        <row r="133">
          <cell r="U133" t="e">
            <v>#REF!</v>
          </cell>
          <cell r="V133">
            <v>25550.5</v>
          </cell>
          <cell r="W133" t="e">
            <v>#REF!</v>
          </cell>
          <cell r="AK133">
            <v>-5656.302272727271</v>
          </cell>
          <cell r="AL133">
            <v>3521.8</v>
          </cell>
        </row>
        <row r="134">
          <cell r="X134" t="e">
            <v>#REF!</v>
          </cell>
          <cell r="Y134" t="e">
            <v>#VALUE!</v>
          </cell>
          <cell r="Z134" t="e">
            <v>#REF!</v>
          </cell>
          <cell r="AA134" t="e">
            <v>#REF!</v>
          </cell>
          <cell r="AK134">
            <v>-5656.302272727271</v>
          </cell>
          <cell r="AO134">
            <v>0</v>
          </cell>
        </row>
        <row r="135">
          <cell r="U135" t="e">
            <v>#REF!</v>
          </cell>
          <cell r="V135" t="e">
            <v>#REF!</v>
          </cell>
          <cell r="W135" t="e">
            <v>#REF!</v>
          </cell>
          <cell r="AK135">
            <v>-8080.4318181818162</v>
          </cell>
          <cell r="AL135">
            <v>6361.5217508417518</v>
          </cell>
          <cell r="AM135">
            <v>-15307.203569023572</v>
          </cell>
        </row>
        <row r="137">
          <cell r="P137">
            <v>0</v>
          </cell>
          <cell r="S137">
            <v>0</v>
          </cell>
          <cell r="T137">
            <v>142</v>
          </cell>
          <cell r="U137">
            <v>0</v>
          </cell>
          <cell r="AK137">
            <v>-2424.1295454545448</v>
          </cell>
          <cell r="AM137">
            <v>4901</v>
          </cell>
          <cell r="AO137">
            <v>0</v>
          </cell>
          <cell r="AQ137">
            <v>0</v>
          </cell>
        </row>
        <row r="138">
          <cell r="P138" t="e">
            <v>#REF!</v>
          </cell>
          <cell r="U138" t="e">
            <v>#REF!</v>
          </cell>
          <cell r="AK138">
            <v>-14935.850518029456</v>
          </cell>
          <cell r="AO138">
            <v>0</v>
          </cell>
        </row>
        <row r="139">
          <cell r="AK139">
            <v>3.1</v>
          </cell>
          <cell r="AO139" t="e">
            <v>#DIV/0!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5">
          <cell r="AK145">
            <v>8.9</v>
          </cell>
          <cell r="AO145" t="e">
            <v>#DIV/0!</v>
          </cell>
        </row>
        <row r="146">
          <cell r="AK146">
            <v>9.23</v>
          </cell>
          <cell r="AL146">
            <v>35229</v>
          </cell>
          <cell r="AO146" t="e">
            <v>#DIV/0!</v>
          </cell>
        </row>
        <row r="148">
          <cell r="AK148">
            <v>7.62</v>
          </cell>
          <cell r="AO148" t="e">
            <v>#DIV/0!</v>
          </cell>
        </row>
        <row r="149">
          <cell r="AK149">
            <v>36515</v>
          </cell>
          <cell r="AL149">
            <v>36515</v>
          </cell>
          <cell r="AM149">
            <v>-19836.850518029456</v>
          </cell>
        </row>
        <row r="150">
          <cell r="P150" t="e">
            <v>#REF!</v>
          </cell>
          <cell r="S150" t="e">
            <v>#REF!</v>
          </cell>
          <cell r="T150">
            <v>630</v>
          </cell>
          <cell r="U150" t="e">
            <v>#REF!</v>
          </cell>
          <cell r="AK150">
            <v>865.25</v>
          </cell>
        </row>
        <row r="152">
          <cell r="AK152">
            <v>5735.7142857142862</v>
          </cell>
          <cell r="AL152">
            <v>-30153.478249158248</v>
          </cell>
          <cell r="AM152">
            <v>-23132.203569023572</v>
          </cell>
          <cell r="AO152">
            <v>0</v>
          </cell>
        </row>
        <row r="153">
          <cell r="S153">
            <v>0</v>
          </cell>
          <cell r="AK153">
            <v>865.25</v>
          </cell>
        </row>
        <row r="154">
          <cell r="Y154">
            <v>1507.2</v>
          </cell>
          <cell r="AK154">
            <v>40130</v>
          </cell>
          <cell r="AL154">
            <v>35229</v>
          </cell>
          <cell r="AM154">
            <v>4901</v>
          </cell>
        </row>
        <row r="155">
          <cell r="X155" t="str">
            <v>ОЧИК.18.02.</v>
          </cell>
          <cell r="AK155">
            <v>44340</v>
          </cell>
          <cell r="AL155">
            <v>36515</v>
          </cell>
          <cell r="AM155">
            <v>7825</v>
          </cell>
          <cell r="AO155">
            <v>0</v>
          </cell>
          <cell r="AP155">
            <v>3182</v>
          </cell>
          <cell r="AQ155">
            <v>5179.5709186145641</v>
          </cell>
          <cell r="AR155">
            <v>9343.4348160198533</v>
          </cell>
        </row>
        <row r="156">
          <cell r="AK156">
            <v>0</v>
          </cell>
          <cell r="AL156">
            <v>0.1</v>
          </cell>
          <cell r="AM156">
            <v>-75.3</v>
          </cell>
        </row>
        <row r="157">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cell r="AK157">
            <v>44340</v>
          </cell>
          <cell r="AL157">
            <v>36515</v>
          </cell>
          <cell r="AM157">
            <v>7825</v>
          </cell>
        </row>
        <row r="158">
          <cell r="X158">
            <v>1.954</v>
          </cell>
          <cell r="Y158">
            <v>1.954</v>
          </cell>
          <cell r="Z158">
            <v>1.954</v>
          </cell>
          <cell r="AA158">
            <v>1.905</v>
          </cell>
          <cell r="AK158">
            <v>0</v>
          </cell>
          <cell r="AL158">
            <v>0</v>
          </cell>
          <cell r="AM158">
            <v>0</v>
          </cell>
          <cell r="AO158">
            <v>3066</v>
          </cell>
          <cell r="AP158">
            <v>3316</v>
          </cell>
          <cell r="AQ158">
            <v>5168.7494313394982</v>
          </cell>
          <cell r="AR158">
            <v>10162.313669924872</v>
          </cell>
        </row>
        <row r="159">
          <cell r="AK159">
            <v>-15.2</v>
          </cell>
          <cell r="AL159">
            <v>21.1</v>
          </cell>
          <cell r="AM159">
            <v>-66.2</v>
          </cell>
        </row>
        <row r="160">
          <cell r="F160">
            <v>0</v>
          </cell>
          <cell r="P160">
            <v>0</v>
          </cell>
          <cell r="S160">
            <v>0</v>
          </cell>
          <cell r="U160" t="e">
            <v>#REF!</v>
          </cell>
          <cell r="V160">
            <v>0</v>
          </cell>
          <cell r="X160">
            <v>221.49122807017542</v>
          </cell>
          <cell r="AA160">
            <v>0</v>
          </cell>
          <cell r="AC160">
            <v>0</v>
          </cell>
          <cell r="AK160">
            <v>10.764081625689514</v>
          </cell>
          <cell r="AL160">
            <v>-100</v>
          </cell>
          <cell r="AM160">
            <v>-100</v>
          </cell>
        </row>
        <row r="161">
          <cell r="F161">
            <v>0</v>
          </cell>
          <cell r="P161">
            <v>890</v>
          </cell>
          <cell r="S161">
            <v>1440</v>
          </cell>
          <cell r="U161" t="e">
            <v>#REF!</v>
          </cell>
          <cell r="V161">
            <v>1070</v>
          </cell>
          <cell r="X161">
            <v>252.49999999999997</v>
          </cell>
          <cell r="AA161">
            <v>1777</v>
          </cell>
          <cell r="AC161">
            <v>768.7</v>
          </cell>
          <cell r="AF161">
            <v>780</v>
          </cell>
          <cell r="AG161">
            <v>780</v>
          </cell>
          <cell r="AH161">
            <v>0</v>
          </cell>
          <cell r="AK161">
            <v>5957</v>
          </cell>
          <cell r="AL161">
            <v>0</v>
          </cell>
          <cell r="AM161">
            <v>0</v>
          </cell>
        </row>
        <row r="162">
          <cell r="F162">
            <v>0</v>
          </cell>
          <cell r="P162">
            <v>700</v>
          </cell>
          <cell r="Q162">
            <v>63.33</v>
          </cell>
          <cell r="R162">
            <v>63.33</v>
          </cell>
          <cell r="S162">
            <v>63.33</v>
          </cell>
          <cell r="T162">
            <v>63.33</v>
          </cell>
          <cell r="U162">
            <v>82.5</v>
          </cell>
          <cell r="V162">
            <v>1070</v>
          </cell>
          <cell r="X162">
            <v>66</v>
          </cell>
          <cell r="AA162">
            <v>1639</v>
          </cell>
          <cell r="AF162">
            <v>730</v>
          </cell>
          <cell r="AG162">
            <v>730</v>
          </cell>
          <cell r="AH162">
            <v>0</v>
          </cell>
          <cell r="AK162">
            <v>4849</v>
          </cell>
        </row>
        <row r="163">
          <cell r="F163">
            <v>0</v>
          </cell>
          <cell r="P163">
            <v>0</v>
          </cell>
          <cell r="S163">
            <v>0</v>
          </cell>
          <cell r="U163" t="e">
            <v>#REF!</v>
          </cell>
          <cell r="V163">
            <v>0</v>
          </cell>
          <cell r="X163">
            <v>0</v>
          </cell>
          <cell r="AA163">
            <v>138</v>
          </cell>
          <cell r="AC163">
            <v>0</v>
          </cell>
          <cell r="AF163">
            <v>50</v>
          </cell>
          <cell r="AG163">
            <v>50</v>
          </cell>
          <cell r="AH163">
            <v>0</v>
          </cell>
          <cell r="AK163">
            <v>0</v>
          </cell>
        </row>
        <row r="164">
          <cell r="F164">
            <v>0</v>
          </cell>
          <cell r="P164">
            <v>671.5</v>
          </cell>
          <cell r="S164">
            <v>1737.3999999999999</v>
          </cell>
          <cell r="U164" t="e">
            <v>#REF!</v>
          </cell>
          <cell r="V164">
            <v>0</v>
          </cell>
          <cell r="X164">
            <v>890.8</v>
          </cell>
          <cell r="AA164">
            <v>12</v>
          </cell>
          <cell r="AC164">
            <v>1354.7</v>
          </cell>
          <cell r="AF164">
            <v>665.35</v>
          </cell>
          <cell r="AG164">
            <v>665.35</v>
          </cell>
          <cell r="AH164">
            <v>0</v>
          </cell>
          <cell r="AK164">
            <v>5319.75</v>
          </cell>
        </row>
        <row r="165">
          <cell r="F165">
            <v>0</v>
          </cell>
          <cell r="P165">
            <v>552.5</v>
          </cell>
          <cell r="S165">
            <v>1550.3999999999999</v>
          </cell>
          <cell r="U165" t="e">
            <v>#REF!</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U166" t="e">
            <v>#REF!</v>
          </cell>
          <cell r="X166">
            <v>197.2</v>
          </cell>
          <cell r="AC166">
            <v>62.05</v>
          </cell>
          <cell r="AF166">
            <v>130.04999999999998</v>
          </cell>
          <cell r="AG166">
            <v>130.04999999999998</v>
          </cell>
          <cell r="AH166">
            <v>0</v>
          </cell>
          <cell r="AK166">
            <v>695.3</v>
          </cell>
        </row>
        <row r="167">
          <cell r="F167">
            <v>295</v>
          </cell>
          <cell r="P167">
            <v>140</v>
          </cell>
          <cell r="S167">
            <v>157</v>
          </cell>
          <cell r="U167" t="e">
            <v>#REF!</v>
          </cell>
          <cell r="V167">
            <v>458.81818181818181</v>
          </cell>
          <cell r="X167">
            <v>154</v>
          </cell>
          <cell r="AA167">
            <v>216.09090909090909</v>
          </cell>
          <cell r="AC167">
            <v>22</v>
          </cell>
          <cell r="AF167">
            <v>145</v>
          </cell>
          <cell r="AG167">
            <v>300</v>
          </cell>
          <cell r="AK167">
            <v>768</v>
          </cell>
        </row>
        <row r="168">
          <cell r="F168">
            <v>-459</v>
          </cell>
          <cell r="P168">
            <v>63.33</v>
          </cell>
          <cell r="S168">
            <v>800</v>
          </cell>
          <cell r="U168">
            <v>63.33</v>
          </cell>
          <cell r="V168">
            <v>611.18181818181824</v>
          </cell>
          <cell r="X168">
            <v>1433.2409090909091</v>
          </cell>
          <cell r="AA168">
            <v>1560.909090909091</v>
          </cell>
          <cell r="AC168">
            <v>561.88181818181829</v>
          </cell>
          <cell r="AK168">
            <v>0</v>
          </cell>
        </row>
        <row r="169">
          <cell r="F169">
            <v>14.170833333333334</v>
          </cell>
          <cell r="P169" t="e">
            <v>#REF!</v>
          </cell>
          <cell r="S169">
            <v>1440</v>
          </cell>
          <cell r="U169" t="e">
            <v>#REF!</v>
          </cell>
          <cell r="V169">
            <v>1070</v>
          </cell>
          <cell r="X169">
            <v>1767.15</v>
          </cell>
          <cell r="AA169">
            <v>1777</v>
          </cell>
          <cell r="AC169">
            <v>768.7</v>
          </cell>
          <cell r="AK169">
            <v>14.170833333333334</v>
          </cell>
        </row>
        <row r="170">
          <cell r="F170">
            <v>459</v>
          </cell>
          <cell r="P170">
            <v>196</v>
          </cell>
          <cell r="S170">
            <v>580.5454545454545</v>
          </cell>
          <cell r="U170" t="e">
            <v>#REF!</v>
          </cell>
          <cell r="V170">
            <v>0</v>
          </cell>
          <cell r="X170">
            <v>270.36363636363637</v>
          </cell>
          <cell r="AA170">
            <v>0</v>
          </cell>
          <cell r="AC170">
            <v>179.90909090909091</v>
          </cell>
          <cell r="AF170">
            <v>297.72727272727275</v>
          </cell>
          <cell r="AG170">
            <v>298</v>
          </cell>
          <cell r="AK170">
            <v>1226.818181818182</v>
          </cell>
        </row>
        <row r="171">
          <cell r="F171">
            <v>-459</v>
          </cell>
          <cell r="S171">
            <v>1156.8545454545454</v>
          </cell>
          <cell r="U171" t="e">
            <v>#REF!</v>
          </cell>
          <cell r="V171">
            <v>0</v>
          </cell>
          <cell r="X171">
            <v>620.43636363636358</v>
          </cell>
          <cell r="AA171">
            <v>0</v>
          </cell>
          <cell r="AC171">
            <v>1174.7909090909091</v>
          </cell>
          <cell r="AF171">
            <v>0</v>
          </cell>
          <cell r="AG171">
            <v>0</v>
          </cell>
          <cell r="AH171">
            <v>0</v>
          </cell>
          <cell r="AK171">
            <v>2493.0818181818177</v>
          </cell>
        </row>
        <row r="172">
          <cell r="F172">
            <v>0</v>
          </cell>
          <cell r="G172">
            <v>0</v>
          </cell>
          <cell r="H172">
            <v>0</v>
          </cell>
          <cell r="P172" t="e">
            <v>#REF!</v>
          </cell>
          <cell r="Q172">
            <v>0</v>
          </cell>
          <cell r="R172">
            <v>0</v>
          </cell>
          <cell r="S172">
            <v>1737.3999999999999</v>
          </cell>
          <cell r="T172">
            <v>0</v>
          </cell>
          <cell r="U172" t="e">
            <v>#REF!</v>
          </cell>
          <cell r="V172">
            <v>80</v>
          </cell>
          <cell r="W172">
            <v>14347.131818181819</v>
          </cell>
          <cell r="X172">
            <v>890.8</v>
          </cell>
          <cell r="Y172">
            <v>0</v>
          </cell>
          <cell r="Z172">
            <v>0</v>
          </cell>
          <cell r="AA172">
            <v>300</v>
          </cell>
          <cell r="AB172">
            <v>0</v>
          </cell>
          <cell r="AC172">
            <v>1354.7</v>
          </cell>
          <cell r="AD172">
            <v>12866.875151515153</v>
          </cell>
          <cell r="AE172">
            <v>0</v>
          </cell>
          <cell r="AF172">
            <v>554</v>
          </cell>
          <cell r="AG172">
            <v>554</v>
          </cell>
          <cell r="AH172">
            <v>0</v>
          </cell>
          <cell r="AK172">
            <v>4982</v>
          </cell>
        </row>
        <row r="173">
          <cell r="F173">
            <v>459</v>
          </cell>
          <cell r="G173">
            <v>0</v>
          </cell>
          <cell r="H173">
            <v>0</v>
          </cell>
          <cell r="P173">
            <v>0</v>
          </cell>
          <cell r="Q173">
            <v>0</v>
          </cell>
          <cell r="R173">
            <v>0</v>
          </cell>
          <cell r="S173">
            <v>0</v>
          </cell>
          <cell r="T173">
            <v>0</v>
          </cell>
          <cell r="U173" t="e">
            <v>#REF!</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459</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75</v>
          </cell>
          <cell r="AB174">
            <v>0</v>
          </cell>
          <cell r="AC174">
            <v>0</v>
          </cell>
          <cell r="AE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cell r="AB178">
            <v>0</v>
          </cell>
          <cell r="AC178">
            <v>606.86</v>
          </cell>
          <cell r="AF178">
            <v>1861.06</v>
          </cell>
          <cell r="AG178">
            <v>0</v>
          </cell>
          <cell r="AH178">
            <v>228.75999999999993</v>
          </cell>
          <cell r="AK178">
            <v>0</v>
          </cell>
          <cell r="AO178">
            <v>396</v>
          </cell>
          <cell r="AP178">
            <v>467</v>
          </cell>
          <cell r="AQ178">
            <v>1039.6199999999999</v>
          </cell>
          <cell r="AR178">
            <v>2063.5209090909093</v>
          </cell>
        </row>
        <row r="179">
          <cell r="F179">
            <v>0</v>
          </cell>
          <cell r="G179">
            <v>0</v>
          </cell>
          <cell r="H179">
            <v>0</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3500</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cell r="AB180">
            <v>0</v>
          </cell>
          <cell r="AC180">
            <v>274.33333333333331</v>
          </cell>
          <cell r="AF180">
            <v>15</v>
          </cell>
          <cell r="AG180">
            <v>15</v>
          </cell>
          <cell r="AH180">
            <v>0</v>
          </cell>
          <cell r="AK180">
            <v>3500</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Y181">
            <v>52</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4">
          <cell r="AO184" t="str">
            <v>ОЧИК.18.02.</v>
          </cell>
        </row>
        <row r="185">
          <cell r="P185" t="str">
            <v>ТЕЦ-6 ВСЬОГО</v>
          </cell>
          <cell r="Q185" t="str">
            <v>Е/Е</v>
          </cell>
          <cell r="R185" t="str">
            <v xml:space="preserve"> Т/Е</v>
          </cell>
          <cell r="U185" t="str">
            <v>АК КЕ ВСЬОГО</v>
          </cell>
          <cell r="V185" t="str">
            <v>Е/Е</v>
          </cell>
          <cell r="W185" t="str">
            <v xml:space="preserve"> Т/Е</v>
          </cell>
        </row>
        <row r="186">
          <cell r="F186">
            <v>12898</v>
          </cell>
          <cell r="P186">
            <v>461.99999999999989</v>
          </cell>
          <cell r="Q186">
            <v>233.6</v>
          </cell>
          <cell r="R186">
            <v>67</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Q187">
            <v>198.5</v>
          </cell>
          <cell r="R187">
            <v>163.30000000000001</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ОЧИК.18.02.</v>
          </cell>
          <cell r="AP187" t="str">
            <v>СТАНЦІІ ТЕПЛОВІ</v>
          </cell>
          <cell r="AQ187" t="str">
            <v>МЕРЕЖІ ЕЛЕКТРО</v>
          </cell>
          <cell r="AR187" t="str">
            <v>МЕРЕЖІ ТЕПЛОВІ</v>
          </cell>
        </row>
        <row r="188">
          <cell r="Q188">
            <v>301.2</v>
          </cell>
          <cell r="R188">
            <v>115.6</v>
          </cell>
        </row>
        <row r="189">
          <cell r="Q189">
            <v>102.69999999999999</v>
          </cell>
          <cell r="R189">
            <v>-47.700000000000017</v>
          </cell>
        </row>
        <row r="190">
          <cell r="F190" t="str">
            <v>АПАРАТ ВСЬОГО</v>
          </cell>
          <cell r="G190" t="str">
            <v>АПАРАТ ЕЛЕКТРО</v>
          </cell>
          <cell r="H190" t="str">
            <v>АПАРАТ ТЕПЛО</v>
          </cell>
          <cell r="P190" t="str">
            <v>ККМ</v>
          </cell>
          <cell r="Q190" t="e">
            <v>#REF!</v>
          </cell>
          <cell r="R190" t="e">
            <v>#REF!</v>
          </cell>
          <cell r="S190" t="str">
            <v>КТМ</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1">
          <cell r="Q191" t="e">
            <v>#REF!</v>
          </cell>
          <cell r="R191" t="e">
            <v>#REF!</v>
          </cell>
          <cell r="S191">
            <v>12.9</v>
          </cell>
          <cell r="V191">
            <v>67.3</v>
          </cell>
          <cell r="X191">
            <v>73.5</v>
          </cell>
          <cell r="AA191">
            <v>63</v>
          </cell>
          <cell r="AC191">
            <v>61.7</v>
          </cell>
          <cell r="AK191">
            <v>143.20000000000002</v>
          </cell>
          <cell r="AO191">
            <v>252.49999999999997</v>
          </cell>
        </row>
        <row r="192">
          <cell r="P192">
            <v>0</v>
          </cell>
          <cell r="Q192" t="e">
            <v>#REF!</v>
          </cell>
          <cell r="R192" t="e">
            <v>#REF!</v>
          </cell>
          <cell r="S192">
            <v>0</v>
          </cell>
          <cell r="V192" t="e">
            <v>#REF!</v>
          </cell>
          <cell r="W192" t="e">
            <v>#REF!</v>
          </cell>
          <cell r="X192">
            <v>0</v>
          </cell>
          <cell r="AA192">
            <v>0</v>
          </cell>
          <cell r="AC192">
            <v>0</v>
          </cell>
          <cell r="AO192">
            <v>66</v>
          </cell>
        </row>
        <row r="193">
          <cell r="P193">
            <v>0</v>
          </cell>
          <cell r="S193">
            <v>6.4</v>
          </cell>
          <cell r="V193">
            <v>192.5</v>
          </cell>
          <cell r="X193">
            <v>65.3</v>
          </cell>
          <cell r="AA193">
            <v>192.5</v>
          </cell>
          <cell r="AC193">
            <v>58</v>
          </cell>
          <cell r="AK193">
            <v>129.69999999999999</v>
          </cell>
          <cell r="AO193">
            <v>221.49122807017542</v>
          </cell>
        </row>
        <row r="194">
          <cell r="S194">
            <v>7.3</v>
          </cell>
          <cell r="V194">
            <v>11300</v>
          </cell>
          <cell r="X194">
            <v>74.7</v>
          </cell>
          <cell r="AA194">
            <v>10588</v>
          </cell>
          <cell r="AC194">
            <v>66.5</v>
          </cell>
          <cell r="AK194">
            <v>148.5</v>
          </cell>
          <cell r="AO194">
            <v>252.49999999999997</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192.5</v>
          </cell>
          <cell r="AO196">
            <v>0</v>
          </cell>
        </row>
        <row r="197">
          <cell r="S197">
            <v>1232</v>
          </cell>
          <cell r="V197">
            <v>0</v>
          </cell>
          <cell r="X197">
            <v>12570</v>
          </cell>
          <cell r="AA197">
            <v>0</v>
          </cell>
          <cell r="AC197">
            <v>11165</v>
          </cell>
          <cell r="AK197">
            <v>24967</v>
          </cell>
          <cell r="AO197">
            <v>0</v>
          </cell>
        </row>
        <row r="198">
          <cell r="V198">
            <v>82.5</v>
          </cell>
          <cell r="X198">
            <v>82.5</v>
          </cell>
          <cell r="Y198">
            <v>1507.2</v>
          </cell>
          <cell r="AA198">
            <v>82.5</v>
          </cell>
          <cell r="AC198">
            <v>82.5</v>
          </cell>
          <cell r="AK198">
            <v>24967</v>
          </cell>
        </row>
        <row r="199">
          <cell r="V199">
            <v>0</v>
          </cell>
          <cell r="X199">
            <v>0</v>
          </cell>
          <cell r="AA199">
            <v>0</v>
          </cell>
          <cell r="AC199">
            <v>0</v>
          </cell>
          <cell r="AK199">
            <v>0</v>
          </cell>
        </row>
        <row r="200">
          <cell r="S200">
            <v>0</v>
          </cell>
          <cell r="V200">
            <v>0</v>
          </cell>
          <cell r="X200">
            <v>0</v>
          </cell>
          <cell r="AA200">
            <v>0</v>
          </cell>
          <cell r="AC200">
            <v>0</v>
          </cell>
          <cell r="AK200">
            <v>0</v>
          </cell>
        </row>
        <row r="201">
          <cell r="X201">
            <v>82.5</v>
          </cell>
          <cell r="AC201">
            <v>82.5</v>
          </cell>
        </row>
        <row r="202">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O204" t="e">
            <v>#DIV/0!</v>
          </cell>
          <cell r="AR204">
            <v>75</v>
          </cell>
        </row>
        <row r="205">
          <cell r="S205">
            <v>385</v>
          </cell>
          <cell r="V205">
            <v>385</v>
          </cell>
          <cell r="X205">
            <v>0</v>
          </cell>
          <cell r="AA205">
            <v>385</v>
          </cell>
          <cell r="AC205">
            <v>0</v>
          </cell>
          <cell r="AK205">
            <v>0</v>
          </cell>
          <cell r="AO205">
            <v>75.839416058394164</v>
          </cell>
        </row>
        <row r="206">
          <cell r="S206">
            <v>0</v>
          </cell>
          <cell r="V206">
            <v>0</v>
          </cell>
          <cell r="X206">
            <v>0</v>
          </cell>
          <cell r="AA206">
            <v>0</v>
          </cell>
          <cell r="AC206">
            <v>0</v>
          </cell>
          <cell r="AK206">
            <v>0</v>
          </cell>
          <cell r="AO206">
            <v>103.9</v>
          </cell>
        </row>
        <row r="207">
          <cell r="F207">
            <v>75</v>
          </cell>
          <cell r="P207">
            <v>75</v>
          </cell>
          <cell r="AK207">
            <v>0</v>
          </cell>
          <cell r="AO207" t="e">
            <v>#DIV/0!</v>
          </cell>
          <cell r="AR207">
            <v>75</v>
          </cell>
        </row>
        <row r="208">
          <cell r="S208">
            <v>385</v>
          </cell>
          <cell r="V208">
            <v>67.3</v>
          </cell>
          <cell r="W208">
            <v>54.6</v>
          </cell>
          <cell r="X208">
            <v>385</v>
          </cell>
          <cell r="Y208">
            <v>52.8</v>
          </cell>
          <cell r="Z208">
            <v>20.700000000000003</v>
          </cell>
          <cell r="AA208">
            <v>63</v>
          </cell>
          <cell r="AB208">
            <v>50</v>
          </cell>
          <cell r="AC208">
            <v>385</v>
          </cell>
          <cell r="AD208">
            <v>43.9</v>
          </cell>
          <cell r="AE208">
            <v>17.8</v>
          </cell>
          <cell r="AK208">
            <v>385</v>
          </cell>
          <cell r="AL208">
            <v>104.6</v>
          </cell>
          <cell r="AM208">
            <v>38.599999999999994</v>
          </cell>
          <cell r="AO208">
            <v>195.28</v>
          </cell>
          <cell r="AP208">
            <v>74.900000000000006</v>
          </cell>
          <cell r="AQ208">
            <v>281.5</v>
          </cell>
        </row>
        <row r="209">
          <cell r="S209">
            <v>0</v>
          </cell>
          <cell r="V209">
            <v>11300</v>
          </cell>
          <cell r="W209">
            <v>9168</v>
          </cell>
          <cell r="X209">
            <v>0</v>
          </cell>
          <cell r="Y209">
            <v>2132</v>
          </cell>
          <cell r="Z209">
            <v>3481</v>
          </cell>
          <cell r="AA209">
            <v>10588</v>
          </cell>
          <cell r="AB209">
            <v>8403</v>
          </cell>
          <cell r="AC209">
            <v>0</v>
          </cell>
          <cell r="AD209">
            <v>7369</v>
          </cell>
          <cell r="AE209">
            <v>2988</v>
          </cell>
          <cell r="AK209">
            <v>0</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0</v>
          </cell>
          <cell r="AL210">
            <v>167.98</v>
          </cell>
          <cell r="AM210">
            <v>168.19</v>
          </cell>
          <cell r="AO210">
            <v>41.55</v>
          </cell>
          <cell r="AP210">
            <v>41.55</v>
          </cell>
          <cell r="AQ210">
            <v>41.55</v>
          </cell>
          <cell r="AR210" t="str">
            <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V212">
            <v>11300</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3">
          <cell r="AP223">
            <v>1507.2</v>
          </cell>
        </row>
        <row r="226">
          <cell r="AP226">
            <v>1507.2</v>
          </cell>
        </row>
        <row r="227">
          <cell r="S227" t="str">
            <v>ТИС.ГРН.</v>
          </cell>
        </row>
        <row r="228">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P231" t="e">
            <v>#REF!</v>
          </cell>
          <cell r="Q231" t="e">
            <v>#REF!</v>
          </cell>
          <cell r="R231" t="e">
            <v>#REF!</v>
          </cell>
          <cell r="S231" t="e">
            <v>#REF!</v>
          </cell>
          <cell r="T231">
            <v>1129</v>
          </cell>
          <cell r="U231" t="e">
            <v>#REF!</v>
          </cell>
          <cell r="V231" t="e">
            <v>#REF!</v>
          </cell>
          <cell r="W231" t="e">
            <v>#REF!</v>
          </cell>
        </row>
        <row r="232">
          <cell r="P232" t="e">
            <v>#REF!</v>
          </cell>
          <cell r="Q232" t="e">
            <v>#REF!</v>
          </cell>
          <cell r="R232" t="e">
            <v>#REF!</v>
          </cell>
          <cell r="S232" t="e">
            <v>#REF!</v>
          </cell>
          <cell r="T232">
            <v>117</v>
          </cell>
          <cell r="U232" t="e">
            <v>#REF!</v>
          </cell>
          <cell r="V232" t="e">
            <v>#REF!</v>
          </cell>
        </row>
        <row r="233">
          <cell r="P233" t="e">
            <v>#REF!</v>
          </cell>
          <cell r="V233" t="e">
            <v>#REF!</v>
          </cell>
        </row>
        <row r="234">
          <cell r="P234" t="e">
            <v>#REF!</v>
          </cell>
          <cell r="Q234" t="e">
            <v>#REF!</v>
          </cell>
          <cell r="R234" t="e">
            <v>#REF!</v>
          </cell>
          <cell r="S234" t="e">
            <v>#REF!</v>
          </cell>
          <cell r="T234">
            <v>1012</v>
          </cell>
          <cell r="U234" t="e">
            <v>#REF!</v>
          </cell>
          <cell r="V234" t="e">
            <v>#REF!</v>
          </cell>
        </row>
        <row r="235">
          <cell r="P235" t="e">
            <v>#REF!</v>
          </cell>
          <cell r="S235" t="e">
            <v>#REF!</v>
          </cell>
          <cell r="U235" t="e">
            <v>#REF!</v>
          </cell>
          <cell r="V235" t="e">
            <v>#REF!</v>
          </cell>
        </row>
        <row r="236">
          <cell r="P236" t="e">
            <v>#REF!</v>
          </cell>
          <cell r="Q236" t="e">
            <v>#REF!</v>
          </cell>
          <cell r="R236" t="e">
            <v>#REF!</v>
          </cell>
          <cell r="S236" t="e">
            <v>#REF!</v>
          </cell>
          <cell r="T236">
            <v>0</v>
          </cell>
          <cell r="U236" t="e">
            <v>#REF!</v>
          </cell>
          <cell r="V236" t="e">
            <v>#REF!</v>
          </cell>
        </row>
        <row r="237">
          <cell r="P237" t="e">
            <v>#REF!</v>
          </cell>
          <cell r="S237">
            <v>0</v>
          </cell>
          <cell r="U237" t="e">
            <v>#REF!</v>
          </cell>
          <cell r="V237" t="e">
            <v>#REF!</v>
          </cell>
        </row>
        <row r="238">
          <cell r="P238" t="e">
            <v>#REF!</v>
          </cell>
          <cell r="S238" t="e">
            <v>#REF!</v>
          </cell>
          <cell r="U238" t="e">
            <v>#REF!</v>
          </cell>
          <cell r="V238" t="e">
            <v>#REF!</v>
          </cell>
          <cell r="X238">
            <v>6</v>
          </cell>
          <cell r="Y238">
            <v>6</v>
          </cell>
          <cell r="Z238">
            <v>12</v>
          </cell>
          <cell r="AG238" t="str">
            <v xml:space="preserve">         Затверджую</v>
          </cell>
        </row>
        <row r="239">
          <cell r="U239">
            <v>0</v>
          </cell>
          <cell r="V239">
            <v>0</v>
          </cell>
          <cell r="AG239" t="str">
            <v xml:space="preserve"> Голова правління </v>
          </cell>
        </row>
        <row r="240">
          <cell r="U240">
            <v>2421.3333333333335</v>
          </cell>
          <cell r="V240">
            <v>2421.3333333333335</v>
          </cell>
          <cell r="AG240" t="str">
            <v xml:space="preserve">                        І.В.Плачков</v>
          </cell>
        </row>
        <row r="241">
          <cell r="P241" t="e">
            <v>#REF!</v>
          </cell>
          <cell r="Q241" t="e">
            <v>#REF!</v>
          </cell>
          <cell r="R241" t="e">
            <v>#REF!</v>
          </cell>
          <cell r="S241" t="e">
            <v>#REF!</v>
          </cell>
          <cell r="U241" t="e">
            <v>#REF!</v>
          </cell>
          <cell r="V241" t="e">
            <v>#REF!</v>
          </cell>
          <cell r="AG241" t="str">
            <v xml:space="preserve">         Затверджую</v>
          </cell>
        </row>
        <row r="242">
          <cell r="V242">
            <v>0</v>
          </cell>
          <cell r="AG242" t="str">
            <v xml:space="preserve"> Голова правління </v>
          </cell>
        </row>
        <row r="243">
          <cell r="P243" t="e">
            <v>#REF!</v>
          </cell>
          <cell r="S243" t="e">
            <v>#REF!</v>
          </cell>
          <cell r="U243" t="e">
            <v>#REF!</v>
          </cell>
          <cell r="V243" t="e">
            <v>#REF!</v>
          </cell>
          <cell r="AG243" t="str">
            <v xml:space="preserve">                        І.В.Плачков</v>
          </cell>
        </row>
        <row r="244">
          <cell r="P244">
            <v>0</v>
          </cell>
          <cell r="S244">
            <v>0</v>
          </cell>
          <cell r="U244">
            <v>0</v>
          </cell>
          <cell r="V244">
            <v>40</v>
          </cell>
          <cell r="AG244" t="str">
            <v xml:space="preserve">   "_____" ________2000 р.</v>
          </cell>
        </row>
        <row r="245">
          <cell r="F245" t="str">
            <v>РОЗРАХУНОК ФІНАНСОВИХ ПОТОКІВ НА   березень  2000 року</v>
          </cell>
          <cell r="V245">
            <v>0</v>
          </cell>
        </row>
        <row r="246">
          <cell r="F246" t="str">
            <v>ПО ФІЛІАЛАХ АК КИЇВЕНЕРГО</v>
          </cell>
          <cell r="P246">
            <v>0</v>
          </cell>
          <cell r="Q246">
            <v>0</v>
          </cell>
          <cell r="R246">
            <v>0</v>
          </cell>
          <cell r="S246">
            <v>0</v>
          </cell>
          <cell r="T246">
            <v>0</v>
          </cell>
          <cell r="U246">
            <v>0</v>
          </cell>
          <cell r="V246">
            <v>0</v>
          </cell>
        </row>
        <row r="247">
          <cell r="P247">
            <v>0</v>
          </cell>
          <cell r="Q247">
            <v>0</v>
          </cell>
          <cell r="R247">
            <v>0</v>
          </cell>
          <cell r="S247">
            <v>0</v>
          </cell>
          <cell r="T247">
            <v>0</v>
          </cell>
          <cell r="U247">
            <v>0</v>
          </cell>
          <cell r="V247">
            <v>0</v>
          </cell>
        </row>
        <row r="248">
          <cell r="F248" t="str">
            <v>РОЗРАХУНОК ФІНАНСОВИХ ПОТОКІВ НА   березень  2000 року</v>
          </cell>
          <cell r="V248">
            <v>0</v>
          </cell>
        </row>
        <row r="249">
          <cell r="F249" t="str">
            <v>ПО ФІЛІАЛАХ АК КИЇВЕНЕРГО</v>
          </cell>
          <cell r="P249" t="e">
            <v>#REF!</v>
          </cell>
          <cell r="S249">
            <v>0</v>
          </cell>
          <cell r="U249" t="e">
            <v>#REF!</v>
          </cell>
          <cell r="V249" t="e">
            <v>#REF!</v>
          </cell>
        </row>
        <row r="250">
          <cell r="P250" t="e">
            <v>#REF!</v>
          </cell>
          <cell r="S250">
            <v>0</v>
          </cell>
          <cell r="U250" t="e">
            <v>#REF!</v>
          </cell>
          <cell r="V250" t="e">
            <v>#REF!</v>
          </cell>
        </row>
        <row r="251">
          <cell r="V251">
            <v>0</v>
          </cell>
          <cell r="AK251" t="str">
            <v>тис.грн.</v>
          </cell>
        </row>
        <row r="252">
          <cell r="F252" t="str">
            <v>ВИКОН.ДИР.</v>
          </cell>
          <cell r="G252" t="str">
            <v>АПАРАТ ЕЛЕКТРО</v>
          </cell>
          <cell r="H252" t="str">
            <v>АПАРАТ ТЕПЛО</v>
          </cell>
          <cell r="P252" t="e">
            <v>#REF!</v>
          </cell>
          <cell r="Q252" t="e">
            <v>#REF!</v>
          </cell>
          <cell r="R252" t="e">
            <v>#REF!</v>
          </cell>
          <cell r="S252">
            <v>0</v>
          </cell>
          <cell r="T252">
            <v>0</v>
          </cell>
          <cell r="U252" t="e">
            <v>#REF!</v>
          </cell>
          <cell r="V252" t="e">
            <v>#REF!</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t="e">
            <v>#REF!</v>
          </cell>
          <cell r="S253">
            <v>0</v>
          </cell>
          <cell r="U253" t="e">
            <v>#REF!</v>
          </cell>
          <cell r="V253" t="e">
            <v>#REF!</v>
          </cell>
          <cell r="X253">
            <v>3133.4075757575761</v>
          </cell>
          <cell r="AA253">
            <v>2709.5690909090908</v>
          </cell>
          <cell r="AC253">
            <v>2333.3751515151525</v>
          </cell>
          <cell r="AF253">
            <v>4466.8781818181815</v>
          </cell>
          <cell r="AG253">
            <v>3618.3</v>
          </cell>
          <cell r="AH253">
            <v>848.57818181818175</v>
          </cell>
          <cell r="AK253">
            <v>26332.719090909093</v>
          </cell>
        </row>
        <row r="254">
          <cell r="P254">
            <v>10</v>
          </cell>
          <cell r="U254">
            <v>202</v>
          </cell>
          <cell r="V254">
            <v>202</v>
          </cell>
          <cell r="AK254" t="str">
            <v>тис.грн.</v>
          </cell>
        </row>
        <row r="255">
          <cell r="F255" t="str">
            <v>ВИКОН.ДИР.</v>
          </cell>
          <cell r="G255" t="str">
            <v>АПАРАТ ЕЛЕКТРО</v>
          </cell>
          <cell r="H255" t="str">
            <v>АПАРАТ ТЕПЛО</v>
          </cell>
          <cell r="P255" t="str">
            <v>КМ</v>
          </cell>
          <cell r="Q255" t="str">
            <v>ТМ</v>
          </cell>
          <cell r="R255">
            <v>0</v>
          </cell>
          <cell r="S255" t="str">
            <v>КТМ</v>
          </cell>
          <cell r="T255" t="str">
            <v>ВИРОБН</v>
          </cell>
          <cell r="U255" t="str">
            <v>ПЕРЕД</v>
          </cell>
          <cell r="V255" t="e">
            <v>#REF!</v>
          </cell>
          <cell r="W255">
            <v>2024</v>
          </cell>
          <cell r="X255" t="str">
            <v>ТЕЦ-5 ВСЬОГО</v>
          </cell>
          <cell r="Y255" t="str">
            <v>Е/Е</v>
          </cell>
          <cell r="Z255" t="str">
            <v xml:space="preserve"> Т/Е</v>
          </cell>
          <cell r="AA255">
            <v>2709.5690909090908</v>
          </cell>
          <cell r="AB255">
            <v>1898</v>
          </cell>
          <cell r="AC255" t="str">
            <v>ТЕЦ-6 ВСЬОГО</v>
          </cell>
          <cell r="AD255">
            <v>1496</v>
          </cell>
          <cell r="AE255">
            <v>607.87515151515208</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G256">
            <v>2114.6703910614524</v>
          </cell>
          <cell r="H256">
            <v>1932.3296089385476</v>
          </cell>
          <cell r="P256">
            <v>3642.12</v>
          </cell>
          <cell r="S256">
            <v>4914.9412121212117</v>
          </cell>
          <cell r="T256">
            <v>1750.1999999999996</v>
          </cell>
          <cell r="U256" t="e">
            <v>#REF!</v>
          </cell>
          <cell r="V256" t="e">
            <v>#REF!</v>
          </cell>
          <cell r="W256">
            <v>1364</v>
          </cell>
          <cell r="X256">
            <v>1941.8530303030293</v>
          </cell>
          <cell r="Y256">
            <v>1589</v>
          </cell>
          <cell r="Z256">
            <v>624.33333333333371</v>
          </cell>
          <cell r="AA256">
            <v>624</v>
          </cell>
          <cell r="AB256">
            <v>1140</v>
          </cell>
          <cell r="AC256">
            <v>1753.5509090909086</v>
          </cell>
          <cell r="AD256">
            <v>923</v>
          </cell>
          <cell r="AE256">
            <v>374.83333333333388</v>
          </cell>
          <cell r="AF256">
            <v>3698.0493939393937</v>
          </cell>
          <cell r="AG256">
            <v>3251.35</v>
          </cell>
          <cell r="AH256">
            <v>415.69939393939387</v>
          </cell>
          <cell r="AK256">
            <v>20774.514545454542</v>
          </cell>
          <cell r="AM256">
            <v>14890.138095238095</v>
          </cell>
        </row>
        <row r="257">
          <cell r="F257">
            <v>42326.804761904765</v>
          </cell>
          <cell r="P257" t="e">
            <v>#REF!</v>
          </cell>
          <cell r="Q257">
            <v>0</v>
          </cell>
          <cell r="R257">
            <v>0</v>
          </cell>
          <cell r="S257">
            <v>0</v>
          </cell>
          <cell r="T257">
            <v>0</v>
          </cell>
          <cell r="U257" t="e">
            <v>#REF!</v>
          </cell>
          <cell r="V257" t="e">
            <v>#REF!</v>
          </cell>
          <cell r="W257">
            <v>0</v>
          </cell>
          <cell r="X257">
            <v>0</v>
          </cell>
          <cell r="Y257">
            <v>0</v>
          </cell>
          <cell r="Z257">
            <v>0</v>
          </cell>
          <cell r="AA257">
            <v>18</v>
          </cell>
          <cell r="AB257">
            <v>0</v>
          </cell>
          <cell r="AC257">
            <v>0</v>
          </cell>
          <cell r="AD257">
            <v>0</v>
          </cell>
          <cell r="AE257">
            <v>0</v>
          </cell>
          <cell r="AF257">
            <v>0</v>
          </cell>
          <cell r="AG257">
            <v>0</v>
          </cell>
          <cell r="AH257">
            <v>0</v>
          </cell>
          <cell r="AK257">
            <v>42344.804761904765</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V259" t="e">
            <v>#REF!</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39331.976190476191</v>
          </cell>
        </row>
        <row r="261">
          <cell r="F261">
            <v>24967</v>
          </cell>
          <cell r="P261" t="e">
            <v>#REF!</v>
          </cell>
          <cell r="Q261" t="e">
            <v>#REF!</v>
          </cell>
          <cell r="R261" t="e">
            <v>#REF!</v>
          </cell>
          <cell r="S261">
            <v>0</v>
          </cell>
          <cell r="T261">
            <v>0</v>
          </cell>
          <cell r="U261" t="e">
            <v>#REF!</v>
          </cell>
          <cell r="V261" t="e">
            <v>#REF!</v>
          </cell>
          <cell r="AK261">
            <v>24967</v>
          </cell>
        </row>
        <row r="262">
          <cell r="F262">
            <v>4580</v>
          </cell>
          <cell r="P262" t="e">
            <v>#REF!</v>
          </cell>
          <cell r="Q262" t="e">
            <v>#REF!</v>
          </cell>
          <cell r="R262" t="e">
            <v>#REF!</v>
          </cell>
          <cell r="S262">
            <v>0</v>
          </cell>
          <cell r="T262">
            <v>16</v>
          </cell>
          <cell r="U262" t="e">
            <v>#REF!</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P264" t="e">
            <v>#REF!</v>
          </cell>
          <cell r="Q264" t="e">
            <v>#REF!</v>
          </cell>
          <cell r="R264" t="e">
            <v>#REF!</v>
          </cell>
          <cell r="S264">
            <v>0</v>
          </cell>
          <cell r="T264">
            <v>12</v>
          </cell>
          <cell r="U264" t="e">
            <v>#REF!</v>
          </cell>
          <cell r="V264" t="e">
            <v>#REF!</v>
          </cell>
          <cell r="AK264">
            <v>347.33333333333331</v>
          </cell>
        </row>
        <row r="265">
          <cell r="F265">
            <v>0</v>
          </cell>
          <cell r="P265" t="e">
            <v>#REF!</v>
          </cell>
          <cell r="Q265" t="e">
            <v>#REF!</v>
          </cell>
          <cell r="R265" t="e">
            <v>#REF!</v>
          </cell>
          <cell r="S265">
            <v>0</v>
          </cell>
          <cell r="U265">
            <v>0</v>
          </cell>
          <cell r="V265" t="e">
            <v>#REF!</v>
          </cell>
          <cell r="AK265">
            <v>0</v>
          </cell>
        </row>
        <row r="266">
          <cell r="F266">
            <v>1548.6428571428573</v>
          </cell>
          <cell r="P266">
            <v>0</v>
          </cell>
          <cell r="S266">
            <v>0</v>
          </cell>
          <cell r="V266">
            <v>0</v>
          </cell>
          <cell r="X266">
            <v>0</v>
          </cell>
          <cell r="AA266">
            <v>0</v>
          </cell>
          <cell r="AC266">
            <v>0</v>
          </cell>
          <cell r="AF266">
            <v>0</v>
          </cell>
          <cell r="AG266">
            <v>0</v>
          </cell>
          <cell r="AH266">
            <v>0</v>
          </cell>
          <cell r="AK266">
            <v>1548.6428571428573</v>
          </cell>
        </row>
        <row r="267">
          <cell r="F267">
            <v>3500</v>
          </cell>
          <cell r="AK267">
            <v>3500</v>
          </cell>
        </row>
        <row r="268">
          <cell r="F268">
            <v>0</v>
          </cell>
          <cell r="P268">
            <v>0</v>
          </cell>
          <cell r="S268">
            <v>0</v>
          </cell>
          <cell r="V268">
            <v>0</v>
          </cell>
          <cell r="X268">
            <v>0</v>
          </cell>
          <cell r="AA268">
            <v>18</v>
          </cell>
          <cell r="AC268">
            <v>0</v>
          </cell>
          <cell r="AF268">
            <v>0</v>
          </cell>
          <cell r="AG268">
            <v>0</v>
          </cell>
          <cell r="AH268">
            <v>0</v>
          </cell>
          <cell r="AK268">
            <v>0</v>
          </cell>
        </row>
        <row r="269">
          <cell r="F269">
            <v>473</v>
          </cell>
          <cell r="P269">
            <v>0</v>
          </cell>
          <cell r="Q269">
            <v>0</v>
          </cell>
          <cell r="R269">
            <v>0</v>
          </cell>
          <cell r="S269">
            <v>0</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0</v>
          </cell>
          <cell r="AG269">
            <v>0</v>
          </cell>
          <cell r="AH269">
            <v>0</v>
          </cell>
          <cell r="AK269">
            <v>473</v>
          </cell>
        </row>
        <row r="270">
          <cell r="F270">
            <v>3600</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K270">
            <v>3600</v>
          </cell>
        </row>
        <row r="271">
          <cell r="F271">
            <v>316</v>
          </cell>
          <cell r="G271">
            <v>203</v>
          </cell>
          <cell r="H271">
            <v>223</v>
          </cell>
          <cell r="P271">
            <v>0</v>
          </cell>
          <cell r="S271">
            <v>0</v>
          </cell>
          <cell r="T271">
            <v>707.75479999999993</v>
          </cell>
          <cell r="U271">
            <v>735.76520000000005</v>
          </cell>
          <cell r="V271">
            <v>721.95</v>
          </cell>
          <cell r="W271">
            <v>213</v>
          </cell>
          <cell r="X271">
            <v>0</v>
          </cell>
          <cell r="Y271">
            <v>295</v>
          </cell>
          <cell r="Z271">
            <v>116.2409090909091</v>
          </cell>
          <cell r="AA271">
            <v>597.66</v>
          </cell>
          <cell r="AB271">
            <v>303</v>
          </cell>
          <cell r="AC271">
            <v>0</v>
          </cell>
          <cell r="AD271">
            <v>284</v>
          </cell>
          <cell r="AE271">
            <v>116.0418181818182</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D272">
            <v>9</v>
          </cell>
          <cell r="AE272">
            <v>4.3333333333333339</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D273">
            <v>0</v>
          </cell>
          <cell r="AE273">
            <v>0</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V274">
            <v>132</v>
          </cell>
          <cell r="X274">
            <v>640.75</v>
          </cell>
          <cell r="Y274">
            <v>274</v>
          </cell>
          <cell r="Z274">
            <v>96.386363636363626</v>
          </cell>
          <cell r="AA274">
            <v>100</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V277">
            <v>66</v>
          </cell>
          <cell r="X277">
            <v>115</v>
          </cell>
          <cell r="AA277">
            <v>50</v>
          </cell>
          <cell r="AC277">
            <v>110</v>
          </cell>
          <cell r="AF277">
            <v>455</v>
          </cell>
          <cell r="AG277">
            <v>714</v>
          </cell>
          <cell r="AH277">
            <v>-371</v>
          </cell>
          <cell r="AK277">
            <v>1912</v>
          </cell>
        </row>
        <row r="278">
          <cell r="F278">
            <v>721</v>
          </cell>
          <cell r="P278">
            <v>9</v>
          </cell>
          <cell r="Q278">
            <v>0</v>
          </cell>
          <cell r="R278">
            <v>0</v>
          </cell>
          <cell r="S278">
            <v>84</v>
          </cell>
          <cell r="T278">
            <v>0</v>
          </cell>
          <cell r="U278">
            <v>0</v>
          </cell>
          <cell r="V278">
            <v>0</v>
          </cell>
          <cell r="W278">
            <v>0</v>
          </cell>
          <cell r="X278">
            <v>57</v>
          </cell>
          <cell r="Y278">
            <v>0</v>
          </cell>
          <cell r="Z278">
            <v>0</v>
          </cell>
          <cell r="AA278">
            <v>-300</v>
          </cell>
          <cell r="AB278">
            <v>0</v>
          </cell>
          <cell r="AC278">
            <v>62</v>
          </cell>
          <cell r="AD278">
            <v>0</v>
          </cell>
          <cell r="AE278">
            <v>0</v>
          </cell>
          <cell r="AF278">
            <v>32</v>
          </cell>
          <cell r="AG278">
            <v>30</v>
          </cell>
          <cell r="AH278">
            <v>2</v>
          </cell>
          <cell r="AK278">
            <v>1115</v>
          </cell>
        </row>
        <row r="279">
          <cell r="F279">
            <v>60</v>
          </cell>
          <cell r="P279">
            <v>500</v>
          </cell>
          <cell r="S279">
            <v>430</v>
          </cell>
          <cell r="V279">
            <v>0</v>
          </cell>
          <cell r="X279">
            <v>100</v>
          </cell>
          <cell r="AA279">
            <v>-300</v>
          </cell>
          <cell r="AC279">
            <v>130</v>
          </cell>
          <cell r="AF279">
            <v>150</v>
          </cell>
          <cell r="AG279">
            <v>150</v>
          </cell>
          <cell r="AH279">
            <v>0</v>
          </cell>
          <cell r="AK279">
            <v>1370</v>
          </cell>
        </row>
        <row r="280">
          <cell r="F280">
            <v>0</v>
          </cell>
          <cell r="P280">
            <v>145</v>
          </cell>
          <cell r="S280">
            <v>145</v>
          </cell>
          <cell r="V280">
            <v>0</v>
          </cell>
          <cell r="X280">
            <v>66</v>
          </cell>
          <cell r="AA280">
            <v>0</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cell r="AB283">
            <v>-314</v>
          </cell>
          <cell r="AC283">
            <v>0</v>
          </cell>
          <cell r="AD283">
            <v>-293</v>
          </cell>
          <cell r="AE283">
            <v>-120.37515151515153</v>
          </cell>
          <cell r="AF283">
            <v>670</v>
          </cell>
          <cell r="AG283">
            <v>253</v>
          </cell>
          <cell r="AH283">
            <v>417</v>
          </cell>
          <cell r="AK283">
            <v>1111</v>
          </cell>
        </row>
        <row r="284">
          <cell r="AK284">
            <v>356</v>
          </cell>
        </row>
        <row r="285">
          <cell r="F285">
            <v>2408</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V289">
            <v>0</v>
          </cell>
          <cell r="X289">
            <v>-15</v>
          </cell>
          <cell r="AA289">
            <v>0</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D290">
            <v>0</v>
          </cell>
          <cell r="AE290">
            <v>0</v>
          </cell>
          <cell r="AF290">
            <v>237.57272727272729</v>
          </cell>
          <cell r="AG290">
            <v>237.30000000000004</v>
          </cell>
          <cell r="AH290">
            <v>0.27272727272728048</v>
          </cell>
          <cell r="AK290">
            <v>3379.1545454545449</v>
          </cell>
        </row>
        <row r="291">
          <cell r="F291">
            <v>0</v>
          </cell>
          <cell r="P291">
            <v>0</v>
          </cell>
          <cell r="S291">
            <v>0</v>
          </cell>
          <cell r="V291">
            <v>11</v>
          </cell>
          <cell r="X291">
            <v>0</v>
          </cell>
          <cell r="AA291">
            <v>201</v>
          </cell>
          <cell r="AC291">
            <v>0</v>
          </cell>
          <cell r="AF291">
            <v>0</v>
          </cell>
          <cell r="AG291">
            <v>0</v>
          </cell>
          <cell r="AH291">
            <v>0</v>
          </cell>
          <cell r="AK291">
            <v>0</v>
          </cell>
        </row>
        <row r="292">
          <cell r="F292">
            <v>0</v>
          </cell>
          <cell r="P292">
            <v>0</v>
          </cell>
          <cell r="S292">
            <v>0</v>
          </cell>
          <cell r="V292">
            <v>85</v>
          </cell>
          <cell r="X292">
            <v>0</v>
          </cell>
          <cell r="AA292">
            <v>84</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V295">
            <v>-129</v>
          </cell>
          <cell r="X295">
            <v>85</v>
          </cell>
          <cell r="AA295">
            <v>0</v>
          </cell>
          <cell r="AC295">
            <v>84</v>
          </cell>
          <cell r="AF295">
            <v>194.33333333333334</v>
          </cell>
          <cell r="AG295">
            <v>133</v>
          </cell>
          <cell r="AH295">
            <v>61.333333333333343</v>
          </cell>
          <cell r="AK295">
            <v>726.33333333333337</v>
          </cell>
        </row>
        <row r="296">
          <cell r="F296">
            <v>2903</v>
          </cell>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cell r="AB296">
            <v>-314</v>
          </cell>
          <cell r="AC296">
            <v>100</v>
          </cell>
          <cell r="AD296">
            <v>-293</v>
          </cell>
          <cell r="AE296">
            <v>-120.37515151515153</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G299">
            <v>0</v>
          </cell>
          <cell r="H299">
            <v>0</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F300">
            <v>0</v>
          </cell>
          <cell r="AH300">
            <v>191</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-293</v>
          </cell>
          <cell r="AE304">
            <v>-120.37515151515153</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P306">
            <v>0</v>
          </cell>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F308">
            <v>3400</v>
          </cell>
          <cell r="AK308">
            <v>0</v>
          </cell>
        </row>
        <row r="309">
          <cell r="P309">
            <v>0</v>
          </cell>
          <cell r="S309">
            <v>0</v>
          </cell>
          <cell r="AK309">
            <v>0</v>
          </cell>
        </row>
        <row r="310">
          <cell r="F310">
            <v>0</v>
          </cell>
          <cell r="S310">
            <v>0</v>
          </cell>
          <cell r="AK310">
            <v>0</v>
          </cell>
        </row>
        <row r="311">
          <cell r="F311">
            <v>3500</v>
          </cell>
          <cell r="AK311">
            <v>3500</v>
          </cell>
        </row>
        <row r="312">
          <cell r="S312">
            <v>0</v>
          </cell>
        </row>
        <row r="313">
          <cell r="F313">
            <v>0</v>
          </cell>
          <cell r="AK313">
            <v>0</v>
          </cell>
        </row>
        <row r="314">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cell r="AM334">
            <v>0</v>
          </cell>
        </row>
        <row r="335">
          <cell r="AK335">
            <v>473</v>
          </cell>
          <cell r="AM335">
            <v>473</v>
          </cell>
        </row>
        <row r="336">
          <cell r="AK336">
            <v>3600</v>
          </cell>
          <cell r="AM336">
            <v>3366.090909090909</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cell r="AM346">
            <v>-300</v>
          </cell>
        </row>
        <row r="347">
          <cell r="AK347">
            <v>536.04999999999995</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0</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cell r="AM351">
            <v>395</v>
          </cell>
        </row>
        <row r="352">
          <cell r="AK352">
            <v>0</v>
          </cell>
          <cell r="AM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K358">
            <v>-141.00000000000006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7">
          <cell r="F367">
            <v>0</v>
          </cell>
        </row>
        <row r="370">
          <cell r="F370">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t="str">
            <v>лютий</v>
          </cell>
          <cell r="G384">
            <v>120</v>
          </cell>
          <cell r="H384">
            <v>119</v>
          </cell>
          <cell r="P384" t="str">
            <v>лютий</v>
          </cell>
          <cell r="S384">
            <v>14.333333333333332</v>
          </cell>
          <cell r="V384">
            <v>182</v>
          </cell>
          <cell r="W384">
            <v>148</v>
          </cell>
          <cell r="X384" t="str">
            <v>лютий</v>
          </cell>
          <cell r="Y384">
            <v>131</v>
          </cell>
          <cell r="Z384">
            <v>130</v>
          </cell>
          <cell r="AA384">
            <v>323.66666666666674</v>
          </cell>
          <cell r="AB384">
            <v>257</v>
          </cell>
          <cell r="AC384" t="str">
            <v>лютий</v>
          </cell>
          <cell r="AD384">
            <v>230</v>
          </cell>
          <cell r="AE384">
            <v>231</v>
          </cell>
          <cell r="AK384">
            <v>735.30000000000018</v>
          </cell>
          <cell r="AL384">
            <v>580.33333333333337</v>
          </cell>
          <cell r="AM384">
            <v>551.33333333333337</v>
          </cell>
        </row>
        <row r="385">
          <cell r="F385" t="str">
            <v>АППАРАТ</v>
          </cell>
          <cell r="G385">
            <v>21</v>
          </cell>
          <cell r="P385" t="str">
            <v>ККМ</v>
          </cell>
          <cell r="V385">
            <v>0</v>
          </cell>
          <cell r="W385">
            <v>0</v>
          </cell>
          <cell r="X385" t="str">
            <v>ТЕЦ5</v>
          </cell>
          <cell r="Y385">
            <v>0</v>
          </cell>
          <cell r="AA385">
            <v>3.6666666666666665</v>
          </cell>
          <cell r="AB385">
            <v>3</v>
          </cell>
          <cell r="AC385" t="str">
            <v>ТЕЦ6</v>
          </cell>
          <cell r="AD385">
            <v>3</v>
          </cell>
          <cell r="AK385" t="str">
            <v>АК "КЕ"</v>
          </cell>
          <cell r="AL385" t="str">
            <v>Е/Е</v>
          </cell>
        </row>
        <row r="386">
          <cell r="F386" t="str">
            <v>ПЛАН</v>
          </cell>
          <cell r="G386">
            <v>0</v>
          </cell>
          <cell r="P386" t="str">
            <v>ПЛАН</v>
          </cell>
          <cell r="V386">
            <v>146.66666666666666</v>
          </cell>
          <cell r="W386">
            <v>119</v>
          </cell>
          <cell r="X386" t="str">
            <v>ПЛАН</v>
          </cell>
          <cell r="Y386">
            <v>105</v>
          </cell>
          <cell r="AA386">
            <v>280.66666666666669</v>
          </cell>
          <cell r="AB386">
            <v>223</v>
          </cell>
          <cell r="AC386" t="str">
            <v>ПЛАН</v>
          </cell>
          <cell r="AD386">
            <v>200</v>
          </cell>
          <cell r="AK386" t="str">
            <v>ПЛАН</v>
          </cell>
          <cell r="AL386" t="str">
            <v>ПЛАН</v>
          </cell>
        </row>
        <row r="387">
          <cell r="F387">
            <v>164.3</v>
          </cell>
          <cell r="G387">
            <v>106</v>
          </cell>
          <cell r="H387">
            <v>106</v>
          </cell>
          <cell r="P387">
            <v>14.333333333333332</v>
          </cell>
          <cell r="S387">
            <v>14.333333333333332</v>
          </cell>
          <cell r="V387">
            <v>0</v>
          </cell>
          <cell r="W387">
            <v>0</v>
          </cell>
          <cell r="X387">
            <v>182</v>
          </cell>
          <cell r="Y387">
            <v>134</v>
          </cell>
          <cell r="Z387">
            <v>134</v>
          </cell>
          <cell r="AA387">
            <v>25</v>
          </cell>
          <cell r="AB387">
            <v>20</v>
          </cell>
          <cell r="AC387">
            <v>323.66666666666674</v>
          </cell>
          <cell r="AD387">
            <v>18</v>
          </cell>
          <cell r="AK387">
            <v>735.30000000000018</v>
          </cell>
          <cell r="AL387">
            <v>317.33333333333337</v>
          </cell>
          <cell r="AM387">
            <v>266.33333333333337</v>
          </cell>
        </row>
        <row r="388">
          <cell r="F388">
            <v>29</v>
          </cell>
          <cell r="G388">
            <v>19</v>
          </cell>
          <cell r="P388">
            <v>0</v>
          </cell>
          <cell r="V388">
            <v>25.333333333333332</v>
          </cell>
          <cell r="W388">
            <v>21</v>
          </cell>
          <cell r="X388">
            <v>0</v>
          </cell>
          <cell r="Y388">
            <v>0</v>
          </cell>
          <cell r="AA388">
            <v>0.66666666666666663</v>
          </cell>
          <cell r="AB388">
            <v>1</v>
          </cell>
          <cell r="AC388">
            <v>3.6666666666666665</v>
          </cell>
          <cell r="AD388">
            <v>0</v>
          </cell>
          <cell r="AK388">
            <v>46</v>
          </cell>
          <cell r="AL388">
            <v>22</v>
          </cell>
        </row>
        <row r="389">
          <cell r="F389">
            <v>0</v>
          </cell>
          <cell r="G389">
            <v>0</v>
          </cell>
          <cell r="P389">
            <v>0.66666666666666663</v>
          </cell>
          <cell r="V389">
            <v>0</v>
          </cell>
          <cell r="W389">
            <v>0</v>
          </cell>
          <cell r="X389">
            <v>146.66666666666666</v>
          </cell>
          <cell r="Y389">
            <v>108</v>
          </cell>
          <cell r="AA389">
            <v>0</v>
          </cell>
          <cell r="AB389">
            <v>0</v>
          </cell>
          <cell r="AC389">
            <v>280.66666666666669</v>
          </cell>
          <cell r="AD389">
            <v>0</v>
          </cell>
          <cell r="AK389">
            <v>428</v>
          </cell>
          <cell r="AL389">
            <v>108.66666666666667</v>
          </cell>
        </row>
        <row r="390">
          <cell r="F390">
            <v>0</v>
          </cell>
          <cell r="G390">
            <v>0</v>
          </cell>
          <cell r="P390">
            <v>2</v>
          </cell>
          <cell r="V390">
            <v>0</v>
          </cell>
          <cell r="W390">
            <v>0</v>
          </cell>
          <cell r="X390">
            <v>0</v>
          </cell>
          <cell r="Y390">
            <v>0</v>
          </cell>
          <cell r="AA390">
            <v>0</v>
          </cell>
          <cell r="AB390">
            <v>0</v>
          </cell>
          <cell r="AC390">
            <v>25</v>
          </cell>
          <cell r="AD390">
            <v>0</v>
          </cell>
          <cell r="AK390">
            <v>33.666666666666671</v>
          </cell>
          <cell r="AL390">
            <v>5</v>
          </cell>
        </row>
        <row r="391">
          <cell r="F391">
            <v>0</v>
          </cell>
          <cell r="G391">
            <v>0</v>
          </cell>
          <cell r="P391">
            <v>0</v>
          </cell>
          <cell r="V391">
            <v>0</v>
          </cell>
          <cell r="W391">
            <v>0</v>
          </cell>
          <cell r="X391">
            <v>25.333333333333332</v>
          </cell>
          <cell r="Y391">
            <v>19</v>
          </cell>
          <cell r="AA391">
            <v>0</v>
          </cell>
          <cell r="AB391">
            <v>0</v>
          </cell>
          <cell r="AC391">
            <v>0.66666666666666663</v>
          </cell>
          <cell r="AD391">
            <v>0</v>
          </cell>
          <cell r="AK391">
            <v>26</v>
          </cell>
          <cell r="AL391">
            <v>19</v>
          </cell>
        </row>
        <row r="392">
          <cell r="F392">
            <v>120.63333333333333</v>
          </cell>
          <cell r="G392">
            <v>78</v>
          </cell>
          <cell r="P392">
            <v>0</v>
          </cell>
          <cell r="V392">
            <v>0</v>
          </cell>
          <cell r="W392">
            <v>0</v>
          </cell>
          <cell r="X392">
            <v>0</v>
          </cell>
          <cell r="Y392">
            <v>0</v>
          </cell>
          <cell r="AA392">
            <v>0</v>
          </cell>
          <cell r="AB392">
            <v>0</v>
          </cell>
          <cell r="AC392">
            <v>0</v>
          </cell>
          <cell r="AD392">
            <v>0</v>
          </cell>
          <cell r="AK392">
            <v>120.63333333333333</v>
          </cell>
          <cell r="AL392">
            <v>80</v>
          </cell>
        </row>
        <row r="393">
          <cell r="F393">
            <v>8.6666666666666661</v>
          </cell>
          <cell r="G393">
            <v>6</v>
          </cell>
          <cell r="P393">
            <v>0</v>
          </cell>
          <cell r="V393">
            <v>0</v>
          </cell>
          <cell r="W393">
            <v>0</v>
          </cell>
          <cell r="X393">
            <v>0</v>
          </cell>
          <cell r="Y393">
            <v>0</v>
          </cell>
          <cell r="AA393">
            <v>0</v>
          </cell>
          <cell r="AB393">
            <v>0</v>
          </cell>
          <cell r="AC393">
            <v>0</v>
          </cell>
          <cell r="AD393">
            <v>0</v>
          </cell>
          <cell r="AK393">
            <v>8.6666666666666661</v>
          </cell>
          <cell r="AL393">
            <v>0</v>
          </cell>
        </row>
        <row r="394">
          <cell r="F394">
            <v>0</v>
          </cell>
          <cell r="G394">
            <v>0</v>
          </cell>
          <cell r="P394">
            <v>5.333333333333333</v>
          </cell>
          <cell r="V394">
            <v>10</v>
          </cell>
          <cell r="W394">
            <v>8</v>
          </cell>
          <cell r="X394">
            <v>0</v>
          </cell>
          <cell r="Y394">
            <v>0</v>
          </cell>
          <cell r="AA394">
            <v>13.666666666666666</v>
          </cell>
          <cell r="AB394">
            <v>11</v>
          </cell>
          <cell r="AC394">
            <v>0</v>
          </cell>
          <cell r="AD394">
            <v>10</v>
          </cell>
          <cell r="AK394">
            <v>22</v>
          </cell>
          <cell r="AL394">
            <v>15.333333333333332</v>
          </cell>
        </row>
        <row r="395">
          <cell r="F395">
            <v>5.333333333333333</v>
          </cell>
          <cell r="G395">
            <v>3</v>
          </cell>
          <cell r="P395">
            <v>0</v>
          </cell>
          <cell r="V395">
            <v>0</v>
          </cell>
          <cell r="W395">
            <v>0</v>
          </cell>
          <cell r="X395">
            <v>0</v>
          </cell>
          <cell r="Y395">
            <v>0</v>
          </cell>
          <cell r="AA395">
            <v>0</v>
          </cell>
          <cell r="AB395">
            <v>0</v>
          </cell>
          <cell r="AC395">
            <v>0</v>
          </cell>
          <cell r="AD395">
            <v>0</v>
          </cell>
          <cell r="AK395">
            <v>5.333333333333333</v>
          </cell>
          <cell r="AL395">
            <v>3</v>
          </cell>
        </row>
        <row r="396">
          <cell r="F396">
            <v>0.33333333333333331</v>
          </cell>
          <cell r="G396">
            <v>0</v>
          </cell>
          <cell r="P396">
            <v>4.333333333333333</v>
          </cell>
          <cell r="V396">
            <v>522.33333333333337</v>
          </cell>
          <cell r="W396">
            <v>424</v>
          </cell>
          <cell r="X396">
            <v>0</v>
          </cell>
          <cell r="Y396">
            <v>0</v>
          </cell>
          <cell r="AA396">
            <v>43</v>
          </cell>
          <cell r="AB396">
            <v>34</v>
          </cell>
          <cell r="AC396">
            <v>0</v>
          </cell>
          <cell r="AD396">
            <v>31</v>
          </cell>
          <cell r="AK396">
            <v>4.6666666666666661</v>
          </cell>
          <cell r="AL396">
            <v>4.333333333333333</v>
          </cell>
          <cell r="AM396">
            <v>479.83333333333337</v>
          </cell>
        </row>
        <row r="397">
          <cell r="F397">
            <v>0.33333333333333331</v>
          </cell>
          <cell r="G397">
            <v>0</v>
          </cell>
          <cell r="P397">
            <v>2</v>
          </cell>
          <cell r="V397">
            <v>0</v>
          </cell>
          <cell r="W397">
            <v>0</v>
          </cell>
          <cell r="X397">
            <v>10</v>
          </cell>
          <cell r="Y397">
            <v>7</v>
          </cell>
          <cell r="AA397">
            <v>0</v>
          </cell>
          <cell r="AB397">
            <v>0</v>
          </cell>
          <cell r="AC397">
            <v>13.666666666666666</v>
          </cell>
          <cell r="AD397">
            <v>0</v>
          </cell>
          <cell r="AK397">
            <v>26</v>
          </cell>
          <cell r="AL397">
            <v>9</v>
          </cell>
        </row>
        <row r="398">
          <cell r="F398">
            <v>0</v>
          </cell>
          <cell r="G398">
            <v>0</v>
          </cell>
          <cell r="P398">
            <v>0</v>
          </cell>
          <cell r="V398">
            <v>480.66666666666669</v>
          </cell>
          <cell r="W398">
            <v>390</v>
          </cell>
          <cell r="X398">
            <v>0</v>
          </cell>
          <cell r="Y398">
            <v>0</v>
          </cell>
          <cell r="AA398">
            <v>11</v>
          </cell>
          <cell r="AB398">
            <v>9</v>
          </cell>
          <cell r="AC398">
            <v>0</v>
          </cell>
          <cell r="AD398">
            <v>8</v>
          </cell>
          <cell r="AK398">
            <v>0</v>
          </cell>
          <cell r="AL398">
            <v>399</v>
          </cell>
        </row>
        <row r="399">
          <cell r="F399">
            <v>1.1666666666666667</v>
          </cell>
          <cell r="G399">
            <v>1</v>
          </cell>
          <cell r="P399">
            <v>20.5</v>
          </cell>
          <cell r="V399">
            <v>0</v>
          </cell>
          <cell r="W399">
            <v>0</v>
          </cell>
          <cell r="X399">
            <v>522.33333333333337</v>
          </cell>
          <cell r="Y399">
            <v>386</v>
          </cell>
          <cell r="AA399">
            <v>0</v>
          </cell>
          <cell r="AB399">
            <v>0</v>
          </cell>
          <cell r="AC399">
            <v>43</v>
          </cell>
          <cell r="AD399">
            <v>0</v>
          </cell>
          <cell r="AK399">
            <v>587.33333333333337</v>
          </cell>
          <cell r="AL399">
            <v>407.5</v>
          </cell>
          <cell r="AM399">
            <v>407.83333333333331</v>
          </cell>
        </row>
        <row r="400">
          <cell r="F400">
            <v>0</v>
          </cell>
          <cell r="G400">
            <v>0</v>
          </cell>
          <cell r="P400">
            <v>0</v>
          </cell>
          <cell r="V400">
            <v>41.666666666666664</v>
          </cell>
          <cell r="W400">
            <v>34</v>
          </cell>
          <cell r="X400">
            <v>0</v>
          </cell>
          <cell r="Y400">
            <v>0</v>
          </cell>
          <cell r="AA400">
            <v>32</v>
          </cell>
          <cell r="AB400">
            <v>25</v>
          </cell>
          <cell r="AC400">
            <v>0</v>
          </cell>
          <cell r="AD400">
            <v>23</v>
          </cell>
          <cell r="AK400">
            <v>0</v>
          </cell>
          <cell r="AL400">
            <v>0</v>
          </cell>
        </row>
        <row r="401">
          <cell r="F401">
            <v>0</v>
          </cell>
          <cell r="G401">
            <v>0</v>
          </cell>
          <cell r="P401">
            <v>0</v>
          </cell>
          <cell r="V401">
            <v>0</v>
          </cell>
          <cell r="W401">
            <v>0</v>
          </cell>
          <cell r="X401">
            <v>480.66666666666669</v>
          </cell>
          <cell r="Y401">
            <v>355</v>
          </cell>
          <cell r="AA401">
            <v>0</v>
          </cell>
          <cell r="AB401">
            <v>0</v>
          </cell>
          <cell r="AC401">
            <v>11</v>
          </cell>
          <cell r="AD401">
            <v>0</v>
          </cell>
          <cell r="AK401">
            <v>491.66666666666669</v>
          </cell>
          <cell r="AL401">
            <v>355</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1.1666666666666667</v>
          </cell>
          <cell r="G403">
            <v>1</v>
          </cell>
          <cell r="P403">
            <v>15.833333333333334</v>
          </cell>
          <cell r="V403">
            <v>0</v>
          </cell>
          <cell r="W403">
            <v>0</v>
          </cell>
          <cell r="X403">
            <v>41.666666666666664</v>
          </cell>
          <cell r="Y403">
            <v>31</v>
          </cell>
          <cell r="AA403">
            <v>0</v>
          </cell>
          <cell r="AB403">
            <v>0</v>
          </cell>
          <cell r="AC403">
            <v>32</v>
          </cell>
          <cell r="AD403">
            <v>0</v>
          </cell>
          <cell r="AK403">
            <v>91</v>
          </cell>
          <cell r="AL403">
            <v>52.833333333333336</v>
          </cell>
          <cell r="AM403">
            <v>46</v>
          </cell>
        </row>
        <row r="404">
          <cell r="F404">
            <v>0</v>
          </cell>
          <cell r="G404">
            <v>0</v>
          </cell>
          <cell r="P404">
            <v>4.666666666666667</v>
          </cell>
          <cell r="V404">
            <v>0</v>
          </cell>
          <cell r="W404">
            <v>0</v>
          </cell>
          <cell r="X404">
            <v>0</v>
          </cell>
          <cell r="Y404">
            <v>0</v>
          </cell>
          <cell r="AA404">
            <v>0</v>
          </cell>
          <cell r="AB404">
            <v>0</v>
          </cell>
          <cell r="AC404">
            <v>0</v>
          </cell>
          <cell r="AD404">
            <v>0</v>
          </cell>
          <cell r="AK404">
            <v>4.666666666666667</v>
          </cell>
          <cell r="AL404">
            <v>0</v>
          </cell>
        </row>
        <row r="405">
          <cell r="F405">
            <v>0</v>
          </cell>
          <cell r="G405">
            <v>0</v>
          </cell>
          <cell r="P405">
            <v>0</v>
          </cell>
          <cell r="V405">
            <v>0</v>
          </cell>
          <cell r="W405">
            <v>0</v>
          </cell>
          <cell r="X405">
            <v>0</v>
          </cell>
          <cell r="Y405">
            <v>0</v>
          </cell>
          <cell r="AA405">
            <v>0</v>
          </cell>
          <cell r="AB405">
            <v>0</v>
          </cell>
          <cell r="AC405">
            <v>0</v>
          </cell>
          <cell r="AD405">
            <v>0</v>
          </cell>
          <cell r="AK405">
            <v>0</v>
          </cell>
          <cell r="AL405">
            <v>40.666666666666664</v>
          </cell>
        </row>
        <row r="406">
          <cell r="F406">
            <v>10</v>
          </cell>
          <cell r="G406">
            <v>6</v>
          </cell>
          <cell r="P406">
            <v>39</v>
          </cell>
          <cell r="V406">
            <v>0</v>
          </cell>
          <cell r="W406">
            <v>0</v>
          </cell>
          <cell r="X406">
            <v>0</v>
          </cell>
          <cell r="Y406">
            <v>0</v>
          </cell>
          <cell r="AA406">
            <v>0</v>
          </cell>
          <cell r="AB406">
            <v>0</v>
          </cell>
          <cell r="AC406">
            <v>0</v>
          </cell>
          <cell r="AD406">
            <v>0</v>
          </cell>
          <cell r="AK406">
            <v>49</v>
          </cell>
          <cell r="AL406">
            <v>45</v>
          </cell>
          <cell r="AM406">
            <v>46</v>
          </cell>
        </row>
        <row r="407">
          <cell r="F407">
            <v>2.6666666666666665</v>
          </cell>
          <cell r="G407">
            <v>2</v>
          </cell>
          <cell r="H407">
            <v>150</v>
          </cell>
          <cell r="P407">
            <v>3.3333333333333335</v>
          </cell>
          <cell r="S407">
            <v>50.166666666666671</v>
          </cell>
          <cell r="V407">
            <v>37.833333333333343</v>
          </cell>
          <cell r="W407">
            <v>31</v>
          </cell>
          <cell r="X407">
            <v>0</v>
          </cell>
          <cell r="Y407">
            <v>0</v>
          </cell>
          <cell r="AA407">
            <v>26.000000000000004</v>
          </cell>
          <cell r="AB407">
            <v>21</v>
          </cell>
          <cell r="AC407">
            <v>0</v>
          </cell>
          <cell r="AD407">
            <v>18</v>
          </cell>
          <cell r="AK407">
            <v>6</v>
          </cell>
          <cell r="AL407">
            <v>5.3333333333333339</v>
          </cell>
          <cell r="AM407">
            <v>513.16666666666663</v>
          </cell>
        </row>
        <row r="408">
          <cell r="F408">
            <v>7.333333333333333</v>
          </cell>
          <cell r="G408">
            <v>5</v>
          </cell>
          <cell r="P408">
            <v>35.666666666666664</v>
          </cell>
          <cell r="V408">
            <v>0</v>
          </cell>
          <cell r="W408">
            <v>0</v>
          </cell>
          <cell r="X408">
            <v>0</v>
          </cell>
          <cell r="Y408">
            <v>0</v>
          </cell>
          <cell r="AA408">
            <v>0</v>
          </cell>
          <cell r="AB408">
            <v>0</v>
          </cell>
          <cell r="AC408">
            <v>0</v>
          </cell>
          <cell r="AD408">
            <v>0</v>
          </cell>
          <cell r="AK408">
            <v>43</v>
          </cell>
          <cell r="AL408">
            <v>40.666666666666664</v>
          </cell>
        </row>
        <row r="409">
          <cell r="F409">
            <v>0</v>
          </cell>
          <cell r="G409">
            <v>0</v>
          </cell>
          <cell r="P409">
            <v>0</v>
          </cell>
          <cell r="V409">
            <v>0</v>
          </cell>
          <cell r="W409">
            <v>0</v>
          </cell>
          <cell r="X409">
            <v>0</v>
          </cell>
          <cell r="Y409">
            <v>0</v>
          </cell>
          <cell r="AA409">
            <v>0</v>
          </cell>
          <cell r="AB409">
            <v>0</v>
          </cell>
          <cell r="AC409">
            <v>0</v>
          </cell>
          <cell r="AD409">
            <v>0</v>
          </cell>
          <cell r="AK409">
            <v>0</v>
          </cell>
          <cell r="AL409">
            <v>95</v>
          </cell>
        </row>
        <row r="410">
          <cell r="F410">
            <v>206.33333333333329</v>
          </cell>
          <cell r="G410">
            <v>134</v>
          </cell>
          <cell r="H410">
            <v>134</v>
          </cell>
          <cell r="P410">
            <v>50.166666666666671</v>
          </cell>
          <cell r="S410">
            <v>50.166666666666671</v>
          </cell>
          <cell r="V410">
            <v>0</v>
          </cell>
          <cell r="W410">
            <v>0</v>
          </cell>
          <cell r="X410">
            <v>37.833333333333343</v>
          </cell>
          <cell r="Y410">
            <v>28</v>
          </cell>
          <cell r="AA410">
            <v>0</v>
          </cell>
          <cell r="AB410">
            <v>0</v>
          </cell>
          <cell r="AC410">
            <v>26.000000000000004</v>
          </cell>
          <cell r="AD410">
            <v>0</v>
          </cell>
          <cell r="AK410">
            <v>1965.0000000000002</v>
          </cell>
          <cell r="AL410">
            <v>469.16666666666663</v>
          </cell>
          <cell r="AM410">
            <v>469.16666666666663</v>
          </cell>
        </row>
        <row r="411">
          <cell r="F411">
            <v>0</v>
          </cell>
          <cell r="G411">
            <v>0</v>
          </cell>
          <cell r="P411">
            <v>0</v>
          </cell>
          <cell r="V411">
            <v>0</v>
          </cell>
          <cell r="W411">
            <v>0</v>
          </cell>
          <cell r="X411">
            <v>0</v>
          </cell>
          <cell r="Y411">
            <v>0</v>
          </cell>
          <cell r="AA411">
            <v>0</v>
          </cell>
          <cell r="AB411">
            <v>0</v>
          </cell>
          <cell r="AC411">
            <v>0</v>
          </cell>
          <cell r="AD411">
            <v>0</v>
          </cell>
          <cell r="AK411">
            <v>1350</v>
          </cell>
          <cell r="AL411">
            <v>0</v>
          </cell>
        </row>
        <row r="412">
          <cell r="F412">
            <v>0</v>
          </cell>
          <cell r="G412">
            <v>0</v>
          </cell>
          <cell r="P412">
            <v>0</v>
          </cell>
          <cell r="V412">
            <v>0</v>
          </cell>
          <cell r="W412">
            <v>0</v>
          </cell>
          <cell r="X412">
            <v>0</v>
          </cell>
          <cell r="Y412">
            <v>0</v>
          </cell>
          <cell r="AA412">
            <v>0</v>
          </cell>
          <cell r="AB412">
            <v>0</v>
          </cell>
          <cell r="AC412">
            <v>0</v>
          </cell>
          <cell r="AD412">
            <v>0</v>
          </cell>
          <cell r="AK412">
            <v>95</v>
          </cell>
          <cell r="AL412">
            <v>95</v>
          </cell>
        </row>
        <row r="413">
          <cell r="F413">
            <v>0</v>
          </cell>
          <cell r="G413">
            <v>0</v>
          </cell>
          <cell r="P413">
            <v>0</v>
          </cell>
          <cell r="V413">
            <v>3</v>
          </cell>
          <cell r="W413">
            <v>2</v>
          </cell>
          <cell r="X413">
            <v>0</v>
          </cell>
          <cell r="Y413">
            <v>0</v>
          </cell>
          <cell r="AA413">
            <v>3</v>
          </cell>
          <cell r="AB413">
            <v>2</v>
          </cell>
          <cell r="AC413">
            <v>0</v>
          </cell>
          <cell r="AD413">
            <v>2</v>
          </cell>
          <cell r="AK413">
            <v>0</v>
          </cell>
          <cell r="AL413">
            <v>0</v>
          </cell>
        </row>
        <row r="414">
          <cell r="F414">
            <v>0</v>
          </cell>
          <cell r="G414">
            <v>0</v>
          </cell>
          <cell r="P414">
            <v>12.333333333333334</v>
          </cell>
          <cell r="V414">
            <v>0</v>
          </cell>
          <cell r="W414">
            <v>0</v>
          </cell>
          <cell r="X414">
            <v>0</v>
          </cell>
          <cell r="Y414">
            <v>0</v>
          </cell>
          <cell r="AA414">
            <v>0</v>
          </cell>
          <cell r="AB414">
            <v>0</v>
          </cell>
          <cell r="AC414">
            <v>0</v>
          </cell>
          <cell r="AD414">
            <v>0</v>
          </cell>
          <cell r="AK414">
            <v>12.333333333333334</v>
          </cell>
          <cell r="AL414">
            <v>12.333333333333334</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1.6666666666666667</v>
          </cell>
          <cell r="G416">
            <v>1</v>
          </cell>
          <cell r="P416">
            <v>5</v>
          </cell>
          <cell r="V416">
            <v>4.5</v>
          </cell>
          <cell r="W416">
            <v>4</v>
          </cell>
          <cell r="X416">
            <v>3</v>
          </cell>
          <cell r="Y416">
            <v>2</v>
          </cell>
          <cell r="AA416">
            <v>1.3333333333333333</v>
          </cell>
          <cell r="AB416">
            <v>1</v>
          </cell>
          <cell r="AC416">
            <v>3</v>
          </cell>
          <cell r="AD416">
            <v>1</v>
          </cell>
          <cell r="AK416">
            <v>57.666666666666664</v>
          </cell>
          <cell r="AL416">
            <v>48</v>
          </cell>
        </row>
        <row r="417">
          <cell r="F417">
            <v>0</v>
          </cell>
          <cell r="G417">
            <v>0</v>
          </cell>
          <cell r="P417">
            <v>0</v>
          </cell>
          <cell r="V417">
            <v>0</v>
          </cell>
          <cell r="W417">
            <v>0</v>
          </cell>
          <cell r="X417">
            <v>0</v>
          </cell>
          <cell r="Y417">
            <v>0</v>
          </cell>
          <cell r="AA417">
            <v>1.6666666666666667</v>
          </cell>
          <cell r="AB417">
            <v>1</v>
          </cell>
          <cell r="AC417">
            <v>0</v>
          </cell>
          <cell r="AD417">
            <v>1</v>
          </cell>
          <cell r="AK417">
            <v>4</v>
          </cell>
          <cell r="AL417">
            <v>0</v>
          </cell>
        </row>
        <row r="418">
          <cell r="F418">
            <v>0</v>
          </cell>
          <cell r="G418">
            <v>0</v>
          </cell>
          <cell r="P418">
            <v>0</v>
          </cell>
          <cell r="V418">
            <v>0</v>
          </cell>
          <cell r="W418">
            <v>0</v>
          </cell>
          <cell r="X418">
            <v>0</v>
          </cell>
          <cell r="Y418">
            <v>0</v>
          </cell>
          <cell r="AA418">
            <v>0</v>
          </cell>
          <cell r="AB418">
            <v>0</v>
          </cell>
          <cell r="AC418">
            <v>0</v>
          </cell>
          <cell r="AD418">
            <v>0</v>
          </cell>
          <cell r="AK418">
            <v>0</v>
          </cell>
          <cell r="AL418">
            <v>0</v>
          </cell>
        </row>
        <row r="419">
          <cell r="F419">
            <v>0</v>
          </cell>
          <cell r="G419">
            <v>0</v>
          </cell>
          <cell r="P419">
            <v>18.5</v>
          </cell>
          <cell r="V419">
            <v>10</v>
          </cell>
          <cell r="W419">
            <v>8</v>
          </cell>
          <cell r="X419">
            <v>4.5</v>
          </cell>
          <cell r="Y419">
            <v>3</v>
          </cell>
          <cell r="AA419">
            <v>7.666666666666667</v>
          </cell>
          <cell r="AB419">
            <v>6</v>
          </cell>
          <cell r="AC419">
            <v>1.3333333333333333</v>
          </cell>
          <cell r="AD419">
            <v>5</v>
          </cell>
          <cell r="AK419">
            <v>28.5</v>
          </cell>
          <cell r="AL419">
            <v>25.5</v>
          </cell>
        </row>
        <row r="420">
          <cell r="F420">
            <v>0</v>
          </cell>
          <cell r="G420">
            <v>0</v>
          </cell>
          <cell r="P420">
            <v>1.3333333333333333</v>
          </cell>
          <cell r="V420">
            <v>1.3333333333333333</v>
          </cell>
          <cell r="W420">
            <v>1</v>
          </cell>
          <cell r="X420">
            <v>0</v>
          </cell>
          <cell r="Y420">
            <v>0</v>
          </cell>
          <cell r="AA420">
            <v>1</v>
          </cell>
          <cell r="AB420">
            <v>1</v>
          </cell>
          <cell r="AC420">
            <v>1.6666666666666667</v>
          </cell>
          <cell r="AD420">
            <v>1</v>
          </cell>
          <cell r="AK420">
            <v>69</v>
          </cell>
          <cell r="AL420">
            <v>51.333333333333336</v>
          </cell>
        </row>
        <row r="421">
          <cell r="F421">
            <v>177</v>
          </cell>
          <cell r="G421">
            <v>115</v>
          </cell>
          <cell r="P421">
            <v>0</v>
          </cell>
          <cell r="V421">
            <v>1</v>
          </cell>
          <cell r="W421">
            <v>1</v>
          </cell>
          <cell r="X421">
            <v>0</v>
          </cell>
          <cell r="Y421">
            <v>0</v>
          </cell>
          <cell r="AA421">
            <v>0.66666666666666663</v>
          </cell>
          <cell r="AB421">
            <v>1</v>
          </cell>
          <cell r="AC421">
            <v>0</v>
          </cell>
          <cell r="AD421">
            <v>0</v>
          </cell>
          <cell r="AK421">
            <v>177</v>
          </cell>
          <cell r="AL421">
            <v>115</v>
          </cell>
        </row>
        <row r="422">
          <cell r="F422">
            <v>0</v>
          </cell>
          <cell r="G422">
            <v>0</v>
          </cell>
          <cell r="P422">
            <v>0</v>
          </cell>
          <cell r="V422">
            <v>6</v>
          </cell>
          <cell r="W422">
            <v>5</v>
          </cell>
          <cell r="X422">
            <v>10</v>
          </cell>
          <cell r="Y422">
            <v>7</v>
          </cell>
          <cell r="AA422">
            <v>5</v>
          </cell>
          <cell r="AB422">
            <v>4</v>
          </cell>
          <cell r="AC422">
            <v>7.666666666666667</v>
          </cell>
          <cell r="AD422">
            <v>4</v>
          </cell>
          <cell r="AK422">
            <v>17.666666666666668</v>
          </cell>
          <cell r="AL422">
            <v>7</v>
          </cell>
        </row>
        <row r="423">
          <cell r="F423">
            <v>0.66666666666666663</v>
          </cell>
          <cell r="G423">
            <v>0</v>
          </cell>
          <cell r="P423">
            <v>2</v>
          </cell>
          <cell r="V423">
            <v>0</v>
          </cell>
          <cell r="W423">
            <v>0</v>
          </cell>
          <cell r="X423">
            <v>1.3333333333333333</v>
          </cell>
          <cell r="Y423">
            <v>1</v>
          </cell>
          <cell r="AA423">
            <v>0</v>
          </cell>
          <cell r="AB423">
            <v>0</v>
          </cell>
          <cell r="AC423">
            <v>1</v>
          </cell>
          <cell r="AD423">
            <v>0</v>
          </cell>
          <cell r="AK423">
            <v>6</v>
          </cell>
          <cell r="AL423">
            <v>3</v>
          </cell>
        </row>
        <row r="424">
          <cell r="F424">
            <v>2.6666666666666665</v>
          </cell>
          <cell r="G424">
            <v>2</v>
          </cell>
          <cell r="P424">
            <v>0.33333333333333331</v>
          </cell>
          <cell r="V424">
            <v>0</v>
          </cell>
          <cell r="W424">
            <v>0</v>
          </cell>
          <cell r="X424">
            <v>1</v>
          </cell>
          <cell r="Y424">
            <v>1</v>
          </cell>
          <cell r="AA424">
            <v>0</v>
          </cell>
          <cell r="AB424">
            <v>0</v>
          </cell>
          <cell r="AC424">
            <v>0.66666666666666663</v>
          </cell>
          <cell r="AD424">
            <v>0</v>
          </cell>
          <cell r="AK424">
            <v>9.3333333333333339</v>
          </cell>
          <cell r="AL424">
            <v>5.333333333333333</v>
          </cell>
        </row>
        <row r="425">
          <cell r="F425">
            <v>0</v>
          </cell>
          <cell r="G425">
            <v>0</v>
          </cell>
          <cell r="P425">
            <v>2.3333333333333335</v>
          </cell>
          <cell r="V425">
            <v>0</v>
          </cell>
          <cell r="W425">
            <v>0</v>
          </cell>
          <cell r="X425">
            <v>6</v>
          </cell>
          <cell r="Y425">
            <v>4</v>
          </cell>
          <cell r="AA425">
            <v>0</v>
          </cell>
          <cell r="AB425">
            <v>0</v>
          </cell>
          <cell r="AC425">
            <v>5</v>
          </cell>
          <cell r="AD425">
            <v>0</v>
          </cell>
          <cell r="AK425">
            <v>13.333333333333334</v>
          </cell>
          <cell r="AL425">
            <v>6.3333333333333339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0</v>
          </cell>
          <cell r="G427">
            <v>0</v>
          </cell>
          <cell r="P427">
            <v>0</v>
          </cell>
          <cell r="V427">
            <v>0.66666666666666663</v>
          </cell>
          <cell r="W427">
            <v>1</v>
          </cell>
          <cell r="X427">
            <v>0</v>
          </cell>
          <cell r="Y427">
            <v>0</v>
          </cell>
          <cell r="AA427">
            <v>0.66666666666666663</v>
          </cell>
          <cell r="AB427">
            <v>1</v>
          </cell>
          <cell r="AC427">
            <v>0</v>
          </cell>
          <cell r="AD427">
            <v>0</v>
          </cell>
          <cell r="AK427">
            <v>0</v>
          </cell>
          <cell r="AL427">
            <v>0</v>
          </cell>
        </row>
        <row r="428">
          <cell r="F428">
            <v>9.6666666666666661</v>
          </cell>
          <cell r="G428">
            <v>6</v>
          </cell>
          <cell r="P428">
            <v>1</v>
          </cell>
          <cell r="V428">
            <v>0.66666666666666663</v>
          </cell>
          <cell r="W428">
            <v>1</v>
          </cell>
          <cell r="X428">
            <v>0</v>
          </cell>
          <cell r="Y428">
            <v>0</v>
          </cell>
          <cell r="AA428">
            <v>0.66666666666666663</v>
          </cell>
          <cell r="AB428">
            <v>1</v>
          </cell>
          <cell r="AC428">
            <v>0</v>
          </cell>
          <cell r="AD428">
            <v>0</v>
          </cell>
          <cell r="AK428">
            <v>12</v>
          </cell>
          <cell r="AL428">
            <v>8</v>
          </cell>
        </row>
        <row r="429">
          <cell r="F429">
            <v>0</v>
          </cell>
          <cell r="G429">
            <v>0</v>
          </cell>
          <cell r="P429">
            <v>0</v>
          </cell>
          <cell r="V429">
            <v>3</v>
          </cell>
          <cell r="W429">
            <v>2</v>
          </cell>
          <cell r="X429">
            <v>0</v>
          </cell>
          <cell r="Y429">
            <v>0</v>
          </cell>
          <cell r="AA429">
            <v>2</v>
          </cell>
          <cell r="AB429">
            <v>2</v>
          </cell>
          <cell r="AC429">
            <v>0</v>
          </cell>
          <cell r="AD429">
            <v>1</v>
          </cell>
          <cell r="AK429">
            <v>0</v>
          </cell>
          <cell r="AL429">
            <v>0</v>
          </cell>
        </row>
        <row r="430">
          <cell r="F430">
            <v>2.3333333333333335</v>
          </cell>
          <cell r="G430">
            <v>2</v>
          </cell>
          <cell r="P430">
            <v>0.66666666666666663</v>
          </cell>
          <cell r="V430">
            <v>0</v>
          </cell>
          <cell r="W430">
            <v>0</v>
          </cell>
          <cell r="X430">
            <v>0.66666666666666663</v>
          </cell>
          <cell r="Y430">
            <v>0</v>
          </cell>
          <cell r="AA430">
            <v>0</v>
          </cell>
          <cell r="AB430">
            <v>0</v>
          </cell>
          <cell r="AC430">
            <v>0.66666666666666663</v>
          </cell>
          <cell r="AD430">
            <v>0</v>
          </cell>
          <cell r="AK430">
            <v>4.333333333333333</v>
          </cell>
          <cell r="AL430">
            <v>2.6666666666666665</v>
          </cell>
        </row>
        <row r="431">
          <cell r="F431">
            <v>1.6666666666666667</v>
          </cell>
          <cell r="G431">
            <v>1</v>
          </cell>
          <cell r="P431">
            <v>0.66666666666666663</v>
          </cell>
          <cell r="V431">
            <v>0</v>
          </cell>
          <cell r="W431">
            <v>0</v>
          </cell>
          <cell r="X431">
            <v>0.66666666666666663</v>
          </cell>
          <cell r="Y431">
            <v>0</v>
          </cell>
          <cell r="AA431">
            <v>0</v>
          </cell>
          <cell r="AB431">
            <v>0</v>
          </cell>
          <cell r="AC431">
            <v>0.66666666666666663</v>
          </cell>
          <cell r="AD431">
            <v>0</v>
          </cell>
          <cell r="AK431">
            <v>3.6666666666666665</v>
          </cell>
          <cell r="AL431">
            <v>1.6666666666666665</v>
          </cell>
        </row>
        <row r="432">
          <cell r="F432">
            <v>6.666666666666667</v>
          </cell>
          <cell r="G432">
            <v>4</v>
          </cell>
          <cell r="P432">
            <v>4.666666666666667</v>
          </cell>
          <cell r="V432">
            <v>0</v>
          </cell>
          <cell r="W432">
            <v>0</v>
          </cell>
          <cell r="X432">
            <v>3</v>
          </cell>
          <cell r="Y432">
            <v>2</v>
          </cell>
          <cell r="AA432">
            <v>0</v>
          </cell>
          <cell r="AB432">
            <v>0</v>
          </cell>
          <cell r="AC432">
            <v>2</v>
          </cell>
          <cell r="AD432">
            <v>0</v>
          </cell>
          <cell r="AK432">
            <v>33</v>
          </cell>
          <cell r="AL432">
            <v>20.666666666666668</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53</v>
          </cell>
        </row>
        <row r="435">
          <cell r="F435">
            <v>1</v>
          </cell>
          <cell r="G435">
            <v>1</v>
          </cell>
          <cell r="P435">
            <v>0</v>
          </cell>
          <cell r="V435">
            <v>4</v>
          </cell>
          <cell r="W435">
            <v>3</v>
          </cell>
          <cell r="X435">
            <v>0</v>
          </cell>
          <cell r="Y435">
            <v>0</v>
          </cell>
          <cell r="AA435">
            <v>2</v>
          </cell>
          <cell r="AB435">
            <v>2</v>
          </cell>
          <cell r="AC435">
            <v>0</v>
          </cell>
          <cell r="AD435">
            <v>1</v>
          </cell>
          <cell r="AK435">
            <v>1</v>
          </cell>
          <cell r="AL435">
            <v>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0</v>
          </cell>
          <cell r="AL437">
            <v>0</v>
          </cell>
        </row>
        <row r="438">
          <cell r="F438">
            <v>2.6666666666666665</v>
          </cell>
          <cell r="G438">
            <v>2</v>
          </cell>
          <cell r="P438">
            <v>1</v>
          </cell>
          <cell r="V438">
            <v>0.33333333333333331</v>
          </cell>
          <cell r="W438">
            <v>0</v>
          </cell>
          <cell r="X438">
            <v>4</v>
          </cell>
          <cell r="Y438">
            <v>3</v>
          </cell>
          <cell r="AA438">
            <v>0.33333333333333331</v>
          </cell>
          <cell r="AB438">
            <v>0</v>
          </cell>
          <cell r="AC438">
            <v>2</v>
          </cell>
          <cell r="AD438">
            <v>0</v>
          </cell>
          <cell r="AK438">
            <v>15.666666666666666</v>
          </cell>
          <cell r="AL438">
            <v>9</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3.3333333333333335</v>
          </cell>
          <cell r="AL440">
            <v>2</v>
          </cell>
        </row>
        <row r="441">
          <cell r="F441">
            <v>0.33333333333333331</v>
          </cell>
          <cell r="G441">
            <v>0</v>
          </cell>
          <cell r="P441">
            <v>0.33333333333333331</v>
          </cell>
          <cell r="V441">
            <v>0</v>
          </cell>
          <cell r="W441">
            <v>0</v>
          </cell>
          <cell r="X441">
            <v>0.33333333333333331</v>
          </cell>
          <cell r="Y441">
            <v>0</v>
          </cell>
          <cell r="AA441">
            <v>0</v>
          </cell>
          <cell r="AB441">
            <v>0</v>
          </cell>
          <cell r="AC441">
            <v>0.33333333333333331</v>
          </cell>
          <cell r="AD441">
            <v>0</v>
          </cell>
          <cell r="AK441">
            <v>1.9999999999999998</v>
          </cell>
          <cell r="AL441">
            <v>0.33333333333333331</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0</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ЗАТВЕРДЖУЮ</v>
          </cell>
        </row>
        <row r="28">
          <cell r="S28" t="str">
            <v xml:space="preserve">                   ПЛАЧКОВ І.В.</v>
          </cell>
          <cell r="T28" t="str">
            <v>І.В.ПЛАЧКОВ</v>
          </cell>
          <cell r="U28" t="str">
            <v>ГОЛОВА ПРАЛІННЯ АК КЕ</v>
          </cell>
        </row>
        <row r="29">
          <cell r="S29" t="str">
            <v>ГОЛОВА ПРАЛІННЯ  КЕ</v>
          </cell>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Y34" t="str">
            <v xml:space="preserve">ТЕЦ-6 </v>
          </cell>
          <cell r="AA34" t="str">
            <v xml:space="preserve">ТЕЦ-6 </v>
          </cell>
        </row>
        <row r="35">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v>3</v>
          </cell>
          <cell r="W36" t="str">
            <v>АК КЕ ВСЬОГО</v>
          </cell>
          <cell r="X36" t="str">
            <v>Е/Е</v>
          </cell>
          <cell r="Y36" t="str">
            <v xml:space="preserve"> Т/Е</v>
          </cell>
          <cell r="Z36" t="str">
            <v>СТАНЦІї ЕЛЕКТРО</v>
          </cell>
          <cell r="AA36" t="str">
            <v>СТАНЦІІ ТЕПЛОВІ</v>
          </cell>
        </row>
        <row r="37">
          <cell r="N37">
            <v>225</v>
          </cell>
          <cell r="Q37">
            <v>158</v>
          </cell>
          <cell r="V37">
            <v>0</v>
          </cell>
          <cell r="X37">
            <v>383</v>
          </cell>
        </row>
        <row r="38">
          <cell r="N38">
            <v>200.95</v>
          </cell>
          <cell r="Q38">
            <v>135.85</v>
          </cell>
          <cell r="V38">
            <v>334</v>
          </cell>
          <cell r="X38">
            <v>336.79999999999995</v>
          </cell>
        </row>
        <row r="39">
          <cell r="I39">
            <v>0</v>
          </cell>
          <cell r="V39">
            <v>331</v>
          </cell>
          <cell r="X39">
            <v>0</v>
          </cell>
        </row>
        <row r="40">
          <cell r="J40">
            <v>126</v>
          </cell>
          <cell r="O40">
            <v>68</v>
          </cell>
          <cell r="R40">
            <v>67</v>
          </cell>
          <cell r="W40">
            <v>261</v>
          </cell>
          <cell r="X40">
            <v>199.5</v>
          </cell>
        </row>
        <row r="41">
          <cell r="W41">
            <v>0</v>
          </cell>
          <cell r="X41">
            <v>0</v>
          </cell>
        </row>
        <row r="42">
          <cell r="J42">
            <v>126</v>
          </cell>
          <cell r="O42">
            <v>68</v>
          </cell>
          <cell r="R42">
            <v>67</v>
          </cell>
          <cell r="W42">
            <v>171</v>
          </cell>
          <cell r="X42">
            <v>0</v>
          </cell>
        </row>
        <row r="43">
          <cell r="X43">
            <v>480.7</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cell r="Y45">
            <v>930</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cell r="Y46">
            <v>0</v>
          </cell>
        </row>
        <row r="47">
          <cell r="C47" t="e">
            <v>#REF!</v>
          </cell>
          <cell r="D47" t="e">
            <v>#REF!</v>
          </cell>
          <cell r="E47" t="e">
            <v>#REF!</v>
          </cell>
          <cell r="I47" t="e">
            <v>#REF!</v>
          </cell>
          <cell r="J47" t="e">
            <v>#REF!</v>
          </cell>
          <cell r="M47" t="e">
            <v>#REF!</v>
          </cell>
          <cell r="N47" t="e">
            <v>#REF!</v>
          </cell>
          <cell r="O47">
            <v>280</v>
          </cell>
          <cell r="P47" t="e">
            <v>#REF!</v>
          </cell>
          <cell r="Q47" t="e">
            <v>#REF!</v>
          </cell>
          <cell r="R47">
            <v>320</v>
          </cell>
          <cell r="U47" t="e">
            <v>#REF!</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T51">
            <v>465.83333333333331</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S52">
            <v>750</v>
          </cell>
          <cell r="U52" t="e">
            <v>#REF!</v>
          </cell>
          <cell r="V52" t="e">
            <v>#REF!</v>
          </cell>
          <cell r="W52" t="e">
            <v>#REF!</v>
          </cell>
          <cell r="X52">
            <v>72</v>
          </cell>
          <cell r="Y52" t="e">
            <v>#REF!</v>
          </cell>
          <cell r="Z52">
            <v>30</v>
          </cell>
          <cell r="AA52">
            <v>100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S57">
            <v>1232</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1232</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t="e">
            <v>#REF!</v>
          </cell>
          <cell r="V59" t="e">
            <v>#REF!</v>
          </cell>
          <cell r="W59" t="e">
            <v>#REF!</v>
          </cell>
          <cell r="X59" t="e">
            <v>#REF!</v>
          </cell>
          <cell r="Y59" t="e">
            <v>#REF!</v>
          </cell>
          <cell r="Z59" t="e">
            <v>#REF!</v>
          </cell>
          <cell r="AA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420</v>
          </cell>
          <cell r="U60" t="e">
            <v>#REF!</v>
          </cell>
          <cell r="V60" t="e">
            <v>#REF!</v>
          </cell>
          <cell r="W60" t="e">
            <v>#REF!</v>
          </cell>
          <cell r="X60" t="e">
            <v>#REF!</v>
          </cell>
          <cell r="Y60" t="e">
            <v>#REF!</v>
          </cell>
          <cell r="Z60" t="e">
            <v>#REF!</v>
          </cell>
          <cell r="AA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S61">
            <v>0</v>
          </cell>
          <cell r="T61">
            <v>468.3785272727273</v>
          </cell>
          <cell r="U61" t="e">
            <v>#REF!</v>
          </cell>
          <cell r="V61" t="e">
            <v>#REF!</v>
          </cell>
          <cell r="W61" t="e">
            <v>#REF!</v>
          </cell>
          <cell r="X61" t="e">
            <v>#REF!</v>
          </cell>
          <cell r="Y61" t="e">
            <v>#REF!</v>
          </cell>
          <cell r="Z61" t="e">
            <v>#REF!</v>
          </cell>
          <cell r="AA61" t="e">
            <v>#REF!</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26</v>
          </cell>
          <cell r="U62" t="e">
            <v>#REF!</v>
          </cell>
          <cell r="V62" t="e">
            <v>#REF!</v>
          </cell>
          <cell r="W62" t="e">
            <v>#REF!</v>
          </cell>
          <cell r="X62" t="e">
            <v>#REF!</v>
          </cell>
          <cell r="Y62" t="e">
            <v>#REF!</v>
          </cell>
          <cell r="Z62" t="e">
            <v>#REF!</v>
          </cell>
          <cell r="AA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306</v>
          </cell>
          <cell r="T63">
            <v>150</v>
          </cell>
          <cell r="U63" t="e">
            <v>#REF!</v>
          </cell>
          <cell r="V63" t="e">
            <v>#REF!</v>
          </cell>
          <cell r="W63" t="e">
            <v>#REF!</v>
          </cell>
          <cell r="X63" t="e">
            <v>#REF!</v>
          </cell>
          <cell r="Y63" t="e">
            <v>#REF!</v>
          </cell>
          <cell r="Z63" t="e">
            <v>#REF!</v>
          </cell>
          <cell r="AA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162.88</v>
          </cell>
          <cell r="U65" t="e">
            <v>#REF!</v>
          </cell>
          <cell r="V65" t="e">
            <v>#REF!</v>
          </cell>
          <cell r="W65" t="e">
            <v>#REF!</v>
          </cell>
          <cell r="X65" t="e">
            <v>#REF!</v>
          </cell>
          <cell r="Y65" t="e">
            <v>#REF!</v>
          </cell>
          <cell r="Z65">
            <v>144</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t="e">
            <v>#REF!</v>
          </cell>
          <cell r="V66" t="e">
            <v>#REF!</v>
          </cell>
          <cell r="W66" t="e">
            <v>#REF!</v>
          </cell>
          <cell r="X66" t="e">
            <v>#REF!</v>
          </cell>
          <cell r="Y66" t="e">
            <v>#REF!</v>
          </cell>
          <cell r="Z66" t="e">
            <v>#REF!</v>
          </cell>
          <cell r="AA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S67">
            <v>1018</v>
          </cell>
          <cell r="U67" t="e">
            <v>#REF!</v>
          </cell>
          <cell r="V67" t="e">
            <v>#REF!</v>
          </cell>
          <cell r="W67" t="e">
            <v>#REF!</v>
          </cell>
          <cell r="X67" t="e">
            <v>#REF!</v>
          </cell>
          <cell r="Y67" t="e">
            <v>#REF!</v>
          </cell>
          <cell r="AA67">
            <v>300</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t="e">
            <v>#REF!</v>
          </cell>
          <cell r="V71" t="e">
            <v>#REF!</v>
          </cell>
          <cell r="W71" t="e">
            <v>#REF!</v>
          </cell>
          <cell r="X71" t="e">
            <v>#REF!</v>
          </cell>
          <cell r="Y71" t="e">
            <v>#REF!</v>
          </cell>
          <cell r="Z71">
            <v>51.363636363636374</v>
          </cell>
          <cell r="AA71" t="e">
            <v>#REF!</v>
          </cell>
        </row>
        <row r="72">
          <cell r="C72" t="e">
            <v>#REF!</v>
          </cell>
          <cell r="D72" t="e">
            <v>#REF!</v>
          </cell>
          <cell r="E72">
            <v>0</v>
          </cell>
          <cell r="I72" t="e">
            <v>#REF!</v>
          </cell>
          <cell r="J72">
            <v>0</v>
          </cell>
          <cell r="K72" t="e">
            <v>#REF!</v>
          </cell>
          <cell r="L72" t="e">
            <v>#REF!</v>
          </cell>
          <cell r="M72" t="e">
            <v>#REF!</v>
          </cell>
          <cell r="N72" t="e">
            <v>#REF!</v>
          </cell>
          <cell r="O72">
            <v>0</v>
          </cell>
          <cell r="P72" t="e">
            <v>#REF!</v>
          </cell>
          <cell r="Q72" t="e">
            <v>#REF!</v>
          </cell>
          <cell r="R72" t="e">
            <v>#REF!</v>
          </cell>
          <cell r="S72">
            <v>23</v>
          </cell>
          <cell r="U72" t="e">
            <v>#REF!</v>
          </cell>
          <cell r="V72" t="e">
            <v>#REF!</v>
          </cell>
          <cell r="W72" t="e">
            <v>#REF!</v>
          </cell>
          <cell r="X72" t="e">
            <v>#REF!</v>
          </cell>
          <cell r="Y72" t="e">
            <v>#REF!</v>
          </cell>
          <cell r="Z72">
            <v>3</v>
          </cell>
          <cell r="AA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t="e">
            <v>#REF!</v>
          </cell>
          <cell r="V73" t="e">
            <v>#REF!</v>
          </cell>
          <cell r="W73" t="e">
            <v>#REF!</v>
          </cell>
          <cell r="X73" t="e">
            <v>#REF!</v>
          </cell>
          <cell r="Y73" t="e">
            <v>#REF!</v>
          </cell>
          <cell r="Z73" t="e">
            <v>#REF!</v>
          </cell>
          <cell r="AA73" t="e">
            <v>#REF!</v>
          </cell>
        </row>
        <row r="74">
          <cell r="C74" t="e">
            <v>#REF!</v>
          </cell>
          <cell r="D74" t="e">
            <v>#REF!</v>
          </cell>
          <cell r="E74" t="e">
            <v>#REF!</v>
          </cell>
          <cell r="I74">
            <v>0</v>
          </cell>
          <cell r="J74">
            <v>0</v>
          </cell>
          <cell r="K74" t="e">
            <v>#REF!</v>
          </cell>
          <cell r="L74" t="e">
            <v>#REF!</v>
          </cell>
          <cell r="M74" t="e">
            <v>#REF!</v>
          </cell>
          <cell r="N74" t="e">
            <v>#REF!</v>
          </cell>
          <cell r="O74" t="e">
            <v>#REF!</v>
          </cell>
          <cell r="P74" t="e">
            <v>#REF!</v>
          </cell>
          <cell r="Q74" t="e">
            <v>#REF!</v>
          </cell>
          <cell r="R74" t="e">
            <v>#REF!</v>
          </cell>
          <cell r="U74" t="e">
            <v>#REF!</v>
          </cell>
          <cell r="V74" t="e">
            <v>#REF!</v>
          </cell>
          <cell r="W74" t="e">
            <v>#REF!</v>
          </cell>
          <cell r="X74" t="e">
            <v>#REF!</v>
          </cell>
          <cell r="Y74" t="e">
            <v>#REF!</v>
          </cell>
          <cell r="Z74" t="e">
            <v>#REF!</v>
          </cell>
          <cell r="AA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t="e">
            <v>#REF!</v>
          </cell>
          <cell r="V76" t="e">
            <v>#REF!</v>
          </cell>
          <cell r="W76" t="e">
            <v>#REF!</v>
          </cell>
          <cell r="X76" t="e">
            <v>#REF!</v>
          </cell>
          <cell r="Y76" t="e">
            <v>#VALUE!</v>
          </cell>
          <cell r="Z76" t="e">
            <v>#REF!</v>
          </cell>
          <cell r="AA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S77">
            <v>101</v>
          </cell>
          <cell r="T77">
            <v>0</v>
          </cell>
          <cell r="U77">
            <v>101</v>
          </cell>
          <cell r="V77">
            <v>0</v>
          </cell>
          <cell r="W77" t="e">
            <v>#REF!</v>
          </cell>
          <cell r="X77" t="e">
            <v>#REF!</v>
          </cell>
          <cell r="Y77" t="e">
            <v>#REF!</v>
          </cell>
          <cell r="Z77">
            <v>31</v>
          </cell>
          <cell r="AA77">
            <v>119</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T78">
            <v>0</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t="e">
            <v>#REF!</v>
          </cell>
          <cell r="V80" t="e">
            <v>#REF!</v>
          </cell>
          <cell r="W80" t="e">
            <v>#REF!</v>
          </cell>
          <cell r="X80">
            <v>0</v>
          </cell>
          <cell r="Y80">
            <v>0</v>
          </cell>
          <cell r="Z80" t="e">
            <v>#REF!</v>
          </cell>
          <cell r="AA80" t="e">
            <v>#REF!</v>
          </cell>
        </row>
        <row r="81">
          <cell r="C81" t="e">
            <v>#REF!</v>
          </cell>
          <cell r="D81" t="e">
            <v>#REF!</v>
          </cell>
          <cell r="E81" t="e">
            <v>#REF!</v>
          </cell>
          <cell r="P81">
            <v>0</v>
          </cell>
          <cell r="S81">
            <v>0</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S82">
            <v>50</v>
          </cell>
          <cell r="T82">
            <v>33</v>
          </cell>
          <cell r="U82" t="e">
            <v>#REF!</v>
          </cell>
          <cell r="V82" t="e">
            <v>#REF!</v>
          </cell>
          <cell r="W82" t="e">
            <v>#REF!</v>
          </cell>
          <cell r="X82" t="e">
            <v>#REF!</v>
          </cell>
          <cell r="Y82" t="e">
            <v>#REF!</v>
          </cell>
          <cell r="Z82" t="e">
            <v>#REF!</v>
          </cell>
          <cell r="AA82" t="e">
            <v>#REF!</v>
          </cell>
        </row>
        <row r="83">
          <cell r="C83" t="e">
            <v>#REF!</v>
          </cell>
          <cell r="D83" t="e">
            <v>#REF!</v>
          </cell>
          <cell r="E83" t="e">
            <v>#REF!</v>
          </cell>
          <cell r="P83">
            <v>21</v>
          </cell>
          <cell r="S83">
            <v>51</v>
          </cell>
          <cell r="T83">
            <v>33.660000000000004</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D87" t="e">
            <v>#REF!</v>
          </cell>
          <cell r="E87" t="e">
            <v>#REF!</v>
          </cell>
          <cell r="I87" t="e">
            <v>#REF!</v>
          </cell>
          <cell r="J87" t="e">
            <v>#REF!</v>
          </cell>
          <cell r="K87">
            <v>0</v>
          </cell>
          <cell r="L87">
            <v>0</v>
          </cell>
          <cell r="M87" t="e">
            <v>#REF!</v>
          </cell>
          <cell r="N87">
            <v>0</v>
          </cell>
          <cell r="O87">
            <v>0</v>
          </cell>
          <cell r="P87" t="e">
            <v>#REF!</v>
          </cell>
          <cell r="Q87">
            <v>0</v>
          </cell>
          <cell r="R87">
            <v>0</v>
          </cell>
          <cell r="S87" t="e">
            <v>#REF!</v>
          </cell>
          <cell r="T87">
            <v>0</v>
          </cell>
          <cell r="U87" t="e">
            <v>#REF!</v>
          </cell>
          <cell r="V87">
            <v>0</v>
          </cell>
          <cell r="W87" t="e">
            <v>#REF!</v>
          </cell>
          <cell r="X87" t="e">
            <v>#REF!</v>
          </cell>
          <cell r="Y87" t="e">
            <v>#REF!</v>
          </cell>
          <cell r="Z87">
            <v>0</v>
          </cell>
          <cell r="AA87">
            <v>0</v>
          </cell>
        </row>
        <row r="88">
          <cell r="C88" t="e">
            <v>#REF!</v>
          </cell>
          <cell r="D88" t="e">
            <v>#REF!</v>
          </cell>
          <cell r="E88" t="e">
            <v>#REF!</v>
          </cell>
          <cell r="I88" t="e">
            <v>#REF!</v>
          </cell>
          <cell r="J88" t="e">
            <v>#REF!</v>
          </cell>
          <cell r="M88" t="e">
            <v>#REF!</v>
          </cell>
          <cell r="P88" t="e">
            <v>#REF!</v>
          </cell>
          <cell r="S88" t="e">
            <v>#REF!</v>
          </cell>
          <cell r="U88" t="e">
            <v>#REF!</v>
          </cell>
          <cell r="W88" t="e">
            <v>#REF!</v>
          </cell>
          <cell r="X88" t="e">
            <v>#REF!</v>
          </cell>
          <cell r="Y88" t="e">
            <v>#REF!</v>
          </cell>
          <cell r="Z88">
            <v>0</v>
          </cell>
          <cell r="AA88">
            <v>0</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v>824</v>
          </cell>
          <cell r="U89" t="e">
            <v>#REF!</v>
          </cell>
          <cell r="V89">
            <v>563</v>
          </cell>
          <cell r="W89" t="e">
            <v>#REF!</v>
          </cell>
          <cell r="X89" t="e">
            <v>#REF!</v>
          </cell>
          <cell r="Y89" t="e">
            <v>#REF!</v>
          </cell>
          <cell r="Z89" t="e">
            <v>#REF!</v>
          </cell>
          <cell r="AA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t="e">
            <v>#REF!</v>
          </cell>
          <cell r="T90">
            <v>824</v>
          </cell>
          <cell r="U90" t="e">
            <v>#REF!</v>
          </cell>
          <cell r="V90">
            <v>0</v>
          </cell>
          <cell r="W90" t="e">
            <v>#REF!</v>
          </cell>
          <cell r="X90" t="e">
            <v>#REF!</v>
          </cell>
          <cell r="Y90" t="e">
            <v>#REF!</v>
          </cell>
          <cell r="Z90" t="e">
            <v>#REF!</v>
          </cell>
          <cell r="AA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v>0</v>
          </cell>
          <cell r="U91" t="e">
            <v>#REF!</v>
          </cell>
          <cell r="W91" t="e">
            <v>#REF!</v>
          </cell>
          <cell r="X91" t="e">
            <v>#REF!</v>
          </cell>
          <cell r="Y91" t="e">
            <v>#REF!</v>
          </cell>
          <cell r="Z91" t="e">
            <v>#REF!</v>
          </cell>
          <cell r="AA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T93">
            <v>139</v>
          </cell>
          <cell r="U93" t="e">
            <v>#REF!</v>
          </cell>
          <cell r="V93">
            <v>0</v>
          </cell>
          <cell r="W93" t="e">
            <v>#REF!</v>
          </cell>
          <cell r="X93">
            <v>0</v>
          </cell>
          <cell r="Y93">
            <v>0</v>
          </cell>
          <cell r="Z93">
            <v>0</v>
          </cell>
          <cell r="AA93">
            <v>0</v>
          </cell>
        </row>
        <row r="94">
          <cell r="C94" t="e">
            <v>#REF!</v>
          </cell>
          <cell r="I94" t="e">
            <v>#REF!</v>
          </cell>
          <cell r="J94" t="e">
            <v>#REF!</v>
          </cell>
          <cell r="M94" t="e">
            <v>#REF!</v>
          </cell>
          <cell r="P94" t="e">
            <v>#REF!</v>
          </cell>
          <cell r="S94" t="e">
            <v>#REF!</v>
          </cell>
          <cell r="T94">
            <v>75</v>
          </cell>
          <cell r="U94" t="e">
            <v>#REF!</v>
          </cell>
          <cell r="V94">
            <v>-129</v>
          </cell>
          <cell r="W94" t="e">
            <v>#REF!</v>
          </cell>
          <cell r="X94">
            <v>-129.33333333333334</v>
          </cell>
          <cell r="Y94">
            <v>-96</v>
          </cell>
          <cell r="Z94">
            <v>-33.333333333333343</v>
          </cell>
          <cell r="AA94">
            <v>0</v>
          </cell>
        </row>
        <row r="95">
          <cell r="C95" t="e">
            <v>#REF!</v>
          </cell>
          <cell r="I95" t="e">
            <v>#REF!</v>
          </cell>
          <cell r="J95" t="e">
            <v>#REF!</v>
          </cell>
          <cell r="M95" t="e">
            <v>#REF!</v>
          </cell>
          <cell r="P95" t="e">
            <v>#REF!</v>
          </cell>
          <cell r="S95" t="e">
            <v>#REF!</v>
          </cell>
          <cell r="T95">
            <v>54</v>
          </cell>
          <cell r="U95" t="e">
            <v>#REF!</v>
          </cell>
          <cell r="W95" t="e">
            <v>#REF!</v>
          </cell>
        </row>
        <row r="96">
          <cell r="C96" t="e">
            <v>#REF!</v>
          </cell>
          <cell r="I96" t="e">
            <v>#REF!</v>
          </cell>
          <cell r="J96" t="e">
            <v>#REF!</v>
          </cell>
          <cell r="M96" t="e">
            <v>#REF!</v>
          </cell>
          <cell r="P96" t="e">
            <v>#REF!</v>
          </cell>
          <cell r="S96" t="e">
            <v>#REF!</v>
          </cell>
          <cell r="U96" t="e">
            <v>#REF!</v>
          </cell>
          <cell r="W96" t="e">
            <v>#REF!</v>
          </cell>
        </row>
        <row r="97">
          <cell r="C97" t="e">
            <v>#REF!</v>
          </cell>
          <cell r="I97" t="e">
            <v>#REF!</v>
          </cell>
          <cell r="J97" t="e">
            <v>#REF!</v>
          </cell>
          <cell r="M97" t="e">
            <v>#REF!</v>
          </cell>
          <cell r="P97" t="e">
            <v>#REF!</v>
          </cell>
          <cell r="Q97">
            <v>0</v>
          </cell>
          <cell r="R97">
            <v>0</v>
          </cell>
          <cell r="S97" t="e">
            <v>#REF!</v>
          </cell>
          <cell r="T97">
            <v>3616.0618606060607</v>
          </cell>
          <cell r="U97" t="e">
            <v>#REF!</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Q98">
            <v>0</v>
          </cell>
          <cell r="R98">
            <v>0</v>
          </cell>
          <cell r="S98" t="e">
            <v>#REF!</v>
          </cell>
          <cell r="T98">
            <v>2783.7147999999997</v>
          </cell>
          <cell r="U98" t="e">
            <v>#REF!</v>
          </cell>
          <cell r="V98">
            <v>3047.1318181818187</v>
          </cell>
          <cell r="W98" t="e">
            <v>#REF!</v>
          </cell>
          <cell r="X98">
            <v>576.13181818181829</v>
          </cell>
          <cell r="Y98">
            <v>0</v>
          </cell>
          <cell r="Z98">
            <v>0</v>
          </cell>
          <cell r="AA98">
            <v>2982.5690909090908</v>
          </cell>
        </row>
        <row r="99">
          <cell r="C99" t="e">
            <v>#REF!</v>
          </cell>
          <cell r="I99" t="e">
            <v>#REF!</v>
          </cell>
          <cell r="J99" t="e">
            <v>#REF!</v>
          </cell>
          <cell r="M99" t="e">
            <v>#REF!</v>
          </cell>
          <cell r="P99" t="e">
            <v>#REF!</v>
          </cell>
          <cell r="Q99">
            <v>0</v>
          </cell>
          <cell r="R99">
            <v>0</v>
          </cell>
          <cell r="S99" t="e">
            <v>#REF!</v>
          </cell>
          <cell r="T99">
            <v>2384.0618606060607</v>
          </cell>
          <cell r="U99" t="e">
            <v>#REF!</v>
          </cell>
          <cell r="V99">
            <v>0</v>
          </cell>
          <cell r="W99">
            <v>0</v>
          </cell>
          <cell r="X99">
            <v>2407.8530303030293</v>
          </cell>
          <cell r="Y99">
            <v>1779</v>
          </cell>
          <cell r="Z99">
            <v>628.85303030302975</v>
          </cell>
          <cell r="AA99">
            <v>0</v>
          </cell>
        </row>
        <row r="100">
          <cell r="C100" t="e">
            <v>#REF!</v>
          </cell>
          <cell r="I100" t="e">
            <v>#REF!</v>
          </cell>
          <cell r="J100" t="e">
            <v>#REF!</v>
          </cell>
          <cell r="M100" t="e">
            <v>#REF!</v>
          </cell>
          <cell r="P100" t="e">
            <v>#REF!</v>
          </cell>
          <cell r="S100" t="e">
            <v>#REF!</v>
          </cell>
          <cell r="U100" t="e">
            <v>#REF!</v>
          </cell>
          <cell r="V100">
            <v>80</v>
          </cell>
          <cell r="W100" t="e">
            <v>#REF!</v>
          </cell>
          <cell r="X100">
            <v>85</v>
          </cell>
          <cell r="AA100">
            <v>300</v>
          </cell>
        </row>
        <row r="101">
          <cell r="C101" t="e">
            <v>#REF!</v>
          </cell>
          <cell r="I101" t="e">
            <v>#REF!</v>
          </cell>
          <cell r="J101" t="e">
            <v>#REF!</v>
          </cell>
          <cell r="M101" t="e">
            <v>#REF!</v>
          </cell>
          <cell r="P101" t="e">
            <v>#REF!</v>
          </cell>
          <cell r="S101" t="e">
            <v>#REF!</v>
          </cell>
          <cell r="U101">
            <v>0</v>
          </cell>
          <cell r="V101">
            <v>0</v>
          </cell>
          <cell r="W101">
            <v>0</v>
          </cell>
          <cell r="X101">
            <v>100</v>
          </cell>
          <cell r="AA101">
            <v>300</v>
          </cell>
        </row>
        <row r="102">
          <cell r="C102" t="e">
            <v>#REF!</v>
          </cell>
          <cell r="I102" t="e">
            <v>#REF!</v>
          </cell>
          <cell r="J102" t="e">
            <v>#REF!</v>
          </cell>
          <cell r="M102" t="e">
            <v>#REF!</v>
          </cell>
          <cell r="P102" t="e">
            <v>#REF!</v>
          </cell>
          <cell r="S102" t="e">
            <v>#REF!</v>
          </cell>
          <cell r="U102" t="e">
            <v>#REF!</v>
          </cell>
          <cell r="V102">
            <v>0</v>
          </cell>
          <cell r="W102" t="e">
            <v>#REF!</v>
          </cell>
          <cell r="X102">
            <v>100</v>
          </cell>
          <cell r="AA102">
            <v>0</v>
          </cell>
        </row>
        <row r="103">
          <cell r="C103" t="e">
            <v>#REF!</v>
          </cell>
          <cell r="I103" t="e">
            <v>#REF!</v>
          </cell>
          <cell r="J103" t="e">
            <v>#REF!</v>
          </cell>
          <cell r="M103" t="e">
            <v>#REF!</v>
          </cell>
          <cell r="P103" t="e">
            <v>#REF!</v>
          </cell>
          <cell r="S103" t="e">
            <v>#REF!</v>
          </cell>
          <cell r="T103">
            <v>10</v>
          </cell>
          <cell r="U103" t="e">
            <v>#REF!</v>
          </cell>
          <cell r="W103" t="e">
            <v>#REF!</v>
          </cell>
          <cell r="X103">
            <v>0</v>
          </cell>
        </row>
        <row r="104">
          <cell r="C104" t="e">
            <v>#REF!</v>
          </cell>
          <cell r="I104" t="e">
            <v>#REF!</v>
          </cell>
          <cell r="J104" t="e">
            <v>#REF!</v>
          </cell>
          <cell r="M104" t="e">
            <v>#REF!</v>
          </cell>
          <cell r="P104" t="e">
            <v>#REF!</v>
          </cell>
          <cell r="S104" t="e">
            <v>#REF!</v>
          </cell>
          <cell r="T104">
            <v>10</v>
          </cell>
          <cell r="U104" t="e">
            <v>#REF!</v>
          </cell>
          <cell r="W104" t="e">
            <v>#REF!</v>
          </cell>
        </row>
        <row r="105">
          <cell r="C105" t="e">
            <v>#REF!</v>
          </cell>
          <cell r="I105" t="e">
            <v>#REF!</v>
          </cell>
          <cell r="J105" t="e">
            <v>#REF!</v>
          </cell>
          <cell r="M105" t="e">
            <v>#REF!</v>
          </cell>
          <cell r="P105" t="e">
            <v>#REF!</v>
          </cell>
          <cell r="S105" t="e">
            <v>#REF!</v>
          </cell>
          <cell r="V105">
            <v>0</v>
          </cell>
          <cell r="W105" t="e">
            <v>#REF!</v>
          </cell>
        </row>
        <row r="106">
          <cell r="C106">
            <v>9142</v>
          </cell>
          <cell r="I106" t="e">
            <v>#REF!</v>
          </cell>
          <cell r="J106" t="e">
            <v>#REF!</v>
          </cell>
          <cell r="M106" t="e">
            <v>#REF!</v>
          </cell>
          <cell r="P106" t="e">
            <v>#REF!</v>
          </cell>
          <cell r="S106">
            <v>0</v>
          </cell>
          <cell r="T106">
            <v>55</v>
          </cell>
          <cell r="U106">
            <v>9142</v>
          </cell>
          <cell r="V106" t="e">
            <v>#REF!</v>
          </cell>
          <cell r="W106" t="e">
            <v>#REF!</v>
          </cell>
          <cell r="X106">
            <v>0</v>
          </cell>
          <cell r="Y106">
            <v>0</v>
          </cell>
        </row>
        <row r="107">
          <cell r="C107">
            <v>0</v>
          </cell>
          <cell r="I107" t="e">
            <v>#REF!</v>
          </cell>
          <cell r="J107" t="e">
            <v>#REF!</v>
          </cell>
          <cell r="M107" t="e">
            <v>#REF!</v>
          </cell>
          <cell r="P107" t="e">
            <v>#REF!</v>
          </cell>
          <cell r="T107">
            <v>55</v>
          </cell>
          <cell r="U107">
            <v>0</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cell r="V109">
            <v>0</v>
          </cell>
          <cell r="W109" t="e">
            <v>#REF!</v>
          </cell>
          <cell r="AA109">
            <v>0</v>
          </cell>
        </row>
        <row r="110">
          <cell r="C110" t="e">
            <v>#REF!</v>
          </cell>
          <cell r="I110" t="e">
            <v>#REF!</v>
          </cell>
          <cell r="J110" t="e">
            <v>#REF!</v>
          </cell>
          <cell r="M110" t="e">
            <v>#REF!</v>
          </cell>
          <cell r="P110" t="e">
            <v>#REF!</v>
          </cell>
          <cell r="S110">
            <v>708.125</v>
          </cell>
          <cell r="U110" t="e">
            <v>#REF!</v>
          </cell>
          <cell r="W110" t="e">
            <v>#REF!</v>
          </cell>
          <cell r="X110">
            <v>0</v>
          </cell>
          <cell r="AA110">
            <v>0</v>
          </cell>
        </row>
        <row r="111">
          <cell r="C111" t="e">
            <v>#REF!</v>
          </cell>
          <cell r="I111" t="e">
            <v>#REF!</v>
          </cell>
          <cell r="J111" t="e">
            <v>#REF!</v>
          </cell>
          <cell r="M111" t="e">
            <v>#REF!</v>
          </cell>
          <cell r="P111" t="e">
            <v>#REF!</v>
          </cell>
          <cell r="S111">
            <v>897</v>
          </cell>
          <cell r="U111" t="e">
            <v>#REF!</v>
          </cell>
          <cell r="W111" t="e">
            <v>#REF!</v>
          </cell>
          <cell r="AA111">
            <v>0</v>
          </cell>
        </row>
        <row r="112">
          <cell r="C112" t="e">
            <v>#REF!</v>
          </cell>
          <cell r="P112">
            <v>0</v>
          </cell>
          <cell r="S112">
            <v>0</v>
          </cell>
          <cell r="U112" t="e">
            <v>#REF!</v>
          </cell>
          <cell r="V112" t="e">
            <v>#REF!</v>
          </cell>
          <cell r="W112" t="e">
            <v>#REF!</v>
          </cell>
          <cell r="AA112">
            <v>0</v>
          </cell>
        </row>
        <row r="113">
          <cell r="C113">
            <v>-12710</v>
          </cell>
          <cell r="P113">
            <v>0</v>
          </cell>
          <cell r="S113">
            <v>0</v>
          </cell>
          <cell r="V113">
            <v>0</v>
          </cell>
          <cell r="W113">
            <v>-12710</v>
          </cell>
          <cell r="X113" t="e">
            <v>#REF!</v>
          </cell>
          <cell r="AA113">
            <v>0</v>
          </cell>
        </row>
        <row r="114">
          <cell r="C114">
            <v>0</v>
          </cell>
          <cell r="P114">
            <v>0</v>
          </cell>
          <cell r="S114">
            <v>0</v>
          </cell>
          <cell r="U114">
            <v>0</v>
          </cell>
          <cell r="W114" t="e">
            <v>#REF!</v>
          </cell>
          <cell r="X114">
            <v>0</v>
          </cell>
          <cell r="AA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V115">
            <v>0</v>
          </cell>
          <cell r="W115" t="e">
            <v>#REF!</v>
          </cell>
          <cell r="Z115">
            <v>0</v>
          </cell>
          <cell r="AA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cell r="X116">
            <v>0</v>
          </cell>
          <cell r="AA116">
            <v>0</v>
          </cell>
        </row>
        <row r="117">
          <cell r="P117">
            <v>0</v>
          </cell>
          <cell r="S117">
            <v>0</v>
          </cell>
          <cell r="U117" t="e">
            <v>#REF!</v>
          </cell>
          <cell r="W117" t="e">
            <v>#REF!</v>
          </cell>
          <cell r="X117">
            <v>0</v>
          </cell>
          <cell r="Z117">
            <v>0</v>
          </cell>
        </row>
        <row r="118">
          <cell r="P118">
            <v>0</v>
          </cell>
          <cell r="S118">
            <v>0</v>
          </cell>
          <cell r="U118" t="e">
            <v>#REF!</v>
          </cell>
          <cell r="W118" t="e">
            <v>#REF!</v>
          </cell>
          <cell r="X118">
            <v>0</v>
          </cell>
          <cell r="AA118">
            <v>0</v>
          </cell>
        </row>
        <row r="119">
          <cell r="P119">
            <v>0</v>
          </cell>
          <cell r="S119">
            <v>0</v>
          </cell>
          <cell r="U119" t="e">
            <v>#REF!</v>
          </cell>
          <cell r="W119" t="e">
            <v>#REF!</v>
          </cell>
          <cell r="X119" t="e">
            <v>#DIV/0!</v>
          </cell>
          <cell r="Y119" t="e">
            <v>#REF!</v>
          </cell>
          <cell r="AA119">
            <v>0</v>
          </cell>
        </row>
        <row r="120">
          <cell r="P120">
            <v>0</v>
          </cell>
          <cell r="S120">
            <v>0</v>
          </cell>
          <cell r="U120" t="e">
            <v>#REF!</v>
          </cell>
          <cell r="X120" t="e">
            <v>#REF!</v>
          </cell>
          <cell r="AA120">
            <v>0</v>
          </cell>
        </row>
        <row r="121">
          <cell r="P121">
            <v>0</v>
          </cell>
          <cell r="S121">
            <v>0</v>
          </cell>
          <cell r="U121">
            <v>0</v>
          </cell>
          <cell r="V121">
            <v>0</v>
          </cell>
          <cell r="W121">
            <v>0</v>
          </cell>
          <cell r="X121">
            <v>0</v>
          </cell>
          <cell r="Z121">
            <v>0</v>
          </cell>
          <cell r="AA121">
            <v>0</v>
          </cell>
        </row>
        <row r="122">
          <cell r="P122">
            <v>0</v>
          </cell>
          <cell r="S122">
            <v>0</v>
          </cell>
          <cell r="X122">
            <v>0</v>
          </cell>
        </row>
        <row r="123">
          <cell r="S123">
            <v>0</v>
          </cell>
          <cell r="U123">
            <v>7.59</v>
          </cell>
          <cell r="V123">
            <v>0</v>
          </cell>
          <cell r="X123" t="e">
            <v>#DIV/0!</v>
          </cell>
        </row>
        <row r="124">
          <cell r="S124">
            <v>0</v>
          </cell>
          <cell r="U124">
            <v>0</v>
          </cell>
          <cell r="W124">
            <v>24998</v>
          </cell>
          <cell r="X124">
            <v>0</v>
          </cell>
          <cell r="Y124">
            <v>24998</v>
          </cell>
          <cell r="Z124">
            <v>0</v>
          </cell>
        </row>
        <row r="125">
          <cell r="T125">
            <v>0</v>
          </cell>
          <cell r="U125" t="e">
            <v>#REF!</v>
          </cell>
          <cell r="W125" t="e">
            <v>#REF!</v>
          </cell>
          <cell r="X125" t="e">
            <v>#VALUE!</v>
          </cell>
          <cell r="Z125">
            <v>0</v>
          </cell>
        </row>
        <row r="126">
          <cell r="U126">
            <v>25363</v>
          </cell>
          <cell r="V126">
            <v>25363</v>
          </cell>
          <cell r="W126">
            <v>30.79</v>
          </cell>
          <cell r="Z126" t="e">
            <v>#DIV/0!</v>
          </cell>
        </row>
        <row r="127">
          <cell r="W127" t="e">
            <v>#REF!</v>
          </cell>
          <cell r="Z127" t="e">
            <v>#REF!</v>
          </cell>
        </row>
        <row r="128">
          <cell r="P128">
            <v>366</v>
          </cell>
          <cell r="Q128">
            <v>0</v>
          </cell>
          <cell r="R128">
            <v>0</v>
          </cell>
          <cell r="S128">
            <v>2158</v>
          </cell>
          <cell r="T128">
            <v>300</v>
          </cell>
          <cell r="U128">
            <v>300</v>
          </cell>
          <cell r="V128">
            <v>0</v>
          </cell>
          <cell r="W128">
            <v>0</v>
          </cell>
          <cell r="X128">
            <v>0</v>
          </cell>
          <cell r="Y128">
            <v>0</v>
          </cell>
          <cell r="Z128">
            <v>0</v>
          </cell>
          <cell r="AA128">
            <v>0</v>
          </cell>
        </row>
        <row r="129">
          <cell r="J129">
            <v>0</v>
          </cell>
          <cell r="P129">
            <v>732</v>
          </cell>
          <cell r="S129">
            <v>4316</v>
          </cell>
          <cell r="U129">
            <v>0</v>
          </cell>
          <cell r="V129">
            <v>0</v>
          </cell>
          <cell r="W129">
            <v>0</v>
          </cell>
          <cell r="X129">
            <v>0</v>
          </cell>
          <cell r="AA129">
            <v>0</v>
          </cell>
        </row>
        <row r="130">
          <cell r="W130">
            <v>11.87</v>
          </cell>
          <cell r="Z130" t="e">
            <v>#DIV/0!</v>
          </cell>
        </row>
        <row r="131">
          <cell r="P131">
            <v>1223</v>
          </cell>
          <cell r="Q131">
            <v>0</v>
          </cell>
          <cell r="R131">
            <v>0</v>
          </cell>
          <cell r="S131">
            <v>0</v>
          </cell>
          <cell r="T131">
            <v>0</v>
          </cell>
          <cell r="U131" t="e">
            <v>#REF!</v>
          </cell>
          <cell r="V131">
            <v>25363</v>
          </cell>
          <cell r="W131" t="e">
            <v>#REF!</v>
          </cell>
          <cell r="X131">
            <v>0</v>
          </cell>
          <cell r="Y131">
            <v>0</v>
          </cell>
          <cell r="Z131">
            <v>0</v>
          </cell>
          <cell r="AA131">
            <v>0</v>
          </cell>
        </row>
        <row r="132">
          <cell r="P132">
            <v>2446</v>
          </cell>
          <cell r="S132">
            <v>0</v>
          </cell>
          <cell r="T132">
            <v>0</v>
          </cell>
          <cell r="U132">
            <v>187.5</v>
          </cell>
          <cell r="V132">
            <v>187.5</v>
          </cell>
          <cell r="W132" t="e">
            <v>#REF!</v>
          </cell>
          <cell r="X132">
            <v>0</v>
          </cell>
          <cell r="Y132">
            <v>0</v>
          </cell>
          <cell r="Z132" t="e">
            <v>#REF!</v>
          </cell>
        </row>
        <row r="133">
          <cell r="U133" t="e">
            <v>#REF!</v>
          </cell>
          <cell r="V133">
            <v>25550.5</v>
          </cell>
          <cell r="W133" t="e">
            <v>#REF!</v>
          </cell>
          <cell r="X133">
            <v>57083</v>
          </cell>
        </row>
        <row r="134">
          <cell r="X134" t="e">
            <v>#REF!</v>
          </cell>
          <cell r="Y134" t="e">
            <v>#VALUE!</v>
          </cell>
          <cell r="Z134" t="e">
            <v>#REF!</v>
          </cell>
          <cell r="AA134" t="e">
            <v>#REF!</v>
          </cell>
        </row>
        <row r="135">
          <cell r="T135">
            <v>300</v>
          </cell>
          <cell r="U135" t="e">
            <v>#REF!</v>
          </cell>
          <cell r="V135" t="e">
            <v>#REF!</v>
          </cell>
          <cell r="W135" t="e">
            <v>#REF!</v>
          </cell>
        </row>
        <row r="136">
          <cell r="J136">
            <v>1</v>
          </cell>
          <cell r="W136">
            <v>1</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W139">
            <v>0</v>
          </cell>
          <cell r="X139">
            <v>0</v>
          </cell>
        </row>
        <row r="140">
          <cell r="W140">
            <v>82081</v>
          </cell>
          <cell r="X140">
            <v>57083</v>
          </cell>
          <cell r="Y140">
            <v>24998</v>
          </cell>
        </row>
        <row r="141">
          <cell r="Z141" t="e">
            <v>#REF!</v>
          </cell>
          <cell r="AA141" t="e">
            <v>#REF!</v>
          </cell>
        </row>
        <row r="142">
          <cell r="W142" t="e">
            <v>#REF!</v>
          </cell>
          <cell r="X142" t="e">
            <v>#REF!</v>
          </cell>
          <cell r="Y142" t="e">
            <v>#REF!</v>
          </cell>
        </row>
        <row r="143">
          <cell r="C143">
            <v>17.179166666666667</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t="e">
            <v>#REF!</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cell r="W150">
            <v>1774.0124999999998</v>
          </cell>
        </row>
        <row r="151">
          <cell r="C151" t="e">
            <v>#REF!</v>
          </cell>
          <cell r="I151" t="e">
            <v>#REF!</v>
          </cell>
          <cell r="J151">
            <v>0</v>
          </cell>
          <cell r="M151">
            <v>0</v>
          </cell>
          <cell r="W151">
            <v>0</v>
          </cell>
        </row>
        <row r="152">
          <cell r="C152">
            <v>57</v>
          </cell>
          <cell r="I152" t="e">
            <v>#REF!</v>
          </cell>
          <cell r="J152" t="e">
            <v>#REF!</v>
          </cell>
          <cell r="M152" t="e">
            <v>#REF!</v>
          </cell>
          <cell r="P152" t="e">
            <v>#REF!</v>
          </cell>
          <cell r="W152" t="e">
            <v>#REF!</v>
          </cell>
        </row>
        <row r="153">
          <cell r="C153">
            <v>0</v>
          </cell>
          <cell r="I153" t="e">
            <v>#REF!</v>
          </cell>
          <cell r="J153" t="e">
            <v>#REF!</v>
          </cell>
          <cell r="M153" t="e">
            <v>#REF!</v>
          </cell>
          <cell r="P153" t="e">
            <v>#REF!</v>
          </cell>
          <cell r="S153">
            <v>0</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W155">
            <v>-798.66666666666674</v>
          </cell>
          <cell r="X155" t="str">
            <v>ОЧИК.18.02.</v>
          </cell>
        </row>
        <row r="156">
          <cell r="I156">
            <v>0</v>
          </cell>
          <cell r="W156">
            <v>0</v>
          </cell>
        </row>
        <row r="157">
          <cell r="C157" t="str">
            <v>АПАРАТ ВСЬОГО</v>
          </cell>
          <cell r="D157" t="str">
            <v>АПАРАТ ЕЛЕКТРО</v>
          </cell>
          <cell r="E157" t="str">
            <v>АПАРАТ ТЕПЛО</v>
          </cell>
          <cell r="I157" t="str">
            <v>ККМ</v>
          </cell>
          <cell r="J157" t="str">
            <v>КТМ</v>
          </cell>
          <cell r="K157">
            <v>0</v>
          </cell>
          <cell r="L157">
            <v>0</v>
          </cell>
          <cell r="M157" t="str">
            <v>ТЕЦ-5 ВСЬОГО</v>
          </cell>
          <cell r="N157">
            <v>0</v>
          </cell>
          <cell r="O157">
            <v>0</v>
          </cell>
          <cell r="P157" t="e">
            <v>#REF!</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59">
          <cell r="C159">
            <v>57</v>
          </cell>
          <cell r="O159">
            <v>250</v>
          </cell>
        </row>
        <row r="160">
          <cell r="C160">
            <v>0</v>
          </cell>
          <cell r="J160" t="e">
            <v>#REF!</v>
          </cell>
          <cell r="M160" t="e">
            <v>#REF!</v>
          </cell>
          <cell r="N160" t="e">
            <v>#REF!</v>
          </cell>
          <cell r="P160">
            <v>0</v>
          </cell>
          <cell r="S160">
            <v>0</v>
          </cell>
          <cell r="U160" t="e">
            <v>#REF!</v>
          </cell>
          <cell r="V160">
            <v>0</v>
          </cell>
          <cell r="X160">
            <v>221.49122807017542</v>
          </cell>
          <cell r="AA160">
            <v>0</v>
          </cell>
        </row>
        <row r="161">
          <cell r="J161" t="e">
            <v>#REF!</v>
          </cell>
          <cell r="M161" t="e">
            <v>#REF!</v>
          </cell>
          <cell r="N161" t="e">
            <v>#REF!</v>
          </cell>
          <cell r="P161">
            <v>890</v>
          </cell>
          <cell r="S161">
            <v>1440</v>
          </cell>
          <cell r="U161" t="e">
            <v>#REF!</v>
          </cell>
          <cell r="V161">
            <v>1070</v>
          </cell>
          <cell r="X161">
            <v>252.49999999999997</v>
          </cell>
          <cell r="AA161" t="e">
            <v>#REF!</v>
          </cell>
        </row>
        <row r="162">
          <cell r="I162">
            <v>0</v>
          </cell>
          <cell r="J162">
            <v>82.5</v>
          </cell>
          <cell r="M162">
            <v>82.5</v>
          </cell>
          <cell r="N162">
            <v>82.5</v>
          </cell>
          <cell r="P162">
            <v>700</v>
          </cell>
          <cell r="Q162">
            <v>63.33</v>
          </cell>
          <cell r="R162">
            <v>63.33</v>
          </cell>
          <cell r="S162">
            <v>63.33</v>
          </cell>
          <cell r="T162">
            <v>63.33</v>
          </cell>
          <cell r="U162">
            <v>82.5</v>
          </cell>
          <cell r="V162">
            <v>1070</v>
          </cell>
          <cell r="X162">
            <v>66</v>
          </cell>
          <cell r="Z162" t="str">
            <v>ОЧИК.18.02.</v>
          </cell>
          <cell r="AA162">
            <v>1639</v>
          </cell>
        </row>
        <row r="163">
          <cell r="I163">
            <v>0</v>
          </cell>
          <cell r="J163" t="e">
            <v>#REF!</v>
          </cell>
          <cell r="M163" t="e">
            <v>#REF!</v>
          </cell>
          <cell r="N163" t="e">
            <v>#REF!</v>
          </cell>
          <cell r="P163">
            <v>0</v>
          </cell>
          <cell r="S163">
            <v>0</v>
          </cell>
          <cell r="U163" t="e">
            <v>#REF!</v>
          </cell>
          <cell r="V163">
            <v>0</v>
          </cell>
          <cell r="X163">
            <v>128.964</v>
          </cell>
          <cell r="AA163">
            <v>138</v>
          </cell>
        </row>
        <row r="164">
          <cell r="C164" t="str">
            <v>АПАРАТ ВСЬОГО</v>
          </cell>
          <cell r="D164" t="str">
            <v>АПАРАТ ЕЛЕКТРО</v>
          </cell>
          <cell r="E164" t="str">
            <v>АПАРАТ ТЕПЛО</v>
          </cell>
          <cell r="I164" t="str">
            <v>ККМ</v>
          </cell>
          <cell r="J164" t="e">
            <v>#REF!</v>
          </cell>
          <cell r="M164" t="e">
            <v>#REF!</v>
          </cell>
          <cell r="N164" t="e">
            <v>#REF!</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V164">
            <v>0</v>
          </cell>
          <cell r="W164" t="str">
            <v>АК КЕ ВСЬОГО</v>
          </cell>
          <cell r="X164">
            <v>28564</v>
          </cell>
          <cell r="Y164" t="str">
            <v xml:space="preserve"> Т/Е</v>
          </cell>
          <cell r="Z164" t="str">
            <v>СТАНЦІї ЕЛЕКТРО</v>
          </cell>
          <cell r="AA164" t="str">
            <v>СТАНЦІІ ТЕПЛОВІ</v>
          </cell>
        </row>
        <row r="165">
          <cell r="C165">
            <v>2.78</v>
          </cell>
          <cell r="J165">
            <v>3.5</v>
          </cell>
          <cell r="K165">
            <v>2.78</v>
          </cell>
          <cell r="L165">
            <v>2.78</v>
          </cell>
          <cell r="M165">
            <v>3.5</v>
          </cell>
          <cell r="P165">
            <v>3.5</v>
          </cell>
          <cell r="S165">
            <v>1550.3999999999999</v>
          </cell>
          <cell r="U165" t="e">
            <v>#REF!</v>
          </cell>
          <cell r="W165">
            <v>3.4239999999999999</v>
          </cell>
          <cell r="X165">
            <v>693.59999999999991</v>
          </cell>
          <cell r="Z165">
            <v>2.1804999999999999</v>
          </cell>
          <cell r="AA165">
            <v>2.1804999999999999</v>
          </cell>
        </row>
        <row r="166">
          <cell r="J166" t="e">
            <v>#REF!</v>
          </cell>
          <cell r="M166" t="e">
            <v>#REF!</v>
          </cell>
          <cell r="N166" t="e">
            <v>#REF!</v>
          </cell>
          <cell r="P166">
            <v>119</v>
          </cell>
          <cell r="S166">
            <v>187</v>
          </cell>
          <cell r="U166" t="e">
            <v>#REF!</v>
          </cell>
          <cell r="X166">
            <v>197.2</v>
          </cell>
        </row>
        <row r="167">
          <cell r="J167" t="e">
            <v>#REF!</v>
          </cell>
          <cell r="M167" t="e">
            <v>#REF!</v>
          </cell>
          <cell r="N167" t="e">
            <v>#REF!</v>
          </cell>
          <cell r="P167">
            <v>21.72</v>
          </cell>
          <cell r="S167">
            <v>157</v>
          </cell>
          <cell r="U167" t="e">
            <v>#REF!</v>
          </cell>
          <cell r="V167">
            <v>458.81818181818181</v>
          </cell>
          <cell r="W167">
            <v>57.239999999999995</v>
          </cell>
          <cell r="X167">
            <v>154</v>
          </cell>
          <cell r="Z167">
            <v>221.49122807017542</v>
          </cell>
          <cell r="AA167">
            <v>216.09090909090909</v>
          </cell>
        </row>
        <row r="168">
          <cell r="J168">
            <v>63.33</v>
          </cell>
          <cell r="M168">
            <v>63.33</v>
          </cell>
          <cell r="P168">
            <v>63.33</v>
          </cell>
          <cell r="S168">
            <v>800</v>
          </cell>
          <cell r="U168">
            <v>63.33</v>
          </cell>
          <cell r="V168">
            <v>611.18181818181824</v>
          </cell>
          <cell r="W168">
            <v>65.146999999999991</v>
          </cell>
          <cell r="Z168">
            <v>252.49999999999997</v>
          </cell>
          <cell r="AA168">
            <v>1560.909090909091</v>
          </cell>
        </row>
        <row r="169">
          <cell r="I169">
            <v>0</v>
          </cell>
          <cell r="J169" t="e">
            <v>#REF!</v>
          </cell>
          <cell r="M169" t="e">
            <v>#REF!</v>
          </cell>
          <cell r="P169" t="e">
            <v>#REF!</v>
          </cell>
          <cell r="S169">
            <v>82.5</v>
          </cell>
          <cell r="T169">
            <v>82.5</v>
          </cell>
          <cell r="U169" t="e">
            <v>#REF!</v>
          </cell>
          <cell r="V169">
            <v>1070</v>
          </cell>
          <cell r="W169">
            <v>82.5</v>
          </cell>
          <cell r="Z169">
            <v>66</v>
          </cell>
          <cell r="AA169">
            <v>1777</v>
          </cell>
        </row>
        <row r="170">
          <cell r="I170">
            <v>0</v>
          </cell>
          <cell r="J170" t="e">
            <v>#REF!</v>
          </cell>
          <cell r="M170" t="e">
            <v>#REF!</v>
          </cell>
          <cell r="P170" t="e">
            <v>#REF!</v>
          </cell>
          <cell r="S170">
            <v>580.5454545454545</v>
          </cell>
          <cell r="U170" t="e">
            <v>#REF!</v>
          </cell>
          <cell r="V170">
            <v>0</v>
          </cell>
          <cell r="W170">
            <v>288.75</v>
          </cell>
          <cell r="X170">
            <v>270.36363636363637</v>
          </cell>
          <cell r="Z170">
            <v>143.91299999999998</v>
          </cell>
          <cell r="AA170">
            <v>0</v>
          </cell>
        </row>
        <row r="171">
          <cell r="J171">
            <v>1213</v>
          </cell>
          <cell r="M171">
            <v>9044</v>
          </cell>
          <cell r="P171">
            <v>6272</v>
          </cell>
          <cell r="S171">
            <v>1156.8545454545454</v>
          </cell>
          <cell r="U171" t="e">
            <v>#REF!</v>
          </cell>
          <cell r="V171">
            <v>0</v>
          </cell>
          <cell r="W171">
            <v>16528</v>
          </cell>
          <cell r="X171">
            <v>620.43636363636358</v>
          </cell>
          <cell r="Z171">
            <v>31875</v>
          </cell>
          <cell r="AA171">
            <v>0</v>
          </cell>
        </row>
        <row r="172">
          <cell r="J172" t="e">
            <v>#REF!</v>
          </cell>
          <cell r="M172" t="e">
            <v>#REF!</v>
          </cell>
          <cell r="P172" t="e">
            <v>#REF!</v>
          </cell>
          <cell r="Q172">
            <v>0</v>
          </cell>
          <cell r="R172">
            <v>0</v>
          </cell>
          <cell r="S172">
            <v>1737.3999999999999</v>
          </cell>
          <cell r="T172">
            <v>0</v>
          </cell>
          <cell r="U172" t="e">
            <v>#REF!</v>
          </cell>
          <cell r="V172">
            <v>80</v>
          </cell>
          <cell r="W172">
            <v>16529</v>
          </cell>
          <cell r="X172">
            <v>75.839416058394164</v>
          </cell>
          <cell r="Y172">
            <v>0</v>
          </cell>
          <cell r="Z172">
            <v>0</v>
          </cell>
          <cell r="AA172">
            <v>300</v>
          </cell>
        </row>
        <row r="173">
          <cell r="J173">
            <v>0</v>
          </cell>
          <cell r="M173" t="e">
            <v>#REF!</v>
          </cell>
          <cell r="P173" t="e">
            <v>#REF!</v>
          </cell>
          <cell r="Q173">
            <v>0</v>
          </cell>
          <cell r="R173">
            <v>0</v>
          </cell>
          <cell r="S173">
            <v>0</v>
          </cell>
          <cell r="T173">
            <v>0</v>
          </cell>
          <cell r="U173" t="e">
            <v>#REF!</v>
          </cell>
          <cell r="V173">
            <v>80</v>
          </cell>
          <cell r="W173">
            <v>135.76</v>
          </cell>
          <cell r="X173">
            <v>103.9</v>
          </cell>
          <cell r="Y173">
            <v>0</v>
          </cell>
          <cell r="Z173">
            <v>0</v>
          </cell>
          <cell r="AA173">
            <v>300</v>
          </cell>
        </row>
        <row r="174">
          <cell r="C174">
            <v>75</v>
          </cell>
          <cell r="I174">
            <v>75</v>
          </cell>
          <cell r="J174">
            <v>46.136000000000003</v>
          </cell>
          <cell r="M174">
            <v>55.003999999999998</v>
          </cell>
          <cell r="P174">
            <v>53.512999999999998</v>
          </cell>
          <cell r="R174">
            <v>0</v>
          </cell>
          <cell r="S174">
            <v>0</v>
          </cell>
          <cell r="T174">
            <v>0</v>
          </cell>
          <cell r="U174">
            <v>0</v>
          </cell>
          <cell r="V174">
            <v>0</v>
          </cell>
          <cell r="W174">
            <v>154.65299999999999</v>
          </cell>
          <cell r="X174">
            <v>99.938587512794271</v>
          </cell>
          <cell r="Y174">
            <v>0</v>
          </cell>
          <cell r="Z174">
            <v>0</v>
          </cell>
          <cell r="AA174">
            <v>75</v>
          </cell>
        </row>
        <row r="175">
          <cell r="J175">
            <v>0</v>
          </cell>
          <cell r="K175">
            <v>0</v>
          </cell>
          <cell r="L175">
            <v>0</v>
          </cell>
          <cell r="M175" t="e">
            <v>#REF!</v>
          </cell>
          <cell r="P175" t="e">
            <v>#REF!</v>
          </cell>
          <cell r="Q175">
            <v>0</v>
          </cell>
          <cell r="R175">
            <v>0</v>
          </cell>
          <cell r="S175">
            <v>4262</v>
          </cell>
          <cell r="T175">
            <v>0</v>
          </cell>
          <cell r="U175" t="e">
            <v>#REF!</v>
          </cell>
          <cell r="V175">
            <v>0</v>
          </cell>
          <cell r="W175">
            <v>63.33</v>
          </cell>
          <cell r="X175">
            <v>195.28</v>
          </cell>
          <cell r="Y175">
            <v>0</v>
          </cell>
          <cell r="Z175">
            <v>0</v>
          </cell>
          <cell r="AA175">
            <v>0</v>
          </cell>
        </row>
        <row r="176">
          <cell r="J176" t="e">
            <v>#REF!</v>
          </cell>
          <cell r="M176" t="e">
            <v>#REF!</v>
          </cell>
          <cell r="P176" t="e">
            <v>#REF!</v>
          </cell>
          <cell r="Q176">
            <v>0</v>
          </cell>
          <cell r="R176">
            <v>0</v>
          </cell>
          <cell r="S176">
            <v>4262</v>
          </cell>
          <cell r="T176">
            <v>0</v>
          </cell>
          <cell r="U176" t="e">
            <v>#REF!</v>
          </cell>
          <cell r="V176">
            <v>0</v>
          </cell>
          <cell r="W176">
            <v>216.84</v>
          </cell>
          <cell r="X176">
            <v>14810</v>
          </cell>
          <cell r="Y176">
            <v>0</v>
          </cell>
          <cell r="Z176">
            <v>0</v>
          </cell>
          <cell r="AA176">
            <v>0</v>
          </cell>
        </row>
        <row r="177">
          <cell r="J177">
            <v>8977</v>
          </cell>
          <cell r="M177" t="e">
            <v>#REF!</v>
          </cell>
          <cell r="P177" t="e">
            <v>#REF!</v>
          </cell>
          <cell r="R177">
            <v>0</v>
          </cell>
          <cell r="S177">
            <v>0</v>
          </cell>
          <cell r="T177">
            <v>0</v>
          </cell>
          <cell r="U177" t="e">
            <v>#REF!</v>
          </cell>
          <cell r="V177" t="e">
            <v>#REF!</v>
          </cell>
          <cell r="W177">
            <v>29438</v>
          </cell>
          <cell r="X177">
            <v>0</v>
          </cell>
          <cell r="Y177">
            <v>0</v>
          </cell>
          <cell r="Z177">
            <v>0</v>
          </cell>
          <cell r="AA177">
            <v>0</v>
          </cell>
        </row>
        <row r="178">
          <cell r="J178" t="e">
            <v>#REF!</v>
          </cell>
          <cell r="M178" t="e">
            <v>#REF!</v>
          </cell>
          <cell r="N178" t="e">
            <v>#REF!</v>
          </cell>
          <cell r="O178" t="e">
            <v>#REF!</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row>
        <row r="179">
          <cell r="J179" t="e">
            <v>#REF!</v>
          </cell>
          <cell r="M179" t="e">
            <v>#REF!</v>
          </cell>
          <cell r="N179" t="e">
            <v>#REF!</v>
          </cell>
          <cell r="O179" t="e">
            <v>#REF!</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C181">
            <v>75</v>
          </cell>
          <cell r="I181">
            <v>75</v>
          </cell>
          <cell r="J181">
            <v>100.5</v>
          </cell>
          <cell r="M181">
            <v>100.5</v>
          </cell>
          <cell r="P181">
            <v>100.5</v>
          </cell>
          <cell r="Q181">
            <v>0</v>
          </cell>
          <cell r="R181">
            <v>0</v>
          </cell>
          <cell r="S181">
            <v>1895.42</v>
          </cell>
          <cell r="T181">
            <v>0</v>
          </cell>
          <cell r="U181" t="e">
            <v>#REF!</v>
          </cell>
          <cell r="V181" t="e">
            <v>#REF!</v>
          </cell>
          <cell r="W181" t="e">
            <v>#REF!</v>
          </cell>
          <cell r="X181">
            <v>52</v>
          </cell>
          <cell r="Y181">
            <v>52</v>
          </cell>
          <cell r="Z181">
            <v>89.557440953909662</v>
          </cell>
          <cell r="AA181">
            <v>0</v>
          </cell>
        </row>
        <row r="182">
          <cell r="J182">
            <v>351.75</v>
          </cell>
          <cell r="K182">
            <v>0</v>
          </cell>
          <cell r="L182">
            <v>0</v>
          </cell>
          <cell r="M182" t="e">
            <v>#REF!</v>
          </cell>
          <cell r="P182" t="e">
            <v>#REF!</v>
          </cell>
          <cell r="Q182">
            <v>0</v>
          </cell>
          <cell r="R182">
            <v>0</v>
          </cell>
          <cell r="S182">
            <v>580.5454545454545</v>
          </cell>
          <cell r="T182">
            <v>0</v>
          </cell>
          <cell r="U182" t="e">
            <v>#REF!</v>
          </cell>
          <cell r="V182" t="e">
            <v>#REF!</v>
          </cell>
          <cell r="W182" t="e">
            <v>#REF!</v>
          </cell>
          <cell r="X182">
            <v>43426</v>
          </cell>
          <cell r="Y182">
            <v>9167.3552188552203</v>
          </cell>
          <cell r="Z182">
            <v>34258.64478114478</v>
          </cell>
          <cell r="AA182">
            <v>0</v>
          </cell>
        </row>
        <row r="183">
          <cell r="J183">
            <v>0</v>
          </cell>
          <cell r="M183">
            <v>0</v>
          </cell>
          <cell r="P183">
            <v>0</v>
          </cell>
          <cell r="Q183">
            <v>0</v>
          </cell>
          <cell r="R183">
            <v>0</v>
          </cell>
          <cell r="S183">
            <v>91</v>
          </cell>
          <cell r="T183">
            <v>10</v>
          </cell>
          <cell r="U183" t="e">
            <v>#REF!</v>
          </cell>
          <cell r="V183">
            <v>0</v>
          </cell>
          <cell r="W183">
            <v>0</v>
          </cell>
          <cell r="X183">
            <v>206.66666666666666</v>
          </cell>
          <cell r="Z183">
            <v>14810</v>
          </cell>
          <cell r="AA183">
            <v>0</v>
          </cell>
        </row>
        <row r="184">
          <cell r="W184">
            <v>0</v>
          </cell>
        </row>
        <row r="185">
          <cell r="J185">
            <v>50.9</v>
          </cell>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cell r="X185">
            <v>79.099999999999994</v>
          </cell>
          <cell r="Y185">
            <v>140.69999999999999</v>
          </cell>
          <cell r="Z185">
            <v>356.4</v>
          </cell>
          <cell r="AA185">
            <v>74.900000000000006</v>
          </cell>
        </row>
        <row r="186">
          <cell r="J186">
            <v>10190</v>
          </cell>
          <cell r="M186">
            <v>19746</v>
          </cell>
          <cell r="N186">
            <v>130.30000000000001</v>
          </cell>
          <cell r="O186">
            <v>68</v>
          </cell>
          <cell r="P186">
            <v>16686</v>
          </cell>
          <cell r="Q186">
            <v>233.6</v>
          </cell>
          <cell r="R186">
            <v>67</v>
          </cell>
          <cell r="S186">
            <v>-2490.3333333333335</v>
          </cell>
          <cell r="W186">
            <v>45967</v>
          </cell>
          <cell r="X186">
            <v>17090</v>
          </cell>
          <cell r="Y186">
            <v>28877</v>
          </cell>
          <cell r="Z186">
            <v>46685</v>
          </cell>
          <cell r="AA186">
            <v>9811.1854657688</v>
          </cell>
        </row>
        <row r="187">
          <cell r="J187">
            <v>200.2</v>
          </cell>
          <cell r="M187">
            <v>217.95</v>
          </cell>
          <cell r="N187">
            <v>193</v>
          </cell>
          <cell r="O187">
            <v>164.8</v>
          </cell>
          <cell r="P187">
            <v>213.1</v>
          </cell>
          <cell r="Q187">
            <v>198.5</v>
          </cell>
          <cell r="R187">
            <v>163.30000000000001</v>
          </cell>
          <cell r="S187" t="str">
            <v/>
          </cell>
          <cell r="T187" t="str">
            <v/>
          </cell>
          <cell r="V187" t="str">
            <v>ТЕЦ-5 ВСЬОГО</v>
          </cell>
          <cell r="W187">
            <v>209.13</v>
          </cell>
          <cell r="X187">
            <v>216.06</v>
          </cell>
          <cell r="Y187">
            <v>205.24</v>
          </cell>
          <cell r="Z187">
            <v>130.99</v>
          </cell>
          <cell r="AA187">
            <v>130.99</v>
          </cell>
        </row>
        <row r="188">
          <cell r="N188">
            <v>303.89999999999998</v>
          </cell>
          <cell r="O188">
            <v>112.3</v>
          </cell>
          <cell r="Q188">
            <v>301.2</v>
          </cell>
          <cell r="R188">
            <v>115.6</v>
          </cell>
          <cell r="W188" t="e">
            <v>#REF!</v>
          </cell>
          <cell r="X188" t="e">
            <v>#REF!</v>
          </cell>
          <cell r="Y188" t="e">
            <v>#REF!</v>
          </cell>
          <cell r="Z188">
            <v>52</v>
          </cell>
          <cell r="AA188">
            <v>52</v>
          </cell>
        </row>
        <row r="189">
          <cell r="M189">
            <v>19746</v>
          </cell>
          <cell r="N189">
            <v>110.89999999999998</v>
          </cell>
          <cell r="O189">
            <v>-52.500000000000014</v>
          </cell>
          <cell r="P189">
            <v>16686</v>
          </cell>
          <cell r="Q189">
            <v>102.69999999999999</v>
          </cell>
          <cell r="R189">
            <v>-47.700000000000017</v>
          </cell>
          <cell r="W189" t="e">
            <v>#REF!</v>
          </cell>
          <cell r="X189" t="e">
            <v>#REF!</v>
          </cell>
          <cell r="Y189" t="e">
            <v>#REF!</v>
          </cell>
          <cell r="Z189">
            <v>46737</v>
          </cell>
          <cell r="AA189">
            <v>9863.1854657688</v>
          </cell>
        </row>
        <row r="190">
          <cell r="N190" t="e">
            <v>#REF!</v>
          </cell>
          <cell r="O190" t="e">
            <v>#REF!</v>
          </cell>
          <cell r="P190" t="str">
            <v>ККМ</v>
          </cell>
          <cell r="Q190" t="e">
            <v>#REF!</v>
          </cell>
          <cell r="R190" t="e">
            <v>#REF!</v>
          </cell>
          <cell r="S190" t="str">
            <v>КТМ</v>
          </cell>
          <cell r="V190">
            <v>58.7</v>
          </cell>
          <cell r="X190" t="str">
            <v>ТЕЦ-5 ВСЬОГО</v>
          </cell>
          <cell r="Y190" t="str">
            <v>Е/Е</v>
          </cell>
          <cell r="Z190" t="str">
            <v xml:space="preserve"> Т/Е</v>
          </cell>
          <cell r="AA190">
            <v>55</v>
          </cell>
        </row>
        <row r="191">
          <cell r="N191" t="e">
            <v>#REF!</v>
          </cell>
          <cell r="O191" t="e">
            <v>#REF!</v>
          </cell>
          <cell r="Q191" t="e">
            <v>#REF!</v>
          </cell>
          <cell r="R191" t="e">
            <v>#REF!</v>
          </cell>
          <cell r="S191">
            <v>12.9</v>
          </cell>
          <cell r="V191">
            <v>67.3</v>
          </cell>
          <cell r="AA191">
            <v>63</v>
          </cell>
        </row>
        <row r="192">
          <cell r="N192" t="e">
            <v>#REF!</v>
          </cell>
          <cell r="O192" t="e">
            <v>#REF!</v>
          </cell>
          <cell r="P192">
            <v>0</v>
          </cell>
          <cell r="Q192" t="e">
            <v>#REF!</v>
          </cell>
          <cell r="R192" t="e">
            <v>#REF!</v>
          </cell>
          <cell r="S192">
            <v>0</v>
          </cell>
          <cell r="V192" t="e">
            <v>#REF!</v>
          </cell>
          <cell r="W192" t="e">
            <v>#REF!</v>
          </cell>
          <cell r="AA192">
            <v>0</v>
          </cell>
        </row>
        <row r="193">
          <cell r="P193">
            <v>0</v>
          </cell>
          <cell r="S193">
            <v>6.4</v>
          </cell>
          <cell r="V193">
            <v>192.5</v>
          </cell>
          <cell r="X193">
            <v>65.3</v>
          </cell>
          <cell r="AA193">
            <v>192.5</v>
          </cell>
        </row>
        <row r="194">
          <cell r="S194">
            <v>7.3</v>
          </cell>
          <cell r="V194">
            <v>11300</v>
          </cell>
          <cell r="X194">
            <v>74.7</v>
          </cell>
          <cell r="AA194">
            <v>10588</v>
          </cell>
        </row>
        <row r="195">
          <cell r="P195">
            <v>0</v>
          </cell>
          <cell r="S195">
            <v>0</v>
          </cell>
          <cell r="X195">
            <v>0</v>
          </cell>
        </row>
        <row r="196">
          <cell r="P196">
            <v>0</v>
          </cell>
          <cell r="S196">
            <v>192.5</v>
          </cell>
          <cell r="V196">
            <v>0</v>
          </cell>
          <cell r="X196">
            <v>192.5</v>
          </cell>
          <cell r="AA196">
            <v>0</v>
          </cell>
        </row>
        <row r="197">
          <cell r="S197">
            <v>1232</v>
          </cell>
          <cell r="V197">
            <v>0</v>
          </cell>
          <cell r="X197">
            <v>12570</v>
          </cell>
          <cell r="AA197">
            <v>0</v>
          </cell>
        </row>
        <row r="198">
          <cell r="V198">
            <v>82.5</v>
          </cell>
          <cell r="Y198">
            <v>1507.2</v>
          </cell>
          <cell r="AA198">
            <v>82.5</v>
          </cell>
        </row>
        <row r="199">
          <cell r="V199">
            <v>0</v>
          </cell>
          <cell r="X199">
            <v>0</v>
          </cell>
          <cell r="AA199">
            <v>0</v>
          </cell>
        </row>
        <row r="200">
          <cell r="S200">
            <v>0</v>
          </cell>
          <cell r="V200">
            <v>0</v>
          </cell>
          <cell r="X200">
            <v>0</v>
          </cell>
          <cell r="AA200">
            <v>0</v>
          </cell>
        </row>
        <row r="201">
          <cell r="X201">
            <v>82.5</v>
          </cell>
        </row>
        <row r="202">
          <cell r="V202">
            <v>0</v>
          </cell>
          <cell r="X202">
            <v>0</v>
          </cell>
          <cell r="AA202">
            <v>0</v>
          </cell>
        </row>
        <row r="203">
          <cell r="S203">
            <v>0</v>
          </cell>
          <cell r="V203">
            <v>0</v>
          </cell>
          <cell r="X203">
            <v>0</v>
          </cell>
          <cell r="AA203">
            <v>0</v>
          </cell>
        </row>
        <row r="204">
          <cell r="P204">
            <v>75</v>
          </cell>
        </row>
        <row r="205">
          <cell r="S205">
            <v>385</v>
          </cell>
          <cell r="V205">
            <v>385</v>
          </cell>
          <cell r="X205">
            <v>0</v>
          </cell>
          <cell r="AA205">
            <v>385</v>
          </cell>
        </row>
        <row r="206">
          <cell r="S206">
            <v>0</v>
          </cell>
          <cell r="V206">
            <v>0</v>
          </cell>
          <cell r="X206">
            <v>0</v>
          </cell>
          <cell r="AA206">
            <v>0</v>
          </cell>
        </row>
        <row r="207">
          <cell r="P207">
            <v>75</v>
          </cell>
        </row>
        <row r="208">
          <cell r="S208">
            <v>385</v>
          </cell>
          <cell r="V208">
            <v>67.3</v>
          </cell>
          <cell r="W208">
            <v>54.6</v>
          </cell>
          <cell r="X208">
            <v>385</v>
          </cell>
          <cell r="AA208">
            <v>63</v>
          </cell>
        </row>
        <row r="209">
          <cell r="S209">
            <v>0</v>
          </cell>
          <cell r="V209">
            <v>11300</v>
          </cell>
          <cell r="W209">
            <v>9168</v>
          </cell>
          <cell r="X209">
            <v>0</v>
          </cell>
          <cell r="Y209">
            <v>2132</v>
          </cell>
          <cell r="AA209">
            <v>10588</v>
          </cell>
        </row>
        <row r="210">
          <cell r="S210">
            <v>168.6</v>
          </cell>
          <cell r="V210">
            <v>167.9</v>
          </cell>
          <cell r="W210">
            <v>167.91</v>
          </cell>
          <cell r="X210">
            <v>167.87</v>
          </cell>
          <cell r="AA210">
            <v>168.06</v>
          </cell>
        </row>
        <row r="211">
          <cell r="M211" t="str">
            <v>ЗАТВЕРДЖУЮ</v>
          </cell>
          <cell r="S211">
            <v>7.3</v>
          </cell>
          <cell r="X211">
            <v>74.7</v>
          </cell>
          <cell r="Y211">
            <v>55.2</v>
          </cell>
          <cell r="Z211">
            <v>19.5</v>
          </cell>
        </row>
        <row r="212">
          <cell r="M212" t="str">
            <v>ГЕНЕРАЛЬНИЙ ДИРЕКТОР -</v>
          </cell>
          <cell r="S212">
            <v>1232</v>
          </cell>
          <cell r="V212">
            <v>11300</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ЗАТВЕРДЖУЮ</v>
          </cell>
          <cell r="N214" t="str">
            <v xml:space="preserve">      І.В.ПЛАЧКОВ</v>
          </cell>
        </row>
        <row r="215">
          <cell r="M215" t="str">
            <v>ГОЛОВА ПРАЛІННЯ АК КЕ</v>
          </cell>
          <cell r="X215">
            <v>12570</v>
          </cell>
        </row>
        <row r="216">
          <cell r="M216" t="str">
            <v xml:space="preserve">                        І.В.ПЛАЧКОВ</v>
          </cell>
          <cell r="N216"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V233" t="e">
            <v>#REF!</v>
          </cell>
          <cell r="W233" t="e">
            <v>#REF!</v>
          </cell>
          <cell r="X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t="e">
            <v>#REF!</v>
          </cell>
          <cell r="T235">
            <v>0</v>
          </cell>
          <cell r="U235" t="e">
            <v>#REF!</v>
          </cell>
          <cell r="V235" t="e">
            <v>#REF!</v>
          </cell>
          <cell r="W235" t="e">
            <v>#REF!</v>
          </cell>
          <cell r="X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cell r="W236" t="e">
            <v>#REF!</v>
          </cell>
          <cell r="X236" t="e">
            <v>#REF!</v>
          </cell>
        </row>
        <row r="237">
          <cell r="C237" t="e">
            <v>#REF!</v>
          </cell>
          <cell r="I237" t="e">
            <v>#REF!</v>
          </cell>
          <cell r="J237" t="e">
            <v>#REF!</v>
          </cell>
          <cell r="M237" t="e">
            <v>#REF!</v>
          </cell>
          <cell r="P237" t="e">
            <v>#REF!</v>
          </cell>
          <cell r="S237">
            <v>0</v>
          </cell>
          <cell r="U237" t="e">
            <v>#REF!</v>
          </cell>
          <cell r="V237" t="e">
            <v>#REF!</v>
          </cell>
          <cell r="W237" t="e">
            <v>#REF!</v>
          </cell>
          <cell r="X237" t="e">
            <v>#REF!</v>
          </cell>
          <cell r="Z237">
            <v>6</v>
          </cell>
          <cell r="AA237">
            <v>6</v>
          </cell>
        </row>
        <row r="238">
          <cell r="C238" t="e">
            <v>#REF!</v>
          </cell>
          <cell r="I238" t="e">
            <v>#REF!</v>
          </cell>
          <cell r="J238" t="e">
            <v>#REF!</v>
          </cell>
          <cell r="M238" t="e">
            <v>#REF!</v>
          </cell>
          <cell r="P238" t="e">
            <v>#REF!</v>
          </cell>
          <cell r="S238" t="e">
            <v>#REF!</v>
          </cell>
          <cell r="U238" t="e">
            <v>#REF!</v>
          </cell>
          <cell r="V238" t="e">
            <v>#REF!</v>
          </cell>
          <cell r="W238">
            <v>0</v>
          </cell>
          <cell r="X238">
            <v>6</v>
          </cell>
          <cell r="Y238">
            <v>6</v>
          </cell>
          <cell r="Z238">
            <v>12</v>
          </cell>
        </row>
        <row r="239">
          <cell r="C239">
            <v>0</v>
          </cell>
          <cell r="U239">
            <v>0</v>
          </cell>
          <cell r="V239">
            <v>0</v>
          </cell>
          <cell r="W239">
            <v>2421.3333333333335</v>
          </cell>
          <cell r="X239">
            <v>2421.3333333333335</v>
          </cell>
        </row>
        <row r="240">
          <cell r="C240">
            <v>2421.3333333333335</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2421.3333333333335</v>
          </cell>
          <cell r="V240">
            <v>2421.3333333333335</v>
          </cell>
          <cell r="W240" t="e">
            <v>#REF!</v>
          </cell>
          <cell r="X240" t="e">
            <v>#REF!</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cell r="X241">
            <v>0</v>
          </cell>
        </row>
        <row r="242">
          <cell r="C242" t="e">
            <v>#REF!</v>
          </cell>
          <cell r="I242" t="e">
            <v>#REF!</v>
          </cell>
          <cell r="J242" t="e">
            <v>#REF!</v>
          </cell>
          <cell r="M242" t="e">
            <v>#REF!</v>
          </cell>
          <cell r="P242" t="e">
            <v>#REF!</v>
          </cell>
          <cell r="S242">
            <v>163</v>
          </cell>
          <cell r="V242">
            <v>0</v>
          </cell>
          <cell r="W242" t="e">
            <v>#REF!</v>
          </cell>
          <cell r="X242" t="e">
            <v>#REF!</v>
          </cell>
        </row>
        <row r="243">
          <cell r="C243" t="e">
            <v>#REF!</v>
          </cell>
          <cell r="I243" t="e">
            <v>#REF!</v>
          </cell>
          <cell r="J243" t="e">
            <v>#REF!</v>
          </cell>
          <cell r="M243" t="e">
            <v>#REF!</v>
          </cell>
          <cell r="P243" t="e">
            <v>#REF!</v>
          </cell>
          <cell r="S243" t="e">
            <v>#REF!</v>
          </cell>
          <cell r="U243" t="e">
            <v>#REF!</v>
          </cell>
          <cell r="V243" t="e">
            <v>#REF!</v>
          </cell>
          <cell r="W243">
            <v>2595.8000000000002</v>
          </cell>
          <cell r="X243">
            <v>2401.8000000000002</v>
          </cell>
        </row>
        <row r="244">
          <cell r="C244">
            <v>40</v>
          </cell>
          <cell r="I244">
            <v>0</v>
          </cell>
          <cell r="J244">
            <v>0</v>
          </cell>
          <cell r="M244">
            <v>0</v>
          </cell>
          <cell r="P244">
            <v>0</v>
          </cell>
          <cell r="S244">
            <v>0</v>
          </cell>
          <cell r="U244">
            <v>0</v>
          </cell>
          <cell r="V244">
            <v>40</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X247">
            <v>0</v>
          </cell>
        </row>
        <row r="248">
          <cell r="C248">
            <v>29</v>
          </cell>
          <cell r="I248">
            <v>0</v>
          </cell>
          <cell r="J248">
            <v>252</v>
          </cell>
          <cell r="M248">
            <v>2</v>
          </cell>
          <cell r="P248">
            <v>4</v>
          </cell>
          <cell r="S248">
            <v>0</v>
          </cell>
          <cell r="V248">
            <v>0</v>
          </cell>
          <cell r="W248">
            <v>298.7</v>
          </cell>
          <cell r="X248">
            <v>298.7</v>
          </cell>
        </row>
        <row r="249">
          <cell r="C249" t="e">
            <v>#REF!</v>
          </cell>
          <cell r="I249" t="e">
            <v>#REF!</v>
          </cell>
          <cell r="J249" t="e">
            <v>#REF!</v>
          </cell>
          <cell r="M249" t="e">
            <v>#REF!</v>
          </cell>
          <cell r="P249" t="e">
            <v>#REF!</v>
          </cell>
          <cell r="S249">
            <v>0</v>
          </cell>
          <cell r="U249" t="e">
            <v>#REF!</v>
          </cell>
          <cell r="V249" t="e">
            <v>#REF!</v>
          </cell>
          <cell r="W249">
            <v>200</v>
          </cell>
          <cell r="X249">
            <v>200</v>
          </cell>
        </row>
        <row r="250">
          <cell r="C250" t="e">
            <v>#REF!</v>
          </cell>
          <cell r="I250" t="e">
            <v>#REF!</v>
          </cell>
          <cell r="J250" t="e">
            <v>#REF!</v>
          </cell>
          <cell r="M250" t="e">
            <v>#REF!</v>
          </cell>
          <cell r="P250" t="e">
            <v>#REF!</v>
          </cell>
          <cell r="S250">
            <v>0</v>
          </cell>
          <cell r="U250" t="e">
            <v>#REF!</v>
          </cell>
          <cell r="V250" t="e">
            <v>#REF!</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cell r="W252" t="e">
            <v>#REF!</v>
          </cell>
          <cell r="X252" t="e">
            <v>#REF!</v>
          </cell>
          <cell r="AA252" t="str">
            <v>ТЕЦ-6 ВСЬОГО</v>
          </cell>
        </row>
        <row r="253">
          <cell r="C253" t="e">
            <v>#REF!</v>
          </cell>
          <cell r="I253" t="e">
            <v>#REF!</v>
          </cell>
          <cell r="J253" t="e">
            <v>#REF!</v>
          </cell>
          <cell r="M253" t="e">
            <v>#REF!</v>
          </cell>
          <cell r="P253" t="e">
            <v>#REF!</v>
          </cell>
          <cell r="S253">
            <v>0</v>
          </cell>
          <cell r="U253" t="e">
            <v>#REF!</v>
          </cell>
          <cell r="V253" t="e">
            <v>#REF!</v>
          </cell>
          <cell r="W253">
            <v>580</v>
          </cell>
          <cell r="X253">
            <v>580</v>
          </cell>
          <cell r="AA253">
            <v>2709.5690909090908</v>
          </cell>
        </row>
        <row r="254">
          <cell r="I254">
            <v>20</v>
          </cell>
          <cell r="J254">
            <v>152</v>
          </cell>
          <cell r="M254">
            <v>20</v>
          </cell>
          <cell r="P254">
            <v>10</v>
          </cell>
          <cell r="U254">
            <v>202</v>
          </cell>
          <cell r="V254">
            <v>202</v>
          </cell>
          <cell r="W254">
            <v>0</v>
          </cell>
          <cell r="X254">
            <v>0</v>
          </cell>
        </row>
        <row r="255">
          <cell r="C255" t="e">
            <v>#REF!</v>
          </cell>
          <cell r="I255" t="e">
            <v>#REF!</v>
          </cell>
          <cell r="J255" t="e">
            <v>#REF!</v>
          </cell>
          <cell r="M255" t="e">
            <v>#REF!</v>
          </cell>
          <cell r="P255" t="e">
            <v>#REF!</v>
          </cell>
          <cell r="Q255" t="str">
            <v>ТМ</v>
          </cell>
          <cell r="R255">
            <v>0</v>
          </cell>
          <cell r="S255">
            <v>0</v>
          </cell>
          <cell r="T255" t="str">
            <v>ВИРОБН</v>
          </cell>
          <cell r="U255" t="e">
            <v>#REF!</v>
          </cell>
          <cell r="V255" t="e">
            <v>#REF!</v>
          </cell>
          <cell r="W255" t="e">
            <v>#REF!</v>
          </cell>
          <cell r="X255" t="e">
            <v>#REF!</v>
          </cell>
          <cell r="Y255" t="str">
            <v>Е/Е</v>
          </cell>
          <cell r="Z255" t="str">
            <v xml:space="preserve"> Т/Е</v>
          </cell>
          <cell r="AA255">
            <v>2709.5690909090908</v>
          </cell>
        </row>
        <row r="256">
          <cell r="C256" t="e">
            <v>#REF!</v>
          </cell>
          <cell r="I256">
            <v>0</v>
          </cell>
          <cell r="J256">
            <v>0</v>
          </cell>
          <cell r="M256" t="e">
            <v>#REF!</v>
          </cell>
          <cell r="P256" t="e">
            <v>#REF!</v>
          </cell>
          <cell r="S256">
            <v>0</v>
          </cell>
          <cell r="T256">
            <v>1750.1999999999996</v>
          </cell>
          <cell r="U256" t="e">
            <v>#REF!</v>
          </cell>
          <cell r="V256" t="e">
            <v>#REF!</v>
          </cell>
          <cell r="W256" t="e">
            <v>#REF!</v>
          </cell>
          <cell r="X256" t="e">
            <v>#REF!</v>
          </cell>
          <cell r="AA256">
            <v>624</v>
          </cell>
        </row>
        <row r="257">
          <cell r="C257" t="e">
            <v>#REF!</v>
          </cell>
          <cell r="I257" t="e">
            <v>#REF!</v>
          </cell>
          <cell r="J257" t="e">
            <v>#REF!</v>
          </cell>
          <cell r="M257" t="e">
            <v>#REF!</v>
          </cell>
          <cell r="N257" t="e">
            <v>#REF!</v>
          </cell>
          <cell r="O257">
            <v>0</v>
          </cell>
          <cell r="P257" t="e">
            <v>#REF!</v>
          </cell>
          <cell r="Q257" t="e">
            <v>#REF!</v>
          </cell>
          <cell r="R257">
            <v>0</v>
          </cell>
          <cell r="S257">
            <v>0</v>
          </cell>
          <cell r="T257">
            <v>0</v>
          </cell>
          <cell r="U257" t="e">
            <v>#REF!</v>
          </cell>
          <cell r="V257" t="e">
            <v>#REF!</v>
          </cell>
          <cell r="W257">
            <v>0</v>
          </cell>
          <cell r="X257">
            <v>0</v>
          </cell>
          <cell r="Y257">
            <v>0</v>
          </cell>
          <cell r="Z257">
            <v>0</v>
          </cell>
          <cell r="AA257">
            <v>18</v>
          </cell>
        </row>
        <row r="258">
          <cell r="C258" t="e">
            <v>#REF!</v>
          </cell>
          <cell r="I258">
            <v>0</v>
          </cell>
          <cell r="J258">
            <v>0</v>
          </cell>
          <cell r="M258" t="e">
            <v>#REF!</v>
          </cell>
          <cell r="N258" t="e">
            <v>#REF!</v>
          </cell>
          <cell r="O258" t="e">
            <v>#REF!</v>
          </cell>
          <cell r="P258" t="e">
            <v>#REF!</v>
          </cell>
          <cell r="Q258" t="e">
            <v>#REF!</v>
          </cell>
          <cell r="R258" t="e">
            <v>#REF!</v>
          </cell>
          <cell r="S258">
            <v>0</v>
          </cell>
          <cell r="T258">
            <v>2221.1818606060606</v>
          </cell>
          <cell r="U258">
            <v>2612.759351515152</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t="e">
            <v>#REF!</v>
          </cell>
          <cell r="T259">
            <v>1413.9233333333332</v>
          </cell>
          <cell r="U259" t="e">
            <v>#REF!</v>
          </cell>
          <cell r="V259" t="e">
            <v>#REF!</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v>0</v>
          </cell>
          <cell r="U260" t="e">
            <v>#REF!</v>
          </cell>
          <cell r="V260" t="e">
            <v>#REF!</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cell r="V263">
            <v>0</v>
          </cell>
          <cell r="W263" t="e">
            <v>#REF!</v>
          </cell>
          <cell r="X263" t="e">
            <v>#REF!</v>
          </cell>
          <cell r="Y263">
            <v>0</v>
          </cell>
          <cell r="Z263">
            <v>0</v>
          </cell>
          <cell r="AA263">
            <v>0</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cell r="W264">
            <v>0</v>
          </cell>
          <cell r="X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66">
          <cell r="I266">
            <v>0</v>
          </cell>
          <cell r="P266">
            <v>0</v>
          </cell>
          <cell r="S266">
            <v>0</v>
          </cell>
          <cell r="V266">
            <v>0</v>
          </cell>
          <cell r="AA266">
            <v>0</v>
          </cell>
        </row>
        <row r="267">
          <cell r="J267">
            <v>413</v>
          </cell>
        </row>
        <row r="268">
          <cell r="P268">
            <v>3090</v>
          </cell>
          <cell r="S268">
            <v>0</v>
          </cell>
          <cell r="V268">
            <v>0</v>
          </cell>
          <cell r="AA268">
            <v>18</v>
          </cell>
        </row>
        <row r="269">
          <cell r="P269">
            <v>0</v>
          </cell>
          <cell r="Q269">
            <v>0</v>
          </cell>
          <cell r="R269">
            <v>0</v>
          </cell>
          <cell r="S269">
            <v>0</v>
          </cell>
          <cell r="T269">
            <v>0</v>
          </cell>
          <cell r="U269">
            <v>0</v>
          </cell>
          <cell r="V269">
            <v>2576.1318181818187</v>
          </cell>
          <cell r="W269">
            <v>0</v>
          </cell>
          <cell r="X269">
            <v>0</v>
          </cell>
          <cell r="Y269">
            <v>0</v>
          </cell>
          <cell r="Z269">
            <v>0</v>
          </cell>
          <cell r="AA269">
            <v>2727.5690909090908</v>
          </cell>
        </row>
        <row r="270">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row>
        <row r="271">
          <cell r="P271">
            <v>0</v>
          </cell>
          <cell r="S271">
            <v>0</v>
          </cell>
          <cell r="T271">
            <v>707.75479999999993</v>
          </cell>
          <cell r="U271">
            <v>735.76520000000005</v>
          </cell>
          <cell r="V271">
            <v>721.95</v>
          </cell>
          <cell r="W271">
            <v>213</v>
          </cell>
          <cell r="X271">
            <v>0</v>
          </cell>
          <cell r="AA271">
            <v>597.66</v>
          </cell>
        </row>
        <row r="272">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V274">
            <v>132</v>
          </cell>
          <cell r="X274">
            <v>640.75</v>
          </cell>
          <cell r="Y274">
            <v>274</v>
          </cell>
          <cell r="Z274">
            <v>96.386363636363626</v>
          </cell>
          <cell r="AA274">
            <v>100</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V277">
            <v>66</v>
          </cell>
          <cell r="X277">
            <v>115</v>
          </cell>
          <cell r="AA277">
            <v>50</v>
          </cell>
        </row>
        <row r="278">
          <cell r="N278" t="str">
            <v>Собівартість</v>
          </cell>
          <cell r="P278">
            <v>-8</v>
          </cell>
          <cell r="Q278">
            <v>0</v>
          </cell>
          <cell r="R278">
            <v>0</v>
          </cell>
          <cell r="S278">
            <v>84</v>
          </cell>
          <cell r="T278">
            <v>0</v>
          </cell>
          <cell r="U278">
            <v>0</v>
          </cell>
          <cell r="V278">
            <v>0</v>
          </cell>
          <cell r="W278">
            <v>0</v>
          </cell>
          <cell r="X278">
            <v>57</v>
          </cell>
          <cell r="Y278">
            <v>0</v>
          </cell>
          <cell r="Z278">
            <v>0</v>
          </cell>
          <cell r="AA278">
            <v>-300</v>
          </cell>
        </row>
        <row r="279">
          <cell r="P279">
            <v>-2.1590909090909096</v>
          </cell>
          <cell r="S279">
            <v>430</v>
          </cell>
          <cell r="V279">
            <v>0</v>
          </cell>
          <cell r="X279">
            <v>100</v>
          </cell>
          <cell r="AA279">
            <v>-300</v>
          </cell>
        </row>
        <row r="280">
          <cell r="P280">
            <v>145</v>
          </cell>
          <cell r="S280">
            <v>145</v>
          </cell>
          <cell r="V280">
            <v>0</v>
          </cell>
          <cell r="X280">
            <v>66</v>
          </cell>
          <cell r="AA280">
            <v>0</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P282">
            <v>0</v>
          </cell>
          <cell r="S282">
            <v>0</v>
          </cell>
          <cell r="X282">
            <v>0</v>
          </cell>
        </row>
        <row r="283">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row>
        <row r="285">
          <cell r="N285" t="str">
            <v>ФМЗ ( з відрахуван)</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7">
          <cell r="P287">
            <v>655</v>
          </cell>
          <cell r="Q287">
            <v>0</v>
          </cell>
          <cell r="R287">
            <v>0</v>
          </cell>
          <cell r="S287">
            <v>655</v>
          </cell>
          <cell r="T287">
            <v>0</v>
          </cell>
          <cell r="U287">
            <v>0</v>
          </cell>
          <cell r="V287">
            <v>545.18181818181824</v>
          </cell>
          <cell r="W287">
            <v>0</v>
          </cell>
          <cell r="X287">
            <v>0</v>
          </cell>
          <cell r="Y287">
            <v>0</v>
          </cell>
          <cell r="Z287">
            <v>0</v>
          </cell>
          <cell r="AA287">
            <v>1510.909090909091</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V289">
            <v>0</v>
          </cell>
          <cell r="X289">
            <v>-15</v>
          </cell>
          <cell r="AA289">
            <v>0</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V291">
            <v>11</v>
          </cell>
          <cell r="X291">
            <v>0</v>
          </cell>
          <cell r="AA291">
            <v>201</v>
          </cell>
        </row>
        <row r="292">
          <cell r="P292">
            <v>0</v>
          </cell>
          <cell r="S292">
            <v>0</v>
          </cell>
          <cell r="V292">
            <v>85</v>
          </cell>
          <cell r="X292">
            <v>0</v>
          </cell>
          <cell r="AA292">
            <v>84</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V295">
            <v>-129</v>
          </cell>
          <cell r="X295">
            <v>85</v>
          </cell>
          <cell r="AA295">
            <v>0</v>
          </cell>
        </row>
        <row r="296">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1">
          <cell r="P301">
            <v>0</v>
          </cell>
          <cell r="Q301">
            <v>0</v>
          </cell>
          <cell r="R301">
            <v>0</v>
          </cell>
          <cell r="S301">
            <v>0</v>
          </cell>
          <cell r="T301">
            <v>0</v>
          </cell>
          <cell r="U301">
            <v>0</v>
          </cell>
          <cell r="V301">
            <v>0</v>
          </cell>
          <cell r="W301">
            <v>0</v>
          </cell>
          <cell r="X301">
            <v>0</v>
          </cell>
          <cell r="Y301">
            <v>0</v>
          </cell>
          <cell r="Z301">
            <v>0</v>
          </cell>
          <cell r="AA301">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6">
          <cell r="P306">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cell r="S309">
            <v>0</v>
          </cell>
        </row>
        <row r="310">
          <cell r="S310">
            <v>0</v>
          </cell>
        </row>
        <row r="312">
          <cell r="S312">
            <v>0</v>
          </cell>
        </row>
        <row r="314">
          <cell r="S314">
            <v>0</v>
          </cell>
        </row>
        <row r="315">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5">
          <cell r="P325">
            <v>329</v>
          </cell>
          <cell r="S325">
            <v>570</v>
          </cell>
          <cell r="V325">
            <v>197</v>
          </cell>
          <cell r="AA325">
            <v>163</v>
          </cell>
        </row>
        <row r="328">
          <cell r="P328">
            <v>348</v>
          </cell>
          <cell r="S328">
            <v>517</v>
          </cell>
          <cell r="X328">
            <v>175</v>
          </cell>
        </row>
        <row r="348">
          <cell r="P348">
            <v>225</v>
          </cell>
          <cell r="S348">
            <v>296</v>
          </cell>
          <cell r="V348">
            <v>56</v>
          </cell>
          <cell r="AA348">
            <v>-78.090909090909093</v>
          </cell>
        </row>
        <row r="350">
          <cell r="P350">
            <v>0</v>
          </cell>
          <cell r="S350">
            <v>0</v>
          </cell>
          <cell r="V350">
            <v>0</v>
          </cell>
          <cell r="AA350">
            <v>0</v>
          </cell>
        </row>
        <row r="351">
          <cell r="P351">
            <v>225</v>
          </cell>
          <cell r="S351">
            <v>296</v>
          </cell>
          <cell r="X351">
            <v>56</v>
          </cell>
        </row>
        <row r="353">
          <cell r="P353">
            <v>0</v>
          </cell>
          <cell r="S353">
            <v>0</v>
          </cell>
          <cell r="X353">
            <v>0</v>
          </cell>
        </row>
        <row r="358">
          <cell r="P358">
            <v>0</v>
          </cell>
          <cell r="S358">
            <v>0</v>
          </cell>
          <cell r="T358">
            <v>162.88</v>
          </cell>
          <cell r="U358">
            <v>855.12</v>
          </cell>
          <cell r="V358">
            <v>471</v>
          </cell>
          <cell r="W358">
            <v>447</v>
          </cell>
          <cell r="X358">
            <v>104</v>
          </cell>
          <cell r="AA358">
            <v>273</v>
          </cell>
        </row>
        <row r="361">
          <cell r="P361">
            <v>0</v>
          </cell>
          <cell r="S361">
            <v>1018</v>
          </cell>
          <cell r="T361">
            <v>162.88</v>
          </cell>
          <cell r="U361">
            <v>855.12</v>
          </cell>
          <cell r="X361">
            <v>466</v>
          </cell>
          <cell r="Y361">
            <v>407</v>
          </cell>
          <cell r="Z361">
            <v>144</v>
          </cell>
        </row>
        <row r="381">
          <cell r="P381" t="str">
            <v>лютий</v>
          </cell>
          <cell r="V381" t="str">
            <v>лютий</v>
          </cell>
          <cell r="AA381" t="str">
            <v>лютий</v>
          </cell>
        </row>
        <row r="382">
          <cell r="P382" t="str">
            <v>ККМ</v>
          </cell>
          <cell r="V382" t="str">
            <v>ТЕЦ5</v>
          </cell>
          <cell r="AA382" t="str">
            <v>ТЕЦ6</v>
          </cell>
        </row>
        <row r="383">
          <cell r="P383" t="str">
            <v>ПЛАН</v>
          </cell>
          <cell r="V383" t="str">
            <v>ПЛАН</v>
          </cell>
          <cell r="AA383" t="str">
            <v>ПЛАН</v>
          </cell>
        </row>
        <row r="384">
          <cell r="P384" t="str">
            <v>лютий</v>
          </cell>
          <cell r="S384">
            <v>14.333333333333332</v>
          </cell>
          <cell r="V384">
            <v>182</v>
          </cell>
          <cell r="W384">
            <v>148</v>
          </cell>
          <cell r="X384" t="str">
            <v>лютий</v>
          </cell>
          <cell r="AA384">
            <v>323.66666666666674</v>
          </cell>
        </row>
        <row r="385">
          <cell r="P385" t="str">
            <v>ККМ</v>
          </cell>
          <cell r="V385">
            <v>0</v>
          </cell>
          <cell r="W385">
            <v>0</v>
          </cell>
          <cell r="X385" t="str">
            <v>ТЕЦ5</v>
          </cell>
          <cell r="AA385">
            <v>3.6666666666666665</v>
          </cell>
        </row>
        <row r="386">
          <cell r="P386" t="str">
            <v>ПЛАН</v>
          </cell>
          <cell r="V386">
            <v>146.66666666666666</v>
          </cell>
          <cell r="W386">
            <v>119</v>
          </cell>
          <cell r="X386" t="str">
            <v>ПЛАН</v>
          </cell>
          <cell r="AA386">
            <v>280.66666666666669</v>
          </cell>
        </row>
        <row r="387">
          <cell r="P387">
            <v>14.333333333333332</v>
          </cell>
          <cell r="S387">
            <v>14.333333333333332</v>
          </cell>
          <cell r="V387">
            <v>0</v>
          </cell>
          <cell r="W387">
            <v>0</v>
          </cell>
          <cell r="X387">
            <v>182</v>
          </cell>
          <cell r="Y387">
            <v>134</v>
          </cell>
          <cell r="Z387">
            <v>134</v>
          </cell>
          <cell r="AA387">
            <v>25</v>
          </cell>
        </row>
        <row r="388">
          <cell r="P388">
            <v>0</v>
          </cell>
          <cell r="V388">
            <v>25.333333333333332</v>
          </cell>
          <cell r="W388">
            <v>21</v>
          </cell>
          <cell r="X388">
            <v>0</v>
          </cell>
          <cell r="Y388">
            <v>0</v>
          </cell>
          <cell r="AA388">
            <v>0.66666666666666663</v>
          </cell>
        </row>
        <row r="389">
          <cell r="P389">
            <v>0.66666666666666663</v>
          </cell>
          <cell r="V389">
            <v>0</v>
          </cell>
          <cell r="W389">
            <v>0</v>
          </cell>
          <cell r="X389">
            <v>146.66666666666666</v>
          </cell>
          <cell r="Y389">
            <v>108</v>
          </cell>
          <cell r="AA389">
            <v>0</v>
          </cell>
        </row>
        <row r="390">
          <cell r="P390">
            <v>2</v>
          </cell>
          <cell r="V390">
            <v>0</v>
          </cell>
          <cell r="W390">
            <v>0</v>
          </cell>
          <cell r="X390">
            <v>0</v>
          </cell>
          <cell r="Y390">
            <v>0</v>
          </cell>
          <cell r="AA390">
            <v>0</v>
          </cell>
        </row>
        <row r="391">
          <cell r="P391">
            <v>0</v>
          </cell>
          <cell r="V391">
            <v>0</v>
          </cell>
          <cell r="W391">
            <v>0</v>
          </cell>
          <cell r="X391">
            <v>25.333333333333332</v>
          </cell>
          <cell r="Y391">
            <v>19</v>
          </cell>
          <cell r="AA391">
            <v>0</v>
          </cell>
        </row>
        <row r="392">
          <cell r="P392">
            <v>0</v>
          </cell>
          <cell r="V392">
            <v>0</v>
          </cell>
          <cell r="W392">
            <v>0</v>
          </cell>
          <cell r="X392">
            <v>0</v>
          </cell>
          <cell r="Y392">
            <v>0</v>
          </cell>
          <cell r="AA392">
            <v>0</v>
          </cell>
        </row>
        <row r="393">
          <cell r="P393">
            <v>0</v>
          </cell>
          <cell r="V393">
            <v>0</v>
          </cell>
          <cell r="W393">
            <v>0</v>
          </cell>
          <cell r="X393">
            <v>0</v>
          </cell>
          <cell r="Y393">
            <v>0</v>
          </cell>
          <cell r="AA393">
            <v>0</v>
          </cell>
        </row>
        <row r="394">
          <cell r="P394">
            <v>5.333333333333333</v>
          </cell>
          <cell r="V394">
            <v>10</v>
          </cell>
          <cell r="W394">
            <v>8</v>
          </cell>
          <cell r="X394">
            <v>0</v>
          </cell>
          <cell r="Y394">
            <v>0</v>
          </cell>
          <cell r="AA394">
            <v>13.666666666666666</v>
          </cell>
        </row>
        <row r="395">
          <cell r="P395">
            <v>0</v>
          </cell>
          <cell r="V395">
            <v>0</v>
          </cell>
          <cell r="W395">
            <v>0</v>
          </cell>
          <cell r="X395">
            <v>0</v>
          </cell>
          <cell r="Y395">
            <v>0</v>
          </cell>
          <cell r="AA395">
            <v>0</v>
          </cell>
        </row>
        <row r="396">
          <cell r="P396">
            <v>4.333333333333333</v>
          </cell>
          <cell r="V396">
            <v>522.33333333333337</v>
          </cell>
          <cell r="W396">
            <v>424</v>
          </cell>
          <cell r="X396">
            <v>0</v>
          </cell>
          <cell r="Y396">
            <v>0</v>
          </cell>
          <cell r="AA396">
            <v>43</v>
          </cell>
        </row>
        <row r="397">
          <cell r="P397">
            <v>2</v>
          </cell>
          <cell r="V397">
            <v>0</v>
          </cell>
          <cell r="W397">
            <v>0</v>
          </cell>
          <cell r="X397">
            <v>10</v>
          </cell>
          <cell r="Y397">
            <v>7</v>
          </cell>
          <cell r="AA397">
            <v>0</v>
          </cell>
        </row>
        <row r="398">
          <cell r="P398">
            <v>0</v>
          </cell>
          <cell r="V398">
            <v>480.66666666666669</v>
          </cell>
          <cell r="W398">
            <v>390</v>
          </cell>
          <cell r="X398">
            <v>0</v>
          </cell>
          <cell r="Y398">
            <v>0</v>
          </cell>
          <cell r="AA398">
            <v>11</v>
          </cell>
        </row>
        <row r="399">
          <cell r="P399">
            <v>20.5</v>
          </cell>
          <cell r="V399">
            <v>0</v>
          </cell>
          <cell r="W399">
            <v>0</v>
          </cell>
          <cell r="X399">
            <v>522.33333333333337</v>
          </cell>
          <cell r="Y399">
            <v>386</v>
          </cell>
          <cell r="AA399">
            <v>0</v>
          </cell>
        </row>
        <row r="400">
          <cell r="P400">
            <v>0</v>
          </cell>
          <cell r="V400">
            <v>41.666666666666664</v>
          </cell>
          <cell r="W400">
            <v>34</v>
          </cell>
          <cell r="X400">
            <v>0</v>
          </cell>
          <cell r="Y400">
            <v>0</v>
          </cell>
          <cell r="AA400">
            <v>32</v>
          </cell>
        </row>
        <row r="401">
          <cell r="P401">
            <v>0</v>
          </cell>
          <cell r="V401">
            <v>0</v>
          </cell>
          <cell r="W401">
            <v>0</v>
          </cell>
          <cell r="X401">
            <v>480.66666666666669</v>
          </cell>
          <cell r="Y401">
            <v>355</v>
          </cell>
          <cell r="AA401">
            <v>0</v>
          </cell>
        </row>
        <row r="402">
          <cell r="P402">
            <v>0</v>
          </cell>
          <cell r="V402">
            <v>0</v>
          </cell>
          <cell r="W402">
            <v>0</v>
          </cell>
          <cell r="X402">
            <v>0</v>
          </cell>
          <cell r="Y402">
            <v>0</v>
          </cell>
          <cell r="AA402">
            <v>0</v>
          </cell>
        </row>
        <row r="403">
          <cell r="P403">
            <v>15.833333333333334</v>
          </cell>
          <cell r="V403">
            <v>0</v>
          </cell>
          <cell r="W403">
            <v>0</v>
          </cell>
          <cell r="X403">
            <v>41.666666666666664</v>
          </cell>
          <cell r="Y403">
            <v>31</v>
          </cell>
          <cell r="AA403">
            <v>0</v>
          </cell>
        </row>
        <row r="404">
          <cell r="P404">
            <v>4.666666666666667</v>
          </cell>
          <cell r="V404">
            <v>0</v>
          </cell>
          <cell r="W404">
            <v>0</v>
          </cell>
          <cell r="X404">
            <v>0</v>
          </cell>
          <cell r="Y404">
            <v>0</v>
          </cell>
          <cell r="AA404">
            <v>0</v>
          </cell>
        </row>
        <row r="405">
          <cell r="P405">
            <v>0</v>
          </cell>
          <cell r="V405">
            <v>0</v>
          </cell>
          <cell r="W405">
            <v>0</v>
          </cell>
          <cell r="X405">
            <v>0</v>
          </cell>
          <cell r="Y405">
            <v>0</v>
          </cell>
          <cell r="AA405">
            <v>0</v>
          </cell>
        </row>
        <row r="406">
          <cell r="P406">
            <v>39</v>
          </cell>
          <cell r="V406">
            <v>0</v>
          </cell>
          <cell r="W406">
            <v>0</v>
          </cell>
          <cell r="X406">
            <v>0</v>
          </cell>
          <cell r="Y406">
            <v>0</v>
          </cell>
          <cell r="AA406">
            <v>0</v>
          </cell>
        </row>
        <row r="407">
          <cell r="P407">
            <v>3.3333333333333335</v>
          </cell>
          <cell r="S407">
            <v>50.166666666666671</v>
          </cell>
          <cell r="V407">
            <v>37.833333333333343</v>
          </cell>
          <cell r="W407">
            <v>31</v>
          </cell>
          <cell r="X407">
            <v>0</v>
          </cell>
          <cell r="Y407">
            <v>0</v>
          </cell>
          <cell r="AA407">
            <v>26.000000000000004</v>
          </cell>
        </row>
        <row r="408">
          <cell r="P408">
            <v>35.666666666666664</v>
          </cell>
          <cell r="V408">
            <v>0</v>
          </cell>
          <cell r="W408">
            <v>0</v>
          </cell>
          <cell r="X408">
            <v>0</v>
          </cell>
          <cell r="Y408">
            <v>0</v>
          </cell>
          <cell r="AA408">
            <v>0</v>
          </cell>
        </row>
        <row r="409">
          <cell r="P409">
            <v>0</v>
          </cell>
          <cell r="V409">
            <v>0</v>
          </cell>
          <cell r="W409">
            <v>0</v>
          </cell>
          <cell r="X409">
            <v>0</v>
          </cell>
          <cell r="Y409">
            <v>0</v>
          </cell>
          <cell r="AA409">
            <v>0</v>
          </cell>
        </row>
        <row r="410">
          <cell r="P410">
            <v>50.166666666666671</v>
          </cell>
          <cell r="S410">
            <v>50.166666666666671</v>
          </cell>
          <cell r="V410">
            <v>0</v>
          </cell>
          <cell r="W410">
            <v>0</v>
          </cell>
          <cell r="X410">
            <v>37.833333333333343</v>
          </cell>
          <cell r="Y410">
            <v>28</v>
          </cell>
          <cell r="AA410">
            <v>0</v>
          </cell>
        </row>
        <row r="411">
          <cell r="P411">
            <v>0</v>
          </cell>
          <cell r="V411">
            <v>0</v>
          </cell>
          <cell r="W411">
            <v>0</v>
          </cell>
          <cell r="X411">
            <v>0</v>
          </cell>
          <cell r="Y411">
            <v>0</v>
          </cell>
          <cell r="AA411">
            <v>0</v>
          </cell>
        </row>
        <row r="412">
          <cell r="P412">
            <v>0</v>
          </cell>
          <cell r="V412">
            <v>0</v>
          </cell>
          <cell r="W412">
            <v>0</v>
          </cell>
          <cell r="X412">
            <v>0</v>
          </cell>
          <cell r="Y412">
            <v>0</v>
          </cell>
          <cell r="AA412">
            <v>0</v>
          </cell>
        </row>
        <row r="413">
          <cell r="P413">
            <v>0</v>
          </cell>
          <cell r="V413">
            <v>3</v>
          </cell>
          <cell r="W413">
            <v>2</v>
          </cell>
          <cell r="X413">
            <v>0</v>
          </cell>
          <cell r="Y413">
            <v>0</v>
          </cell>
          <cell r="AA413">
            <v>3</v>
          </cell>
        </row>
        <row r="414">
          <cell r="P414">
            <v>12.333333333333334</v>
          </cell>
          <cell r="V414">
            <v>0</v>
          </cell>
          <cell r="W414">
            <v>0</v>
          </cell>
          <cell r="X414">
            <v>0</v>
          </cell>
          <cell r="Y414">
            <v>0</v>
          </cell>
          <cell r="AA414">
            <v>0</v>
          </cell>
        </row>
        <row r="415">
          <cell r="P415">
            <v>0</v>
          </cell>
          <cell r="V415">
            <v>0</v>
          </cell>
          <cell r="W415">
            <v>0</v>
          </cell>
          <cell r="X415">
            <v>0</v>
          </cell>
          <cell r="Y415">
            <v>0</v>
          </cell>
          <cell r="AA415">
            <v>0</v>
          </cell>
        </row>
        <row r="416">
          <cell r="P416">
            <v>5</v>
          </cell>
          <cell r="V416">
            <v>4.5</v>
          </cell>
          <cell r="W416">
            <v>4</v>
          </cell>
          <cell r="X416">
            <v>3</v>
          </cell>
          <cell r="Y416">
            <v>2</v>
          </cell>
          <cell r="AA416">
            <v>1.3333333333333333</v>
          </cell>
        </row>
        <row r="417">
          <cell r="P417">
            <v>0</v>
          </cell>
          <cell r="V417">
            <v>0</v>
          </cell>
          <cell r="W417">
            <v>0</v>
          </cell>
          <cell r="X417">
            <v>0</v>
          </cell>
          <cell r="Y417">
            <v>0</v>
          </cell>
          <cell r="AA417">
            <v>1.6666666666666667</v>
          </cell>
        </row>
        <row r="418">
          <cell r="P418">
            <v>0</v>
          </cell>
          <cell r="V418">
            <v>0</v>
          </cell>
          <cell r="W418">
            <v>0</v>
          </cell>
          <cell r="X418">
            <v>0</v>
          </cell>
          <cell r="Y418">
            <v>0</v>
          </cell>
          <cell r="AA418">
            <v>0</v>
          </cell>
        </row>
        <row r="419">
          <cell r="P419">
            <v>18.5</v>
          </cell>
          <cell r="V419">
            <v>10</v>
          </cell>
          <cell r="W419">
            <v>8</v>
          </cell>
          <cell r="X419">
            <v>4.5</v>
          </cell>
          <cell r="Y419">
            <v>3</v>
          </cell>
          <cell r="AA419">
            <v>7.666666666666667</v>
          </cell>
        </row>
        <row r="420">
          <cell r="P420">
            <v>1.3333333333333333</v>
          </cell>
          <cell r="V420">
            <v>1.3333333333333333</v>
          </cell>
          <cell r="W420">
            <v>1</v>
          </cell>
          <cell r="X420">
            <v>0</v>
          </cell>
          <cell r="Y420">
            <v>0</v>
          </cell>
          <cell r="AA420">
            <v>1</v>
          </cell>
        </row>
        <row r="421">
          <cell r="P421">
            <v>0</v>
          </cell>
          <cell r="V421">
            <v>1</v>
          </cell>
          <cell r="W421">
            <v>1</v>
          </cell>
          <cell r="X421">
            <v>0</v>
          </cell>
          <cell r="Y421">
            <v>0</v>
          </cell>
          <cell r="AA421">
            <v>0.66666666666666663</v>
          </cell>
        </row>
        <row r="422">
          <cell r="P422">
            <v>0</v>
          </cell>
          <cell r="V422">
            <v>6</v>
          </cell>
          <cell r="W422">
            <v>5</v>
          </cell>
          <cell r="X422">
            <v>10</v>
          </cell>
          <cell r="Y422">
            <v>7</v>
          </cell>
          <cell r="AA422">
            <v>5</v>
          </cell>
        </row>
        <row r="423">
          <cell r="P423">
            <v>2</v>
          </cell>
          <cell r="V423">
            <v>0</v>
          </cell>
          <cell r="W423">
            <v>0</v>
          </cell>
          <cell r="X423">
            <v>1.3333333333333333</v>
          </cell>
          <cell r="Y423">
            <v>1</v>
          </cell>
          <cell r="AA423">
            <v>0</v>
          </cell>
        </row>
        <row r="424">
          <cell r="P424">
            <v>0.33333333333333331</v>
          </cell>
          <cell r="V424">
            <v>0</v>
          </cell>
          <cell r="W424">
            <v>0</v>
          </cell>
          <cell r="X424">
            <v>1</v>
          </cell>
          <cell r="Y424">
            <v>1</v>
          </cell>
          <cell r="AA424">
            <v>0</v>
          </cell>
        </row>
        <row r="425">
          <cell r="P425">
            <v>2.3333333333333335</v>
          </cell>
          <cell r="V425">
            <v>0</v>
          </cell>
          <cell r="W425">
            <v>0</v>
          </cell>
          <cell r="X425">
            <v>6</v>
          </cell>
          <cell r="Y425">
            <v>4</v>
          </cell>
          <cell r="AA425">
            <v>0</v>
          </cell>
        </row>
        <row r="426">
          <cell r="P426">
            <v>0</v>
          </cell>
          <cell r="V426">
            <v>0</v>
          </cell>
          <cell r="W426">
            <v>0</v>
          </cell>
          <cell r="X426">
            <v>0</v>
          </cell>
          <cell r="Y426">
            <v>0</v>
          </cell>
          <cell r="AA426">
            <v>0</v>
          </cell>
        </row>
        <row r="427">
          <cell r="P427">
            <v>0</v>
          </cell>
          <cell r="V427">
            <v>0.66666666666666663</v>
          </cell>
          <cell r="W427">
            <v>1</v>
          </cell>
          <cell r="X427">
            <v>0</v>
          </cell>
          <cell r="Y427">
            <v>0</v>
          </cell>
          <cell r="AA427">
            <v>0.66666666666666663</v>
          </cell>
        </row>
        <row r="428">
          <cell r="P428">
            <v>1</v>
          </cell>
          <cell r="V428">
            <v>0.66666666666666663</v>
          </cell>
          <cell r="W428">
            <v>1</v>
          </cell>
          <cell r="X428">
            <v>0</v>
          </cell>
          <cell r="Y428">
            <v>0</v>
          </cell>
          <cell r="AA428">
            <v>0.66666666666666663</v>
          </cell>
        </row>
        <row r="429">
          <cell r="P429">
            <v>0</v>
          </cell>
          <cell r="V429">
            <v>3</v>
          </cell>
          <cell r="W429">
            <v>2</v>
          </cell>
          <cell r="X429">
            <v>0</v>
          </cell>
          <cell r="Y429">
            <v>0</v>
          </cell>
          <cell r="AA429">
            <v>2</v>
          </cell>
        </row>
        <row r="430">
          <cell r="P430">
            <v>0.66666666666666663</v>
          </cell>
          <cell r="V430">
            <v>0</v>
          </cell>
          <cell r="W430">
            <v>0</v>
          </cell>
          <cell r="X430">
            <v>0.66666666666666663</v>
          </cell>
          <cell r="Y430">
            <v>0</v>
          </cell>
          <cell r="AA430">
            <v>0</v>
          </cell>
        </row>
        <row r="431">
          <cell r="P431">
            <v>0.66666666666666663</v>
          </cell>
          <cell r="V431">
            <v>0</v>
          </cell>
          <cell r="W431">
            <v>0</v>
          </cell>
          <cell r="X431">
            <v>0.66666666666666663</v>
          </cell>
          <cell r="Y431">
            <v>0</v>
          </cell>
          <cell r="AA431">
            <v>0</v>
          </cell>
        </row>
        <row r="432">
          <cell r="P432">
            <v>4.666666666666667</v>
          </cell>
          <cell r="V432">
            <v>0</v>
          </cell>
          <cell r="W432">
            <v>0</v>
          </cell>
          <cell r="X432">
            <v>3</v>
          </cell>
          <cell r="Y432">
            <v>2</v>
          </cell>
          <cell r="AA432">
            <v>0</v>
          </cell>
        </row>
        <row r="433">
          <cell r="P433">
            <v>0</v>
          </cell>
          <cell r="V433">
            <v>0</v>
          </cell>
          <cell r="W433">
            <v>0</v>
          </cell>
          <cell r="X433">
            <v>0</v>
          </cell>
          <cell r="Y433">
            <v>0</v>
          </cell>
          <cell r="AA433">
            <v>0</v>
          </cell>
        </row>
        <row r="434">
          <cell r="P434">
            <v>0</v>
          </cell>
          <cell r="V434">
            <v>0</v>
          </cell>
          <cell r="W434">
            <v>0</v>
          </cell>
          <cell r="X434">
            <v>0</v>
          </cell>
          <cell r="Y434">
            <v>0</v>
          </cell>
          <cell r="AA434">
            <v>0</v>
          </cell>
        </row>
        <row r="435">
          <cell r="P435">
            <v>0</v>
          </cell>
          <cell r="V435">
            <v>4</v>
          </cell>
          <cell r="W435">
            <v>3</v>
          </cell>
          <cell r="X435">
            <v>0</v>
          </cell>
          <cell r="Y435">
            <v>0</v>
          </cell>
          <cell r="AA435">
            <v>2</v>
          </cell>
        </row>
        <row r="436">
          <cell r="P436">
            <v>0</v>
          </cell>
          <cell r="V436">
            <v>0</v>
          </cell>
          <cell r="W436">
            <v>0</v>
          </cell>
          <cell r="X436">
            <v>0</v>
          </cell>
          <cell r="Y436">
            <v>0</v>
          </cell>
          <cell r="AA436">
            <v>0</v>
          </cell>
        </row>
        <row r="437">
          <cell r="P437">
            <v>0</v>
          </cell>
          <cell r="V437">
            <v>3.3333333333333335</v>
          </cell>
          <cell r="W437">
            <v>3</v>
          </cell>
          <cell r="X437">
            <v>0</v>
          </cell>
          <cell r="Y437">
            <v>0</v>
          </cell>
          <cell r="AA437">
            <v>0</v>
          </cell>
        </row>
        <row r="438">
          <cell r="P438">
            <v>1</v>
          </cell>
          <cell r="V438">
            <v>0.33333333333333331</v>
          </cell>
          <cell r="W438">
            <v>0</v>
          </cell>
          <cell r="X438">
            <v>4</v>
          </cell>
          <cell r="Y438">
            <v>3</v>
          </cell>
          <cell r="AA438">
            <v>0.33333333333333331</v>
          </cell>
        </row>
        <row r="439">
          <cell r="P439">
            <v>0</v>
          </cell>
          <cell r="V439">
            <v>0</v>
          </cell>
          <cell r="W439">
            <v>0</v>
          </cell>
          <cell r="X439">
            <v>0</v>
          </cell>
          <cell r="Y439">
            <v>0</v>
          </cell>
          <cell r="AA439">
            <v>0</v>
          </cell>
        </row>
        <row r="440">
          <cell r="P440">
            <v>0</v>
          </cell>
          <cell r="V440">
            <v>0</v>
          </cell>
          <cell r="W440">
            <v>0</v>
          </cell>
          <cell r="X440">
            <v>3.3333333333333335</v>
          </cell>
          <cell r="Y440">
            <v>2</v>
          </cell>
          <cell r="AA440">
            <v>0</v>
          </cell>
        </row>
        <row r="441">
          <cell r="P441">
            <v>0.33333333333333331</v>
          </cell>
          <cell r="V441">
            <v>0</v>
          </cell>
          <cell r="W441">
            <v>0</v>
          </cell>
          <cell r="X441">
            <v>0.33333333333333331</v>
          </cell>
          <cell r="Y441">
            <v>0</v>
          </cell>
          <cell r="AA441">
            <v>0</v>
          </cell>
        </row>
        <row r="442">
          <cell r="P442">
            <v>0</v>
          </cell>
          <cell r="V442">
            <v>0</v>
          </cell>
          <cell r="W442">
            <v>0</v>
          </cell>
          <cell r="X442">
            <v>0</v>
          </cell>
          <cell r="Y442">
            <v>0</v>
          </cell>
          <cell r="AA442">
            <v>0</v>
          </cell>
        </row>
        <row r="443">
          <cell r="P443">
            <v>0</v>
          </cell>
          <cell r="V443">
            <v>0</v>
          </cell>
          <cell r="W443">
            <v>0</v>
          </cell>
          <cell r="X443">
            <v>0</v>
          </cell>
          <cell r="Y443">
            <v>0</v>
          </cell>
          <cell r="AA443">
            <v>0</v>
          </cell>
        </row>
        <row r="444">
          <cell r="P444">
            <v>0</v>
          </cell>
          <cell r="V444">
            <v>0</v>
          </cell>
          <cell r="W444">
            <v>0</v>
          </cell>
          <cell r="X444">
            <v>0</v>
          </cell>
          <cell r="Y444">
            <v>0</v>
          </cell>
          <cell r="AA444">
            <v>0</v>
          </cell>
        </row>
        <row r="445">
          <cell r="P445">
            <v>0</v>
          </cell>
          <cell r="V445">
            <v>0</v>
          </cell>
          <cell r="W445">
            <v>0</v>
          </cell>
          <cell r="X445">
            <v>0</v>
          </cell>
          <cell r="Y445">
            <v>0</v>
          </cell>
          <cell r="AA445">
            <v>0</v>
          </cell>
        </row>
        <row r="446">
          <cell r="P446">
            <v>0</v>
          </cell>
          <cell r="V446">
            <v>0</v>
          </cell>
          <cell r="W446">
            <v>0</v>
          </cell>
          <cell r="X446">
            <v>0</v>
          </cell>
          <cell r="Y446">
            <v>0</v>
          </cell>
          <cell r="AA446">
            <v>0</v>
          </cell>
        </row>
        <row r="447">
          <cell r="P447">
            <v>0</v>
          </cell>
          <cell r="X447">
            <v>0</v>
          </cell>
          <cell r="Y447">
            <v>0</v>
          </cell>
        </row>
        <row r="448">
          <cell r="P448">
            <v>0</v>
          </cell>
          <cell r="X448">
            <v>0</v>
          </cell>
          <cell r="Y448">
            <v>0</v>
          </cell>
        </row>
        <row r="449">
          <cell r="P449">
            <v>0</v>
          </cell>
          <cell r="X449">
            <v>0</v>
          </cell>
          <cell r="Y449">
            <v>0</v>
          </cell>
        </row>
      </sheetData>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ГОЛОВА ПРАЛІННЯ  КЕ</v>
          </cell>
          <cell r="T32" t="str">
            <v>І.В.ПЛАЧКОВ</v>
          </cell>
          <cell r="V32">
            <v>391</v>
          </cell>
        </row>
        <row r="33">
          <cell r="N33">
            <v>130.30000000000001</v>
          </cell>
          <cell r="P33">
            <v>25148</v>
          </cell>
          <cell r="Q33">
            <v>233.6</v>
          </cell>
          <cell r="V33">
            <v>363.9</v>
          </cell>
          <cell r="W33" t="str">
            <v xml:space="preserve">                      ПЛАЧКОВ І.В.</v>
          </cell>
          <cell r="AC33">
            <v>14429</v>
          </cell>
          <cell r="AF33">
            <v>31349</v>
          </cell>
        </row>
        <row r="34">
          <cell r="Q34" t="str">
            <v>КТМ</v>
          </cell>
          <cell r="V34" t="str">
            <v xml:space="preserve">ТЕЦ-5 </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v>0</v>
          </cell>
          <cell r="Q44" t="e">
            <v>#REF!</v>
          </cell>
          <cell r="R44" t="e">
            <v>#REF!</v>
          </cell>
          <cell r="T44">
            <v>16</v>
          </cell>
          <cell r="U44" t="e">
            <v>#REF!</v>
          </cell>
          <cell r="V44">
            <v>0</v>
          </cell>
          <cell r="W44" t="e">
            <v>#REF!</v>
          </cell>
          <cell r="X44">
            <v>480.7</v>
          </cell>
          <cell r="Y44" t="str">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80</v>
          </cell>
          <cell r="M47" t="e">
            <v>#REF!</v>
          </cell>
          <cell r="N47" t="e">
            <v>#REF!</v>
          </cell>
          <cell r="O47">
            <v>160</v>
          </cell>
          <cell r="P47" t="e">
            <v>#REF!</v>
          </cell>
          <cell r="Q47" t="e">
            <v>#REF!</v>
          </cell>
          <cell r="R47">
            <v>145</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v>3631.1559999999999</v>
          </cell>
          <cell r="Q48" t="e">
            <v>#REF!</v>
          </cell>
          <cell r="R48" t="e">
            <v>#REF!</v>
          </cell>
          <cell r="S48">
            <v>9526.8578787878778</v>
          </cell>
          <cell r="T48">
            <v>2010.6708606060602</v>
          </cell>
          <cell r="U48">
            <v>2621.0370181818184</v>
          </cell>
          <cell r="V48" t="e">
            <v>#REF!</v>
          </cell>
          <cell r="W48">
            <v>0</v>
          </cell>
          <cell r="X48">
            <v>2672.4863636363625</v>
          </cell>
          <cell r="Y48" t="e">
            <v>#REF!</v>
          </cell>
          <cell r="Z48" t="e">
            <v>#REF!</v>
          </cell>
          <cell r="AA48" t="e">
            <v>#REF!</v>
          </cell>
          <cell r="AC48">
            <v>1389.1963636363635</v>
          </cell>
          <cell r="AF48">
            <v>4185.9539393939394</v>
          </cell>
        </row>
        <row r="49">
          <cell r="C49" t="e">
            <v>#REF!</v>
          </cell>
          <cell r="D49" t="e">
            <v>#REF!</v>
          </cell>
          <cell r="E49" t="e">
            <v>#REF!</v>
          </cell>
          <cell r="I49" t="e">
            <v>#REF!</v>
          </cell>
          <cell r="J49">
            <v>80</v>
          </cell>
          <cell r="K49" t="e">
            <v>#REF!</v>
          </cell>
          <cell r="L49" t="e">
            <v>#REF!</v>
          </cell>
          <cell r="M49" t="e">
            <v>#REF!</v>
          </cell>
          <cell r="N49" t="e">
            <v>#REF!</v>
          </cell>
          <cell r="O49">
            <v>160</v>
          </cell>
          <cell r="P49">
            <v>0.8</v>
          </cell>
          <cell r="Q49" t="e">
            <v>#REF!</v>
          </cell>
          <cell r="R49">
            <v>145</v>
          </cell>
          <cell r="S49">
            <v>0.8</v>
          </cell>
          <cell r="T49">
            <v>112</v>
          </cell>
          <cell r="U49">
            <v>28</v>
          </cell>
          <cell r="V49">
            <v>84</v>
          </cell>
          <cell r="W49">
            <v>285</v>
          </cell>
          <cell r="X49">
            <v>0.8</v>
          </cell>
          <cell r="Y49" t="e">
            <v>#REF!</v>
          </cell>
          <cell r="Z49" t="e">
            <v>#REF!</v>
          </cell>
          <cell r="AA49" t="e">
            <v>#REF!</v>
          </cell>
          <cell r="AB49" t="e">
            <v>#REF!</v>
          </cell>
          <cell r="AC49">
            <v>0.8</v>
          </cell>
          <cell r="AF49">
            <v>0.8</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S51">
            <v>760.26666666666688</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K52" t="e">
            <v>#REF!</v>
          </cell>
          <cell r="L52" t="e">
            <v>#REF!</v>
          </cell>
          <cell r="M52">
            <v>3</v>
          </cell>
          <cell r="N52">
            <v>2</v>
          </cell>
          <cell r="O52">
            <v>1</v>
          </cell>
          <cell r="P52">
            <v>6</v>
          </cell>
          <cell r="Q52">
            <v>4</v>
          </cell>
          <cell r="R52">
            <v>2</v>
          </cell>
          <cell r="S52">
            <v>603</v>
          </cell>
          <cell r="U52">
            <v>331</v>
          </cell>
          <cell r="V52">
            <v>0</v>
          </cell>
          <cell r="W52">
            <v>200</v>
          </cell>
          <cell r="X52">
            <v>115</v>
          </cell>
          <cell r="Y52">
            <v>81</v>
          </cell>
          <cell r="Z52">
            <v>34</v>
          </cell>
          <cell r="AC52">
            <v>96</v>
          </cell>
          <cell r="AD52">
            <v>50</v>
          </cell>
          <cell r="AE52">
            <v>46</v>
          </cell>
          <cell r="AF52">
            <v>361</v>
          </cell>
        </row>
        <row r="53">
          <cell r="C53">
            <v>0</v>
          </cell>
          <cell r="D53">
            <v>0</v>
          </cell>
          <cell r="E53">
            <v>0</v>
          </cell>
          <cell r="I53">
            <v>0</v>
          </cell>
          <cell r="J53" t="e">
            <v>#REF!</v>
          </cell>
          <cell r="K53" t="e">
            <v>#REF!</v>
          </cell>
          <cell r="L53" t="e">
            <v>#REF!</v>
          </cell>
          <cell r="M53">
            <v>60</v>
          </cell>
          <cell r="N53">
            <v>43</v>
          </cell>
          <cell r="O53">
            <v>17</v>
          </cell>
          <cell r="P53">
            <v>50</v>
          </cell>
          <cell r="Q53">
            <v>32</v>
          </cell>
          <cell r="R53">
            <v>18</v>
          </cell>
          <cell r="T53">
            <v>90</v>
          </cell>
          <cell r="U53">
            <v>110</v>
          </cell>
          <cell r="V53">
            <v>60</v>
          </cell>
          <cell r="W53" t="e">
            <v>#REF!</v>
          </cell>
          <cell r="X53">
            <v>4</v>
          </cell>
          <cell r="Y53">
            <v>3</v>
          </cell>
          <cell r="Z53">
            <v>1</v>
          </cell>
          <cell r="AA53" t="e">
            <v>#REF!</v>
          </cell>
          <cell r="AB53" t="e">
            <v>#REF!</v>
          </cell>
          <cell r="AC53">
            <v>0</v>
          </cell>
          <cell r="AD53">
            <v>0</v>
          </cell>
          <cell r="AE53">
            <v>0</v>
          </cell>
        </row>
        <row r="54">
          <cell r="C54">
            <v>200</v>
          </cell>
          <cell r="D54">
            <v>124</v>
          </cell>
          <cell r="E54">
            <v>76</v>
          </cell>
          <cell r="I54" t="e">
            <v>#REF!</v>
          </cell>
          <cell r="J54" t="e">
            <v>#REF!</v>
          </cell>
          <cell r="K54" t="e">
            <v>#REF!</v>
          </cell>
          <cell r="L54" t="e">
            <v>#REF!</v>
          </cell>
          <cell r="M54" t="e">
            <v>#REF!</v>
          </cell>
          <cell r="N54" t="e">
            <v>#REF!</v>
          </cell>
          <cell r="O54" t="e">
            <v>#REF!</v>
          </cell>
          <cell r="P54">
            <v>4</v>
          </cell>
          <cell r="Q54" t="e">
            <v>#REF!</v>
          </cell>
          <cell r="R54" t="e">
            <v>#REF!</v>
          </cell>
          <cell r="S54">
            <v>15</v>
          </cell>
          <cell r="T54">
            <v>42</v>
          </cell>
          <cell r="U54">
            <v>200</v>
          </cell>
          <cell r="V54">
            <v>20</v>
          </cell>
          <cell r="W54" t="e">
            <v>#REF!</v>
          </cell>
          <cell r="X54">
            <v>30</v>
          </cell>
          <cell r="Y54">
            <v>21</v>
          </cell>
          <cell r="Z54">
            <v>9</v>
          </cell>
          <cell r="AA54" t="e">
            <v>#REF!</v>
          </cell>
          <cell r="AB54" t="e">
            <v>#REF!</v>
          </cell>
          <cell r="AC54">
            <v>8</v>
          </cell>
          <cell r="AD54">
            <v>4</v>
          </cell>
          <cell r="AE54">
            <v>4</v>
          </cell>
          <cell r="AF54">
            <v>15</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S55">
            <v>263.2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I56" t="e">
            <v>#REF!</v>
          </cell>
          <cell r="J56">
            <v>0</v>
          </cell>
          <cell r="K56">
            <v>0</v>
          </cell>
          <cell r="L56">
            <v>0</v>
          </cell>
          <cell r="M56">
            <v>577</v>
          </cell>
          <cell r="N56">
            <v>402</v>
          </cell>
          <cell r="O56">
            <v>175</v>
          </cell>
          <cell r="P56">
            <v>12</v>
          </cell>
          <cell r="Q56">
            <v>8</v>
          </cell>
          <cell r="R56">
            <v>4</v>
          </cell>
          <cell r="S56">
            <v>13.666666666666666</v>
          </cell>
          <cell r="T56">
            <v>13.666666666666666</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S57">
            <v>1598</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T58">
            <v>1598</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I59" t="e">
            <v>#REF!</v>
          </cell>
          <cell r="J59" t="e">
            <v>#REF!</v>
          </cell>
          <cell r="K59">
            <v>0</v>
          </cell>
          <cell r="L59">
            <v>0</v>
          </cell>
          <cell r="M59">
            <v>0</v>
          </cell>
          <cell r="N59">
            <v>0</v>
          </cell>
          <cell r="O59">
            <v>0</v>
          </cell>
          <cell r="P59">
            <v>0</v>
          </cell>
          <cell r="Q59">
            <v>0</v>
          </cell>
          <cell r="R59">
            <v>0</v>
          </cell>
          <cell r="T59">
            <v>0</v>
          </cell>
          <cell r="U59">
            <v>0</v>
          </cell>
          <cell r="V59">
            <v>0</v>
          </cell>
          <cell r="W59">
            <v>0</v>
          </cell>
          <cell r="X59">
            <v>0</v>
          </cell>
          <cell r="Y59">
            <v>-20749</v>
          </cell>
          <cell r="Z59">
            <v>-20749</v>
          </cell>
          <cell r="AA59">
            <v>0</v>
          </cell>
          <cell r="AB59">
            <v>-20749</v>
          </cell>
          <cell r="AC59" t="e">
            <v>#REF!</v>
          </cell>
          <cell r="AD59">
            <v>0</v>
          </cell>
          <cell r="AF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S60">
            <v>267.2</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S61">
            <v>887.77454545454532</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S62">
            <v>49</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S65">
            <v>1018</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T66">
            <v>16</v>
          </cell>
          <cell r="U66">
            <v>1746</v>
          </cell>
          <cell r="V66">
            <v>914</v>
          </cell>
          <cell r="W66">
            <v>832</v>
          </cell>
          <cell r="X66">
            <v>832</v>
          </cell>
          <cell r="Y66" t="e">
            <v>#REF!</v>
          </cell>
          <cell r="Z66">
            <v>832</v>
          </cell>
          <cell r="AA66" t="e">
            <v>#REF!</v>
          </cell>
          <cell r="AB66">
            <v>832</v>
          </cell>
          <cell r="AC66" t="e">
            <v>#REF!</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S67">
            <v>4895</v>
          </cell>
          <cell r="U67">
            <v>347</v>
          </cell>
          <cell r="V67">
            <v>54</v>
          </cell>
          <cell r="W67">
            <v>293</v>
          </cell>
          <cell r="X67">
            <v>293</v>
          </cell>
          <cell r="Y67" t="e">
            <v>#REF!</v>
          </cell>
          <cell r="Z67">
            <v>293</v>
          </cell>
          <cell r="AB67">
            <v>293</v>
          </cell>
          <cell r="AC67">
            <v>85</v>
          </cell>
          <cell r="AD67">
            <v>78</v>
          </cell>
          <cell r="AF67">
            <v>5</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S68">
            <v>0</v>
          </cell>
          <cell r="T68">
            <v>12</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C69" t="e">
            <v>#REF!</v>
          </cell>
          <cell r="D69" t="e">
            <v>#REF!</v>
          </cell>
          <cell r="E69" t="e">
            <v>#REF!</v>
          </cell>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S69">
            <v>-3877</v>
          </cell>
          <cell r="T69">
            <v>146.88</v>
          </cell>
          <cell r="U69">
            <v>410.56140350877189</v>
          </cell>
          <cell r="V69">
            <v>158.07017543859649</v>
          </cell>
          <cell r="W69">
            <v>252.4912280701754</v>
          </cell>
          <cell r="X69">
            <v>252.4912280701754</v>
          </cell>
          <cell r="Y69">
            <v>1917</v>
          </cell>
          <cell r="Z69">
            <v>2169.4912280701756</v>
          </cell>
          <cell r="AA69">
            <v>948</v>
          </cell>
          <cell r="AB69">
            <v>3117.4912280701756</v>
          </cell>
          <cell r="AC69">
            <v>556</v>
          </cell>
          <cell r="AD69">
            <v>336</v>
          </cell>
          <cell r="AE69">
            <v>305</v>
          </cell>
          <cell r="AF69">
            <v>521</v>
          </cell>
        </row>
        <row r="70">
          <cell r="C70">
            <v>0</v>
          </cell>
          <cell r="D70" t="e">
            <v>#REF!</v>
          </cell>
          <cell r="E70" t="e">
            <v>#REF!</v>
          </cell>
          <cell r="I70">
            <v>2</v>
          </cell>
          <cell r="J70">
            <v>10</v>
          </cell>
          <cell r="K70">
            <v>2.5</v>
          </cell>
          <cell r="L70">
            <v>7.5</v>
          </cell>
          <cell r="M70">
            <v>7</v>
          </cell>
          <cell r="N70">
            <v>5</v>
          </cell>
          <cell r="O70">
            <v>2</v>
          </cell>
          <cell r="P70">
            <v>3</v>
          </cell>
          <cell r="Q70">
            <v>2</v>
          </cell>
          <cell r="R70">
            <v>1</v>
          </cell>
          <cell r="S70">
            <v>1918.4</v>
          </cell>
          <cell r="T70">
            <v>479.6</v>
          </cell>
          <cell r="U70">
            <v>22</v>
          </cell>
          <cell r="V70">
            <v>9</v>
          </cell>
          <cell r="W70">
            <v>13</v>
          </cell>
          <cell r="X70">
            <v>13</v>
          </cell>
          <cell r="Y70">
            <v>124</v>
          </cell>
          <cell r="Z70">
            <v>137</v>
          </cell>
          <cell r="AA70">
            <v>51</v>
          </cell>
          <cell r="AB70">
            <v>188</v>
          </cell>
          <cell r="AC70">
            <v>622.4</v>
          </cell>
          <cell r="AD70">
            <v>326</v>
          </cell>
          <cell r="AE70">
            <v>296.39999999999998</v>
          </cell>
          <cell r="AF70">
            <v>1475</v>
          </cell>
        </row>
        <row r="71">
          <cell r="C71">
            <v>0</v>
          </cell>
          <cell r="D71" t="e">
            <v>#REF!</v>
          </cell>
          <cell r="E71" t="e">
            <v>#REF!</v>
          </cell>
          <cell r="I71">
            <v>9</v>
          </cell>
          <cell r="J71">
            <v>62</v>
          </cell>
          <cell r="K71">
            <v>15.5</v>
          </cell>
          <cell r="L71">
            <v>46.5</v>
          </cell>
          <cell r="M71">
            <v>42</v>
          </cell>
          <cell r="N71">
            <v>29</v>
          </cell>
          <cell r="O71">
            <v>13</v>
          </cell>
          <cell r="P71">
            <v>20</v>
          </cell>
          <cell r="Q71">
            <v>13</v>
          </cell>
          <cell r="R71">
            <v>7</v>
          </cell>
          <cell r="S71">
            <v>494.54545454545456</v>
          </cell>
          <cell r="U71">
            <v>133</v>
          </cell>
          <cell r="V71">
            <v>51</v>
          </cell>
          <cell r="W71">
            <v>82</v>
          </cell>
          <cell r="X71">
            <v>82</v>
          </cell>
          <cell r="Y71">
            <v>593</v>
          </cell>
          <cell r="Z71">
            <v>675</v>
          </cell>
          <cell r="AA71">
            <v>303</v>
          </cell>
          <cell r="AB71">
            <v>978</v>
          </cell>
          <cell r="AC71">
            <v>116.36363636363636</v>
          </cell>
          <cell r="AD71">
            <v>61</v>
          </cell>
          <cell r="AE71">
            <v>55.36363636363636</v>
          </cell>
          <cell r="AF71">
            <v>215.27272727272728</v>
          </cell>
        </row>
        <row r="72">
          <cell r="C72">
            <v>0</v>
          </cell>
          <cell r="D72" t="e">
            <v>#REF!</v>
          </cell>
          <cell r="E72">
            <v>0</v>
          </cell>
          <cell r="I72">
            <v>1</v>
          </cell>
          <cell r="J72">
            <v>9</v>
          </cell>
          <cell r="K72">
            <v>2.25</v>
          </cell>
          <cell r="L72">
            <v>6.75</v>
          </cell>
          <cell r="M72">
            <v>6</v>
          </cell>
          <cell r="N72">
            <v>4</v>
          </cell>
          <cell r="O72">
            <v>2</v>
          </cell>
          <cell r="P72">
            <v>3</v>
          </cell>
          <cell r="Q72">
            <v>2</v>
          </cell>
          <cell r="R72">
            <v>1</v>
          </cell>
          <cell r="S72">
            <v>27</v>
          </cell>
          <cell r="U72">
            <v>19</v>
          </cell>
          <cell r="V72">
            <v>7</v>
          </cell>
          <cell r="W72">
            <v>12</v>
          </cell>
          <cell r="X72">
            <v>12</v>
          </cell>
          <cell r="Y72">
            <v>172</v>
          </cell>
          <cell r="Z72">
            <v>184</v>
          </cell>
          <cell r="AA72">
            <v>48</v>
          </cell>
          <cell r="AB72">
            <v>232</v>
          </cell>
          <cell r="AC72">
            <v>6</v>
          </cell>
          <cell r="AD72">
            <v>3</v>
          </cell>
          <cell r="AE72">
            <v>3</v>
          </cell>
          <cell r="AF72">
            <v>12</v>
          </cell>
        </row>
        <row r="73">
          <cell r="C73">
            <v>80</v>
          </cell>
          <cell r="D73" t="e">
            <v>#REF!</v>
          </cell>
          <cell r="E73" t="e">
            <v>#REF!</v>
          </cell>
          <cell r="I73">
            <v>580</v>
          </cell>
          <cell r="J73">
            <v>1508</v>
          </cell>
          <cell r="K73">
            <v>377</v>
          </cell>
          <cell r="L73">
            <v>1131</v>
          </cell>
          <cell r="M73">
            <v>592</v>
          </cell>
          <cell r="N73">
            <v>412</v>
          </cell>
          <cell r="O73">
            <v>180</v>
          </cell>
          <cell r="P73">
            <v>1325</v>
          </cell>
          <cell r="Q73">
            <v>849</v>
          </cell>
          <cell r="R73">
            <v>476</v>
          </cell>
          <cell r="S73">
            <v>158</v>
          </cell>
          <cell r="T73">
            <v>51</v>
          </cell>
          <cell r="U73">
            <v>4085</v>
          </cell>
          <cell r="V73">
            <v>1841</v>
          </cell>
          <cell r="W73">
            <v>2244</v>
          </cell>
          <cell r="X73">
            <v>2244</v>
          </cell>
          <cell r="Y73">
            <v>39</v>
          </cell>
          <cell r="Z73">
            <v>2244</v>
          </cell>
          <cell r="AA73" t="e">
            <v>#REF!</v>
          </cell>
          <cell r="AB73">
            <v>2244</v>
          </cell>
          <cell r="AC73">
            <v>37</v>
          </cell>
          <cell r="AD73">
            <v>19</v>
          </cell>
          <cell r="AE73">
            <v>18</v>
          </cell>
          <cell r="AF73">
            <v>69</v>
          </cell>
        </row>
        <row r="74">
          <cell r="C74">
            <v>0</v>
          </cell>
          <cell r="D74" t="e">
            <v>#REF!</v>
          </cell>
          <cell r="E74" t="e">
            <v>#REF!</v>
          </cell>
          <cell r="I74">
            <v>0</v>
          </cell>
          <cell r="J74">
            <v>0</v>
          </cell>
          <cell r="K74">
            <v>0</v>
          </cell>
          <cell r="L74">
            <v>0</v>
          </cell>
          <cell r="M74">
            <v>489</v>
          </cell>
          <cell r="N74" t="e">
            <v>#REF!</v>
          </cell>
          <cell r="O74">
            <v>0</v>
          </cell>
          <cell r="P74">
            <v>5</v>
          </cell>
          <cell r="Q74">
            <v>3</v>
          </cell>
          <cell r="R74">
            <v>2</v>
          </cell>
          <cell r="U74">
            <v>494</v>
          </cell>
          <cell r="V74">
            <v>3</v>
          </cell>
          <cell r="W74">
            <v>491</v>
          </cell>
          <cell r="X74">
            <v>491</v>
          </cell>
          <cell r="Y74" t="e">
            <v>#REF!</v>
          </cell>
          <cell r="Z74">
            <v>491</v>
          </cell>
          <cell r="AA74" t="e">
            <v>#REF!</v>
          </cell>
          <cell r="AB74">
            <v>491</v>
          </cell>
          <cell r="AC74">
            <v>0</v>
          </cell>
          <cell r="AF74">
            <v>0</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I76" t="e">
            <v>#REF!</v>
          </cell>
          <cell r="J76" t="e">
            <v>#REF!</v>
          </cell>
          <cell r="K76">
            <v>0</v>
          </cell>
          <cell r="L76">
            <v>0</v>
          </cell>
          <cell r="M76" t="e">
            <v>#REF!</v>
          </cell>
          <cell r="N76">
            <v>0</v>
          </cell>
          <cell r="O76">
            <v>0</v>
          </cell>
          <cell r="P76">
            <v>935</v>
          </cell>
          <cell r="Q76" t="e">
            <v>#REF!</v>
          </cell>
          <cell r="R76" t="e">
            <v>#REF!</v>
          </cell>
          <cell r="S76">
            <v>4732.8</v>
          </cell>
          <cell r="T76">
            <v>51</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S77">
            <v>201.86666666666662</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T78">
            <v>0</v>
          </cell>
          <cell r="U78">
            <v>703</v>
          </cell>
          <cell r="V78">
            <v>373</v>
          </cell>
          <cell r="W78">
            <v>330</v>
          </cell>
          <cell r="X78">
            <v>330</v>
          </cell>
          <cell r="Y78">
            <v>0</v>
          </cell>
          <cell r="Z78">
            <v>330</v>
          </cell>
          <cell r="AA78">
            <v>0</v>
          </cell>
          <cell r="AB78">
            <v>330</v>
          </cell>
          <cell r="AE78">
            <v>0</v>
          </cell>
          <cell r="AF78">
            <v>330</v>
          </cell>
        </row>
        <row r="79">
          <cell r="C79">
            <v>0</v>
          </cell>
          <cell r="D79">
            <v>0</v>
          </cell>
          <cell r="E79">
            <v>0</v>
          </cell>
          <cell r="I79" t="e">
            <v>#REF!</v>
          </cell>
          <cell r="J79">
            <v>0</v>
          </cell>
          <cell r="K79" t="e">
            <v>#REF!</v>
          </cell>
          <cell r="L79" t="e">
            <v>#REF!</v>
          </cell>
          <cell r="M79" t="e">
            <v>#REF!</v>
          </cell>
          <cell r="N79" t="e">
            <v>#REF!</v>
          </cell>
          <cell r="O79" t="e">
            <v>#REF!</v>
          </cell>
          <cell r="P79">
            <v>88.2</v>
          </cell>
          <cell r="Q79" t="e">
            <v>#REF!</v>
          </cell>
          <cell r="R79" t="e">
            <v>#REF!</v>
          </cell>
          <cell r="S79">
            <v>201.86666666666662</v>
          </cell>
          <cell r="T79">
            <v>80.431999999999974</v>
          </cell>
          <cell r="U79">
            <v>2217</v>
          </cell>
          <cell r="V79">
            <v>262</v>
          </cell>
          <cell r="W79">
            <v>1955</v>
          </cell>
          <cell r="X79">
            <v>1955</v>
          </cell>
          <cell r="Y79">
            <v>60</v>
          </cell>
          <cell r="Z79">
            <v>1955</v>
          </cell>
          <cell r="AA79" t="e">
            <v>#REF!</v>
          </cell>
          <cell r="AB79">
            <v>1955</v>
          </cell>
          <cell r="AC79">
            <v>135.4</v>
          </cell>
          <cell r="AD79">
            <v>71</v>
          </cell>
          <cell r="AE79">
            <v>64.400000000000006</v>
          </cell>
          <cell r="AF79">
            <v>1955</v>
          </cell>
        </row>
        <row r="80">
          <cell r="C80">
            <v>0</v>
          </cell>
          <cell r="D80">
            <v>0</v>
          </cell>
          <cell r="E80">
            <v>0</v>
          </cell>
          <cell r="I80" t="e">
            <v>#REF!</v>
          </cell>
          <cell r="J80" t="e">
            <v>#REF!</v>
          </cell>
          <cell r="K80" t="e">
            <v>#REF!</v>
          </cell>
          <cell r="L80" t="e">
            <v>#REF!</v>
          </cell>
          <cell r="M80">
            <v>0</v>
          </cell>
          <cell r="N80" t="e">
            <v>#REF!</v>
          </cell>
          <cell r="O80" t="e">
            <v>#REF!</v>
          </cell>
          <cell r="P80">
            <v>0</v>
          </cell>
          <cell r="Q80" t="e">
            <v>#REF!</v>
          </cell>
          <cell r="R80" t="e">
            <v>#REF!</v>
          </cell>
          <cell r="S80">
            <v>121.86666666666663</v>
          </cell>
          <cell r="T80">
            <v>80.431999999999974</v>
          </cell>
          <cell r="U80">
            <v>0</v>
          </cell>
          <cell r="V80">
            <v>0</v>
          </cell>
          <cell r="W80">
            <v>0</v>
          </cell>
          <cell r="X80">
            <v>0</v>
          </cell>
          <cell r="Y80">
            <v>46</v>
          </cell>
          <cell r="Z80">
            <v>19.600000000000009</v>
          </cell>
          <cell r="AA80" t="e">
            <v>#REF!</v>
          </cell>
          <cell r="AB80" t="e">
            <v>#REF!</v>
          </cell>
          <cell r="AC80">
            <v>27.200000000000003</v>
          </cell>
          <cell r="AD80">
            <v>14</v>
          </cell>
          <cell r="AE80">
            <v>13.200000000000003</v>
          </cell>
          <cell r="AF80">
            <v>110.4</v>
          </cell>
        </row>
        <row r="81">
          <cell r="C81">
            <v>0</v>
          </cell>
          <cell r="D81">
            <v>0</v>
          </cell>
          <cell r="E81">
            <v>0</v>
          </cell>
          <cell r="I81">
            <v>30</v>
          </cell>
          <cell r="J81">
            <v>30</v>
          </cell>
          <cell r="M81">
            <v>3</v>
          </cell>
          <cell r="P81">
            <v>2</v>
          </cell>
          <cell r="S81">
            <v>0</v>
          </cell>
          <cell r="U81">
            <v>65</v>
          </cell>
          <cell r="V81">
            <v>30</v>
          </cell>
          <cell r="W81">
            <v>35</v>
          </cell>
          <cell r="X81">
            <v>35</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P83">
            <v>20</v>
          </cell>
          <cell r="S83">
            <v>40</v>
          </cell>
          <cell r="U83">
            <v>14098.435307760927</v>
          </cell>
          <cell r="V83">
            <v>5945.3098245614019</v>
          </cell>
          <cell r="W83">
            <v>8153.1254831995248</v>
          </cell>
          <cell r="X83">
            <v>8153.1254831995248</v>
          </cell>
          <cell r="Y83">
            <v>14</v>
          </cell>
          <cell r="Z83">
            <v>5.2000000000000028</v>
          </cell>
          <cell r="AA83">
            <v>0</v>
          </cell>
          <cell r="AB83">
            <v>0</v>
          </cell>
          <cell r="AC83">
            <v>3160</v>
          </cell>
          <cell r="AD83">
            <v>2918</v>
          </cell>
          <cell r="AE83">
            <v>2545.3098245614037</v>
          </cell>
          <cell r="AF83">
            <v>5037.1254831995248</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v>0</v>
          </cell>
          <cell r="Y84" t="e">
            <v>#REF!</v>
          </cell>
          <cell r="Z84" t="e">
            <v>#REF!</v>
          </cell>
          <cell r="AA84" t="e">
            <v>#REF!</v>
          </cell>
          <cell r="AB84" t="e">
            <v>#REF!</v>
          </cell>
          <cell r="AC84" t="e">
            <v>#REF!</v>
          </cell>
        </row>
        <row r="85">
          <cell r="C85">
            <v>3670</v>
          </cell>
          <cell r="D85">
            <v>3670</v>
          </cell>
          <cell r="E85" t="e">
            <v>#REF!</v>
          </cell>
          <cell r="I85" t="e">
            <v>#REF!</v>
          </cell>
          <cell r="J85" t="e">
            <v>#REF!</v>
          </cell>
          <cell r="K85" t="e">
            <v>#REF!</v>
          </cell>
          <cell r="L85" t="e">
            <v>#REF!</v>
          </cell>
          <cell r="M85" t="e">
            <v>#REF!</v>
          </cell>
          <cell r="N85" t="e">
            <v>#REF!</v>
          </cell>
          <cell r="O85" t="e">
            <v>#REF!</v>
          </cell>
          <cell r="P85">
            <v>9.6000000000000014</v>
          </cell>
          <cell r="Q85" t="e">
            <v>#REF!</v>
          </cell>
          <cell r="R85" t="e">
            <v>#REF!</v>
          </cell>
          <cell r="S85">
            <v>0</v>
          </cell>
          <cell r="T85">
            <v>1129</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I87" t="e">
            <v>#REF!</v>
          </cell>
          <cell r="J87">
            <v>0</v>
          </cell>
          <cell r="K87">
            <v>0</v>
          </cell>
          <cell r="L87">
            <v>0</v>
          </cell>
          <cell r="M87">
            <v>0</v>
          </cell>
          <cell r="N87">
            <v>0</v>
          </cell>
          <cell r="O87">
            <v>0</v>
          </cell>
          <cell r="P87">
            <v>611.32000000000005</v>
          </cell>
          <cell r="Q87">
            <v>0</v>
          </cell>
          <cell r="R87">
            <v>0</v>
          </cell>
          <cell r="S87" t="e">
            <v>#REF!</v>
          </cell>
          <cell r="T87">
            <v>435.00952727272721</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I88" t="e">
            <v>#REF!</v>
          </cell>
          <cell r="J88" t="e">
            <v>#REF!</v>
          </cell>
          <cell r="M88" t="e">
            <v>#REF!</v>
          </cell>
          <cell r="P88" t="e">
            <v>#REF!</v>
          </cell>
          <cell r="S88" t="e">
            <v>#REF!</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I89" t="e">
            <v>#REF!</v>
          </cell>
          <cell r="J89">
            <v>0</v>
          </cell>
          <cell r="K89">
            <v>0</v>
          </cell>
          <cell r="L89">
            <v>0</v>
          </cell>
          <cell r="M89">
            <v>0</v>
          </cell>
          <cell r="N89">
            <v>0</v>
          </cell>
          <cell r="O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I90" t="e">
            <v>#REF!</v>
          </cell>
          <cell r="J90" t="e">
            <v>#REF!</v>
          </cell>
          <cell r="K90" t="e">
            <v>#REF!</v>
          </cell>
          <cell r="L90" t="e">
            <v>#REF!</v>
          </cell>
          <cell r="M90" t="e">
            <v>#REF!</v>
          </cell>
          <cell r="N90" t="e">
            <v>#REF!</v>
          </cell>
          <cell r="O90" t="e">
            <v>#REF!</v>
          </cell>
          <cell r="P90">
            <v>2586.1559999999999</v>
          </cell>
          <cell r="Q90">
            <v>0</v>
          </cell>
          <cell r="R90">
            <v>0</v>
          </cell>
          <cell r="S90">
            <v>7247.7078787878781</v>
          </cell>
          <cell r="T90">
            <v>3771.5508606060603</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X93">
            <v>0</v>
          </cell>
          <cell r="Y93">
            <v>0</v>
          </cell>
          <cell r="Z93">
            <v>0</v>
          </cell>
          <cell r="AA93">
            <v>0</v>
          </cell>
          <cell r="AB93">
            <v>0</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cell r="W94" t="e">
            <v>#REF!</v>
          </cell>
          <cell r="X94">
            <v>0</v>
          </cell>
          <cell r="Y94">
            <v>0</v>
          </cell>
          <cell r="Z94">
            <v>0</v>
          </cell>
          <cell r="AC94">
            <v>0</v>
          </cell>
          <cell r="AD94">
            <v>0</v>
          </cell>
          <cell r="AE94">
            <v>0</v>
          </cell>
          <cell r="AF94">
            <v>12</v>
          </cell>
        </row>
        <row r="95">
          <cell r="C95">
            <v>37</v>
          </cell>
          <cell r="I95">
            <v>338</v>
          </cell>
          <cell r="J95">
            <v>541</v>
          </cell>
          <cell r="M95">
            <v>385</v>
          </cell>
          <cell r="P95">
            <v>445</v>
          </cell>
          <cell r="S95">
            <v>8</v>
          </cell>
          <cell r="T95">
            <v>54</v>
          </cell>
          <cell r="U95">
            <v>1754</v>
          </cell>
          <cell r="W95" t="e">
            <v>#REF!</v>
          </cell>
        </row>
        <row r="96">
          <cell r="C96">
            <v>0</v>
          </cell>
          <cell r="I96">
            <v>0</v>
          </cell>
          <cell r="J96">
            <v>0</v>
          </cell>
          <cell r="M96">
            <v>489</v>
          </cell>
          <cell r="P96">
            <v>5</v>
          </cell>
          <cell r="S96">
            <v>0</v>
          </cell>
          <cell r="U96">
            <v>494</v>
          </cell>
          <cell r="W96" t="e">
            <v>#REF!</v>
          </cell>
        </row>
        <row r="97">
          <cell r="C97">
            <v>913</v>
          </cell>
          <cell r="I97">
            <v>0</v>
          </cell>
          <cell r="J97">
            <v>0</v>
          </cell>
          <cell r="M97">
            <v>0</v>
          </cell>
          <cell r="P97">
            <v>0</v>
          </cell>
          <cell r="Q97">
            <v>0</v>
          </cell>
          <cell r="R97">
            <v>0</v>
          </cell>
          <cell r="S97">
            <v>0</v>
          </cell>
          <cell r="T97">
            <v>3771.5508606060603</v>
          </cell>
          <cell r="U97">
            <v>913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row>
        <row r="98">
          <cell r="C98" t="e">
            <v>#REF!</v>
          </cell>
          <cell r="I98" t="e">
            <v>#REF!</v>
          </cell>
          <cell r="J98" t="e">
            <v>#REF!</v>
          </cell>
          <cell r="M98" t="e">
            <v>#REF!</v>
          </cell>
          <cell r="P98">
            <v>2586.1559999999999</v>
          </cell>
          <cell r="Q98">
            <v>0</v>
          </cell>
          <cell r="R98">
            <v>0</v>
          </cell>
          <cell r="S98">
            <v>5649.7078787878781</v>
          </cell>
          <cell r="T98">
            <v>2173.5508606060603</v>
          </cell>
          <cell r="U98">
            <v>0</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row>
        <row r="99">
          <cell r="C99" t="e">
            <v>#REF!</v>
          </cell>
          <cell r="I99" t="e">
            <v>#REF!</v>
          </cell>
          <cell r="J99" t="e">
            <v>#REF!</v>
          </cell>
          <cell r="M99" t="e">
            <v>#REF!</v>
          </cell>
          <cell r="P99">
            <v>1565</v>
          </cell>
          <cell r="S99">
            <v>4895.1499999999996</v>
          </cell>
          <cell r="U99">
            <v>0</v>
          </cell>
          <cell r="V99">
            <v>0</v>
          </cell>
          <cell r="W99" t="e">
            <v>#REF!</v>
          </cell>
          <cell r="X99">
            <v>290</v>
          </cell>
          <cell r="AC99">
            <v>85</v>
          </cell>
          <cell r="AF99">
            <v>5</v>
          </cell>
        </row>
        <row r="100">
          <cell r="C100">
            <v>1058</v>
          </cell>
          <cell r="I100">
            <v>1</v>
          </cell>
          <cell r="J100">
            <v>2</v>
          </cell>
          <cell r="M100">
            <v>0</v>
          </cell>
          <cell r="P100">
            <v>31</v>
          </cell>
          <cell r="S100">
            <v>1</v>
          </cell>
          <cell r="U100">
            <v>1093</v>
          </cell>
          <cell r="W100" t="e">
            <v>#REF!</v>
          </cell>
          <cell r="X100">
            <v>290</v>
          </cell>
          <cell r="AC100">
            <v>85</v>
          </cell>
          <cell r="AF100">
            <v>5</v>
          </cell>
        </row>
        <row r="101">
          <cell r="C101">
            <v>913</v>
          </cell>
          <cell r="I101">
            <v>0</v>
          </cell>
          <cell r="J101">
            <v>0</v>
          </cell>
          <cell r="M101">
            <v>0</v>
          </cell>
          <cell r="P101">
            <v>0</v>
          </cell>
          <cell r="S101">
            <v>0</v>
          </cell>
          <cell r="U101">
            <v>913</v>
          </cell>
          <cell r="V101">
            <v>0</v>
          </cell>
          <cell r="W101" t="e">
            <v>#REF!</v>
          </cell>
          <cell r="X101">
            <v>109.5</v>
          </cell>
          <cell r="AC101">
            <v>85</v>
          </cell>
        </row>
        <row r="102">
          <cell r="C102">
            <v>50</v>
          </cell>
          <cell r="I102">
            <v>0</v>
          </cell>
          <cell r="J102">
            <v>0</v>
          </cell>
          <cell r="M102">
            <v>0</v>
          </cell>
          <cell r="P102">
            <v>0</v>
          </cell>
          <cell r="S102">
            <v>0</v>
          </cell>
          <cell r="U102">
            <v>50</v>
          </cell>
          <cell r="W102" t="e">
            <v>#REF!</v>
          </cell>
          <cell r="X102">
            <v>0</v>
          </cell>
          <cell r="AC102">
            <v>0</v>
          </cell>
          <cell r="AF102">
            <v>0</v>
          </cell>
        </row>
        <row r="103">
          <cell r="C103">
            <v>95</v>
          </cell>
          <cell r="I103">
            <v>1</v>
          </cell>
          <cell r="J103">
            <v>2</v>
          </cell>
          <cell r="M103" t="e">
            <v>#REF!</v>
          </cell>
          <cell r="P103">
            <v>31</v>
          </cell>
          <cell r="S103">
            <v>1</v>
          </cell>
          <cell r="T103">
            <v>10</v>
          </cell>
          <cell r="U103">
            <v>130</v>
          </cell>
          <cell r="W103" t="e">
            <v>#REF!</v>
          </cell>
        </row>
        <row r="104">
          <cell r="C104">
            <v>3285</v>
          </cell>
          <cell r="I104">
            <v>25</v>
          </cell>
          <cell r="J104">
            <v>59</v>
          </cell>
          <cell r="M104">
            <v>22</v>
          </cell>
          <cell r="P104">
            <v>-14</v>
          </cell>
          <cell r="S104">
            <v>539</v>
          </cell>
          <cell r="T104">
            <v>10</v>
          </cell>
          <cell r="U104">
            <v>3922</v>
          </cell>
          <cell r="W104" t="e">
            <v>#REF!</v>
          </cell>
          <cell r="X104">
            <v>80</v>
          </cell>
          <cell r="AC104">
            <v>85</v>
          </cell>
        </row>
        <row r="105">
          <cell r="C105">
            <v>0</v>
          </cell>
          <cell r="I105">
            <v>0</v>
          </cell>
          <cell r="J105" t="e">
            <v>#REF!</v>
          </cell>
          <cell r="M105" t="e">
            <v>#REF!</v>
          </cell>
          <cell r="P105">
            <v>0</v>
          </cell>
          <cell r="S105">
            <v>261</v>
          </cell>
          <cell r="U105">
            <v>261</v>
          </cell>
          <cell r="W105" t="e">
            <v>#REF!</v>
          </cell>
          <cell r="X105">
            <v>0</v>
          </cell>
        </row>
        <row r="106">
          <cell r="C106">
            <v>3285</v>
          </cell>
          <cell r="I106">
            <v>25</v>
          </cell>
          <cell r="J106">
            <v>59</v>
          </cell>
          <cell r="M106">
            <v>22</v>
          </cell>
          <cell r="P106">
            <v>-14</v>
          </cell>
          <cell r="S106">
            <v>278</v>
          </cell>
          <cell r="T106">
            <v>55</v>
          </cell>
          <cell r="U106">
            <v>3661</v>
          </cell>
          <cell r="V106" t="e">
            <v>#REF!</v>
          </cell>
          <cell r="W106" t="e">
            <v>#REF!</v>
          </cell>
          <cell r="X106">
            <v>80</v>
          </cell>
          <cell r="Y106">
            <v>0</v>
          </cell>
          <cell r="AC106">
            <v>85</v>
          </cell>
        </row>
        <row r="107">
          <cell r="C107">
            <v>0</v>
          </cell>
          <cell r="I107">
            <v>420</v>
          </cell>
          <cell r="J107">
            <v>656</v>
          </cell>
          <cell r="M107" t="e">
            <v>#REF!</v>
          </cell>
          <cell r="P107">
            <v>0</v>
          </cell>
          <cell r="T107">
            <v>55</v>
          </cell>
          <cell r="U107">
            <v>-38.052597442759001</v>
          </cell>
          <cell r="V107">
            <v>-38.052597442759001</v>
          </cell>
          <cell r="W107">
            <v>0</v>
          </cell>
        </row>
        <row r="108">
          <cell r="C108">
            <v>-808</v>
          </cell>
          <cell r="D108">
            <v>0</v>
          </cell>
          <cell r="E108">
            <v>0</v>
          </cell>
          <cell r="I108">
            <v>420</v>
          </cell>
          <cell r="J108">
            <v>656</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v>0</v>
          </cell>
          <cell r="D109">
            <v>0</v>
          </cell>
          <cell r="E109">
            <v>0</v>
          </cell>
          <cell r="I109" t="e">
            <v>#REF!</v>
          </cell>
          <cell r="J109" t="e">
            <v>#REF!</v>
          </cell>
          <cell r="M109">
            <v>0</v>
          </cell>
          <cell r="N109">
            <v>0</v>
          </cell>
          <cell r="O109">
            <v>0</v>
          </cell>
          <cell r="P109">
            <v>0</v>
          </cell>
          <cell r="S109">
            <v>-17.850000000000364</v>
          </cell>
          <cell r="T109">
            <v>0</v>
          </cell>
          <cell r="U109">
            <v>0</v>
          </cell>
          <cell r="V109">
            <v>0</v>
          </cell>
          <cell r="W109">
            <v>0</v>
          </cell>
          <cell r="X109">
            <v>0</v>
          </cell>
          <cell r="AC109">
            <v>0</v>
          </cell>
          <cell r="AF109">
            <v>0</v>
          </cell>
        </row>
        <row r="110">
          <cell r="C110" t="e">
            <v>#REF!</v>
          </cell>
          <cell r="I110">
            <v>0</v>
          </cell>
          <cell r="J110">
            <v>0</v>
          </cell>
          <cell r="M110">
            <v>0</v>
          </cell>
          <cell r="P110">
            <v>0</v>
          </cell>
          <cell r="S110">
            <v>-17.850000000000364</v>
          </cell>
          <cell r="U110">
            <v>0</v>
          </cell>
          <cell r="W110" t="e">
            <v>#REF!</v>
          </cell>
          <cell r="AC110">
            <v>0</v>
          </cell>
          <cell r="AF110">
            <v>0</v>
          </cell>
        </row>
        <row r="111">
          <cell r="C111">
            <v>56.375</v>
          </cell>
          <cell r="I111">
            <v>213.25</v>
          </cell>
          <cell r="J111">
            <v>310.75</v>
          </cell>
          <cell r="M111">
            <v>114.125</v>
          </cell>
          <cell r="P111">
            <v>244.25</v>
          </cell>
          <cell r="S111">
            <v>537.625</v>
          </cell>
          <cell r="U111">
            <v>1568.5</v>
          </cell>
          <cell r="W111" t="e">
            <v>#REF!</v>
          </cell>
          <cell r="AC111">
            <v>0</v>
          </cell>
          <cell r="AF111">
            <v>0</v>
          </cell>
        </row>
        <row r="112">
          <cell r="C112">
            <v>1.25</v>
          </cell>
          <cell r="I112">
            <v>13</v>
          </cell>
          <cell r="J112">
            <v>9.3333333333333339</v>
          </cell>
          <cell r="M112">
            <v>0</v>
          </cell>
          <cell r="P112">
            <v>30</v>
          </cell>
          <cell r="S112">
            <v>0</v>
          </cell>
          <cell r="U112">
            <v>53.583333333333336</v>
          </cell>
          <cell r="V112" t="e">
            <v>#REF!</v>
          </cell>
          <cell r="W112" t="e">
            <v>#REF!</v>
          </cell>
          <cell r="X112">
            <v>0</v>
          </cell>
          <cell r="AC112">
            <v>0</v>
          </cell>
          <cell r="AF112">
            <v>0</v>
          </cell>
        </row>
        <row r="113">
          <cell r="C113">
            <v>-12710</v>
          </cell>
          <cell r="P113">
            <v>0</v>
          </cell>
          <cell r="S113">
            <v>18</v>
          </cell>
          <cell r="W113">
            <v>-12710</v>
          </cell>
          <cell r="X113">
            <v>0</v>
          </cell>
          <cell r="AC113">
            <v>0</v>
          </cell>
          <cell r="AF113">
            <v>0</v>
          </cell>
        </row>
        <row r="114">
          <cell r="C114" t="e">
            <v>#REF!</v>
          </cell>
          <cell r="P114">
            <v>0</v>
          </cell>
          <cell r="S114">
            <v>18</v>
          </cell>
          <cell r="U114" t="e">
            <v>#REF!</v>
          </cell>
          <cell r="V114" t="e">
            <v>#REF!</v>
          </cell>
          <cell r="W114" t="e">
            <v>#REF!</v>
          </cell>
          <cell r="X114">
            <v>0</v>
          </cell>
          <cell r="AC114">
            <v>0</v>
          </cell>
          <cell r="AF114">
            <v>0</v>
          </cell>
        </row>
        <row r="115">
          <cell r="C115">
            <v>0</v>
          </cell>
          <cell r="D115">
            <v>0</v>
          </cell>
          <cell r="E115">
            <v>0</v>
          </cell>
          <cell r="I115" t="e">
            <v>#REF!</v>
          </cell>
          <cell r="J115" t="e">
            <v>#REF!</v>
          </cell>
          <cell r="M115" t="e">
            <v>#REF!</v>
          </cell>
          <cell r="N115">
            <v>0</v>
          </cell>
          <cell r="O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W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cell r="AC118">
            <v>0</v>
          </cell>
        </row>
        <row r="119">
          <cell r="P119" t="str">
            <v/>
          </cell>
          <cell r="S119">
            <v>0</v>
          </cell>
          <cell r="U119">
            <v>-230.79318209931299</v>
          </cell>
          <cell r="W119" t="e">
            <v>#REF!</v>
          </cell>
          <cell r="X119" t="e">
            <v>#REF!</v>
          </cell>
          <cell r="Y119" t="e">
            <v>#REF!</v>
          </cell>
          <cell r="AC119">
            <v>0</v>
          </cell>
        </row>
        <row r="120">
          <cell r="P120">
            <v>0</v>
          </cell>
          <cell r="S120">
            <v>0</v>
          </cell>
          <cell r="U120">
            <v>-380.52597442758997</v>
          </cell>
          <cell r="V120">
            <v>6725.3341754385983</v>
          </cell>
          <cell r="W120">
            <v>-7406.8601498661901</v>
          </cell>
          <cell r="X120" t="e">
            <v>#REF!</v>
          </cell>
          <cell r="AC120">
            <v>0</v>
          </cell>
          <cell r="AF120">
            <v>0</v>
          </cell>
        </row>
        <row r="121">
          <cell r="P121">
            <v>0</v>
          </cell>
          <cell r="S121">
            <v>0</v>
          </cell>
          <cell r="U121">
            <v>0</v>
          </cell>
          <cell r="W121">
            <v>0</v>
          </cell>
          <cell r="X121">
            <v>0</v>
          </cell>
          <cell r="Z121">
            <v>0</v>
          </cell>
          <cell r="AC121">
            <v>0</v>
          </cell>
        </row>
        <row r="122">
          <cell r="U122">
            <v>-149.73279232827699</v>
          </cell>
          <cell r="AC122">
            <v>0</v>
          </cell>
        </row>
        <row r="123">
          <cell r="S123">
            <v>0</v>
          </cell>
          <cell r="U123">
            <v>7.59</v>
          </cell>
          <cell r="X123">
            <v>0</v>
          </cell>
          <cell r="AF123">
            <v>0</v>
          </cell>
        </row>
        <row r="124">
          <cell r="U124">
            <v>0</v>
          </cell>
          <cell r="W124">
            <v>24998</v>
          </cell>
          <cell r="Y124">
            <v>24998</v>
          </cell>
          <cell r="Z124">
            <v>0</v>
          </cell>
          <cell r="AB124">
            <v>0</v>
          </cell>
        </row>
        <row r="125">
          <cell r="T125">
            <v>0</v>
          </cell>
          <cell r="U125">
            <v>8678</v>
          </cell>
          <cell r="W125">
            <v>8678</v>
          </cell>
          <cell r="X125" t="e">
            <v>#VALUE!</v>
          </cell>
          <cell r="Z125">
            <v>0</v>
          </cell>
          <cell r="AC125">
            <v>0</v>
          </cell>
          <cell r="AE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P128">
            <v>274</v>
          </cell>
          <cell r="Q128">
            <v>0</v>
          </cell>
          <cell r="R128">
            <v>0</v>
          </cell>
          <cell r="S128">
            <v>0.1499999999996362</v>
          </cell>
          <cell r="T128">
            <v>0</v>
          </cell>
          <cell r="U128">
            <v>56.44</v>
          </cell>
          <cell r="V128">
            <v>0</v>
          </cell>
          <cell r="W128">
            <v>0</v>
          </cell>
          <cell r="X128">
            <v>0</v>
          </cell>
          <cell r="Y128">
            <v>0</v>
          </cell>
          <cell r="Z128">
            <v>0</v>
          </cell>
          <cell r="AA128">
            <v>0</v>
          </cell>
          <cell r="AB128">
            <v>0</v>
          </cell>
          <cell r="AC128" t="e">
            <v>#DIV/0!</v>
          </cell>
          <cell r="AD128">
            <v>0</v>
          </cell>
          <cell r="AE128">
            <v>0</v>
          </cell>
          <cell r="AF128">
            <v>0</v>
          </cell>
        </row>
        <row r="129">
          <cell r="J129">
            <v>0</v>
          </cell>
          <cell r="P129">
            <v>548</v>
          </cell>
          <cell r="S129">
            <v>0.2999999999992724</v>
          </cell>
          <cell r="U129">
            <v>0</v>
          </cell>
          <cell r="X129">
            <v>0</v>
          </cell>
          <cell r="Y129">
            <v>0</v>
          </cell>
          <cell r="Z129">
            <v>0</v>
          </cell>
          <cell r="AC129">
            <v>0</v>
          </cell>
          <cell r="AD129">
            <v>0</v>
          </cell>
          <cell r="AE129">
            <v>0</v>
          </cell>
          <cell r="AF129">
            <v>0</v>
          </cell>
        </row>
        <row r="130">
          <cell r="W130">
            <v>11.87</v>
          </cell>
          <cell r="Z130" t="e">
            <v>#DIV/0!</v>
          </cell>
        </row>
        <row r="131">
          <cell r="T131">
            <v>0</v>
          </cell>
          <cell r="U131">
            <v>8.49</v>
          </cell>
          <cell r="V131">
            <v>25363</v>
          </cell>
          <cell r="W131">
            <v>0</v>
          </cell>
          <cell r="X131">
            <v>0</v>
          </cell>
          <cell r="AC131" t="e">
            <v>#DIV/0!</v>
          </cell>
        </row>
        <row r="132">
          <cell r="T132">
            <v>0</v>
          </cell>
          <cell r="U132">
            <v>0</v>
          </cell>
          <cell r="V132">
            <v>187.5</v>
          </cell>
          <cell r="W132" t="e">
            <v>#REF!</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8678</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cell r="AD142">
            <v>2918</v>
          </cell>
          <cell r="AE142">
            <v>3056.6658245614035</v>
          </cell>
          <cell r="AF142">
            <v>5197.8601498661919</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0</v>
          </cell>
          <cell r="I145">
            <v>0</v>
          </cell>
          <cell r="J145">
            <v>0</v>
          </cell>
          <cell r="M145">
            <v>0</v>
          </cell>
          <cell r="P145">
            <v>0</v>
          </cell>
          <cell r="S145">
            <v>0</v>
          </cell>
          <cell r="T145">
            <v>312</v>
          </cell>
          <cell r="U145">
            <v>0</v>
          </cell>
          <cell r="W145">
            <v>3847.9000000000005</v>
          </cell>
        </row>
        <row r="146">
          <cell r="C146">
            <v>80</v>
          </cell>
          <cell r="I146">
            <v>615</v>
          </cell>
          <cell r="J146">
            <v>1790</v>
          </cell>
          <cell r="M146">
            <v>592</v>
          </cell>
          <cell r="P146">
            <v>1325</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v>0</v>
          </cell>
          <cell r="J149" t="e">
            <v>#REF!</v>
          </cell>
          <cell r="M149" t="e">
            <v>#REF!</v>
          </cell>
          <cell r="P149" t="e">
            <v>#REF!</v>
          </cell>
          <cell r="U149">
            <v>0</v>
          </cell>
          <cell r="W149" t="e">
            <v>#REF!</v>
          </cell>
        </row>
        <row r="150">
          <cell r="C150">
            <v>17.179166666666667</v>
          </cell>
          <cell r="I150">
            <v>35</v>
          </cell>
          <cell r="J150">
            <v>282</v>
          </cell>
          <cell r="K150">
            <v>0</v>
          </cell>
          <cell r="L150">
            <v>0</v>
          </cell>
          <cell r="M150">
            <v>0</v>
          </cell>
          <cell r="N150" t="e">
            <v>#REF!</v>
          </cell>
          <cell r="O150">
            <v>0</v>
          </cell>
          <cell r="P150">
            <v>0</v>
          </cell>
          <cell r="S150">
            <v>0</v>
          </cell>
          <cell r="T150">
            <v>630</v>
          </cell>
          <cell r="U150">
            <v>317</v>
          </cell>
          <cell r="W150">
            <v>1774.0124999999998</v>
          </cell>
        </row>
        <row r="151">
          <cell r="C151">
            <v>17.179166666666667</v>
          </cell>
          <cell r="I151">
            <v>502</v>
          </cell>
          <cell r="J151">
            <v>1041.8333333333333</v>
          </cell>
          <cell r="M151">
            <v>213</v>
          </cell>
          <cell r="U151">
            <v>1774.0124999999998</v>
          </cell>
          <cell r="W151">
            <v>0</v>
          </cell>
        </row>
        <row r="152">
          <cell r="C152">
            <v>0</v>
          </cell>
          <cell r="I152">
            <v>0</v>
          </cell>
          <cell r="J152">
            <v>0</v>
          </cell>
          <cell r="M152">
            <v>0</v>
          </cell>
          <cell r="P152" t="e">
            <v>#REF!</v>
          </cell>
          <cell r="U152">
            <v>0</v>
          </cell>
          <cell r="W152" t="e">
            <v>#REF!</v>
          </cell>
        </row>
        <row r="153">
          <cell r="C153">
            <v>80</v>
          </cell>
          <cell r="I153">
            <v>580</v>
          </cell>
          <cell r="J153">
            <v>1508</v>
          </cell>
          <cell r="M153">
            <v>592</v>
          </cell>
          <cell r="P153">
            <v>1325</v>
          </cell>
          <cell r="U153">
            <v>4085</v>
          </cell>
          <cell r="W153" t="e">
            <v>#REF!</v>
          </cell>
        </row>
        <row r="154">
          <cell r="C154">
            <v>80</v>
          </cell>
          <cell r="I154">
            <v>580</v>
          </cell>
          <cell r="J154">
            <v>1508</v>
          </cell>
          <cell r="M154">
            <v>592</v>
          </cell>
          <cell r="P154">
            <v>1325</v>
          </cell>
          <cell r="W154" t="e">
            <v>#REF!</v>
          </cell>
          <cell r="Y154">
            <v>1507.2</v>
          </cell>
        </row>
        <row r="155">
          <cell r="I155">
            <v>0</v>
          </cell>
          <cell r="J155">
            <v>0</v>
          </cell>
          <cell r="M155">
            <v>0</v>
          </cell>
          <cell r="O155">
            <v>250</v>
          </cell>
          <cell r="P155">
            <v>0</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v>0</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57</v>
          </cell>
          <cell r="J160" t="e">
            <v>#REF!</v>
          </cell>
          <cell r="M160" t="e">
            <v>#REF!</v>
          </cell>
          <cell r="N160" t="e">
            <v>#REF!</v>
          </cell>
          <cell r="O160">
            <v>250</v>
          </cell>
          <cell r="P160">
            <v>0</v>
          </cell>
          <cell r="S160">
            <v>0</v>
          </cell>
          <cell r="U160" t="e">
            <v>#REF!</v>
          </cell>
          <cell r="X160">
            <v>0</v>
          </cell>
          <cell r="AC160">
            <v>0</v>
          </cell>
        </row>
        <row r="161">
          <cell r="C161">
            <v>0</v>
          </cell>
          <cell r="J161" t="e">
            <v>#REF!</v>
          </cell>
          <cell r="M161" t="e">
            <v>#REF!</v>
          </cell>
          <cell r="N161" t="e">
            <v>#REF!</v>
          </cell>
          <cell r="P161">
            <v>870.40000000000009</v>
          </cell>
          <cell r="S161">
            <v>1918.4</v>
          </cell>
          <cell r="U161" t="e">
            <v>#REF!</v>
          </cell>
          <cell r="X161">
            <v>903.2</v>
          </cell>
          <cell r="AA161" t="e">
            <v>#REF!</v>
          </cell>
          <cell r="AC161">
            <v>622.4</v>
          </cell>
          <cell r="AF161">
            <v>1475</v>
          </cell>
        </row>
        <row r="162">
          <cell r="I162">
            <v>0</v>
          </cell>
          <cell r="J162">
            <v>82.5</v>
          </cell>
          <cell r="M162">
            <v>82.5</v>
          </cell>
          <cell r="N162">
            <v>82.5</v>
          </cell>
          <cell r="P162">
            <v>510.40000000000003</v>
          </cell>
          <cell r="Q162">
            <v>63.33</v>
          </cell>
          <cell r="R162">
            <v>63.33</v>
          </cell>
          <cell r="S162">
            <v>1345</v>
          </cell>
          <cell r="T162">
            <v>63.33</v>
          </cell>
          <cell r="U162">
            <v>82.5</v>
          </cell>
          <cell r="X162">
            <v>837</v>
          </cell>
          <cell r="Z162" t="str">
            <v>ОЧИК.18.02.</v>
          </cell>
          <cell r="AC162">
            <v>468</v>
          </cell>
          <cell r="AD162" t="e">
            <v>#REF!</v>
          </cell>
          <cell r="AF162">
            <v>378</v>
          </cell>
        </row>
        <row r="163">
          <cell r="I163">
            <v>0</v>
          </cell>
          <cell r="J163" t="e">
            <v>#REF!</v>
          </cell>
          <cell r="M163" t="e">
            <v>#REF!</v>
          </cell>
          <cell r="N163" t="e">
            <v>#REF!</v>
          </cell>
          <cell r="P163">
            <v>120</v>
          </cell>
          <cell r="S163">
            <v>0</v>
          </cell>
          <cell r="U163" t="e">
            <v>#REF!</v>
          </cell>
          <cell r="X163">
            <v>126</v>
          </cell>
          <cell r="AC163" t="str">
            <v>ОЧИК.18.02.</v>
          </cell>
          <cell r="AF163">
            <v>100</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v>70</v>
          </cell>
          <cell r="Q164" t="str">
            <v>Е/Е</v>
          </cell>
          <cell r="R164" t="str">
            <v xml:space="preserve"> Т/Е</v>
          </cell>
          <cell r="S164">
            <v>0</v>
          </cell>
          <cell r="T164" t="str">
            <v>ДОП.ВИР. СТ.ОРГ.</v>
          </cell>
          <cell r="U164" t="e">
            <v>#REF!</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row>
        <row r="165">
          <cell r="C165" t="str">
            <v>АПАРАТ ВСЬОГО</v>
          </cell>
          <cell r="D165" t="str">
            <v>АПАРАТ ЕЛЕКТРО</v>
          </cell>
          <cell r="E165" t="str">
            <v>АПАРАТ ТЕПЛО</v>
          </cell>
          <cell r="I165" t="str">
            <v>ККМ</v>
          </cell>
          <cell r="J165" t="str">
            <v>КТМ</v>
          </cell>
          <cell r="K165">
            <v>2.78</v>
          </cell>
          <cell r="L165">
            <v>2.78</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7">
          <cell r="J167">
            <v>4.2000000000000028</v>
          </cell>
          <cell r="M167">
            <v>31.319999999999993</v>
          </cell>
          <cell r="N167" t="e">
            <v>#REF!</v>
          </cell>
          <cell r="P167">
            <v>153</v>
          </cell>
          <cell r="S167">
            <v>679.5454545454545</v>
          </cell>
          <cell r="U167" t="e">
            <v>#REF!</v>
          </cell>
          <cell r="W167">
            <v>57.239999999999995</v>
          </cell>
          <cell r="X167">
            <v>236.36363636363637</v>
          </cell>
          <cell r="Z167">
            <v>221.49122807017542</v>
          </cell>
          <cell r="AC167">
            <v>159.36363636363637</v>
          </cell>
          <cell r="AF167">
            <v>296.27272727272725</v>
          </cell>
        </row>
        <row r="168">
          <cell r="J168">
            <v>0.75</v>
          </cell>
          <cell r="M168">
            <v>26.159999999999997</v>
          </cell>
          <cell r="P168">
            <v>17.39</v>
          </cell>
          <cell r="S168">
            <v>1238.8545454545456</v>
          </cell>
          <cell r="U168">
            <v>44.3</v>
          </cell>
          <cell r="W168">
            <v>65.146999999999991</v>
          </cell>
          <cell r="X168">
            <v>666.83636363636367</v>
          </cell>
          <cell r="Z168">
            <v>252.49999999999997</v>
          </cell>
          <cell r="AC168">
            <v>221.49122807017542</v>
          </cell>
        </row>
        <row r="169">
          <cell r="I169">
            <v>0</v>
          </cell>
          <cell r="J169">
            <v>0.78999999999999915</v>
          </cell>
          <cell r="M169">
            <v>29.880000000000003</v>
          </cell>
          <cell r="P169">
            <v>19.82</v>
          </cell>
          <cell r="S169">
            <v>1918.4</v>
          </cell>
          <cell r="T169">
            <v>82.5</v>
          </cell>
          <cell r="U169">
            <v>50.49</v>
          </cell>
          <cell r="W169">
            <v>82.5</v>
          </cell>
          <cell r="X169">
            <v>903.2</v>
          </cell>
          <cell r="Z169">
            <v>66</v>
          </cell>
          <cell r="AC169">
            <v>252.49999999999997</v>
          </cell>
        </row>
        <row r="170">
          <cell r="I170">
            <v>0</v>
          </cell>
          <cell r="J170">
            <v>82.5</v>
          </cell>
          <cell r="M170">
            <v>82.5</v>
          </cell>
          <cell r="P170">
            <v>82.5</v>
          </cell>
          <cell r="S170">
            <v>82.5</v>
          </cell>
          <cell r="T170">
            <v>82.5</v>
          </cell>
          <cell r="U170">
            <v>82.5</v>
          </cell>
          <cell r="W170">
            <v>288.75</v>
          </cell>
          <cell r="X170">
            <v>0</v>
          </cell>
          <cell r="Z170">
            <v>143.91299999999998</v>
          </cell>
          <cell r="AC170">
            <v>66</v>
          </cell>
        </row>
        <row r="171">
          <cell r="I171">
            <v>0</v>
          </cell>
          <cell r="J171">
            <v>176.84</v>
          </cell>
          <cell r="M171">
            <v>176.84</v>
          </cell>
          <cell r="P171">
            <v>176.84</v>
          </cell>
          <cell r="S171">
            <v>0</v>
          </cell>
          <cell r="U171">
            <v>176.84</v>
          </cell>
          <cell r="W171">
            <v>16528</v>
          </cell>
          <cell r="X171">
            <v>0</v>
          </cell>
          <cell r="Z171">
            <v>31875</v>
          </cell>
          <cell r="AC171">
            <v>143.91299999999998</v>
          </cell>
          <cell r="AF171">
            <v>0</v>
          </cell>
        </row>
        <row r="172">
          <cell r="J172">
            <v>133</v>
          </cell>
          <cell r="M172">
            <v>4626</v>
          </cell>
          <cell r="P172">
            <v>3075</v>
          </cell>
          <cell r="Q172">
            <v>0</v>
          </cell>
          <cell r="R172">
            <v>0</v>
          </cell>
          <cell r="S172">
            <v>4913.1499999999996</v>
          </cell>
          <cell r="T172">
            <v>0</v>
          </cell>
          <cell r="U172">
            <v>7834</v>
          </cell>
          <cell r="V172">
            <v>0</v>
          </cell>
          <cell r="W172">
            <v>0</v>
          </cell>
          <cell r="X172">
            <v>290</v>
          </cell>
          <cell r="Y172">
            <v>0</v>
          </cell>
          <cell r="Z172">
            <v>0</v>
          </cell>
          <cell r="AA172">
            <v>0</v>
          </cell>
          <cell r="AB172">
            <v>0</v>
          </cell>
          <cell r="AC172">
            <v>31875</v>
          </cell>
          <cell r="AD172">
            <v>0</v>
          </cell>
          <cell r="AE172">
            <v>0</v>
          </cell>
          <cell r="AF172">
            <v>5</v>
          </cell>
        </row>
        <row r="173">
          <cell r="J173">
            <v>40.5</v>
          </cell>
          <cell r="M173">
            <v>48.28</v>
          </cell>
          <cell r="P173">
            <v>1565</v>
          </cell>
          <cell r="Q173">
            <v>0</v>
          </cell>
          <cell r="R173">
            <v>0</v>
          </cell>
          <cell r="S173">
            <v>4913.1499999999996</v>
          </cell>
          <cell r="T173">
            <v>0</v>
          </cell>
          <cell r="U173">
            <v>7834</v>
          </cell>
          <cell r="V173">
            <v>0</v>
          </cell>
          <cell r="W173">
            <v>0</v>
          </cell>
          <cell r="X173">
            <v>290</v>
          </cell>
          <cell r="Y173">
            <v>0</v>
          </cell>
          <cell r="Z173">
            <v>0</v>
          </cell>
          <cell r="AA173">
            <v>0</v>
          </cell>
          <cell r="AB173">
            <v>0</v>
          </cell>
          <cell r="AC173">
            <v>85</v>
          </cell>
          <cell r="AD173">
            <v>0</v>
          </cell>
          <cell r="AE173">
            <v>0</v>
          </cell>
          <cell r="AF173">
            <v>5</v>
          </cell>
        </row>
        <row r="174">
          <cell r="C174">
            <v>75</v>
          </cell>
          <cell r="I174">
            <v>75</v>
          </cell>
          <cell r="J174">
            <v>10.15</v>
          </cell>
          <cell r="M174">
            <v>38.94</v>
          </cell>
          <cell r="P174">
            <v>31.61</v>
          </cell>
          <cell r="R174">
            <v>0</v>
          </cell>
          <cell r="S174">
            <v>0</v>
          </cell>
          <cell r="T174">
            <v>0</v>
          </cell>
          <cell r="U174">
            <v>80.7</v>
          </cell>
          <cell r="V174">
            <v>0</v>
          </cell>
          <cell r="W174">
            <v>0</v>
          </cell>
          <cell r="X174">
            <v>0</v>
          </cell>
          <cell r="Y174">
            <v>0</v>
          </cell>
          <cell r="Z174">
            <v>0</v>
          </cell>
          <cell r="AA174">
            <v>0</v>
          </cell>
          <cell r="AB174">
            <v>0</v>
          </cell>
          <cell r="AC174">
            <v>0</v>
          </cell>
          <cell r="AE174">
            <v>0</v>
          </cell>
          <cell r="AF174">
            <v>0</v>
          </cell>
        </row>
        <row r="175">
          <cell r="J175">
            <v>11.56</v>
          </cell>
          <cell r="K175">
            <v>0</v>
          </cell>
          <cell r="L175">
            <v>0</v>
          </cell>
          <cell r="M175">
            <v>44.35</v>
          </cell>
          <cell r="P175">
            <v>36</v>
          </cell>
          <cell r="U175">
            <v>91.91</v>
          </cell>
          <cell r="W175">
            <v>63.33</v>
          </cell>
          <cell r="X175">
            <v>195.28</v>
          </cell>
        </row>
        <row r="176">
          <cell r="J176">
            <v>63.33</v>
          </cell>
          <cell r="M176">
            <v>63.33</v>
          </cell>
          <cell r="P176">
            <v>63.33</v>
          </cell>
          <cell r="U176">
            <v>63.33</v>
          </cell>
          <cell r="W176">
            <v>216.84</v>
          </cell>
          <cell r="X176">
            <v>14810</v>
          </cell>
        </row>
        <row r="177">
          <cell r="J177">
            <v>135.75</v>
          </cell>
          <cell r="M177">
            <v>135.75</v>
          </cell>
          <cell r="P177">
            <v>135.75</v>
          </cell>
          <cell r="U177">
            <v>135.75</v>
          </cell>
          <cell r="V177" t="e">
            <v>#REF!</v>
          </cell>
          <cell r="W177">
            <v>29438</v>
          </cell>
        </row>
        <row r="178">
          <cell r="J178">
            <v>1378</v>
          </cell>
          <cell r="M178">
            <v>5286</v>
          </cell>
          <cell r="N178" t="e">
            <v>#REF!</v>
          </cell>
          <cell r="O178" t="e">
            <v>#REF!</v>
          </cell>
          <cell r="P178">
            <v>4291</v>
          </cell>
          <cell r="Q178">
            <v>0</v>
          </cell>
          <cell r="R178">
            <v>0</v>
          </cell>
          <cell r="S178">
            <v>1900.3199999999997</v>
          </cell>
          <cell r="T178">
            <v>598.00952727272715</v>
          </cell>
          <cell r="U178">
            <v>10955</v>
          </cell>
          <cell r="V178">
            <v>0</v>
          </cell>
          <cell r="W178">
            <v>0</v>
          </cell>
          <cell r="X178">
            <v>643.65000000000009</v>
          </cell>
          <cell r="Y178">
            <v>74.900000000000006</v>
          </cell>
          <cell r="Z178">
            <v>281.5</v>
          </cell>
          <cell r="AA178">
            <v>0</v>
          </cell>
          <cell r="AB178">
            <v>0</v>
          </cell>
          <cell r="AC178">
            <v>537.76</v>
          </cell>
          <cell r="AF178">
            <v>1730.76</v>
          </cell>
        </row>
        <row r="179">
          <cell r="J179">
            <v>0</v>
          </cell>
          <cell r="M179">
            <v>0</v>
          </cell>
          <cell r="N179" t="e">
            <v>#REF!</v>
          </cell>
          <cell r="O179" t="e">
            <v>#REF!</v>
          </cell>
          <cell r="P179">
            <v>153</v>
          </cell>
          <cell r="Q179">
            <v>0</v>
          </cell>
          <cell r="R179">
            <v>0</v>
          </cell>
          <cell r="S179">
            <v>679.5454545454545</v>
          </cell>
          <cell r="T179">
            <v>0</v>
          </cell>
          <cell r="U179">
            <v>10955</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row>
        <row r="180">
          <cell r="J180">
            <v>0</v>
          </cell>
          <cell r="M180">
            <v>4.3</v>
          </cell>
          <cell r="N180" t="e">
            <v>#REF!</v>
          </cell>
          <cell r="O180" t="e">
            <v>#REF!</v>
          </cell>
          <cell r="P180">
            <v>4.2</v>
          </cell>
          <cell r="Q180">
            <v>0</v>
          </cell>
          <cell r="R180">
            <v>0</v>
          </cell>
          <cell r="S180">
            <v>13.666666666666666</v>
          </cell>
          <cell r="T180">
            <v>13.666666666666666</v>
          </cell>
          <cell r="U180">
            <v>8.5</v>
          </cell>
          <cell r="V180">
            <v>0</v>
          </cell>
          <cell r="W180">
            <v>0</v>
          </cell>
          <cell r="X180">
            <v>708.80000000000007</v>
          </cell>
          <cell r="Y180">
            <v>121.7</v>
          </cell>
          <cell r="Z180">
            <v>103.9</v>
          </cell>
          <cell r="AA180">
            <v>0</v>
          </cell>
          <cell r="AB180">
            <v>0</v>
          </cell>
          <cell r="AC180">
            <v>75.839416058394164</v>
          </cell>
          <cell r="AF180">
            <v>12</v>
          </cell>
        </row>
        <row r="181">
          <cell r="C181">
            <v>75</v>
          </cell>
          <cell r="I181">
            <v>75</v>
          </cell>
          <cell r="J181">
            <v>0</v>
          </cell>
          <cell r="M181">
            <v>5.9</v>
          </cell>
          <cell r="P181">
            <v>5.8</v>
          </cell>
          <cell r="T181">
            <v>0</v>
          </cell>
          <cell r="U181">
            <v>11.7</v>
          </cell>
          <cell r="V181" t="e">
            <v>#REF!</v>
          </cell>
          <cell r="W181">
            <v>100.5</v>
          </cell>
          <cell r="X181">
            <v>52</v>
          </cell>
          <cell r="Y181">
            <v>52</v>
          </cell>
          <cell r="Z181">
            <v>89.557440953909662</v>
          </cell>
          <cell r="AC181">
            <v>103.9</v>
          </cell>
        </row>
        <row r="182">
          <cell r="C182">
            <v>75</v>
          </cell>
          <cell r="I182">
            <v>75</v>
          </cell>
          <cell r="J182">
            <v>100.5</v>
          </cell>
          <cell r="K182">
            <v>0</v>
          </cell>
          <cell r="L182">
            <v>0</v>
          </cell>
          <cell r="M182">
            <v>100.5</v>
          </cell>
          <cell r="P182">
            <v>100.5</v>
          </cell>
          <cell r="T182">
            <v>0</v>
          </cell>
          <cell r="U182">
            <v>100.5</v>
          </cell>
          <cell r="V182" t="e">
            <v>#REF!</v>
          </cell>
          <cell r="W182">
            <v>344.11199999999997</v>
          </cell>
          <cell r="X182">
            <v>43426</v>
          </cell>
          <cell r="Y182">
            <v>9167.3552188552203</v>
          </cell>
          <cell r="Z182">
            <v>195.28</v>
          </cell>
          <cell r="AC182">
            <v>89.557440953909662</v>
          </cell>
          <cell r="AF182">
            <v>75</v>
          </cell>
        </row>
        <row r="183">
          <cell r="J183">
            <v>215.42175</v>
          </cell>
          <cell r="K183">
            <v>0</v>
          </cell>
          <cell r="L183">
            <v>0</v>
          </cell>
          <cell r="M183">
            <v>215.42175</v>
          </cell>
          <cell r="P183">
            <v>215.42175</v>
          </cell>
          <cell r="S183">
            <v>1460.8666666666668</v>
          </cell>
          <cell r="U183">
            <v>215.42175</v>
          </cell>
          <cell r="W183">
            <v>0</v>
          </cell>
          <cell r="X183">
            <v>363.19999999999868</v>
          </cell>
          <cell r="Z183">
            <v>14810</v>
          </cell>
          <cell r="AC183">
            <v>195.28</v>
          </cell>
          <cell r="AF183">
            <v>1259.4666666666667</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X186">
            <v>17090</v>
          </cell>
          <cell r="Y186">
            <v>28877</v>
          </cell>
          <cell r="Z186">
            <v>46685</v>
          </cell>
          <cell r="AA186">
            <v>9811.1854657688</v>
          </cell>
          <cell r="AB186">
            <v>36873.814534231198</v>
          </cell>
          <cell r="AC186">
            <v>356.4</v>
          </cell>
          <cell r="AD186">
            <v>74.900000000000006</v>
          </cell>
          <cell r="AE186">
            <v>281.5</v>
          </cell>
        </row>
        <row r="187">
          <cell r="J187">
            <v>1511</v>
          </cell>
          <cell r="M187">
            <v>10838</v>
          </cell>
          <cell r="N187">
            <v>7550</v>
          </cell>
          <cell r="O187">
            <v>3288</v>
          </cell>
          <cell r="P187">
            <v>8271</v>
          </cell>
          <cell r="Q187">
            <v>5299</v>
          </cell>
          <cell r="R187">
            <v>2972</v>
          </cell>
          <cell r="S187" t="str">
            <v>КТМ</v>
          </cell>
          <cell r="T187" t="str">
            <v/>
          </cell>
          <cell r="U187">
            <v>20620</v>
          </cell>
          <cell r="V187">
            <v>12849</v>
          </cell>
          <cell r="W187">
            <v>7771</v>
          </cell>
          <cell r="X187" t="str">
            <v>ТЕЦ-5 ВСЬОГО</v>
          </cell>
          <cell r="Y187" t="str">
            <v>Е/Е</v>
          </cell>
          <cell r="Z187" t="str">
            <v xml:space="preserve"> Т/Е</v>
          </cell>
          <cell r="AA187">
            <v>130.99</v>
          </cell>
          <cell r="AB187">
            <v>130.99</v>
          </cell>
          <cell r="AC187">
            <v>46685</v>
          </cell>
          <cell r="AD187">
            <v>9811.1854657688</v>
          </cell>
          <cell r="AE187">
            <v>36873.814534231198</v>
          </cell>
          <cell r="AF187" t="str">
            <v>Е/Е</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X188" t="e">
            <v>#REF!</v>
          </cell>
          <cell r="Y188" t="e">
            <v>#REF!</v>
          </cell>
          <cell r="Z188">
            <v>52</v>
          </cell>
          <cell r="AA188">
            <v>52</v>
          </cell>
          <cell r="AC188">
            <v>130.99</v>
          </cell>
          <cell r="AD188">
            <v>130.99</v>
          </cell>
          <cell r="AE188">
            <v>130.99</v>
          </cell>
          <cell r="AF188" t="str">
            <v/>
          </cell>
        </row>
        <row r="189">
          <cell r="M189">
            <v>19746</v>
          </cell>
          <cell r="N189">
            <v>110.89999999999998</v>
          </cell>
          <cell r="O189">
            <v>-52.500000000000014</v>
          </cell>
          <cell r="P189">
            <v>16686</v>
          </cell>
          <cell r="Q189">
            <v>102.69999999999999</v>
          </cell>
          <cell r="R189">
            <v>-47.700000000000017</v>
          </cell>
          <cell r="U189">
            <v>25</v>
          </cell>
          <cell r="V189">
            <v>25</v>
          </cell>
          <cell r="W189">
            <v>0</v>
          </cell>
          <cell r="X189" t="e">
            <v>#REF!</v>
          </cell>
          <cell r="Y189" t="e">
            <v>#REF!</v>
          </cell>
          <cell r="Z189">
            <v>46737</v>
          </cell>
          <cell r="AA189">
            <v>9863.1854657688</v>
          </cell>
          <cell r="AB189">
            <v>36873.814534231198</v>
          </cell>
          <cell r="AC189">
            <v>52</v>
          </cell>
          <cell r="AD189">
            <v>52</v>
          </cell>
        </row>
        <row r="190">
          <cell r="M190">
            <v>10838</v>
          </cell>
          <cell r="N190" t="e">
            <v>#REF!</v>
          </cell>
          <cell r="O190" t="e">
            <v>#REF!</v>
          </cell>
          <cell r="P190">
            <v>8271</v>
          </cell>
          <cell r="Q190" t="e">
            <v>#REF!</v>
          </cell>
          <cell r="R190" t="e">
            <v>#REF!</v>
          </cell>
          <cell r="S190">
            <v>8.3000000000000007</v>
          </cell>
          <cell r="U190">
            <v>20645</v>
          </cell>
          <cell r="V190">
            <v>12874</v>
          </cell>
          <cell r="W190">
            <v>7771</v>
          </cell>
          <cell r="X190">
            <v>70.7</v>
          </cell>
          <cell r="AC190">
            <v>46737</v>
          </cell>
          <cell r="AD190">
            <v>9863.1854657688</v>
          </cell>
          <cell r="AE190">
            <v>36873.814534231198</v>
          </cell>
        </row>
        <row r="191">
          <cell r="N191" t="e">
            <v>#REF!</v>
          </cell>
          <cell r="O191" t="e">
            <v>#REF!</v>
          </cell>
          <cell r="Q191" t="e">
            <v>#REF!</v>
          </cell>
          <cell r="R191" t="e">
            <v>#REF!</v>
          </cell>
          <cell r="S191">
            <v>9.5</v>
          </cell>
          <cell r="X191">
            <v>81</v>
          </cell>
          <cell r="AC191">
            <v>68.900000000000006</v>
          </cell>
        </row>
        <row r="192">
          <cell r="N192" t="e">
            <v>#REF!</v>
          </cell>
          <cell r="O192" t="e">
            <v>#REF!</v>
          </cell>
          <cell r="P192">
            <v>0</v>
          </cell>
          <cell r="Q192" t="e">
            <v>#REF!</v>
          </cell>
          <cell r="R192" t="e">
            <v>#REF!</v>
          </cell>
          <cell r="S192">
            <v>0</v>
          </cell>
          <cell r="V192" t="e">
            <v>#REF!</v>
          </cell>
          <cell r="W192" t="e">
            <v>#REF!</v>
          </cell>
          <cell r="X192">
            <v>0</v>
          </cell>
          <cell r="AC192">
            <v>0</v>
          </cell>
        </row>
        <row r="193">
          <cell r="P193">
            <v>0</v>
          </cell>
          <cell r="S193">
            <v>192.5</v>
          </cell>
          <cell r="X193">
            <v>192.5</v>
          </cell>
          <cell r="AC193">
            <v>192.5</v>
          </cell>
        </row>
        <row r="194">
          <cell r="S194">
            <v>1598</v>
          </cell>
          <cell r="X194">
            <v>4948.1398501338099</v>
          </cell>
          <cell r="Z194">
            <v>4948.1398501338263</v>
          </cell>
          <cell r="AB194">
            <v>4948.1398501337389</v>
          </cell>
          <cell r="AC194">
            <v>11589</v>
          </cell>
        </row>
        <row r="196">
          <cell r="X196">
            <v>0</v>
          </cell>
          <cell r="AC196">
            <v>0</v>
          </cell>
        </row>
        <row r="197">
          <cell r="X197">
            <v>0</v>
          </cell>
          <cell r="AC197">
            <v>0</v>
          </cell>
        </row>
        <row r="198">
          <cell r="X198">
            <v>82.5</v>
          </cell>
          <cell r="Y198">
            <v>1507.2</v>
          </cell>
          <cell r="AC198">
            <v>82.5</v>
          </cell>
        </row>
        <row r="199">
          <cell r="X199">
            <v>0</v>
          </cell>
          <cell r="AC199">
            <v>0</v>
          </cell>
        </row>
        <row r="200">
          <cell r="S200">
            <v>0</v>
          </cell>
          <cell r="X200">
            <v>0</v>
          </cell>
          <cell r="AC200">
            <v>0</v>
          </cell>
        </row>
        <row r="202">
          <cell r="X202">
            <v>0</v>
          </cell>
          <cell r="AC202">
            <v>0</v>
          </cell>
        </row>
        <row r="203">
          <cell r="X203">
            <v>0</v>
          </cell>
          <cell r="AC203">
            <v>0</v>
          </cell>
        </row>
        <row r="204">
          <cell r="P204">
            <v>75</v>
          </cell>
        </row>
        <row r="205">
          <cell r="S205">
            <v>385</v>
          </cell>
          <cell r="X205">
            <v>385</v>
          </cell>
          <cell r="AC205">
            <v>385</v>
          </cell>
        </row>
        <row r="206">
          <cell r="S206">
            <v>0</v>
          </cell>
          <cell r="X206">
            <v>0</v>
          </cell>
          <cell r="AC206">
            <v>0</v>
          </cell>
        </row>
        <row r="208">
          <cell r="S208">
            <v>9.5</v>
          </cell>
          <cell r="X208">
            <v>81</v>
          </cell>
          <cell r="Y208">
            <v>57.4</v>
          </cell>
          <cell r="Z208">
            <v>23.6</v>
          </cell>
          <cell r="AC208">
            <v>68.900000000000006</v>
          </cell>
          <cell r="AD208">
            <v>36.1</v>
          </cell>
          <cell r="AE208">
            <v>32.799999999999997</v>
          </cell>
        </row>
        <row r="209">
          <cell r="S209">
            <v>1598</v>
          </cell>
          <cell r="X209">
            <v>13610</v>
          </cell>
          <cell r="Y209">
            <v>9645</v>
          </cell>
          <cell r="Z209">
            <v>3965</v>
          </cell>
          <cell r="AA209">
            <v>3965</v>
          </cell>
          <cell r="AC209">
            <v>11589</v>
          </cell>
          <cell r="AD209">
            <v>6072</v>
          </cell>
          <cell r="AE209">
            <v>5517</v>
          </cell>
        </row>
        <row r="210">
          <cell r="S210">
            <v>168.21</v>
          </cell>
          <cell r="X210">
            <v>168.02</v>
          </cell>
          <cell r="Y210">
            <v>168.03</v>
          </cell>
          <cell r="Z210">
            <v>168.01</v>
          </cell>
          <cell r="AC210">
            <v>168.2</v>
          </cell>
          <cell r="AD210">
            <v>168.2</v>
          </cell>
          <cell r="AE210">
            <v>168.2</v>
          </cell>
        </row>
        <row r="211">
          <cell r="M211" t="str">
            <v>ЗАТВЕРДЖУЮ</v>
          </cell>
        </row>
        <row r="212">
          <cell r="M212" t="str">
            <v>ГЕНЕРАЛЬНИЙ ДИРЕКТОР -</v>
          </cell>
          <cell r="X212">
            <v>13610</v>
          </cell>
          <cell r="AC212">
            <v>11589</v>
          </cell>
        </row>
        <row r="213">
          <cell r="M213" t="str">
            <v>ГОЛОВА ПРАВЛІННЯ КЕ</v>
          </cell>
        </row>
        <row r="214">
          <cell r="M214" t="str">
            <v xml:space="preserve">                        І.В.ПЛАЧКОВ</v>
          </cell>
          <cell r="N214" t="str">
            <v xml:space="preserve">      І.В.ПЛАЧКОВ</v>
          </cell>
        </row>
        <row r="215">
          <cell r="M215" t="str">
            <v>ЗАТВЕРДЖУЮ</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ПО ФІЛІАЛАХ АК КИЇВЕНЕРГО</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str">
            <v>ТИС.ГРН.</v>
          </cell>
          <cell r="T229">
            <v>889</v>
          </cell>
          <cell r="W229" t="e">
            <v>#REF!</v>
          </cell>
          <cell r="X229" t="e">
            <v>#REF!</v>
          </cell>
          <cell r="Y229" t="e">
            <v>#REF!</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Q236" t="e">
            <v>#REF!</v>
          </cell>
          <cell r="R236" t="e">
            <v>#REF!</v>
          </cell>
          <cell r="S236">
            <v>685</v>
          </cell>
          <cell r="T236">
            <v>0</v>
          </cell>
          <cell r="U236">
            <v>15689.007333333333</v>
          </cell>
          <cell r="V236">
            <v>15376.340666666665</v>
          </cell>
          <cell r="W236" t="e">
            <v>#REF!</v>
          </cell>
          <cell r="X236" t="e">
            <v>#REF!</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v>0</v>
          </cell>
          <cell r="D240" t="e">
            <v>#REF!</v>
          </cell>
          <cell r="E240" t="e">
            <v>#REF!</v>
          </cell>
          <cell r="I240">
            <v>0</v>
          </cell>
          <cell r="J240">
            <v>0</v>
          </cell>
          <cell r="K240">
            <v>0</v>
          </cell>
          <cell r="L240">
            <v>0</v>
          </cell>
          <cell r="M240">
            <v>577</v>
          </cell>
          <cell r="N240">
            <v>0</v>
          </cell>
          <cell r="O240">
            <v>0</v>
          </cell>
          <cell r="P240">
            <v>12</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cell r="AD241">
            <v>6</v>
          </cell>
          <cell r="AE241">
            <v>12</v>
          </cell>
        </row>
        <row r="242">
          <cell r="C242">
            <v>-149.73279232827699</v>
          </cell>
          <cell r="I242" t="e">
            <v>#REF!</v>
          </cell>
          <cell r="J242" t="e">
            <v>#REF!</v>
          </cell>
          <cell r="M242" t="e">
            <v>#REF!</v>
          </cell>
          <cell r="P242" t="e">
            <v>#REF!</v>
          </cell>
          <cell r="S242">
            <v>163</v>
          </cell>
          <cell r="U242">
            <v>-149.73279232827699</v>
          </cell>
          <cell r="V242">
            <v>-149.73279232827699</v>
          </cell>
          <cell r="W242" t="e">
            <v>#REF!</v>
          </cell>
          <cell r="X242" t="e">
            <v>#REF!</v>
          </cell>
        </row>
        <row r="243">
          <cell r="C243">
            <v>2421.3333333333335</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758</v>
          </cell>
          <cell r="J246">
            <v>1197</v>
          </cell>
          <cell r="K246">
            <v>0</v>
          </cell>
          <cell r="L246">
            <v>0</v>
          </cell>
          <cell r="M246">
            <v>874</v>
          </cell>
          <cell r="N246">
            <v>0</v>
          </cell>
          <cell r="O246">
            <v>0</v>
          </cell>
          <cell r="P246">
            <v>450</v>
          </cell>
          <cell r="Q246">
            <v>0</v>
          </cell>
          <cell r="R246">
            <v>0</v>
          </cell>
          <cell r="S246">
            <v>406</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v>29</v>
          </cell>
          <cell r="I252">
            <v>0</v>
          </cell>
          <cell r="J252">
            <v>280</v>
          </cell>
          <cell r="M252">
            <v>3</v>
          </cell>
          <cell r="N252" t="e">
            <v>#REF!</v>
          </cell>
          <cell r="O252" t="e">
            <v>#REF!</v>
          </cell>
          <cell r="P252">
            <v>6</v>
          </cell>
          <cell r="Q252" t="str">
            <v>ТМ</v>
          </cell>
          <cell r="R252" t="e">
            <v>#REF!</v>
          </cell>
          <cell r="S252">
            <v>0</v>
          </cell>
          <cell r="T252" t="str">
            <v>ВИРОБН</v>
          </cell>
          <cell r="U252">
            <v>331</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row>
        <row r="253">
          <cell r="C253">
            <v>200</v>
          </cell>
          <cell r="I253">
            <v>0</v>
          </cell>
          <cell r="J253">
            <v>0</v>
          </cell>
          <cell r="M253">
            <v>0</v>
          </cell>
          <cell r="P253">
            <v>0</v>
          </cell>
          <cell r="S253">
            <v>0</v>
          </cell>
          <cell r="U253">
            <v>200</v>
          </cell>
          <cell r="V253">
            <v>200</v>
          </cell>
          <cell r="W253">
            <v>580</v>
          </cell>
          <cell r="X253">
            <v>2672.4863636363625</v>
          </cell>
          <cell r="AC253">
            <v>1389.1963636363635</v>
          </cell>
          <cell r="AF253">
            <v>4185.9539393939394</v>
          </cell>
        </row>
        <row r="254">
          <cell r="I254">
            <v>0</v>
          </cell>
          <cell r="J254">
            <v>152</v>
          </cell>
          <cell r="M254">
            <v>20</v>
          </cell>
          <cell r="P254">
            <v>10</v>
          </cell>
          <cell r="U254">
            <v>202</v>
          </cell>
          <cell r="V254">
            <v>0</v>
          </cell>
          <cell r="W254">
            <v>0</v>
          </cell>
          <cell r="X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row>
        <row r="256">
          <cell r="C256">
            <v>2</v>
          </cell>
          <cell r="I256">
            <v>15</v>
          </cell>
          <cell r="J256">
            <v>349</v>
          </cell>
          <cell r="M256">
            <v>0</v>
          </cell>
          <cell r="P256">
            <v>0</v>
          </cell>
          <cell r="S256">
            <v>0</v>
          </cell>
          <cell r="T256">
            <v>1249.7813333333329</v>
          </cell>
          <cell r="U256">
            <v>366</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row>
        <row r="257">
          <cell r="C257" t="e">
            <v>#REF!</v>
          </cell>
          <cell r="I257">
            <v>275</v>
          </cell>
          <cell r="J257">
            <v>160</v>
          </cell>
          <cell r="M257">
            <v>80</v>
          </cell>
          <cell r="N257" t="e">
            <v>#REF!</v>
          </cell>
          <cell r="O257">
            <v>0</v>
          </cell>
          <cell r="P257">
            <v>41</v>
          </cell>
          <cell r="Q257">
            <v>0</v>
          </cell>
          <cell r="R257">
            <v>0</v>
          </cell>
          <cell r="S257">
            <v>0</v>
          </cell>
          <cell r="T257">
            <v>0</v>
          </cell>
          <cell r="U257">
            <v>556</v>
          </cell>
          <cell r="V257">
            <v>556</v>
          </cell>
          <cell r="W257">
            <v>0</v>
          </cell>
          <cell r="X257">
            <v>0</v>
          </cell>
          <cell r="Y257">
            <v>0</v>
          </cell>
          <cell r="Z257">
            <v>0</v>
          </cell>
          <cell r="AA257">
            <v>0</v>
          </cell>
          <cell r="AB257">
            <v>0</v>
          </cell>
          <cell r="AC257">
            <v>0</v>
          </cell>
          <cell r="AD257">
            <v>0</v>
          </cell>
          <cell r="AE257">
            <v>0</v>
          </cell>
          <cell r="AF257">
            <v>0</v>
          </cell>
        </row>
        <row r="258">
          <cell r="C258" t="e">
            <v>#REF!</v>
          </cell>
          <cell r="I258">
            <v>0</v>
          </cell>
          <cell r="J258" t="e">
            <v>#REF!</v>
          </cell>
          <cell r="M258" t="e">
            <v>#REF!</v>
          </cell>
          <cell r="N258" t="e">
            <v>#REF!</v>
          </cell>
          <cell r="O258" t="e">
            <v>#REF!</v>
          </cell>
          <cell r="P258" t="e">
            <v>#REF!</v>
          </cell>
          <cell r="Q258" t="e">
            <v>#REF!</v>
          </cell>
          <cell r="R258" t="e">
            <v>#REF!</v>
          </cell>
          <cell r="S258" t="e">
            <v>#REF!</v>
          </cell>
          <cell r="U258">
            <v>0</v>
          </cell>
          <cell r="V258">
            <v>0</v>
          </cell>
          <cell r="W258" t="e">
            <v>#REF!</v>
          </cell>
          <cell r="X258" t="e">
            <v>#REF!</v>
          </cell>
        </row>
        <row r="259">
          <cell r="C259">
            <v>0</v>
          </cell>
          <cell r="I259">
            <v>0</v>
          </cell>
          <cell r="J259">
            <v>0</v>
          </cell>
          <cell r="M259">
            <v>0</v>
          </cell>
          <cell r="P259">
            <v>0</v>
          </cell>
          <cell r="S259">
            <v>0</v>
          </cell>
          <cell r="U259">
            <v>2217</v>
          </cell>
          <cell r="V259">
            <v>2217</v>
          </cell>
          <cell r="W259" t="e">
            <v>#REF!</v>
          </cell>
          <cell r="X259" t="e">
            <v>#REF!</v>
          </cell>
        </row>
        <row r="260">
          <cell r="C260">
            <v>0</v>
          </cell>
          <cell r="D260" t="e">
            <v>#REF!</v>
          </cell>
          <cell r="E260" t="e">
            <v>#REF!</v>
          </cell>
          <cell r="I260">
            <v>0</v>
          </cell>
          <cell r="J260">
            <v>0</v>
          </cell>
          <cell r="K260" t="e">
            <v>#REF!</v>
          </cell>
          <cell r="L260" t="e">
            <v>#REF!</v>
          </cell>
          <cell r="M260">
            <v>0</v>
          </cell>
          <cell r="N260" t="e">
            <v>#REF!</v>
          </cell>
          <cell r="O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C261">
            <v>0</v>
          </cell>
          <cell r="D261" t="e">
            <v>#REF!</v>
          </cell>
          <cell r="E261" t="e">
            <v>#REF!</v>
          </cell>
          <cell r="I261">
            <v>30</v>
          </cell>
          <cell r="J261">
            <v>30</v>
          </cell>
          <cell r="K261" t="e">
            <v>#REF!</v>
          </cell>
          <cell r="L261" t="e">
            <v>#REF!</v>
          </cell>
          <cell r="M261">
            <v>3</v>
          </cell>
          <cell r="N261">
            <v>0</v>
          </cell>
          <cell r="O261">
            <v>0</v>
          </cell>
          <cell r="P261">
            <v>2</v>
          </cell>
          <cell r="Q261">
            <v>0</v>
          </cell>
          <cell r="R261">
            <v>0</v>
          </cell>
          <cell r="S261">
            <v>0</v>
          </cell>
          <cell r="T261">
            <v>112</v>
          </cell>
          <cell r="U261" t="e">
            <v>#REF!</v>
          </cell>
          <cell r="V261" t="e">
            <v>#REF!</v>
          </cell>
          <cell r="W261" t="e">
            <v>#REF!</v>
          </cell>
        </row>
        <row r="262">
          <cell r="C262">
            <v>3285</v>
          </cell>
          <cell r="I262">
            <v>25</v>
          </cell>
          <cell r="J262">
            <v>59</v>
          </cell>
          <cell r="K262" t="e">
            <v>#REF!</v>
          </cell>
          <cell r="L262" t="e">
            <v>#REF!</v>
          </cell>
          <cell r="M262">
            <v>22</v>
          </cell>
          <cell r="N262" t="e">
            <v>#REF!</v>
          </cell>
          <cell r="O262" t="e">
            <v>#REF!</v>
          </cell>
          <cell r="P262">
            <v>-14</v>
          </cell>
          <cell r="Q262" t="e">
            <v>#REF!</v>
          </cell>
          <cell r="R262" t="e">
            <v>#REF!</v>
          </cell>
          <cell r="S262">
            <v>278</v>
          </cell>
          <cell r="T262">
            <v>48</v>
          </cell>
          <cell r="U262">
            <v>3661</v>
          </cell>
          <cell r="V262">
            <v>3661</v>
          </cell>
          <cell r="W262" t="e">
            <v>#REF!</v>
          </cell>
        </row>
        <row r="263">
          <cell r="C263">
            <v>145</v>
          </cell>
          <cell r="I263">
            <v>1</v>
          </cell>
          <cell r="J263">
            <v>2</v>
          </cell>
          <cell r="K263" t="e">
            <v>#REF!</v>
          </cell>
          <cell r="L263" t="e">
            <v>#REF!</v>
          </cell>
          <cell r="M263">
            <v>0</v>
          </cell>
          <cell r="N263" t="e">
            <v>#REF!</v>
          </cell>
          <cell r="O263" t="e">
            <v>#REF!</v>
          </cell>
          <cell r="P263">
            <v>31</v>
          </cell>
          <cell r="Q263" t="e">
            <v>#REF!</v>
          </cell>
          <cell r="R263" t="e">
            <v>#REF!</v>
          </cell>
          <cell r="S263">
            <v>1</v>
          </cell>
          <cell r="T263">
            <v>51</v>
          </cell>
          <cell r="U263">
            <v>180</v>
          </cell>
          <cell r="V263">
            <v>180</v>
          </cell>
          <cell r="W263" t="e">
            <v>#REF!</v>
          </cell>
          <cell r="X263" t="e">
            <v>#REF!</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cell r="X266">
            <v>0</v>
          </cell>
          <cell r="AC266">
            <v>0</v>
          </cell>
          <cell r="AF266">
            <v>0</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cell r="X268">
            <v>0</v>
          </cell>
          <cell r="AC268">
            <v>0</v>
          </cell>
          <cell r="AF268">
            <v>0</v>
          </cell>
        </row>
        <row r="269">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row>
        <row r="270">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row>
        <row r="271">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row>
        <row r="272">
          <cell r="N272" t="str">
            <v>Собівартість</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row>
        <row r="273">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row>
        <row r="274">
          <cell r="P274">
            <v>300</v>
          </cell>
          <cell r="S274">
            <v>603</v>
          </cell>
          <cell r="X274">
            <v>115</v>
          </cell>
          <cell r="AC274">
            <v>96</v>
          </cell>
          <cell r="AF274">
            <v>361</v>
          </cell>
        </row>
        <row r="275">
          <cell r="N275" t="str">
            <v>Собівартість</v>
          </cell>
          <cell r="P275">
            <v>4</v>
          </cell>
          <cell r="S275">
            <v>15</v>
          </cell>
          <cell r="X275">
            <v>30</v>
          </cell>
          <cell r="AC275">
            <v>8</v>
          </cell>
          <cell r="AF275">
            <v>15</v>
          </cell>
        </row>
        <row r="276">
          <cell r="P276">
            <v>500</v>
          </cell>
          <cell r="S276">
            <v>430</v>
          </cell>
          <cell r="X276">
            <v>100</v>
          </cell>
          <cell r="AC276">
            <v>130</v>
          </cell>
          <cell r="AF276">
            <v>150</v>
          </cell>
        </row>
        <row r="277">
          <cell r="P277">
            <v>145</v>
          </cell>
          <cell r="S277">
            <v>145</v>
          </cell>
          <cell r="X277">
            <v>66</v>
          </cell>
          <cell r="AC277">
            <v>50</v>
          </cell>
          <cell r="AF277">
            <v>100</v>
          </cell>
        </row>
        <row r="278">
          <cell r="N278" t="str">
            <v>Собівартість</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row>
        <row r="279">
          <cell r="P279">
            <v>0</v>
          </cell>
          <cell r="S279">
            <v>0</v>
          </cell>
          <cell r="X279">
            <v>4</v>
          </cell>
          <cell r="AC279">
            <v>0</v>
          </cell>
          <cell r="AF279">
            <v>0</v>
          </cell>
        </row>
        <row r="280">
          <cell r="P280">
            <v>11.200000000000001</v>
          </cell>
          <cell r="S280">
            <v>267.2</v>
          </cell>
          <cell r="X280">
            <v>0</v>
          </cell>
          <cell r="AC280">
            <v>0</v>
          </cell>
          <cell r="AF280">
            <v>536</v>
          </cell>
        </row>
        <row r="282">
          <cell r="N282" t="str">
            <v>ФМЗ ( з відрахуван)</v>
          </cell>
          <cell r="P282">
            <v>25</v>
          </cell>
          <cell r="S282">
            <v>250</v>
          </cell>
        </row>
        <row r="283">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row>
        <row r="285">
          <cell r="N285" t="str">
            <v>ФМЗ ( з відрахуван)</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row>
        <row r="286">
          <cell r="P286">
            <v>1065</v>
          </cell>
          <cell r="S286">
            <v>4233.1499999999996</v>
          </cell>
          <cell r="X286">
            <v>190</v>
          </cell>
          <cell r="AC286">
            <v>-45</v>
          </cell>
          <cell r="AF286">
            <v>-145</v>
          </cell>
        </row>
        <row r="287">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row>
        <row r="288">
          <cell r="N288" t="str">
            <v>ФМЗ ( з відрахуван)</v>
          </cell>
          <cell r="P288">
            <v>0</v>
          </cell>
          <cell r="S288">
            <v>0</v>
          </cell>
          <cell r="X288">
            <v>0</v>
          </cell>
          <cell r="AC288">
            <v>0</v>
          </cell>
          <cell r="AF288">
            <v>0</v>
          </cell>
        </row>
        <row r="289">
          <cell r="P289">
            <v>0</v>
          </cell>
          <cell r="S289">
            <v>0</v>
          </cell>
          <cell r="X289">
            <v>0</v>
          </cell>
          <cell r="AC289">
            <v>0</v>
          </cell>
          <cell r="AF289">
            <v>0</v>
          </cell>
        </row>
        <row r="290">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row>
        <row r="291">
          <cell r="P291">
            <v>0.23599999999999</v>
          </cell>
          <cell r="S291">
            <v>142.26666666666688</v>
          </cell>
          <cell r="X291">
            <v>47.800000000000011</v>
          </cell>
          <cell r="AC291">
            <v>0</v>
          </cell>
          <cell r="AF291">
            <v>22.133333333333439</v>
          </cell>
        </row>
        <row r="292">
          <cell r="P292">
            <v>40.800000000000004</v>
          </cell>
          <cell r="S292">
            <v>249.53333333333333</v>
          </cell>
          <cell r="X292">
            <v>81.600000000000023</v>
          </cell>
          <cell r="AC292">
            <v>64</v>
          </cell>
          <cell r="AF292">
            <v>157.33333333333334</v>
          </cell>
        </row>
        <row r="293">
          <cell r="P293">
            <v>88.2</v>
          </cell>
          <cell r="S293">
            <v>201.86666666666662</v>
          </cell>
          <cell r="X293">
            <v>84.800000000000011</v>
          </cell>
          <cell r="AC293">
            <v>135.4</v>
          </cell>
          <cell r="AF293">
            <v>168</v>
          </cell>
        </row>
        <row r="294">
          <cell r="P294">
            <v>0</v>
          </cell>
          <cell r="AF294">
            <v>0</v>
          </cell>
        </row>
        <row r="295">
          <cell r="P295">
            <v>0</v>
          </cell>
          <cell r="S295">
            <v>0</v>
          </cell>
          <cell r="X295">
            <v>0</v>
          </cell>
          <cell r="AC295">
            <v>0</v>
          </cell>
          <cell r="AF295">
            <v>12</v>
          </cell>
        </row>
        <row r="296">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row>
        <row r="299">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row>
        <row r="301">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row>
        <row r="302">
          <cell r="P302">
            <v>0</v>
          </cell>
          <cell r="S302">
            <v>0</v>
          </cell>
          <cell r="X302">
            <v>0</v>
          </cell>
          <cell r="AC302">
            <v>0</v>
          </cell>
          <cell r="AF302">
            <v>0</v>
          </cell>
        </row>
        <row r="304">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row>
        <row r="306">
          <cell r="P306">
            <v>0</v>
          </cell>
        </row>
        <row r="307">
          <cell r="S307">
            <v>0</v>
          </cell>
        </row>
        <row r="309">
          <cell r="S309">
            <v>0</v>
          </cell>
        </row>
        <row r="314">
          <cell r="S314">
            <v>0</v>
          </cell>
        </row>
        <row r="315">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row>
        <row r="325">
          <cell r="P325">
            <v>293</v>
          </cell>
          <cell r="S325">
            <v>518</v>
          </cell>
          <cell r="X325">
            <v>175</v>
          </cell>
          <cell r="AC325">
            <v>146</v>
          </cell>
          <cell r="AF325">
            <v>472</v>
          </cell>
        </row>
        <row r="348">
          <cell r="P348">
            <v>225</v>
          </cell>
          <cell r="S348">
            <v>296</v>
          </cell>
          <cell r="X348">
            <v>56</v>
          </cell>
          <cell r="AC348">
            <v>-4.9636363636363825</v>
          </cell>
          <cell r="AF348">
            <v>800.72727272727275</v>
          </cell>
        </row>
        <row r="350">
          <cell r="P350">
            <v>0</v>
          </cell>
          <cell r="S350">
            <v>0</v>
          </cell>
          <cell r="X350">
            <v>0</v>
          </cell>
          <cell r="AC350">
            <v>0</v>
          </cell>
          <cell r="AF350">
            <v>0</v>
          </cell>
        </row>
        <row r="358">
          <cell r="P358">
            <v>-771</v>
          </cell>
          <cell r="S358">
            <v>-3877</v>
          </cell>
          <cell r="T358">
            <v>162.88</v>
          </cell>
          <cell r="U358">
            <v>855.12</v>
          </cell>
          <cell r="X358">
            <v>280</v>
          </cell>
          <cell r="Y358">
            <v>404</v>
          </cell>
          <cell r="Z358">
            <v>166</v>
          </cell>
          <cell r="AC358">
            <v>556</v>
          </cell>
          <cell r="AD358">
            <v>336</v>
          </cell>
          <cell r="AE358">
            <v>305</v>
          </cell>
          <cell r="AF358">
            <v>521</v>
          </cell>
        </row>
        <row r="381">
          <cell r="P381" t="str">
            <v>лютий</v>
          </cell>
          <cell r="X381" t="str">
            <v>лютий</v>
          </cell>
          <cell r="AC381" t="str">
            <v>лютий</v>
          </cell>
        </row>
        <row r="382">
          <cell r="P382" t="str">
            <v>ККМ</v>
          </cell>
          <cell r="X382" t="str">
            <v>ТЕЦ5</v>
          </cell>
          <cell r="AC382" t="str">
            <v>ТЕЦ6</v>
          </cell>
        </row>
        <row r="383">
          <cell r="P383" t="str">
            <v>ПЛАН</v>
          </cell>
          <cell r="X383" t="str">
            <v>ПЛАН</v>
          </cell>
          <cell r="AC383" t="str">
            <v>ПЛАН</v>
          </cell>
        </row>
        <row r="384">
          <cell r="P384">
            <v>14.333333333333332</v>
          </cell>
          <cell r="S384">
            <v>14.333333333333332</v>
          </cell>
          <cell r="X384">
            <v>182</v>
          </cell>
          <cell r="Y384">
            <v>129</v>
          </cell>
          <cell r="Z384">
            <v>129</v>
          </cell>
          <cell r="AC384">
            <v>323.66666666666674</v>
          </cell>
          <cell r="AD384">
            <v>170</v>
          </cell>
          <cell r="AE384">
            <v>169</v>
          </cell>
        </row>
        <row r="385">
          <cell r="P385">
            <v>0</v>
          </cell>
          <cell r="X385">
            <v>0</v>
          </cell>
          <cell r="Y385">
            <v>0</v>
          </cell>
          <cell r="AC385">
            <v>3.6666666666666665</v>
          </cell>
          <cell r="AD385">
            <v>2</v>
          </cell>
        </row>
        <row r="386">
          <cell r="P386">
            <v>0.66666666666666663</v>
          </cell>
          <cell r="X386">
            <v>146.66666666666666</v>
          </cell>
          <cell r="Y386">
            <v>104</v>
          </cell>
          <cell r="AC386">
            <v>280.66666666666669</v>
          </cell>
          <cell r="AD386">
            <v>147</v>
          </cell>
        </row>
        <row r="387">
          <cell r="P387">
            <v>2</v>
          </cell>
          <cell r="X387">
            <v>0</v>
          </cell>
          <cell r="Y387">
            <v>0</v>
          </cell>
          <cell r="AC387">
            <v>25</v>
          </cell>
          <cell r="AD387">
            <v>13</v>
          </cell>
        </row>
        <row r="388">
          <cell r="P388">
            <v>0</v>
          </cell>
          <cell r="X388">
            <v>25.333333333333332</v>
          </cell>
          <cell r="Y388">
            <v>18</v>
          </cell>
          <cell r="AC388">
            <v>0.66666666666666663</v>
          </cell>
          <cell r="AD388">
            <v>0</v>
          </cell>
        </row>
        <row r="389">
          <cell r="P389">
            <v>0</v>
          </cell>
          <cell r="X389">
            <v>0</v>
          </cell>
          <cell r="Y389">
            <v>0</v>
          </cell>
          <cell r="AC389">
            <v>0</v>
          </cell>
          <cell r="AD389">
            <v>0</v>
          </cell>
        </row>
        <row r="390">
          <cell r="P390">
            <v>0</v>
          </cell>
          <cell r="X390">
            <v>0</v>
          </cell>
          <cell r="Y390">
            <v>0</v>
          </cell>
          <cell r="AC390">
            <v>0</v>
          </cell>
          <cell r="AD390">
            <v>0</v>
          </cell>
        </row>
        <row r="391">
          <cell r="P391">
            <v>5.333333333333333</v>
          </cell>
          <cell r="X391">
            <v>0</v>
          </cell>
          <cell r="Y391">
            <v>0</v>
          </cell>
          <cell r="AC391">
            <v>0</v>
          </cell>
          <cell r="AD391">
            <v>0</v>
          </cell>
        </row>
        <row r="392">
          <cell r="P392">
            <v>0</v>
          </cell>
          <cell r="X392">
            <v>0</v>
          </cell>
          <cell r="Y392">
            <v>0</v>
          </cell>
          <cell r="AC392">
            <v>0</v>
          </cell>
          <cell r="AD392">
            <v>0</v>
          </cell>
        </row>
        <row r="393">
          <cell r="P393">
            <v>4.333333333333333</v>
          </cell>
          <cell r="X393">
            <v>0</v>
          </cell>
          <cell r="Y393">
            <v>0</v>
          </cell>
          <cell r="AC393">
            <v>0</v>
          </cell>
          <cell r="AD393">
            <v>0</v>
          </cell>
        </row>
        <row r="394">
          <cell r="P394">
            <v>2</v>
          </cell>
          <cell r="X394">
            <v>10</v>
          </cell>
          <cell r="Y394">
            <v>7</v>
          </cell>
          <cell r="AC394">
            <v>13.666666666666666</v>
          </cell>
          <cell r="AD394">
            <v>7</v>
          </cell>
        </row>
        <row r="395">
          <cell r="P395">
            <v>0</v>
          </cell>
          <cell r="X395">
            <v>0</v>
          </cell>
          <cell r="Y395">
            <v>0</v>
          </cell>
          <cell r="AC395">
            <v>0</v>
          </cell>
          <cell r="AD395">
            <v>0</v>
          </cell>
        </row>
        <row r="396">
          <cell r="P396">
            <v>20.5</v>
          </cell>
          <cell r="X396">
            <v>522.33333333333337</v>
          </cell>
          <cell r="Y396">
            <v>370</v>
          </cell>
          <cell r="AC396">
            <v>43</v>
          </cell>
          <cell r="AD396">
            <v>23</v>
          </cell>
        </row>
        <row r="397">
          <cell r="P397">
            <v>0</v>
          </cell>
          <cell r="X397">
            <v>0</v>
          </cell>
          <cell r="Y397">
            <v>0</v>
          </cell>
          <cell r="AC397">
            <v>0</v>
          </cell>
          <cell r="AD397">
            <v>0</v>
          </cell>
        </row>
        <row r="398">
          <cell r="P398">
            <v>0</v>
          </cell>
          <cell r="X398">
            <v>480.66666666666669</v>
          </cell>
          <cell r="Y398">
            <v>341</v>
          </cell>
          <cell r="AC398">
            <v>11</v>
          </cell>
          <cell r="AD398">
            <v>6</v>
          </cell>
        </row>
        <row r="399">
          <cell r="P399">
            <v>0</v>
          </cell>
          <cell r="X399">
            <v>0</v>
          </cell>
          <cell r="Y399">
            <v>0</v>
          </cell>
          <cell r="AC399">
            <v>0</v>
          </cell>
          <cell r="AD399">
            <v>0</v>
          </cell>
        </row>
        <row r="400">
          <cell r="P400">
            <v>15.833333333333334</v>
          </cell>
          <cell r="X400">
            <v>41.666666666666664</v>
          </cell>
          <cell r="Y400">
            <v>30</v>
          </cell>
          <cell r="AC400">
            <v>32</v>
          </cell>
          <cell r="AD400">
            <v>17</v>
          </cell>
        </row>
        <row r="401">
          <cell r="P401">
            <v>4.666666666666667</v>
          </cell>
          <cell r="X401">
            <v>0</v>
          </cell>
          <cell r="Y401">
            <v>0</v>
          </cell>
          <cell r="AC401">
            <v>0</v>
          </cell>
          <cell r="AD401">
            <v>0</v>
          </cell>
        </row>
        <row r="402">
          <cell r="P402">
            <v>0</v>
          </cell>
          <cell r="X402">
            <v>0</v>
          </cell>
          <cell r="Y402">
            <v>0</v>
          </cell>
          <cell r="AC402">
            <v>0</v>
          </cell>
          <cell r="AD402">
            <v>0</v>
          </cell>
        </row>
        <row r="403">
          <cell r="P403">
            <v>39</v>
          </cell>
          <cell r="X403">
            <v>0</v>
          </cell>
          <cell r="Y403">
            <v>0</v>
          </cell>
          <cell r="AC403">
            <v>0</v>
          </cell>
          <cell r="AD403">
            <v>0</v>
          </cell>
        </row>
        <row r="404">
          <cell r="P404">
            <v>3.3333333333333335</v>
          </cell>
          <cell r="X404">
            <v>0</v>
          </cell>
          <cell r="Y404">
            <v>0</v>
          </cell>
          <cell r="AC404">
            <v>0</v>
          </cell>
          <cell r="AD404">
            <v>0</v>
          </cell>
        </row>
        <row r="405">
          <cell r="P405">
            <v>35.666666666666664</v>
          </cell>
          <cell r="X405">
            <v>0</v>
          </cell>
          <cell r="Y405">
            <v>0</v>
          </cell>
          <cell r="AC405">
            <v>0</v>
          </cell>
          <cell r="AD405">
            <v>0</v>
          </cell>
        </row>
        <row r="406">
          <cell r="P406">
            <v>0</v>
          </cell>
          <cell r="X406">
            <v>0</v>
          </cell>
          <cell r="Y406">
            <v>0</v>
          </cell>
          <cell r="AC406">
            <v>0</v>
          </cell>
          <cell r="AD406">
            <v>0</v>
          </cell>
        </row>
        <row r="407">
          <cell r="P407">
            <v>50.166666666666671</v>
          </cell>
          <cell r="S407">
            <v>50.166666666666671</v>
          </cell>
          <cell r="X407">
            <v>37.833333333333343</v>
          </cell>
          <cell r="Y407">
            <v>27</v>
          </cell>
          <cell r="AC407">
            <v>26.000000000000004</v>
          </cell>
          <cell r="AD407">
            <v>14</v>
          </cell>
        </row>
        <row r="408">
          <cell r="P408">
            <v>0</v>
          </cell>
          <cell r="X408">
            <v>0</v>
          </cell>
          <cell r="Y408">
            <v>0</v>
          </cell>
          <cell r="AC408">
            <v>0</v>
          </cell>
          <cell r="AD408">
            <v>0</v>
          </cell>
        </row>
        <row r="409">
          <cell r="P409">
            <v>0</v>
          </cell>
          <cell r="X409">
            <v>0</v>
          </cell>
          <cell r="Y409">
            <v>0</v>
          </cell>
          <cell r="AC409">
            <v>0</v>
          </cell>
          <cell r="AD409">
            <v>0</v>
          </cell>
        </row>
        <row r="410">
          <cell r="P410">
            <v>0</v>
          </cell>
          <cell r="X410">
            <v>0</v>
          </cell>
          <cell r="Y410">
            <v>0</v>
          </cell>
          <cell r="AC410">
            <v>0</v>
          </cell>
          <cell r="AD410">
            <v>0</v>
          </cell>
        </row>
        <row r="411">
          <cell r="P411">
            <v>12.333333333333334</v>
          </cell>
          <cell r="X411">
            <v>0</v>
          </cell>
          <cell r="Y411">
            <v>0</v>
          </cell>
          <cell r="AC411">
            <v>0</v>
          </cell>
          <cell r="AD411">
            <v>0</v>
          </cell>
        </row>
        <row r="412">
          <cell r="P412">
            <v>0</v>
          </cell>
          <cell r="X412">
            <v>0</v>
          </cell>
          <cell r="Y412">
            <v>0</v>
          </cell>
          <cell r="AC412">
            <v>0</v>
          </cell>
          <cell r="AD412">
            <v>0</v>
          </cell>
        </row>
        <row r="413">
          <cell r="P413">
            <v>5</v>
          </cell>
          <cell r="X413">
            <v>3</v>
          </cell>
          <cell r="Y413">
            <v>2</v>
          </cell>
          <cell r="AC413">
            <v>3</v>
          </cell>
          <cell r="AD413">
            <v>2</v>
          </cell>
        </row>
        <row r="414">
          <cell r="P414">
            <v>0</v>
          </cell>
          <cell r="X414">
            <v>0</v>
          </cell>
          <cell r="Y414">
            <v>0</v>
          </cell>
          <cell r="AC414">
            <v>0</v>
          </cell>
          <cell r="AD414">
            <v>0</v>
          </cell>
        </row>
        <row r="415">
          <cell r="P415">
            <v>0</v>
          </cell>
          <cell r="X415">
            <v>0</v>
          </cell>
          <cell r="Y415">
            <v>0</v>
          </cell>
          <cell r="AC415">
            <v>0</v>
          </cell>
          <cell r="AD415">
            <v>0</v>
          </cell>
        </row>
        <row r="416">
          <cell r="P416">
            <v>18.5</v>
          </cell>
          <cell r="X416">
            <v>4.5</v>
          </cell>
          <cell r="Y416">
            <v>3</v>
          </cell>
          <cell r="AC416">
            <v>1.3333333333333333</v>
          </cell>
          <cell r="AD416">
            <v>1</v>
          </cell>
        </row>
        <row r="417">
          <cell r="P417">
            <v>1.3333333333333333</v>
          </cell>
          <cell r="X417">
            <v>0</v>
          </cell>
          <cell r="Y417">
            <v>0</v>
          </cell>
          <cell r="AC417">
            <v>1.6666666666666667</v>
          </cell>
          <cell r="AD417">
            <v>1</v>
          </cell>
        </row>
        <row r="418">
          <cell r="P418">
            <v>0</v>
          </cell>
          <cell r="X418">
            <v>0</v>
          </cell>
          <cell r="Y418">
            <v>0</v>
          </cell>
          <cell r="AC418">
            <v>0</v>
          </cell>
          <cell r="AD418">
            <v>0</v>
          </cell>
        </row>
        <row r="419">
          <cell r="P419">
            <v>0</v>
          </cell>
          <cell r="X419">
            <v>10</v>
          </cell>
          <cell r="Y419">
            <v>7</v>
          </cell>
          <cell r="AC419">
            <v>7.666666666666667</v>
          </cell>
          <cell r="AD419">
            <v>4</v>
          </cell>
        </row>
        <row r="420">
          <cell r="P420">
            <v>2</v>
          </cell>
          <cell r="X420">
            <v>1.3333333333333333</v>
          </cell>
          <cell r="Y420">
            <v>1</v>
          </cell>
          <cell r="AC420">
            <v>1</v>
          </cell>
          <cell r="AD420">
            <v>1</v>
          </cell>
        </row>
        <row r="421">
          <cell r="P421">
            <v>0.33333333333333331</v>
          </cell>
          <cell r="X421">
            <v>1</v>
          </cell>
          <cell r="Y421">
            <v>1</v>
          </cell>
          <cell r="AC421">
            <v>0.66666666666666663</v>
          </cell>
          <cell r="AD421">
            <v>0</v>
          </cell>
        </row>
        <row r="422">
          <cell r="P422">
            <v>2.3333333333333335</v>
          </cell>
          <cell r="X422">
            <v>6</v>
          </cell>
          <cell r="Y422">
            <v>4</v>
          </cell>
          <cell r="AC422">
            <v>5</v>
          </cell>
          <cell r="AD422">
            <v>3</v>
          </cell>
        </row>
        <row r="423">
          <cell r="P423">
            <v>0</v>
          </cell>
          <cell r="X423">
            <v>0</v>
          </cell>
          <cell r="Y423">
            <v>0</v>
          </cell>
          <cell r="AC423">
            <v>0</v>
          </cell>
          <cell r="AD423">
            <v>0</v>
          </cell>
        </row>
        <row r="424">
          <cell r="P424">
            <v>0</v>
          </cell>
          <cell r="X424">
            <v>0</v>
          </cell>
          <cell r="Y424">
            <v>0</v>
          </cell>
          <cell r="AC424">
            <v>0</v>
          </cell>
          <cell r="AD424">
            <v>0</v>
          </cell>
        </row>
        <row r="425">
          <cell r="P425">
            <v>1</v>
          </cell>
          <cell r="X425">
            <v>0</v>
          </cell>
          <cell r="Y425">
            <v>0</v>
          </cell>
          <cell r="AC425">
            <v>0</v>
          </cell>
          <cell r="AD425">
            <v>0</v>
          </cell>
        </row>
        <row r="426">
          <cell r="P426">
            <v>0</v>
          </cell>
          <cell r="X426">
            <v>0</v>
          </cell>
          <cell r="Y426">
            <v>0</v>
          </cell>
          <cell r="AC426">
            <v>0</v>
          </cell>
          <cell r="AD426">
            <v>0</v>
          </cell>
        </row>
        <row r="427">
          <cell r="P427">
            <v>0.66666666666666663</v>
          </cell>
          <cell r="X427">
            <v>0.66666666666666663</v>
          </cell>
          <cell r="Y427">
            <v>0</v>
          </cell>
          <cell r="AC427">
            <v>0.66666666666666663</v>
          </cell>
          <cell r="AD427">
            <v>0</v>
          </cell>
        </row>
        <row r="428">
          <cell r="P428">
            <v>0.66666666666666663</v>
          </cell>
          <cell r="X428">
            <v>0.66666666666666663</v>
          </cell>
          <cell r="Y428">
            <v>0</v>
          </cell>
          <cell r="AC428">
            <v>0.66666666666666663</v>
          </cell>
          <cell r="AD428">
            <v>0</v>
          </cell>
        </row>
        <row r="429">
          <cell r="P429">
            <v>4.666666666666667</v>
          </cell>
          <cell r="X429">
            <v>3</v>
          </cell>
          <cell r="Y429">
            <v>2</v>
          </cell>
          <cell r="AC429">
            <v>2</v>
          </cell>
          <cell r="AD429">
            <v>1</v>
          </cell>
        </row>
        <row r="430">
          <cell r="P430">
            <v>0</v>
          </cell>
          <cell r="X430">
            <v>0</v>
          </cell>
          <cell r="Y430">
            <v>0</v>
          </cell>
          <cell r="AC430">
            <v>0</v>
          </cell>
          <cell r="AD430">
            <v>0</v>
          </cell>
        </row>
        <row r="431">
          <cell r="P431">
            <v>0</v>
          </cell>
          <cell r="X431">
            <v>0</v>
          </cell>
          <cell r="Y431">
            <v>0</v>
          </cell>
          <cell r="AC431">
            <v>0</v>
          </cell>
          <cell r="AD431">
            <v>0</v>
          </cell>
        </row>
        <row r="432">
          <cell r="P432">
            <v>0</v>
          </cell>
          <cell r="X432">
            <v>0</v>
          </cell>
          <cell r="Y432">
            <v>0</v>
          </cell>
          <cell r="AC432">
            <v>0</v>
          </cell>
          <cell r="AD432">
            <v>0</v>
          </cell>
        </row>
        <row r="433">
          <cell r="P433">
            <v>0</v>
          </cell>
          <cell r="X433">
            <v>0</v>
          </cell>
          <cell r="Y433">
            <v>0</v>
          </cell>
          <cell r="AC433">
            <v>0</v>
          </cell>
          <cell r="AD433">
            <v>0</v>
          </cell>
        </row>
        <row r="434">
          <cell r="P434">
            <v>0</v>
          </cell>
          <cell r="X434">
            <v>0</v>
          </cell>
          <cell r="Y434">
            <v>0</v>
          </cell>
          <cell r="AC434">
            <v>0</v>
          </cell>
          <cell r="AD434">
            <v>0</v>
          </cell>
        </row>
        <row r="435">
          <cell r="P435">
            <v>1</v>
          </cell>
          <cell r="X435">
            <v>4</v>
          </cell>
          <cell r="Y435">
            <v>3</v>
          </cell>
          <cell r="AC435">
            <v>2</v>
          </cell>
          <cell r="AD435">
            <v>1</v>
          </cell>
        </row>
        <row r="436">
          <cell r="P436">
            <v>0</v>
          </cell>
          <cell r="X436">
            <v>0</v>
          </cell>
          <cell r="Y436">
            <v>0</v>
          </cell>
          <cell r="AC436">
            <v>0</v>
          </cell>
          <cell r="AD436">
            <v>0</v>
          </cell>
        </row>
        <row r="437">
          <cell r="P437">
            <v>0</v>
          </cell>
          <cell r="X437">
            <v>3.3333333333333335</v>
          </cell>
          <cell r="Y437">
            <v>2</v>
          </cell>
          <cell r="AC437">
            <v>0</v>
          </cell>
          <cell r="AD437">
            <v>0</v>
          </cell>
        </row>
        <row r="438">
          <cell r="P438">
            <v>0.33333333333333331</v>
          </cell>
          <cell r="X438">
            <v>0.33333333333333331</v>
          </cell>
          <cell r="Y438">
            <v>0</v>
          </cell>
          <cell r="AC438">
            <v>0.33333333333333331</v>
          </cell>
          <cell r="AD438">
            <v>0</v>
          </cell>
        </row>
        <row r="439">
          <cell r="P439">
            <v>0</v>
          </cell>
          <cell r="X439">
            <v>0</v>
          </cell>
          <cell r="Y439">
            <v>0</v>
          </cell>
          <cell r="AC439">
            <v>0</v>
          </cell>
          <cell r="AD439">
            <v>0</v>
          </cell>
        </row>
        <row r="440">
          <cell r="P440">
            <v>0</v>
          </cell>
          <cell r="X440">
            <v>0</v>
          </cell>
          <cell r="Y440">
            <v>0</v>
          </cell>
          <cell r="AC440">
            <v>0</v>
          </cell>
          <cell r="AD440">
            <v>0</v>
          </cell>
        </row>
        <row r="441">
          <cell r="P441">
            <v>0</v>
          </cell>
          <cell r="X441">
            <v>0</v>
          </cell>
          <cell r="Y441">
            <v>0</v>
          </cell>
          <cell r="AC441">
            <v>0</v>
          </cell>
          <cell r="AD441">
            <v>0</v>
          </cell>
        </row>
        <row r="442">
          <cell r="P442">
            <v>0</v>
          </cell>
          <cell r="X442">
            <v>0</v>
          </cell>
          <cell r="Y442">
            <v>0</v>
          </cell>
          <cell r="AC442">
            <v>0</v>
          </cell>
          <cell r="AD442">
            <v>0</v>
          </cell>
        </row>
        <row r="443">
          <cell r="P443">
            <v>0</v>
          </cell>
          <cell r="X443">
            <v>0</v>
          </cell>
          <cell r="Y443">
            <v>0</v>
          </cell>
          <cell r="AC443">
            <v>0</v>
          </cell>
          <cell r="AD443">
            <v>0</v>
          </cell>
        </row>
        <row r="444">
          <cell r="P444">
            <v>0</v>
          </cell>
          <cell r="X444">
            <v>0</v>
          </cell>
          <cell r="Y444">
            <v>0</v>
          </cell>
          <cell r="AC444">
            <v>0</v>
          </cell>
          <cell r="AD444">
            <v>0</v>
          </cell>
        </row>
        <row r="445">
          <cell r="P445">
            <v>0</v>
          </cell>
          <cell r="X445">
            <v>0</v>
          </cell>
          <cell r="Y445">
            <v>0</v>
          </cell>
          <cell r="AC445">
            <v>0</v>
          </cell>
          <cell r="AD445">
            <v>0</v>
          </cell>
        </row>
        <row r="446">
          <cell r="P446">
            <v>0</v>
          </cell>
          <cell r="X446">
            <v>0</v>
          </cell>
          <cell r="Y446">
            <v>0</v>
          </cell>
          <cell r="AC446">
            <v>0</v>
          </cell>
          <cell r="AD446">
            <v>0</v>
          </cell>
        </row>
      </sheetData>
      <sheetData sheetId="18"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row>
        <row r="26">
          <cell r="W26" t="str">
            <v>ЗАТВЕРДЖУЮ</v>
          </cell>
        </row>
        <row r="27">
          <cell r="U27" t="str">
            <v>ГЕНЕРАЛЬНИЙ ДИРЕКТОР -</v>
          </cell>
        </row>
        <row r="28">
          <cell r="S28" t="str">
            <v>ЗАТВЕРДЖУЮ</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row>
        <row r="30">
          <cell r="U30" t="str">
            <v>ЗАТВЕРДЖУЮ</v>
          </cell>
        </row>
        <row r="31">
          <cell r="S31" t="str">
            <v>ЗАТВЕРДЖУЮ</v>
          </cell>
        </row>
        <row r="32">
          <cell r="Q32" t="str">
            <v>КТМ</v>
          </cell>
          <cell r="S32" t="str">
            <v>ГОЛОВА ПРАЛІННЯ  КЕ</v>
          </cell>
          <cell r="T32" t="str">
            <v>І.В.ПЛАЧКОВ</v>
          </cell>
          <cell r="V32" t="str">
            <v xml:space="preserve">ТЕЦ-5 </v>
          </cell>
          <cell r="AA32" t="str">
            <v xml:space="preserve">ТЕЦ-6 </v>
          </cell>
        </row>
        <row r="33">
          <cell r="P33">
            <v>25148</v>
          </cell>
          <cell r="W33" t="str">
            <v xml:space="preserve">                      ПЛАЧКОВ І.В.</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Q37">
            <v>158</v>
          </cell>
          <cell r="U37" t="str">
            <v xml:space="preserve">                      ПЛАЧКОВ І.В.</v>
          </cell>
          <cell r="X37">
            <v>383</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X39">
            <v>0</v>
          </cell>
          <cell r="AJ39">
            <v>0</v>
          </cell>
          <cell r="AL39">
            <v>0</v>
          </cell>
        </row>
        <row r="40">
          <cell r="Q40">
            <v>145</v>
          </cell>
          <cell r="V40">
            <v>347.3</v>
          </cell>
          <cell r="X40">
            <v>199.5</v>
          </cell>
          <cell r="AL40">
            <v>0</v>
          </cell>
        </row>
        <row r="41">
          <cell r="V41">
            <v>0</v>
          </cell>
          <cell r="X41">
            <v>0</v>
          </cell>
          <cell r="AJ41">
            <v>0</v>
          </cell>
          <cell r="AL41">
            <v>395.6</v>
          </cell>
        </row>
        <row r="42">
          <cell r="P42">
            <v>0</v>
          </cell>
          <cell r="V42">
            <v>33</v>
          </cell>
          <cell r="X42">
            <v>0</v>
          </cell>
          <cell r="AJ42">
            <v>0</v>
          </cell>
          <cell r="AL42">
            <v>395.6</v>
          </cell>
        </row>
        <row r="43">
          <cell r="V43">
            <v>0</v>
          </cell>
          <cell r="X43">
            <v>480.7</v>
          </cell>
          <cell r="AJ43">
            <v>395.6</v>
          </cell>
          <cell r="AM43">
            <v>1580</v>
          </cell>
        </row>
        <row r="44">
          <cell r="P44">
            <v>0</v>
          </cell>
          <cell r="V44">
            <v>0</v>
          </cell>
          <cell r="X44">
            <v>480.7</v>
          </cell>
          <cell r="AJ44">
            <v>395.6</v>
          </cell>
          <cell r="AM44">
            <v>0</v>
          </cell>
        </row>
        <row r="45">
          <cell r="R45">
            <v>320</v>
          </cell>
          <cell r="V45">
            <v>350</v>
          </cell>
          <cell r="Y45">
            <v>930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Y46">
            <v>0</v>
          </cell>
          <cell r="AC46">
            <v>1815.6175757575729</v>
          </cell>
          <cell r="AF46">
            <v>5288.3842424242421</v>
          </cell>
          <cell r="AG46">
            <v>4487.3999999999996</v>
          </cell>
          <cell r="AH46">
            <v>801.98424242424232</v>
          </cell>
          <cell r="AK46">
            <v>0</v>
          </cell>
        </row>
        <row r="47">
          <cell r="F47">
            <v>0.8</v>
          </cell>
          <cell r="R47">
            <v>145</v>
          </cell>
          <cell r="W47">
            <v>385</v>
          </cell>
          <cell r="Y47">
            <v>812</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0.8</v>
          </cell>
          <cell r="G49">
            <v>201</v>
          </cell>
          <cell r="H49">
            <v>525</v>
          </cell>
          <cell r="P49">
            <v>0.8</v>
          </cell>
          <cell r="Q49" t="e">
            <v>#REF!</v>
          </cell>
          <cell r="R49">
            <v>145</v>
          </cell>
          <cell r="S49">
            <v>0.8</v>
          </cell>
          <cell r="T49">
            <v>445</v>
          </cell>
          <cell r="U49">
            <v>445</v>
          </cell>
          <cell r="V49">
            <v>84</v>
          </cell>
          <cell r="W49">
            <v>285</v>
          </cell>
          <cell r="X49">
            <v>0.8</v>
          </cell>
          <cell r="Y49">
            <v>147</v>
          </cell>
          <cell r="Z49">
            <v>127.66666666666663</v>
          </cell>
          <cell r="AA49" t="e">
            <v>#REF!</v>
          </cell>
          <cell r="AB49" t="e">
            <v>#REF!</v>
          </cell>
          <cell r="AC49">
            <v>0.8</v>
          </cell>
          <cell r="AD49">
            <v>107</v>
          </cell>
          <cell r="AE49">
            <v>157</v>
          </cell>
          <cell r="AF49">
            <v>0.8</v>
          </cell>
          <cell r="AG49">
            <v>493</v>
          </cell>
          <cell r="AH49">
            <v>43</v>
          </cell>
          <cell r="AK49">
            <v>3111.6666666666665</v>
          </cell>
          <cell r="AL49">
            <v>899</v>
          </cell>
          <cell r="AM49">
            <v>2212.6666666666665</v>
          </cell>
          <cell r="AN49">
            <v>2212.6666666666665</v>
          </cell>
          <cell r="AO49">
            <v>254</v>
          </cell>
          <cell r="AP49">
            <v>587</v>
          </cell>
        </row>
        <row r="50">
          <cell r="F50">
            <v>159</v>
          </cell>
          <cell r="G50">
            <v>44</v>
          </cell>
          <cell r="H50">
            <v>115</v>
          </cell>
          <cell r="P50">
            <v>260</v>
          </cell>
          <cell r="Q50">
            <v>2</v>
          </cell>
          <cell r="R50">
            <v>2</v>
          </cell>
          <cell r="S50">
            <v>650</v>
          </cell>
          <cell r="V50">
            <v>0</v>
          </cell>
          <cell r="W50">
            <v>298.7</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279</v>
          </cell>
          <cell r="H51">
            <v>433</v>
          </cell>
          <cell r="P51">
            <v>304.23599999999999</v>
          </cell>
          <cell r="Q51">
            <v>144</v>
          </cell>
          <cell r="R51">
            <v>80</v>
          </cell>
          <cell r="S51">
            <v>760.26666666666688</v>
          </cell>
          <cell r="T51">
            <v>380.13333333333344</v>
          </cell>
          <cell r="U51">
            <v>380.13333333333344</v>
          </cell>
          <cell r="V51">
            <v>433</v>
          </cell>
          <cell r="W51">
            <v>613.33333333333348</v>
          </cell>
          <cell r="X51">
            <v>196.8</v>
          </cell>
          <cell r="Y51">
            <v>139</v>
          </cell>
          <cell r="Z51">
            <v>57.800000000000011</v>
          </cell>
          <cell r="AA51">
            <v>2319</v>
          </cell>
          <cell r="AB51">
            <v>7435.3333333333339</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Q52">
            <v>4</v>
          </cell>
          <cell r="R52">
            <v>2</v>
          </cell>
          <cell r="S52">
            <v>603</v>
          </cell>
          <cell r="U52">
            <v>331</v>
          </cell>
          <cell r="V52">
            <v>0</v>
          </cell>
          <cell r="W52">
            <v>200</v>
          </cell>
          <cell r="X52">
            <v>115</v>
          </cell>
          <cell r="Y52">
            <v>81</v>
          </cell>
          <cell r="Z52">
            <v>34</v>
          </cell>
          <cell r="AC52">
            <v>96</v>
          </cell>
          <cell r="AD52">
            <v>50</v>
          </cell>
          <cell r="AE52">
            <v>46</v>
          </cell>
          <cell r="AF52">
            <v>361</v>
          </cell>
          <cell r="AG52">
            <v>11</v>
          </cell>
          <cell r="AH52">
            <v>0</v>
          </cell>
          <cell r="AI52">
            <v>1279</v>
          </cell>
          <cell r="AJ52">
            <v>511</v>
          </cell>
          <cell r="AK52">
            <v>768</v>
          </cell>
          <cell r="AL52">
            <v>786</v>
          </cell>
          <cell r="AM52">
            <v>494</v>
          </cell>
          <cell r="AN52">
            <v>494</v>
          </cell>
        </row>
        <row r="53">
          <cell r="F53">
            <v>2</v>
          </cell>
          <cell r="G53">
            <v>0</v>
          </cell>
          <cell r="H53">
            <v>1</v>
          </cell>
          <cell r="P53">
            <v>0</v>
          </cell>
          <cell r="Q53">
            <v>32</v>
          </cell>
          <cell r="R53">
            <v>18</v>
          </cell>
          <cell r="S53">
            <v>587.66666666666663</v>
          </cell>
          <cell r="T53">
            <v>458.38</v>
          </cell>
          <cell r="U53">
            <v>129.28666666666663</v>
          </cell>
          <cell r="V53">
            <v>60</v>
          </cell>
          <cell r="W53" t="e">
            <v>#REF!</v>
          </cell>
          <cell r="X53">
            <v>4</v>
          </cell>
          <cell r="Y53">
            <v>3</v>
          </cell>
          <cell r="Z53">
            <v>1</v>
          </cell>
          <cell r="AA53" t="e">
            <v>#REF!</v>
          </cell>
          <cell r="AB53" t="e">
            <v>#REF!</v>
          </cell>
          <cell r="AC53">
            <v>0</v>
          </cell>
          <cell r="AD53">
            <v>0</v>
          </cell>
          <cell r="AE53">
            <v>0</v>
          </cell>
          <cell r="AF53">
            <v>179.33333333333334</v>
          </cell>
          <cell r="AG53">
            <v>110</v>
          </cell>
          <cell r="AH53">
            <v>0</v>
          </cell>
          <cell r="AI53">
            <v>4</v>
          </cell>
          <cell r="AJ53">
            <v>3</v>
          </cell>
          <cell r="AK53">
            <v>1</v>
          </cell>
          <cell r="AL53">
            <v>1</v>
          </cell>
          <cell r="AM53">
            <v>1219</v>
          </cell>
          <cell r="AN53">
            <v>1219</v>
          </cell>
          <cell r="AO53">
            <v>532</v>
          </cell>
          <cell r="AP53">
            <v>720</v>
          </cell>
        </row>
        <row r="54">
          <cell r="F54">
            <v>570</v>
          </cell>
          <cell r="G54">
            <v>223</v>
          </cell>
          <cell r="H54">
            <v>347</v>
          </cell>
          <cell r="P54">
            <v>4</v>
          </cell>
          <cell r="Q54" t="e">
            <v>#REF!</v>
          </cell>
          <cell r="R54" t="e">
            <v>#REF!</v>
          </cell>
          <cell r="S54">
            <v>15</v>
          </cell>
          <cell r="T54">
            <v>13.666666666666666</v>
          </cell>
          <cell r="U54">
            <v>0</v>
          </cell>
          <cell r="V54">
            <v>20</v>
          </cell>
          <cell r="W54" t="e">
            <v>#REF!</v>
          </cell>
          <cell r="X54">
            <v>30</v>
          </cell>
          <cell r="Y54">
            <v>21</v>
          </cell>
          <cell r="Z54">
            <v>9</v>
          </cell>
          <cell r="AA54" t="e">
            <v>#REF!</v>
          </cell>
          <cell r="AB54" t="e">
            <v>#REF!</v>
          </cell>
          <cell r="AC54">
            <v>8</v>
          </cell>
          <cell r="AD54">
            <v>4</v>
          </cell>
          <cell r="AE54">
            <v>4</v>
          </cell>
          <cell r="AF54">
            <v>15</v>
          </cell>
          <cell r="AG54">
            <v>15</v>
          </cell>
          <cell r="AH54">
            <v>0</v>
          </cell>
          <cell r="AI54">
            <v>752</v>
          </cell>
          <cell r="AJ54">
            <v>362</v>
          </cell>
          <cell r="AK54">
            <v>390</v>
          </cell>
          <cell r="AL54">
            <v>390</v>
          </cell>
          <cell r="AM54">
            <v>324</v>
          </cell>
          <cell r="AN54">
            <v>324</v>
          </cell>
          <cell r="AO54">
            <v>350</v>
          </cell>
          <cell r="AP54">
            <v>315</v>
          </cell>
        </row>
        <row r="55">
          <cell r="F55">
            <v>2</v>
          </cell>
          <cell r="G55">
            <v>1</v>
          </cell>
          <cell r="H55">
            <v>1</v>
          </cell>
          <cell r="P55">
            <v>40.800000000000004</v>
          </cell>
          <cell r="Q55">
            <v>58</v>
          </cell>
          <cell r="R55">
            <v>32</v>
          </cell>
          <cell r="S55">
            <v>263.2</v>
          </cell>
          <cell r="T55">
            <v>205.29599999999999</v>
          </cell>
          <cell r="U55">
            <v>57.903999999999996</v>
          </cell>
          <cell r="V55">
            <v>552</v>
          </cell>
          <cell r="W55">
            <v>532</v>
          </cell>
          <cell r="X55">
            <v>790.40000000000009</v>
          </cell>
          <cell r="Y55">
            <v>560</v>
          </cell>
          <cell r="Z55">
            <v>230.40000000000009</v>
          </cell>
          <cell r="AA55">
            <v>2526</v>
          </cell>
          <cell r="AB55">
            <v>7785</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P56">
            <v>0</v>
          </cell>
          <cell r="Q56">
            <v>8</v>
          </cell>
          <cell r="R56">
            <v>4</v>
          </cell>
          <cell r="S56">
            <v>13.666666666666666</v>
          </cell>
          <cell r="T56">
            <v>13.666666666666666</v>
          </cell>
          <cell r="U56">
            <v>0</v>
          </cell>
          <cell r="V56">
            <v>410</v>
          </cell>
          <cell r="W56">
            <v>179</v>
          </cell>
          <cell r="X56">
            <v>708.80000000000007</v>
          </cell>
          <cell r="Y56">
            <v>502</v>
          </cell>
          <cell r="Z56">
            <v>206.80000000000007</v>
          </cell>
          <cell r="AA56">
            <v>902</v>
          </cell>
          <cell r="AB56">
            <v>2722</v>
          </cell>
          <cell r="AC56">
            <v>13.333333333333334</v>
          </cell>
          <cell r="AD56">
            <v>7</v>
          </cell>
          <cell r="AE56">
            <v>6.3333333333333339</v>
          </cell>
          <cell r="AF56">
            <v>0</v>
          </cell>
          <cell r="AG56">
            <v>0</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P57">
            <v>8271</v>
          </cell>
          <cell r="Q57">
            <v>5299</v>
          </cell>
          <cell r="R57">
            <v>2972</v>
          </cell>
          <cell r="S57">
            <v>1598</v>
          </cell>
          <cell r="T57">
            <v>1598</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Q58">
            <v>5299</v>
          </cell>
          <cell r="R58">
            <v>2972</v>
          </cell>
          <cell r="S58">
            <v>1598</v>
          </cell>
          <cell r="T58">
            <v>1598</v>
          </cell>
          <cell r="U58">
            <v>0</v>
          </cell>
          <cell r="V58">
            <v>12849</v>
          </cell>
          <cell r="W58">
            <v>7771</v>
          </cell>
          <cell r="X58">
            <v>13610</v>
          </cell>
          <cell r="Y58">
            <v>9645</v>
          </cell>
          <cell r="Z58">
            <v>3965</v>
          </cell>
          <cell r="AA58">
            <v>146826</v>
          </cell>
          <cell r="AB58">
            <v>294840</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P59">
            <v>562.25</v>
          </cell>
          <cell r="Q59">
            <v>0</v>
          </cell>
          <cell r="R59">
            <v>0</v>
          </cell>
          <cell r="S59">
            <v>1035.1836363636362</v>
          </cell>
          <cell r="T59">
            <v>0</v>
          </cell>
          <cell r="U59">
            <v>0</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0</v>
          </cell>
          <cell r="AG59">
            <v>1165</v>
          </cell>
          <cell r="AH59">
            <v>0</v>
          </cell>
          <cell r="AI59">
            <v>0</v>
          </cell>
          <cell r="AJ59">
            <v>0</v>
          </cell>
          <cell r="AK59">
            <v>0</v>
          </cell>
          <cell r="AL59">
            <v>0</v>
          </cell>
          <cell r="AM59">
            <v>2875.7209090909091</v>
          </cell>
          <cell r="AN59">
            <v>0</v>
          </cell>
          <cell r="AO59">
            <v>252</v>
          </cell>
          <cell r="AP59">
            <v>635</v>
          </cell>
        </row>
        <row r="60">
          <cell r="F60">
            <v>0</v>
          </cell>
          <cell r="G60">
            <v>0</v>
          </cell>
          <cell r="H60">
            <v>0</v>
          </cell>
          <cell r="P60">
            <v>11.200000000000001</v>
          </cell>
          <cell r="Q60">
            <v>0</v>
          </cell>
          <cell r="R60">
            <v>0</v>
          </cell>
          <cell r="S60">
            <v>267.2</v>
          </cell>
          <cell r="T60">
            <v>267.2</v>
          </cell>
          <cell r="U60">
            <v>0</v>
          </cell>
          <cell r="V60">
            <v>16</v>
          </cell>
          <cell r="W60">
            <v>350</v>
          </cell>
          <cell r="X60">
            <v>0</v>
          </cell>
          <cell r="Y60">
            <v>0</v>
          </cell>
          <cell r="Z60">
            <v>0</v>
          </cell>
          <cell r="AA60">
            <v>4344</v>
          </cell>
          <cell r="AB60">
            <v>11898</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Q61">
            <v>40</v>
          </cell>
          <cell r="R61">
            <v>22.423728813559308</v>
          </cell>
          <cell r="S61">
            <v>887.77454545454532</v>
          </cell>
          <cell r="T61">
            <v>435.00952727272721</v>
          </cell>
          <cell r="U61">
            <v>452.76501818181811</v>
          </cell>
          <cell r="V61">
            <v>748.3098245614035</v>
          </cell>
          <cell r="W61">
            <v>618.1254831995243</v>
          </cell>
          <cell r="X61">
            <v>296.28636363636366</v>
          </cell>
          <cell r="Y61">
            <v>210</v>
          </cell>
          <cell r="Z61">
            <v>86.28636363636366</v>
          </cell>
          <cell r="AA61">
            <v>2580</v>
          </cell>
          <cell r="AB61">
            <v>8244.1254831995248</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Q62">
            <v>2</v>
          </cell>
          <cell r="R62">
            <v>1</v>
          </cell>
          <cell r="S62">
            <v>49</v>
          </cell>
          <cell r="T62">
            <v>24</v>
          </cell>
          <cell r="U62">
            <v>25</v>
          </cell>
          <cell r="V62">
            <v>41</v>
          </cell>
          <cell r="W62">
            <v>34</v>
          </cell>
          <cell r="X62">
            <v>16</v>
          </cell>
          <cell r="Y62">
            <v>11</v>
          </cell>
          <cell r="Z62">
            <v>5</v>
          </cell>
          <cell r="AA62">
            <v>143</v>
          </cell>
          <cell r="AB62">
            <v>460</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Q63">
            <v>13</v>
          </cell>
          <cell r="R63">
            <v>8</v>
          </cell>
          <cell r="S63">
            <v>284</v>
          </cell>
          <cell r="T63">
            <v>139</v>
          </cell>
          <cell r="U63">
            <v>145</v>
          </cell>
          <cell r="V63">
            <v>240</v>
          </cell>
          <cell r="W63">
            <v>198</v>
          </cell>
          <cell r="X63">
            <v>95</v>
          </cell>
          <cell r="Y63">
            <v>67</v>
          </cell>
          <cell r="Z63">
            <v>28</v>
          </cell>
          <cell r="AA63">
            <v>825</v>
          </cell>
          <cell r="AB63">
            <v>2637</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row>
        <row r="65">
          <cell r="F65">
            <v>79</v>
          </cell>
          <cell r="G65">
            <v>31</v>
          </cell>
          <cell r="H65">
            <v>48</v>
          </cell>
          <cell r="P65">
            <v>520</v>
          </cell>
          <cell r="Q65">
            <v>285</v>
          </cell>
          <cell r="R65">
            <v>160</v>
          </cell>
          <cell r="S65">
            <v>1018</v>
          </cell>
          <cell r="T65">
            <v>162.88</v>
          </cell>
          <cell r="U65">
            <v>855.12</v>
          </cell>
          <cell r="V65">
            <v>973</v>
          </cell>
          <cell r="W65">
            <v>1131</v>
          </cell>
          <cell r="X65">
            <v>570</v>
          </cell>
          <cell r="Y65">
            <v>404</v>
          </cell>
          <cell r="Z65">
            <v>166</v>
          </cell>
          <cell r="AA65">
            <v>3962</v>
          </cell>
          <cell r="AB65">
            <v>14646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F66">
            <v>0</v>
          </cell>
          <cell r="G66">
            <v>0</v>
          </cell>
          <cell r="P66">
            <v>0</v>
          </cell>
          <cell r="Q66">
            <v>285</v>
          </cell>
          <cell r="R66">
            <v>160</v>
          </cell>
          <cell r="S66">
            <v>0</v>
          </cell>
          <cell r="T66">
            <v>16</v>
          </cell>
          <cell r="U66">
            <v>86</v>
          </cell>
          <cell r="V66">
            <v>914</v>
          </cell>
          <cell r="W66">
            <v>832</v>
          </cell>
          <cell r="X66">
            <v>0</v>
          </cell>
          <cell r="Y66" t="e">
            <v>#REF!</v>
          </cell>
          <cell r="Z66">
            <v>832</v>
          </cell>
          <cell r="AA66" t="e">
            <v>#REF!</v>
          </cell>
          <cell r="AB66">
            <v>832</v>
          </cell>
          <cell r="AC66">
            <v>0</v>
          </cell>
          <cell r="AD66">
            <v>0</v>
          </cell>
          <cell r="AH66">
            <v>0</v>
          </cell>
          <cell r="AI66">
            <v>0</v>
          </cell>
          <cell r="AK66">
            <v>0</v>
          </cell>
          <cell r="AL66">
            <v>0</v>
          </cell>
          <cell r="AM66">
            <v>74</v>
          </cell>
          <cell r="AN66">
            <v>82</v>
          </cell>
          <cell r="AO66">
            <v>56</v>
          </cell>
          <cell r="AP66">
            <v>120</v>
          </cell>
        </row>
        <row r="67">
          <cell r="F67">
            <v>84</v>
          </cell>
          <cell r="G67">
            <v>33</v>
          </cell>
          <cell r="H67">
            <v>51</v>
          </cell>
          <cell r="P67">
            <v>1291</v>
          </cell>
          <cell r="Q67">
            <v>0</v>
          </cell>
          <cell r="R67">
            <v>0</v>
          </cell>
          <cell r="S67">
            <v>4895</v>
          </cell>
          <cell r="T67">
            <v>146.88</v>
          </cell>
          <cell r="U67">
            <v>769.12</v>
          </cell>
          <cell r="V67">
            <v>54</v>
          </cell>
          <cell r="W67">
            <v>293</v>
          </cell>
          <cell r="X67">
            <v>290</v>
          </cell>
          <cell r="Y67">
            <v>304</v>
          </cell>
          <cell r="Z67">
            <v>265</v>
          </cell>
          <cell r="AB67">
            <v>293</v>
          </cell>
          <cell r="AC67">
            <v>85</v>
          </cell>
          <cell r="AD67">
            <v>213</v>
          </cell>
          <cell r="AE67">
            <v>314</v>
          </cell>
          <cell r="AF67">
            <v>5</v>
          </cell>
          <cell r="AG67">
            <v>5</v>
          </cell>
          <cell r="AH67">
            <v>0</v>
          </cell>
          <cell r="AI67">
            <v>6650</v>
          </cell>
          <cell r="AJ67">
            <v>1324</v>
          </cell>
          <cell r="AK67">
            <v>5326</v>
          </cell>
          <cell r="AL67">
            <v>4951</v>
          </cell>
          <cell r="AN67">
            <v>1346</v>
          </cell>
          <cell r="AO67">
            <v>465</v>
          </cell>
          <cell r="AP67">
            <v>552</v>
          </cell>
        </row>
        <row r="68">
          <cell r="F68">
            <v>0</v>
          </cell>
          <cell r="G68">
            <v>0</v>
          </cell>
          <cell r="H68">
            <v>94</v>
          </cell>
          <cell r="P68">
            <v>0</v>
          </cell>
          <cell r="Q68">
            <v>852</v>
          </cell>
          <cell r="R68">
            <v>478</v>
          </cell>
          <cell r="S68">
            <v>0</v>
          </cell>
          <cell r="T68">
            <v>542</v>
          </cell>
          <cell r="U68">
            <v>1626</v>
          </cell>
          <cell r="V68">
            <v>2249</v>
          </cell>
          <cell r="W68">
            <v>2344</v>
          </cell>
          <cell r="X68">
            <v>0</v>
          </cell>
          <cell r="Y68">
            <v>953</v>
          </cell>
          <cell r="Z68">
            <v>832</v>
          </cell>
          <cell r="AA68">
            <v>3910</v>
          </cell>
          <cell r="AB68">
            <v>15937</v>
          </cell>
          <cell r="AC68">
            <v>0</v>
          </cell>
          <cell r="AD68">
            <v>0</v>
          </cell>
          <cell r="AE68">
            <v>431</v>
          </cell>
          <cell r="AF68">
            <v>963</v>
          </cell>
          <cell r="AG68">
            <v>963</v>
          </cell>
          <cell r="AH68">
            <v>0</v>
          </cell>
          <cell r="AI68">
            <v>0</v>
          </cell>
          <cell r="AJ68">
            <v>0</v>
          </cell>
          <cell r="AK68">
            <v>0</v>
          </cell>
          <cell r="AL68">
            <v>0</v>
          </cell>
          <cell r="AM68">
            <v>4488</v>
          </cell>
          <cell r="AN68">
            <v>0</v>
          </cell>
          <cell r="AO68">
            <v>1245</v>
          </cell>
          <cell r="AP68">
            <v>2000</v>
          </cell>
        </row>
        <row r="69">
          <cell r="F69">
            <v>0</v>
          </cell>
          <cell r="G69">
            <v>0</v>
          </cell>
          <cell r="H69">
            <v>0</v>
          </cell>
          <cell r="P69">
            <v>-771</v>
          </cell>
          <cell r="Q69">
            <v>40</v>
          </cell>
          <cell r="R69">
            <v>23.192982456140342</v>
          </cell>
          <cell r="S69">
            <v>-3877</v>
          </cell>
          <cell r="T69">
            <v>146.88</v>
          </cell>
          <cell r="U69">
            <v>769.12</v>
          </cell>
          <cell r="V69">
            <v>158.07017543859649</v>
          </cell>
          <cell r="W69">
            <v>252.4912280701754</v>
          </cell>
          <cell r="X69">
            <v>280</v>
          </cell>
          <cell r="Y69">
            <v>404</v>
          </cell>
          <cell r="Z69">
            <v>166</v>
          </cell>
          <cell r="AA69">
            <v>948</v>
          </cell>
          <cell r="AB69">
            <v>3117.4912280701756</v>
          </cell>
          <cell r="AC69">
            <v>556</v>
          </cell>
          <cell r="AD69">
            <v>336</v>
          </cell>
          <cell r="AE69">
            <v>305</v>
          </cell>
          <cell r="AF69">
            <v>521</v>
          </cell>
          <cell r="AG69">
            <v>470</v>
          </cell>
          <cell r="AH69">
            <v>51</v>
          </cell>
          <cell r="AI69">
            <v>-3332</v>
          </cell>
          <cell r="AK69">
            <v>862.81818181818176</v>
          </cell>
          <cell r="AL69">
            <v>-2933</v>
          </cell>
          <cell r="AM69">
            <v>666</v>
          </cell>
          <cell r="AN69">
            <v>-611</v>
          </cell>
          <cell r="AO69">
            <v>502</v>
          </cell>
          <cell r="AP69">
            <v>1078</v>
          </cell>
        </row>
        <row r="70">
          <cell r="F70">
            <v>328</v>
          </cell>
          <cell r="G70">
            <v>128</v>
          </cell>
          <cell r="H70">
            <v>200</v>
          </cell>
          <cell r="P70">
            <v>870.40000000000009</v>
          </cell>
          <cell r="Q70">
            <v>2</v>
          </cell>
          <cell r="R70">
            <v>1</v>
          </cell>
          <cell r="S70">
            <v>1918.4</v>
          </cell>
          <cell r="T70">
            <v>479.6</v>
          </cell>
          <cell r="U70">
            <v>1438.8000000000002</v>
          </cell>
          <cell r="V70">
            <v>9</v>
          </cell>
          <cell r="W70">
            <v>13</v>
          </cell>
          <cell r="X70">
            <v>903.2</v>
          </cell>
          <cell r="Y70">
            <v>640</v>
          </cell>
          <cell r="Z70">
            <v>263.20000000000005</v>
          </cell>
          <cell r="AA70">
            <v>51</v>
          </cell>
          <cell r="AB70">
            <v>188</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F71">
            <v>0</v>
          </cell>
          <cell r="G71">
            <v>0</v>
          </cell>
          <cell r="H71">
            <v>0</v>
          </cell>
          <cell r="P71">
            <v>65</v>
          </cell>
          <cell r="Q71">
            <v>13</v>
          </cell>
          <cell r="R71">
            <v>7</v>
          </cell>
          <cell r="S71">
            <v>494.54545454545456</v>
          </cell>
          <cell r="U71">
            <v>133</v>
          </cell>
          <cell r="V71">
            <v>51</v>
          </cell>
          <cell r="W71">
            <v>82</v>
          </cell>
          <cell r="X71">
            <v>172.36363636363637</v>
          </cell>
          <cell r="Y71">
            <v>122</v>
          </cell>
          <cell r="Z71">
            <v>50.363636363636374</v>
          </cell>
          <cell r="AA71">
            <v>303</v>
          </cell>
          <cell r="AB71">
            <v>978</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cell r="AM71">
            <v>206</v>
          </cell>
          <cell r="AN71">
            <v>206</v>
          </cell>
        </row>
        <row r="72">
          <cell r="F72">
            <v>0</v>
          </cell>
          <cell r="G72">
            <v>0</v>
          </cell>
          <cell r="H72">
            <v>0</v>
          </cell>
          <cell r="P72">
            <v>4</v>
          </cell>
          <cell r="Q72">
            <v>2</v>
          </cell>
          <cell r="R72">
            <v>1</v>
          </cell>
          <cell r="S72">
            <v>27</v>
          </cell>
          <cell r="U72">
            <v>19</v>
          </cell>
          <cell r="V72">
            <v>7</v>
          </cell>
          <cell r="W72">
            <v>12</v>
          </cell>
          <cell r="X72">
            <v>9</v>
          </cell>
          <cell r="Y72">
            <v>6</v>
          </cell>
          <cell r="Z72">
            <v>3</v>
          </cell>
          <cell r="AA72">
            <v>48</v>
          </cell>
          <cell r="AB72">
            <v>232</v>
          </cell>
          <cell r="AC72">
            <v>6</v>
          </cell>
          <cell r="AD72">
            <v>3</v>
          </cell>
          <cell r="AE72">
            <v>3</v>
          </cell>
          <cell r="AF72">
            <v>12</v>
          </cell>
          <cell r="AG72">
            <v>12</v>
          </cell>
          <cell r="AH72">
            <v>0</v>
          </cell>
          <cell r="AI72">
            <v>58</v>
          </cell>
          <cell r="AJ72">
            <v>13</v>
          </cell>
          <cell r="AK72">
            <v>45</v>
          </cell>
          <cell r="AL72">
            <v>45</v>
          </cell>
          <cell r="AM72">
            <v>0</v>
          </cell>
          <cell r="AN72">
            <v>0</v>
          </cell>
        </row>
        <row r="73">
          <cell r="F73">
            <v>0</v>
          </cell>
          <cell r="G73">
            <v>0</v>
          </cell>
          <cell r="H73">
            <v>0</v>
          </cell>
          <cell r="P73">
            <v>21</v>
          </cell>
          <cell r="Q73">
            <v>849</v>
          </cell>
          <cell r="R73">
            <v>476</v>
          </cell>
          <cell r="S73">
            <v>158</v>
          </cell>
          <cell r="T73">
            <v>51</v>
          </cell>
          <cell r="U73">
            <v>4085</v>
          </cell>
          <cell r="V73">
            <v>1841</v>
          </cell>
          <cell r="W73">
            <v>2244</v>
          </cell>
          <cell r="X73">
            <v>55</v>
          </cell>
          <cell r="Y73">
            <v>39</v>
          </cell>
          <cell r="Z73">
            <v>16</v>
          </cell>
          <cell r="AA73" t="e">
            <v>#REF!</v>
          </cell>
          <cell r="AB73">
            <v>2244</v>
          </cell>
          <cell r="AC73">
            <v>37</v>
          </cell>
          <cell r="AD73">
            <v>19</v>
          </cell>
          <cell r="AE73">
            <v>18</v>
          </cell>
          <cell r="AF73">
            <v>69</v>
          </cell>
          <cell r="AG73">
            <v>69</v>
          </cell>
          <cell r="AH73">
            <v>0</v>
          </cell>
          <cell r="AI73">
            <v>340</v>
          </cell>
          <cell r="AJ73">
            <v>79</v>
          </cell>
          <cell r="AK73">
            <v>261</v>
          </cell>
          <cell r="AL73">
            <v>261</v>
          </cell>
          <cell r="AM73">
            <v>3297</v>
          </cell>
          <cell r="AN73">
            <v>3297</v>
          </cell>
        </row>
        <row r="74">
          <cell r="F74">
            <v>0</v>
          </cell>
          <cell r="G74">
            <v>0</v>
          </cell>
          <cell r="P74">
            <v>63</v>
          </cell>
          <cell r="Q74">
            <v>3</v>
          </cell>
          <cell r="R74">
            <v>2</v>
          </cell>
          <cell r="S74">
            <v>0</v>
          </cell>
          <cell r="U74">
            <v>494</v>
          </cell>
          <cell r="V74">
            <v>3</v>
          </cell>
          <cell r="W74">
            <v>491</v>
          </cell>
          <cell r="X74">
            <v>0</v>
          </cell>
          <cell r="Y74" t="e">
            <v>#REF!</v>
          </cell>
          <cell r="Z74">
            <v>0</v>
          </cell>
          <cell r="AA74" t="e">
            <v>#REF!</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0</v>
          </cell>
          <cell r="H75">
            <v>1993</v>
          </cell>
          <cell r="P75">
            <v>870.40000000000009</v>
          </cell>
          <cell r="Q75">
            <v>20</v>
          </cell>
          <cell r="R75">
            <v>11</v>
          </cell>
          <cell r="S75">
            <v>0</v>
          </cell>
          <cell r="T75">
            <v>100.1</v>
          </cell>
          <cell r="U75">
            <v>142.56666666666666</v>
          </cell>
          <cell r="V75">
            <v>635</v>
          </cell>
          <cell r="W75">
            <v>2284.666666666667</v>
          </cell>
          <cell r="X75">
            <v>0</v>
          </cell>
          <cell r="Y75">
            <v>0</v>
          </cell>
          <cell r="Z75">
            <v>0</v>
          </cell>
          <cell r="AA75">
            <v>5795</v>
          </cell>
          <cell r="AB75">
            <v>23945.666666666668</v>
          </cell>
          <cell r="AC75">
            <v>0</v>
          </cell>
          <cell r="AD75">
            <v>0</v>
          </cell>
          <cell r="AE75">
            <v>0</v>
          </cell>
          <cell r="AF75">
            <v>0</v>
          </cell>
          <cell r="AG75">
            <v>0</v>
          </cell>
          <cell r="AH75">
            <v>0</v>
          </cell>
          <cell r="AI75">
            <v>870.40000000000009</v>
          </cell>
          <cell r="AJ75">
            <v>870.40000000000009</v>
          </cell>
          <cell r="AK75">
            <v>0</v>
          </cell>
          <cell r="AL75">
            <v>0</v>
          </cell>
          <cell r="AM75">
            <v>2713.0666666666666</v>
          </cell>
          <cell r="AN75">
            <v>2713.0666666666666</v>
          </cell>
          <cell r="AO75">
            <v>75</v>
          </cell>
          <cell r="AP75">
            <v>166</v>
          </cell>
        </row>
        <row r="76">
          <cell r="F76">
            <v>193</v>
          </cell>
          <cell r="G76">
            <v>0</v>
          </cell>
          <cell r="H76">
            <v>140</v>
          </cell>
          <cell r="P76">
            <v>935</v>
          </cell>
          <cell r="Q76" t="e">
            <v>#REF!</v>
          </cell>
          <cell r="R76" t="e">
            <v>#REF!</v>
          </cell>
          <cell r="S76">
            <v>4732.8</v>
          </cell>
          <cell r="T76">
            <v>0</v>
          </cell>
          <cell r="U76">
            <v>0</v>
          </cell>
          <cell r="V76">
            <v>0</v>
          </cell>
          <cell r="W76">
            <v>0</v>
          </cell>
          <cell r="X76">
            <v>80</v>
          </cell>
          <cell r="Y76">
            <v>0</v>
          </cell>
          <cell r="Z76">
            <v>0</v>
          </cell>
          <cell r="AA76">
            <v>0</v>
          </cell>
          <cell r="AB76">
            <v>401</v>
          </cell>
          <cell r="AC76">
            <v>85</v>
          </cell>
          <cell r="AD76">
            <v>45</v>
          </cell>
          <cell r="AE76">
            <v>40</v>
          </cell>
          <cell r="AF76">
            <v>0</v>
          </cell>
          <cell r="AH76">
            <v>0</v>
          </cell>
          <cell r="AI76">
            <v>5832.8</v>
          </cell>
          <cell r="AJ76">
            <v>980</v>
          </cell>
          <cell r="AK76">
            <v>4852.8</v>
          </cell>
          <cell r="AL76">
            <v>4772.8</v>
          </cell>
          <cell r="AM76">
            <v>140</v>
          </cell>
          <cell r="AN76">
            <v>140</v>
          </cell>
          <cell r="AO76">
            <v>0</v>
          </cell>
          <cell r="AP76">
            <v>0</v>
          </cell>
        </row>
        <row r="77">
          <cell r="F77">
            <v>3985.5</v>
          </cell>
          <cell r="G77">
            <v>1559</v>
          </cell>
          <cell r="H77">
            <v>2426.5</v>
          </cell>
          <cell r="P77">
            <v>88.2</v>
          </cell>
          <cell r="Q77">
            <v>20</v>
          </cell>
          <cell r="R77">
            <v>11</v>
          </cell>
          <cell r="S77">
            <v>201.86666666666662</v>
          </cell>
          <cell r="T77">
            <v>80.431999999999974</v>
          </cell>
          <cell r="U77">
            <v>121.43466666666664</v>
          </cell>
          <cell r="V77">
            <v>635</v>
          </cell>
          <cell r="W77">
            <v>2284.666666666667</v>
          </cell>
          <cell r="X77">
            <v>84.800000000000011</v>
          </cell>
          <cell r="Y77">
            <v>60</v>
          </cell>
          <cell r="Z77">
            <v>24.800000000000011</v>
          </cell>
          <cell r="AA77">
            <v>5796</v>
          </cell>
          <cell r="AB77">
            <v>23529.666666666668</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P78">
            <v>72.666666666666671</v>
          </cell>
          <cell r="Q78">
            <v>20</v>
          </cell>
          <cell r="R78">
            <v>11</v>
          </cell>
          <cell r="S78">
            <v>151.66666666666666</v>
          </cell>
          <cell r="T78">
            <v>0</v>
          </cell>
          <cell r="U78">
            <v>0</v>
          </cell>
          <cell r="V78">
            <v>373</v>
          </cell>
          <cell r="W78">
            <v>330</v>
          </cell>
          <cell r="X78">
            <v>57</v>
          </cell>
          <cell r="Y78">
            <v>0</v>
          </cell>
          <cell r="Z78">
            <v>0</v>
          </cell>
          <cell r="AB78">
            <v>330</v>
          </cell>
          <cell r="AC78">
            <v>37</v>
          </cell>
          <cell r="AD78">
            <v>28</v>
          </cell>
          <cell r="AE78">
            <v>0</v>
          </cell>
          <cell r="AF78">
            <v>136.66666666666666</v>
          </cell>
          <cell r="AG78">
            <v>119</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Q79" t="e">
            <v>#REF!</v>
          </cell>
          <cell r="S79">
            <v>201.86666666666662</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Q80" t="e">
            <v>#REF!</v>
          </cell>
          <cell r="R80" t="e">
            <v>#REF!</v>
          </cell>
          <cell r="S80">
            <v>121.86666666666663</v>
          </cell>
          <cell r="T80">
            <v>80.431999999999974</v>
          </cell>
          <cell r="U80">
            <v>41.434666666666658</v>
          </cell>
          <cell r="V80">
            <v>0</v>
          </cell>
          <cell r="W80">
            <v>0</v>
          </cell>
          <cell r="X80">
            <v>65.600000000000009</v>
          </cell>
          <cell r="Y80">
            <v>46</v>
          </cell>
          <cell r="Z80">
            <v>19.600000000000009</v>
          </cell>
          <cell r="AA80" t="e">
            <v>#REF!</v>
          </cell>
          <cell r="AB80" t="e">
            <v>#REF!</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M80">
            <v>308.39999999999992</v>
          </cell>
          <cell r="AN80">
            <v>308.39999999999992</v>
          </cell>
          <cell r="AP80">
            <v>676.66666666666674</v>
          </cell>
        </row>
        <row r="81">
          <cell r="F81">
            <v>33</v>
          </cell>
          <cell r="G81">
            <v>137</v>
          </cell>
          <cell r="H81">
            <v>33</v>
          </cell>
          <cell r="P81">
            <v>0</v>
          </cell>
          <cell r="S81">
            <v>0</v>
          </cell>
          <cell r="U81">
            <v>65</v>
          </cell>
          <cell r="V81">
            <v>30</v>
          </cell>
          <cell r="W81">
            <v>35</v>
          </cell>
          <cell r="X81">
            <v>25.333333333333332</v>
          </cell>
          <cell r="Y81">
            <v>14</v>
          </cell>
          <cell r="Z81">
            <v>11.333333333333332</v>
          </cell>
          <cell r="AA81" t="e">
            <v>#REF!</v>
          </cell>
          <cell r="AB81" t="e">
            <v>#REF!</v>
          </cell>
          <cell r="AC81">
            <v>25</v>
          </cell>
          <cell r="AD81">
            <v>10</v>
          </cell>
          <cell r="AE81">
            <v>15</v>
          </cell>
          <cell r="AF81">
            <v>53</v>
          </cell>
          <cell r="AG81">
            <v>26</v>
          </cell>
          <cell r="AH81">
            <v>27</v>
          </cell>
          <cell r="AI81">
            <v>389</v>
          </cell>
          <cell r="AJ81">
            <v>156</v>
          </cell>
          <cell r="AK81">
            <v>233</v>
          </cell>
          <cell r="AL81">
            <v>233</v>
          </cell>
          <cell r="AM81">
            <v>468</v>
          </cell>
          <cell r="AN81">
            <v>468</v>
          </cell>
          <cell r="AP81">
            <v>233</v>
          </cell>
        </row>
        <row r="82">
          <cell r="F82">
            <v>239</v>
          </cell>
          <cell r="G82">
            <v>94</v>
          </cell>
          <cell r="H82">
            <v>145</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220.2</v>
          </cell>
          <cell r="AL82">
            <v>219.2</v>
          </cell>
          <cell r="AM82">
            <v>0</v>
          </cell>
          <cell r="AN82">
            <v>0</v>
          </cell>
        </row>
        <row r="83">
          <cell r="F83">
            <v>2158.5</v>
          </cell>
          <cell r="G83">
            <v>845</v>
          </cell>
          <cell r="H83">
            <v>1313.5</v>
          </cell>
          <cell r="P83">
            <v>20</v>
          </cell>
          <cell r="S83">
            <v>40</v>
          </cell>
          <cell r="U83">
            <v>14098.435307760927</v>
          </cell>
          <cell r="V83">
            <v>5945.3098245614019</v>
          </cell>
          <cell r="W83">
            <v>8153.1254831995248</v>
          </cell>
          <cell r="X83">
            <v>19.200000000000003</v>
          </cell>
          <cell r="Y83">
            <v>14</v>
          </cell>
          <cell r="Z83">
            <v>5.2000000000000028</v>
          </cell>
          <cell r="AA83">
            <v>0</v>
          </cell>
          <cell r="AB83">
            <v>0</v>
          </cell>
          <cell r="AC83">
            <v>81</v>
          </cell>
          <cell r="AD83">
            <v>42</v>
          </cell>
          <cell r="AE83">
            <v>39</v>
          </cell>
          <cell r="AF83">
            <v>32</v>
          </cell>
          <cell r="AG83">
            <v>25</v>
          </cell>
          <cell r="AH83">
            <v>7</v>
          </cell>
          <cell r="AI83" t="e">
            <v>#REF!</v>
          </cell>
          <cell r="AJ83" t="e">
            <v>#REF!</v>
          </cell>
          <cell r="AK83" t="e">
            <v>#REF!</v>
          </cell>
          <cell r="AL83">
            <v>1425.7</v>
          </cell>
          <cell r="AM83">
            <v>42</v>
          </cell>
          <cell r="AN83">
            <v>38</v>
          </cell>
        </row>
        <row r="84">
          <cell r="F84">
            <v>576</v>
          </cell>
          <cell r="G84">
            <v>1171</v>
          </cell>
          <cell r="H84">
            <v>576</v>
          </cell>
          <cell r="P84">
            <v>2451.9166666666665</v>
          </cell>
          <cell r="Q84">
            <v>0</v>
          </cell>
          <cell r="R84">
            <v>0</v>
          </cell>
          <cell r="S84">
            <v>19113.516969696972</v>
          </cell>
          <cell r="T84">
            <v>15189.599981818181</v>
          </cell>
          <cell r="U84">
            <v>3923.9169878787875</v>
          </cell>
          <cell r="V84">
            <v>563</v>
          </cell>
          <cell r="W84" t="e">
            <v>#REF!</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t="e">
            <v>#REF!</v>
          </cell>
          <cell r="AL84">
            <v>576</v>
          </cell>
          <cell r="AM84">
            <v>44571.454242424239</v>
          </cell>
          <cell r="AN84">
            <v>44569.454242424246</v>
          </cell>
          <cell r="AO84">
            <v>19618</v>
          </cell>
          <cell r="AP84">
            <v>31013</v>
          </cell>
        </row>
        <row r="85">
          <cell r="F85">
            <v>587</v>
          </cell>
          <cell r="G85">
            <v>0</v>
          </cell>
          <cell r="H85">
            <v>0</v>
          </cell>
          <cell r="P85">
            <v>9.6000000000000014</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0</v>
          </cell>
          <cell r="AI85" t="e">
            <v>#REF!</v>
          </cell>
          <cell r="AJ85">
            <v>10.600000000000001</v>
          </cell>
          <cell r="AK85" t="e">
            <v>#REF!</v>
          </cell>
          <cell r="AL85">
            <v>44</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3074.6270000000004</v>
          </cell>
          <cell r="AL87">
            <v>653.10700000000008</v>
          </cell>
          <cell r="AM87">
            <v>0</v>
          </cell>
          <cell r="AN87">
            <v>0</v>
          </cell>
          <cell r="AO87">
            <v>0</v>
          </cell>
          <cell r="AP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0</v>
          </cell>
          <cell r="AM88">
            <v>44571.454242424239</v>
          </cell>
          <cell r="AN88">
            <v>44569.454242424246</v>
          </cell>
          <cell r="AO88">
            <v>19618</v>
          </cell>
          <cell r="AP88">
            <v>31013</v>
          </cell>
        </row>
        <row r="89">
          <cell r="F89">
            <v>5607</v>
          </cell>
          <cell r="G89">
            <v>5607</v>
          </cell>
          <cell r="H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0</v>
          </cell>
          <cell r="AL91">
            <v>0</v>
          </cell>
          <cell r="AM91">
            <v>0</v>
          </cell>
          <cell r="AN91">
            <v>0</v>
          </cell>
          <cell r="AO91" t="e">
            <v>#REF!</v>
          </cell>
          <cell r="AP91" t="e">
            <v>#REF!</v>
          </cell>
        </row>
        <row r="92">
          <cell r="F92">
            <v>497</v>
          </cell>
          <cell r="G92">
            <v>380</v>
          </cell>
          <cell r="H92">
            <v>117</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W94" t="e">
            <v>#REF!</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0</v>
          </cell>
          <cell r="AM95">
            <v>44888.413327334049</v>
          </cell>
          <cell r="AN95">
            <v>44886.413327334056</v>
          </cell>
          <cell r="AO95">
            <v>19618</v>
          </cell>
          <cell r="AP95">
            <v>31013</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0</v>
          </cell>
          <cell r="AM96">
            <v>19740.413327334049</v>
          </cell>
          <cell r="AN96">
            <v>19738.413327334056</v>
          </cell>
          <cell r="AO96">
            <v>2889</v>
          </cell>
          <cell r="AP96">
            <v>5865</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U99">
            <v>0</v>
          </cell>
          <cell r="W99" t="e">
            <v>#REF!</v>
          </cell>
          <cell r="X99">
            <v>290</v>
          </cell>
          <cell r="AC99">
            <v>85</v>
          </cell>
          <cell r="AF99">
            <v>5</v>
          </cell>
          <cell r="AG99">
            <v>5</v>
          </cell>
          <cell r="AH99">
            <v>0</v>
          </cell>
          <cell r="AI99" t="e">
            <v>#REF!</v>
          </cell>
          <cell r="AJ99" t="e">
            <v>#REF!</v>
          </cell>
        </row>
        <row r="100">
          <cell r="F100">
            <v>35</v>
          </cell>
          <cell r="P100">
            <v>1291</v>
          </cell>
          <cell r="S100">
            <v>4895</v>
          </cell>
          <cell r="U100">
            <v>1093</v>
          </cell>
          <cell r="W100" t="e">
            <v>#REF!</v>
          </cell>
          <cell r="X100">
            <v>290</v>
          </cell>
          <cell r="AC100">
            <v>85</v>
          </cell>
          <cell r="AF100">
            <v>5</v>
          </cell>
          <cell r="AG100">
            <v>5</v>
          </cell>
          <cell r="AH100">
            <v>0</v>
          </cell>
          <cell r="AI100" t="e">
            <v>#REF!</v>
          </cell>
          <cell r="AJ100">
            <v>56708.943606060609</v>
          </cell>
          <cell r="AK100">
            <v>30402.156000000006</v>
          </cell>
          <cell r="AL100">
            <v>85097.370909090911</v>
          </cell>
          <cell r="AM100">
            <v>40210.957581756855</v>
          </cell>
        </row>
        <row r="101">
          <cell r="F101">
            <v>0</v>
          </cell>
          <cell r="P101">
            <v>985</v>
          </cell>
          <cell r="S101">
            <v>2100</v>
          </cell>
          <cell r="U101">
            <v>913</v>
          </cell>
          <cell r="W101" t="e">
            <v>#REF!</v>
          </cell>
          <cell r="X101">
            <v>109.5</v>
          </cell>
          <cell r="AC101">
            <v>85</v>
          </cell>
          <cell r="AI101" t="e">
            <v>#REF!</v>
          </cell>
          <cell r="AK101">
            <v>0</v>
          </cell>
        </row>
        <row r="102">
          <cell r="F102">
            <v>0</v>
          </cell>
          <cell r="P102">
            <v>274</v>
          </cell>
          <cell r="S102">
            <v>0.1499999999996362</v>
          </cell>
          <cell r="U102">
            <v>50</v>
          </cell>
          <cell r="W102" t="e">
            <v>#REF!</v>
          </cell>
          <cell r="X102">
            <v>0</v>
          </cell>
          <cell r="AC102">
            <v>0</v>
          </cell>
          <cell r="AF102">
            <v>0</v>
          </cell>
          <cell r="AG102">
            <v>0</v>
          </cell>
          <cell r="AH102">
            <v>0</v>
          </cell>
          <cell r="AI102" t="e">
            <v>#REF!</v>
          </cell>
          <cell r="AK102">
            <v>7284</v>
          </cell>
        </row>
        <row r="103">
          <cell r="P103">
            <v>1878</v>
          </cell>
          <cell r="S103">
            <v>0</v>
          </cell>
          <cell r="T103">
            <v>10</v>
          </cell>
          <cell r="U103">
            <v>130</v>
          </cell>
          <cell r="W103" t="e">
            <v>#REF!</v>
          </cell>
        </row>
        <row r="104">
          <cell r="F104">
            <v>5833</v>
          </cell>
          <cell r="P104">
            <v>935</v>
          </cell>
          <cell r="S104">
            <v>4732.8</v>
          </cell>
          <cell r="T104">
            <v>10</v>
          </cell>
          <cell r="U104">
            <v>3922</v>
          </cell>
          <cell r="W104" t="e">
            <v>#REF!</v>
          </cell>
          <cell r="X104">
            <v>80</v>
          </cell>
          <cell r="AC104">
            <v>85</v>
          </cell>
        </row>
        <row r="105">
          <cell r="P105">
            <v>0</v>
          </cell>
          <cell r="S105">
            <v>0</v>
          </cell>
          <cell r="U105">
            <v>261</v>
          </cell>
          <cell r="W105" t="e">
            <v>#REF!</v>
          </cell>
          <cell r="X105">
            <v>0</v>
          </cell>
        </row>
        <row r="106">
          <cell r="P106">
            <v>935</v>
          </cell>
          <cell r="S106">
            <v>2100</v>
          </cell>
          <cell r="T106">
            <v>55</v>
          </cell>
          <cell r="U106">
            <v>3661</v>
          </cell>
          <cell r="W106" t="e">
            <v>#REF!</v>
          </cell>
          <cell r="X106">
            <v>80</v>
          </cell>
          <cell r="Y106">
            <v>0</v>
          </cell>
          <cell r="AC106">
            <v>85</v>
          </cell>
          <cell r="AK106">
            <v>0</v>
          </cell>
        </row>
        <row r="107">
          <cell r="P107">
            <v>0</v>
          </cell>
          <cell r="T107">
            <v>55</v>
          </cell>
          <cell r="U107">
            <v>-38.052597442759001</v>
          </cell>
          <cell r="V107">
            <v>-38.052597442759001</v>
          </cell>
          <cell r="W107">
            <v>0</v>
          </cell>
          <cell r="AI107" t="e">
            <v>#REF!</v>
          </cell>
          <cell r="AK107">
            <v>0</v>
          </cell>
        </row>
        <row r="108">
          <cell r="F108">
            <v>0</v>
          </cell>
          <cell r="P108">
            <v>0</v>
          </cell>
          <cell r="S108">
            <v>0</v>
          </cell>
          <cell r="U108">
            <v>268</v>
          </cell>
          <cell r="W108">
            <v>0</v>
          </cell>
          <cell r="X108">
            <v>0</v>
          </cell>
          <cell r="Y108">
            <v>0</v>
          </cell>
          <cell r="AC108">
            <v>0</v>
          </cell>
          <cell r="AF108">
            <v>0</v>
          </cell>
          <cell r="AG108">
            <v>0</v>
          </cell>
          <cell r="AH108">
            <v>0</v>
          </cell>
          <cell r="AI108" t="e">
            <v>#REF!</v>
          </cell>
          <cell r="AK108">
            <v>0</v>
          </cell>
        </row>
        <row r="109">
          <cell r="F109">
            <v>0</v>
          </cell>
          <cell r="P109">
            <v>274</v>
          </cell>
          <cell r="S109">
            <v>-17.850000000000364</v>
          </cell>
          <cell r="U109">
            <v>0</v>
          </cell>
          <cell r="V109">
            <v>0</v>
          </cell>
          <cell r="W109">
            <v>0</v>
          </cell>
          <cell r="X109">
            <v>0</v>
          </cell>
          <cell r="AC109">
            <v>0</v>
          </cell>
          <cell r="AF109">
            <v>0</v>
          </cell>
          <cell r="AG109">
            <v>0</v>
          </cell>
          <cell r="AH109">
            <v>0</v>
          </cell>
          <cell r="AI109" t="e">
            <v>#REF!</v>
          </cell>
          <cell r="AK109">
            <v>0</v>
          </cell>
        </row>
        <row r="110">
          <cell r="F110">
            <v>0</v>
          </cell>
          <cell r="P110">
            <v>274</v>
          </cell>
          <cell r="S110">
            <v>-17.850000000000364</v>
          </cell>
          <cell r="U110">
            <v>0</v>
          </cell>
          <cell r="W110" t="e">
            <v>#REF!</v>
          </cell>
          <cell r="AC110">
            <v>0</v>
          </cell>
          <cell r="AF110">
            <v>0</v>
          </cell>
          <cell r="AG110">
            <v>0</v>
          </cell>
          <cell r="AH110">
            <v>0</v>
          </cell>
          <cell r="AI110" t="e">
            <v>#REF!</v>
          </cell>
          <cell r="AK110">
            <v>0</v>
          </cell>
        </row>
        <row r="111">
          <cell r="F111">
            <v>0</v>
          </cell>
          <cell r="P111">
            <v>0</v>
          </cell>
          <cell r="S111">
            <v>0</v>
          </cell>
          <cell r="U111">
            <v>1568.5</v>
          </cell>
          <cell r="W111" t="e">
            <v>#REF!</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18</v>
          </cell>
          <cell r="W113">
            <v>-12710</v>
          </cell>
          <cell r="X113">
            <v>0</v>
          </cell>
          <cell r="AC113">
            <v>0</v>
          </cell>
          <cell r="AF113">
            <v>0</v>
          </cell>
          <cell r="AG113">
            <v>0</v>
          </cell>
          <cell r="AH113">
            <v>0</v>
          </cell>
          <cell r="AI113" t="e">
            <v>#REF!</v>
          </cell>
          <cell r="AK113">
            <v>0</v>
          </cell>
        </row>
        <row r="114">
          <cell r="F114">
            <v>0</v>
          </cell>
          <cell r="P114">
            <v>0</v>
          </cell>
          <cell r="S114">
            <v>18</v>
          </cell>
          <cell r="U114" t="e">
            <v>#REF!</v>
          </cell>
          <cell r="V114" t="e">
            <v>#REF!</v>
          </cell>
          <cell r="W114" t="e">
            <v>#REF!</v>
          </cell>
          <cell r="X114">
            <v>0</v>
          </cell>
          <cell r="AC114">
            <v>0</v>
          </cell>
          <cell r="AF114">
            <v>0</v>
          </cell>
          <cell r="AG114">
            <v>0</v>
          </cell>
          <cell r="AH114">
            <v>0</v>
          </cell>
          <cell r="AI114" t="e">
            <v>#REF!</v>
          </cell>
          <cell r="AK114">
            <v>0</v>
          </cell>
        </row>
        <row r="115">
          <cell r="F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cell r="AG115">
            <v>0</v>
          </cell>
          <cell r="AH115">
            <v>0</v>
          </cell>
          <cell r="AI115" t="e">
            <v>#REF!</v>
          </cell>
          <cell r="AK115">
            <v>0</v>
          </cell>
          <cell r="AM115">
            <v>0</v>
          </cell>
        </row>
        <row r="116">
          <cell r="F116" t="e">
            <v>#REF!</v>
          </cell>
          <cell r="P116">
            <v>0</v>
          </cell>
          <cell r="Q116">
            <v>0</v>
          </cell>
          <cell r="R116">
            <v>0</v>
          </cell>
          <cell r="S116">
            <v>0</v>
          </cell>
          <cell r="T116">
            <v>0</v>
          </cell>
          <cell r="U116">
            <v>7512.0307358905739</v>
          </cell>
          <cell r="V116" t="e">
            <v>#REF!</v>
          </cell>
          <cell r="W116" t="e">
            <v>#REF!</v>
          </cell>
          <cell r="AC116">
            <v>0</v>
          </cell>
          <cell r="AD116">
            <v>0</v>
          </cell>
          <cell r="AE116">
            <v>0</v>
          </cell>
          <cell r="AF116">
            <v>0</v>
          </cell>
          <cell r="AG116">
            <v>0</v>
          </cell>
          <cell r="AH116">
            <v>0</v>
          </cell>
          <cell r="AI116" t="e">
            <v>#REF!</v>
          </cell>
          <cell r="AK116">
            <v>0</v>
          </cell>
        </row>
        <row r="117">
          <cell r="F117">
            <v>0</v>
          </cell>
          <cell r="P117">
            <v>0</v>
          </cell>
          <cell r="S117">
            <v>0</v>
          </cell>
          <cell r="T117">
            <v>0</v>
          </cell>
          <cell r="U117">
            <v>6599.0307358905739</v>
          </cell>
          <cell r="W117" t="e">
            <v>#REF!</v>
          </cell>
          <cell r="AC117">
            <v>0</v>
          </cell>
          <cell r="AG117">
            <v>0</v>
          </cell>
          <cell r="AH117">
            <v>0</v>
          </cell>
          <cell r="AI117" t="e">
            <v>#REF!</v>
          </cell>
          <cell r="AK117">
            <v>0</v>
          </cell>
          <cell r="AL117">
            <v>0</v>
          </cell>
          <cell r="AM117">
            <v>0</v>
          </cell>
        </row>
        <row r="118">
          <cell r="F118">
            <v>0</v>
          </cell>
          <cell r="P118">
            <v>0</v>
          </cell>
          <cell r="S118">
            <v>0</v>
          </cell>
          <cell r="U118" t="e">
            <v>#REF!</v>
          </cell>
          <cell r="W118" t="e">
            <v>#REF!</v>
          </cell>
          <cell r="AC118">
            <v>0</v>
          </cell>
          <cell r="AG118">
            <v>0</v>
          </cell>
          <cell r="AH118">
            <v>0</v>
          </cell>
          <cell r="AI118" t="e">
            <v>#REF!</v>
          </cell>
          <cell r="AJ118">
            <v>0</v>
          </cell>
          <cell r="AK118">
            <v>0</v>
          </cell>
        </row>
        <row r="119">
          <cell r="F119">
            <v>0</v>
          </cell>
          <cell r="P119">
            <v>0</v>
          </cell>
          <cell r="S119">
            <v>0</v>
          </cell>
          <cell r="U119">
            <v>-230.79318209931299</v>
          </cell>
          <cell r="W119" t="e">
            <v>#REF!</v>
          </cell>
          <cell r="X119" t="e">
            <v>#REF!</v>
          </cell>
          <cell r="Y119" t="e">
            <v>#REF!</v>
          </cell>
          <cell r="AC119">
            <v>0</v>
          </cell>
          <cell r="AF119">
            <v>0</v>
          </cell>
          <cell r="AG119">
            <v>0</v>
          </cell>
          <cell r="AH119">
            <v>0</v>
          </cell>
          <cell r="AI119" t="e">
            <v>#REF!</v>
          </cell>
          <cell r="AK119">
            <v>0</v>
          </cell>
        </row>
        <row r="120">
          <cell r="F120">
            <v>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W121">
            <v>0</v>
          </cell>
          <cell r="X121">
            <v>0</v>
          </cell>
          <cell r="Z121">
            <v>0</v>
          </cell>
          <cell r="AC121">
            <v>0</v>
          </cell>
          <cell r="AG121">
            <v>0</v>
          </cell>
          <cell r="AH121">
            <v>0</v>
          </cell>
          <cell r="AI121" t="e">
            <v>#REF!</v>
          </cell>
          <cell r="AK121">
            <v>100</v>
          </cell>
        </row>
        <row r="122">
          <cell r="F122">
            <v>595</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W124">
            <v>24998</v>
          </cell>
          <cell r="Y124">
            <v>24998</v>
          </cell>
          <cell r="Z124">
            <v>0</v>
          </cell>
          <cell r="AB124">
            <v>0</v>
          </cell>
          <cell r="AI124" t="e">
            <v>#REF!</v>
          </cell>
          <cell r="AK124">
            <v>0</v>
          </cell>
        </row>
        <row r="125">
          <cell r="U125">
            <v>8678</v>
          </cell>
          <cell r="W125">
            <v>8678</v>
          </cell>
          <cell r="Z125">
            <v>0</v>
          </cell>
          <cell r="AC125">
            <v>0</v>
          </cell>
          <cell r="AE125">
            <v>0</v>
          </cell>
          <cell r="AI125" t="e">
            <v>#REF!</v>
          </cell>
          <cell r="AK125">
            <v>0</v>
          </cell>
          <cell r="AL125">
            <v>-8132.8846363636376</v>
          </cell>
        </row>
        <row r="126">
          <cell r="F126">
            <v>0</v>
          </cell>
          <cell r="U126">
            <v>-7406.8601498661901</v>
          </cell>
          <cell r="W126">
            <v>30.79</v>
          </cell>
          <cell r="Z126" t="e">
            <v>#DIV/0!</v>
          </cell>
          <cell r="AC126">
            <v>0</v>
          </cell>
          <cell r="AI126" t="e">
            <v>#REF!</v>
          </cell>
          <cell r="AJ126" t="e">
            <v>#REF!</v>
          </cell>
          <cell r="AK126">
            <v>0</v>
          </cell>
        </row>
        <row r="127">
          <cell r="F127">
            <v>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W130">
            <v>11.87</v>
          </cell>
          <cell r="Z130" t="e">
            <v>#DIV/0!</v>
          </cell>
          <cell r="AI130" t="e">
            <v>#REF!</v>
          </cell>
          <cell r="AJ130" t="e">
            <v>#REF!</v>
          </cell>
          <cell r="AK130">
            <v>-4552.8846363636376</v>
          </cell>
        </row>
        <row r="131">
          <cell r="U131">
            <v>8.49</v>
          </cell>
          <cell r="W131">
            <v>0</v>
          </cell>
          <cell r="AC131" t="e">
            <v>#DIV/0!</v>
          </cell>
          <cell r="AI131" t="e">
            <v>#REF!</v>
          </cell>
          <cell r="AK131">
            <v>-6504.1209090909106</v>
          </cell>
          <cell r="AL131">
            <v>9186.0424182431379</v>
          </cell>
          <cell r="AM131">
            <v>-16555.413327334049</v>
          </cell>
        </row>
        <row r="132">
          <cell r="T132">
            <v>0</v>
          </cell>
          <cell r="U132">
            <v>0</v>
          </cell>
          <cell r="W132" t="e">
            <v>#REF!</v>
          </cell>
          <cell r="Z132" t="e">
            <v>#REF!</v>
          </cell>
          <cell r="AI132">
            <v>-11929.693606060609</v>
          </cell>
          <cell r="AJ132">
            <v>2695.8439999999973</v>
          </cell>
          <cell r="AK132">
            <v>-15490.787606060607</v>
          </cell>
        </row>
        <row r="133">
          <cell r="T133">
            <v>0</v>
          </cell>
          <cell r="U133">
            <v>6.57</v>
          </cell>
          <cell r="W133">
            <v>57083</v>
          </cell>
          <cell r="X133">
            <v>57083</v>
          </cell>
          <cell r="AC133" t="e">
            <v>#DIV/0!</v>
          </cell>
          <cell r="AK133">
            <v>-1951.236272727273</v>
          </cell>
          <cell r="AO133">
            <v>0</v>
          </cell>
        </row>
        <row r="134">
          <cell r="U134">
            <v>29726</v>
          </cell>
          <cell r="V134">
            <v>29726</v>
          </cell>
          <cell r="AI134" t="e">
            <v>#REF!</v>
          </cell>
          <cell r="AM134">
            <v>0</v>
          </cell>
        </row>
        <row r="135">
          <cell r="T135">
            <v>300</v>
          </cell>
          <cell r="W135">
            <v>300</v>
          </cell>
        </row>
        <row r="136">
          <cell r="T136">
            <v>300</v>
          </cell>
          <cell r="U136">
            <v>300</v>
          </cell>
          <cell r="W136">
            <v>1</v>
          </cell>
          <cell r="AK136">
            <v>28333</v>
          </cell>
          <cell r="AM136">
            <v>28333</v>
          </cell>
          <cell r="AO136">
            <v>0</v>
          </cell>
        </row>
        <row r="137">
          <cell r="U137">
            <v>1</v>
          </cell>
          <cell r="AI137">
            <v>10816</v>
          </cell>
          <cell r="AK137">
            <v>10816</v>
          </cell>
          <cell r="AM137">
            <v>0</v>
          </cell>
          <cell r="AO137">
            <v>0</v>
          </cell>
        </row>
        <row r="138">
          <cell r="T138">
            <v>0</v>
          </cell>
          <cell r="W138">
            <v>82081</v>
          </cell>
          <cell r="X138">
            <v>57083</v>
          </cell>
          <cell r="Y138">
            <v>24998</v>
          </cell>
          <cell r="Z138">
            <v>0</v>
          </cell>
          <cell r="AI138">
            <v>-15490.787606060607</v>
          </cell>
          <cell r="AK138">
            <v>17.93</v>
          </cell>
          <cell r="AM138">
            <v>0</v>
          </cell>
          <cell r="AO138" t="e">
            <v>#DIV/0!</v>
          </cell>
        </row>
        <row r="139">
          <cell r="T139">
            <v>0</v>
          </cell>
          <cell r="U139">
            <v>38404</v>
          </cell>
          <cell r="V139">
            <v>29726</v>
          </cell>
          <cell r="W139">
            <v>8678</v>
          </cell>
          <cell r="X139">
            <v>0</v>
          </cell>
          <cell r="AC139">
            <v>0</v>
          </cell>
          <cell r="AI139">
            <v>6.85</v>
          </cell>
          <cell r="AK139">
            <v>28.41</v>
          </cell>
          <cell r="AM139" t="e">
            <v>#DIV/0!</v>
          </cell>
          <cell r="AO139" t="e">
            <v>#DIV/0!</v>
          </cell>
        </row>
        <row r="140">
          <cell r="U140">
            <v>0</v>
          </cell>
          <cell r="V140">
            <v>0</v>
          </cell>
          <cell r="W140">
            <v>82081</v>
          </cell>
          <cell r="X140">
            <v>57083</v>
          </cell>
          <cell r="Y140">
            <v>24998</v>
          </cell>
          <cell r="AI140">
            <v>16.649999999999999</v>
          </cell>
          <cell r="AK140">
            <v>0</v>
          </cell>
          <cell r="AM140" t="e">
            <v>#REF!</v>
          </cell>
          <cell r="AO140">
            <v>0</v>
          </cell>
        </row>
        <row r="141">
          <cell r="U141">
            <v>38404</v>
          </cell>
          <cell r="V141">
            <v>29726</v>
          </cell>
          <cell r="W141">
            <v>8678</v>
          </cell>
          <cell r="Z141" t="e">
            <v>#REF!</v>
          </cell>
          <cell r="AA141" t="e">
            <v>#REF!</v>
          </cell>
          <cell r="AB141" t="e">
            <v>#REF!</v>
          </cell>
          <cell r="AC141" t="e">
            <v>#REF!</v>
          </cell>
          <cell r="AI141">
            <v>0</v>
          </cell>
          <cell r="AM141">
            <v>0</v>
          </cell>
        </row>
        <row r="142">
          <cell r="W142" t="e">
            <v>#REF!</v>
          </cell>
          <cell r="X142" t="e">
            <v>#REF!</v>
          </cell>
          <cell r="Y142" t="e">
            <v>#REF!</v>
          </cell>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M143" t="e">
            <v>#DIV/0!</v>
          </cell>
        </row>
        <row r="144">
          <cell r="P144">
            <v>0</v>
          </cell>
          <cell r="S144">
            <v>0</v>
          </cell>
          <cell r="W144">
            <v>0</v>
          </cell>
          <cell r="AJ144">
            <v>0</v>
          </cell>
          <cell r="AK144">
            <v>10.16</v>
          </cell>
          <cell r="AO144" t="e">
            <v>#DIV/0!</v>
          </cell>
        </row>
        <row r="145">
          <cell r="P145">
            <v>0</v>
          </cell>
          <cell r="S145">
            <v>0</v>
          </cell>
          <cell r="T145">
            <v>312</v>
          </cell>
          <cell r="U145">
            <v>0</v>
          </cell>
          <cell r="W145">
            <v>3847.9000000000005</v>
          </cell>
          <cell r="AI145">
            <v>7.69</v>
          </cell>
          <cell r="AK145">
            <v>49395</v>
          </cell>
          <cell r="AL145">
            <v>49395</v>
          </cell>
          <cell r="AM145" t="e">
            <v>#DIV/0!</v>
          </cell>
        </row>
        <row r="146">
          <cell r="P146">
            <v>1325</v>
          </cell>
          <cell r="T146">
            <v>194</v>
          </cell>
          <cell r="U146">
            <v>4402</v>
          </cell>
          <cell r="W146">
            <v>2595.8000000000002</v>
          </cell>
          <cell r="AI146">
            <v>38926</v>
          </cell>
          <cell r="AJ146">
            <v>38926</v>
          </cell>
        </row>
        <row r="147">
          <cell r="P147">
            <v>1174</v>
          </cell>
          <cell r="U147">
            <v>2921</v>
          </cell>
          <cell r="W147">
            <v>0</v>
          </cell>
          <cell r="AJ147">
            <v>300</v>
          </cell>
        </row>
        <row r="148">
          <cell r="U148">
            <v>0</v>
          </cell>
          <cell r="W148">
            <v>0</v>
          </cell>
          <cell r="AK148">
            <v>5114.2857142857147</v>
          </cell>
          <cell r="AL148">
            <v>-40208.957581756862</v>
          </cell>
          <cell r="AM148">
            <v>-44888.413327334049</v>
          </cell>
        </row>
        <row r="149">
          <cell r="P149" t="e">
            <v>#REF!</v>
          </cell>
          <cell r="S149">
            <v>0</v>
          </cell>
          <cell r="U149">
            <v>0</v>
          </cell>
          <cell r="W149" t="e">
            <v>#REF!</v>
          </cell>
          <cell r="AI149" t="e">
            <v>#REF!</v>
          </cell>
          <cell r="AJ149">
            <v>-30402.156000000003</v>
          </cell>
          <cell r="AK149">
            <v>-26306.787606060607</v>
          </cell>
        </row>
        <row r="150">
          <cell r="P150">
            <v>0</v>
          </cell>
          <cell r="S150">
            <v>0</v>
          </cell>
          <cell r="U150">
            <v>317</v>
          </cell>
          <cell r="W150">
            <v>1774.0124999999998</v>
          </cell>
          <cell r="AI150">
            <v>865.25</v>
          </cell>
        </row>
        <row r="151">
          <cell r="U151">
            <v>1774.0124999999998</v>
          </cell>
          <cell r="W151">
            <v>0</v>
          </cell>
          <cell r="AJ151">
            <v>0</v>
          </cell>
          <cell r="AK151">
            <v>77728</v>
          </cell>
          <cell r="AL151">
            <v>49395</v>
          </cell>
          <cell r="AM151">
            <v>28333</v>
          </cell>
          <cell r="AO151">
            <v>0</v>
          </cell>
        </row>
        <row r="152">
          <cell r="P152" t="e">
            <v>#REF!</v>
          </cell>
          <cell r="U152">
            <v>0</v>
          </cell>
          <cell r="W152" t="e">
            <v>#REF!</v>
          </cell>
          <cell r="AI152">
            <v>49742</v>
          </cell>
          <cell r="AJ152">
            <v>38926</v>
          </cell>
          <cell r="AK152">
            <v>10816</v>
          </cell>
          <cell r="AM152">
            <v>0</v>
          </cell>
        </row>
        <row r="153">
          <cell r="P153">
            <v>1325</v>
          </cell>
          <cell r="U153">
            <v>4085</v>
          </cell>
          <cell r="W153" t="e">
            <v>#REF!</v>
          </cell>
          <cell r="AI153">
            <v>0</v>
          </cell>
          <cell r="AK153">
            <v>77728</v>
          </cell>
          <cell r="AL153">
            <v>49395</v>
          </cell>
          <cell r="AM153">
            <v>28333</v>
          </cell>
        </row>
        <row r="154">
          <cell r="P154">
            <v>1325</v>
          </cell>
          <cell r="W154" t="e">
            <v>#REF!</v>
          </cell>
          <cell r="AI154">
            <v>43914</v>
          </cell>
          <cell r="AJ154">
            <v>33098</v>
          </cell>
          <cell r="AK154">
            <v>10816</v>
          </cell>
          <cell r="AO154">
            <v>2889</v>
          </cell>
          <cell r="AP154">
            <v>5865</v>
          </cell>
        </row>
        <row r="155">
          <cell r="P155">
            <v>0</v>
          </cell>
          <cell r="U155">
            <v>0</v>
          </cell>
          <cell r="W155">
            <v>-798.66666666666674</v>
          </cell>
          <cell r="AI155">
            <v>0</v>
          </cell>
          <cell r="AK155">
            <v>-7.6</v>
          </cell>
          <cell r="AL155">
            <v>22.8</v>
          </cell>
          <cell r="AM155">
            <v>2997</v>
          </cell>
          <cell r="AN155">
            <v>3536</v>
          </cell>
          <cell r="AO155" t="e">
            <v>#REF!</v>
          </cell>
          <cell r="AP155" t="e">
            <v>#REF!</v>
          </cell>
        </row>
        <row r="156">
          <cell r="P156">
            <v>-100</v>
          </cell>
          <cell r="U156">
            <v>-578</v>
          </cell>
          <cell r="W156">
            <v>0</v>
          </cell>
          <cell r="AI156">
            <v>-21</v>
          </cell>
          <cell r="AJ156">
            <v>8.9</v>
          </cell>
          <cell r="AK156">
            <v>-58.9</v>
          </cell>
          <cell r="AL156">
            <v>-100</v>
          </cell>
          <cell r="AM156">
            <v>-100</v>
          </cell>
        </row>
        <row r="157">
          <cell r="P157" t="e">
            <v>#REF!</v>
          </cell>
          <cell r="S157">
            <v>171</v>
          </cell>
          <cell r="T157">
            <v>205</v>
          </cell>
          <cell r="U157">
            <v>0</v>
          </cell>
          <cell r="W157" t="e">
            <v>#REF!</v>
          </cell>
          <cell r="AI157" t="e">
            <v>#REF!</v>
          </cell>
          <cell r="AJ157">
            <v>-100</v>
          </cell>
          <cell r="AK157">
            <v>-100</v>
          </cell>
          <cell r="AL157">
            <v>0</v>
          </cell>
          <cell r="AM157">
            <v>0</v>
          </cell>
        </row>
        <row r="158">
          <cell r="P158">
            <v>450</v>
          </cell>
          <cell r="S158">
            <v>414</v>
          </cell>
          <cell r="T158">
            <v>630</v>
          </cell>
          <cell r="U158">
            <v>4643</v>
          </cell>
          <cell r="AJ158">
            <v>0</v>
          </cell>
          <cell r="AK158">
            <v>0</v>
          </cell>
        </row>
        <row r="159">
          <cell r="F159">
            <v>0</v>
          </cell>
          <cell r="P159">
            <v>0</v>
          </cell>
          <cell r="S159">
            <v>0</v>
          </cell>
          <cell r="X159">
            <v>0</v>
          </cell>
          <cell r="AC159">
            <v>0</v>
          </cell>
          <cell r="AJ159">
            <v>142</v>
          </cell>
          <cell r="AK159">
            <v>0</v>
          </cell>
        </row>
        <row r="160">
          <cell r="F160">
            <v>0</v>
          </cell>
          <cell r="P160">
            <v>0</v>
          </cell>
          <cell r="S160">
            <v>0</v>
          </cell>
          <cell r="X160">
            <v>0</v>
          </cell>
          <cell r="AC160">
            <v>0</v>
          </cell>
          <cell r="AF160">
            <v>963</v>
          </cell>
          <cell r="AG160">
            <v>530</v>
          </cell>
          <cell r="AH160">
            <v>433</v>
          </cell>
          <cell r="AI160" t="e">
            <v>#REF!</v>
          </cell>
          <cell r="AK160">
            <v>6689</v>
          </cell>
        </row>
        <row r="161">
          <cell r="F161">
            <v>204</v>
          </cell>
          <cell r="P161">
            <v>870.40000000000009</v>
          </cell>
          <cell r="S161">
            <v>1918.4</v>
          </cell>
          <cell r="X161">
            <v>903.2</v>
          </cell>
          <cell r="AA161" t="e">
            <v>#REF!</v>
          </cell>
          <cell r="AC161">
            <v>622.4</v>
          </cell>
          <cell r="AF161">
            <v>1475</v>
          </cell>
          <cell r="AG161">
            <v>1475</v>
          </cell>
          <cell r="AH161">
            <v>0</v>
          </cell>
          <cell r="AI161" t="e">
            <v>#REF!</v>
          </cell>
          <cell r="AK161">
            <v>4677</v>
          </cell>
        </row>
        <row r="162">
          <cell r="F162">
            <v>204</v>
          </cell>
          <cell r="P162">
            <v>510.40000000000003</v>
          </cell>
          <cell r="S162">
            <v>1345</v>
          </cell>
          <cell r="X162">
            <v>837</v>
          </cell>
          <cell r="Z162" t="str">
            <v>ОЧИК.18.02.</v>
          </cell>
          <cell r="AC162">
            <v>468</v>
          </cell>
          <cell r="AD162" t="e">
            <v>#REF!</v>
          </cell>
          <cell r="AF162">
            <v>378</v>
          </cell>
          <cell r="AG162">
            <v>378</v>
          </cell>
          <cell r="AH162">
            <v>0</v>
          </cell>
          <cell r="AI162" t="e">
            <v>#REF!</v>
          </cell>
          <cell r="AK162">
            <v>1445</v>
          </cell>
        </row>
        <row r="163">
          <cell r="F163">
            <v>204</v>
          </cell>
          <cell r="P163">
            <v>120</v>
          </cell>
          <cell r="S163">
            <v>0</v>
          </cell>
          <cell r="X163">
            <v>126</v>
          </cell>
          <cell r="AB163">
            <v>9</v>
          </cell>
          <cell r="AC163">
            <v>75</v>
          </cell>
          <cell r="AF163">
            <v>100</v>
          </cell>
          <cell r="AG163">
            <v>100</v>
          </cell>
          <cell r="AH163">
            <v>0</v>
          </cell>
          <cell r="AI163" t="e">
            <v>#REF!</v>
          </cell>
          <cell r="AK163">
            <v>598</v>
          </cell>
        </row>
        <row r="164">
          <cell r="P164">
            <v>70</v>
          </cell>
          <cell r="Q164" t="str">
            <v>Е/Е</v>
          </cell>
          <cell r="R164" t="str">
            <v xml:space="preserve"> Т/Е</v>
          </cell>
          <cell r="S164">
            <v>0</v>
          </cell>
          <cell r="T164" t="str">
            <v>ДОП.ВИР. СТ.ОРГ.</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cell r="AI164" t="e">
            <v>#REF!</v>
          </cell>
          <cell r="AK164">
            <v>0</v>
          </cell>
        </row>
        <row r="165">
          <cell r="F165">
            <v>14.170833333333334</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cell r="AI165" t="e">
            <v>#REF!</v>
          </cell>
          <cell r="AK165">
            <v>14.170833333333334</v>
          </cell>
        </row>
        <row r="166">
          <cell r="F166">
            <v>14.170833333333334</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679.5454545454545</v>
          </cell>
          <cell r="W167">
            <v>57.239999999999995</v>
          </cell>
          <cell r="X167">
            <v>236.36363636363637</v>
          </cell>
          <cell r="Z167">
            <v>221.49122807017542</v>
          </cell>
          <cell r="AC167">
            <v>159.36363636363637</v>
          </cell>
          <cell r="AF167">
            <v>296.27272727272725</v>
          </cell>
          <cell r="AG167">
            <v>296</v>
          </cell>
          <cell r="AI167" t="e">
            <v>#REF!</v>
          </cell>
          <cell r="AK167">
            <v>3998.090909090909</v>
          </cell>
        </row>
        <row r="168">
          <cell r="F168">
            <v>-255</v>
          </cell>
          <cell r="P168">
            <v>17.39</v>
          </cell>
          <cell r="S168">
            <v>1238.8545454545456</v>
          </cell>
          <cell r="U168">
            <v>44.3</v>
          </cell>
          <cell r="W168">
            <v>65.146999999999991</v>
          </cell>
          <cell r="X168">
            <v>666.83636363636367</v>
          </cell>
          <cell r="Z168">
            <v>252.49999999999997</v>
          </cell>
          <cell r="AC168">
            <v>463.0363636363636</v>
          </cell>
          <cell r="AI168" t="e">
            <v>#REF!</v>
          </cell>
        </row>
        <row r="169">
          <cell r="F169">
            <v>60</v>
          </cell>
          <cell r="P169">
            <v>0</v>
          </cell>
          <cell r="S169">
            <v>1918.4</v>
          </cell>
          <cell r="T169">
            <v>82.5</v>
          </cell>
          <cell r="U169">
            <v>50.49</v>
          </cell>
          <cell r="W169">
            <v>82.5</v>
          </cell>
          <cell r="X169">
            <v>903.2</v>
          </cell>
          <cell r="Z169">
            <v>66</v>
          </cell>
          <cell r="AC169">
            <v>622.4</v>
          </cell>
          <cell r="AK169">
            <v>60</v>
          </cell>
        </row>
        <row r="170">
          <cell r="F170">
            <v>459</v>
          </cell>
          <cell r="P170">
            <v>0</v>
          </cell>
          <cell r="S170">
            <v>0</v>
          </cell>
          <cell r="T170">
            <v>82.5</v>
          </cell>
          <cell r="U170">
            <v>82.5</v>
          </cell>
          <cell r="W170">
            <v>288.75</v>
          </cell>
          <cell r="X170">
            <v>0</v>
          </cell>
          <cell r="Z170">
            <v>143.91299999999998</v>
          </cell>
          <cell r="AC170">
            <v>0</v>
          </cell>
          <cell r="AF170">
            <v>0</v>
          </cell>
          <cell r="AG170">
            <v>0</v>
          </cell>
          <cell r="AH170">
            <v>0</v>
          </cell>
          <cell r="AI170" t="e">
            <v>#REF!</v>
          </cell>
          <cell r="AK170">
            <v>0</v>
          </cell>
        </row>
        <row r="171">
          <cell r="F171">
            <v>1758</v>
          </cell>
          <cell r="G171">
            <v>0</v>
          </cell>
          <cell r="H171">
            <v>0</v>
          </cell>
          <cell r="P171">
            <v>3547</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17653.617575757577</v>
          </cell>
          <cell r="AE171">
            <v>0</v>
          </cell>
          <cell r="AF171">
            <v>0</v>
          </cell>
          <cell r="AG171">
            <v>0</v>
          </cell>
          <cell r="AH171">
            <v>0</v>
          </cell>
          <cell r="AI171" t="e">
            <v>#REF!</v>
          </cell>
          <cell r="AJ171">
            <v>0</v>
          </cell>
          <cell r="AK171">
            <v>9643</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cell r="AJ172">
            <v>0</v>
          </cell>
          <cell r="AK172">
            <v>10043</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0</v>
          </cell>
          <cell r="P175">
            <v>36</v>
          </cell>
          <cell r="U175">
            <v>91.91</v>
          </cell>
          <cell r="W175">
            <v>63.33</v>
          </cell>
          <cell r="AG175">
            <v>0</v>
          </cell>
          <cell r="AI175" t="e">
            <v>#REF!</v>
          </cell>
          <cell r="AK175">
            <v>0</v>
          </cell>
        </row>
        <row r="176">
          <cell r="F176">
            <v>3480</v>
          </cell>
          <cell r="P176">
            <v>63.33</v>
          </cell>
          <cell r="U176">
            <v>63.33</v>
          </cell>
          <cell r="W176">
            <v>216.84</v>
          </cell>
          <cell r="AI176" t="e">
            <v>#REF!</v>
          </cell>
          <cell r="AK176">
            <v>3480</v>
          </cell>
        </row>
        <row r="177">
          <cell r="F177">
            <v>3609</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I177" t="e">
            <v>#REF!</v>
          </cell>
          <cell r="AJ177">
            <v>0</v>
          </cell>
          <cell r="AK177">
            <v>6670.7890909090902</v>
          </cell>
          <cell r="AO177">
            <v>266</v>
          </cell>
          <cell r="AP177">
            <v>661</v>
          </cell>
        </row>
        <row r="178">
          <cell r="F178">
            <v>541.697</v>
          </cell>
          <cell r="G178">
            <v>0</v>
          </cell>
          <cell r="H178">
            <v>0</v>
          </cell>
          <cell r="P178">
            <v>841.32</v>
          </cell>
          <cell r="Q178">
            <v>0</v>
          </cell>
          <cell r="R178">
            <v>0</v>
          </cell>
          <cell r="S178">
            <v>1900.3199999999997</v>
          </cell>
          <cell r="T178">
            <v>598.00952727272715</v>
          </cell>
          <cell r="U178">
            <v>622.76501818181805</v>
          </cell>
          <cell r="V178">
            <v>0</v>
          </cell>
          <cell r="W178">
            <v>0</v>
          </cell>
          <cell r="X178">
            <v>643.65000000000009</v>
          </cell>
          <cell r="Y178">
            <v>138</v>
          </cell>
          <cell r="Z178">
            <v>120.36363636363637</v>
          </cell>
          <cell r="AA178">
            <v>0</v>
          </cell>
          <cell r="AB178">
            <v>0</v>
          </cell>
          <cell r="AC178">
            <v>537.76</v>
          </cell>
          <cell r="AD178">
            <v>73</v>
          </cell>
          <cell r="AE178">
            <v>107.90909090909091</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cell r="AJ179">
            <v>0</v>
          </cell>
          <cell r="AK179">
            <v>-1272.236272727273</v>
          </cell>
          <cell r="AO179">
            <v>350</v>
          </cell>
          <cell r="AP179">
            <v>315</v>
          </cell>
        </row>
        <row r="180">
          <cell r="F180">
            <v>0</v>
          </cell>
          <cell r="P180">
            <v>0</v>
          </cell>
          <cell r="Q180">
            <v>0</v>
          </cell>
          <cell r="R180">
            <v>0</v>
          </cell>
          <cell r="S180">
            <v>13.666666666666666</v>
          </cell>
          <cell r="T180">
            <v>13.666666666666666</v>
          </cell>
          <cell r="U180">
            <v>0</v>
          </cell>
          <cell r="V180">
            <v>0</v>
          </cell>
          <cell r="W180">
            <v>0</v>
          </cell>
          <cell r="X180">
            <v>708.80000000000007</v>
          </cell>
          <cell r="Z180">
            <v>103.9</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P181">
            <v>5.8</v>
          </cell>
          <cell r="T181">
            <v>0</v>
          </cell>
          <cell r="U181">
            <v>11.7</v>
          </cell>
          <cell r="W181">
            <v>100.5</v>
          </cell>
          <cell r="Z181">
            <v>89.557440953909662</v>
          </cell>
          <cell r="AC181">
            <v>103.9</v>
          </cell>
        </row>
        <row r="182">
          <cell r="F182">
            <v>6013</v>
          </cell>
          <cell r="P182">
            <v>478.66666666666606</v>
          </cell>
          <cell r="S182">
            <v>4076.6666666666688</v>
          </cell>
          <cell r="T182">
            <v>0</v>
          </cell>
          <cell r="U182">
            <v>100.5</v>
          </cell>
          <cell r="W182">
            <v>344.11199999999997</v>
          </cell>
          <cell r="X182">
            <v>534.33333333333678</v>
          </cell>
          <cell r="Z182">
            <v>195.28</v>
          </cell>
          <cell r="AC182">
            <v>554.33333333333053</v>
          </cell>
          <cell r="AF182">
            <v>1865.0333333333331</v>
          </cell>
          <cell r="AG182">
            <v>1889.3999999999996</v>
          </cell>
          <cell r="AH182">
            <v>376.63333333333327</v>
          </cell>
          <cell r="AP182">
            <v>1507.2</v>
          </cell>
        </row>
        <row r="183">
          <cell r="F183">
            <v>15172.5</v>
          </cell>
          <cell r="P183">
            <v>444.43599999999981</v>
          </cell>
          <cell r="S183">
            <v>1460.8666666666668</v>
          </cell>
          <cell r="U183">
            <v>215.42175</v>
          </cell>
          <cell r="W183">
            <v>0</v>
          </cell>
          <cell r="X183">
            <v>363.19999999999868</v>
          </cell>
          <cell r="Z183">
            <v>14810</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W184">
            <v>0</v>
          </cell>
          <cell r="AC184">
            <v>14810</v>
          </cell>
          <cell r="AM184" t="str">
            <v>ОЧИК.18.02.</v>
          </cell>
        </row>
        <row r="185">
          <cell r="P185">
            <v>78.3</v>
          </cell>
          <cell r="Q185">
            <v>30.9</v>
          </cell>
          <cell r="R185">
            <v>47.4</v>
          </cell>
          <cell r="U185">
            <v>1831</v>
          </cell>
          <cell r="W185">
            <v>219.79999999999998</v>
          </cell>
          <cell r="X185">
            <v>79.099999999999994</v>
          </cell>
          <cell r="Y185">
            <v>140.69999999999999</v>
          </cell>
          <cell r="Z185">
            <v>356.4</v>
          </cell>
          <cell r="AA185">
            <v>74.900000000000006</v>
          </cell>
          <cell r="AB185">
            <v>281.5</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A186">
            <v>9811.1854657688</v>
          </cell>
          <cell r="AB186">
            <v>36873.814534231198</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T187" t="str">
            <v/>
          </cell>
          <cell r="U187">
            <v>20620</v>
          </cell>
          <cell r="V187">
            <v>12849</v>
          </cell>
          <cell r="W187">
            <v>7771</v>
          </cell>
          <cell r="X187" t="str">
            <v>ТЕЦ-5 ВСЬОГО</v>
          </cell>
          <cell r="Y187" t="str">
            <v>Е/Е</v>
          </cell>
          <cell r="Z187" t="str">
            <v xml:space="preserve"> Т/Е</v>
          </cell>
          <cell r="AA187">
            <v>130.99</v>
          </cell>
          <cell r="AB187">
            <v>130.99</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t="str">
            <v/>
          </cell>
          <cell r="T188" t="str">
            <v/>
          </cell>
          <cell r="U188">
            <v>133.81</v>
          </cell>
          <cell r="V188">
            <v>134.83000000000001</v>
          </cell>
          <cell r="W188">
            <v>132.16</v>
          </cell>
          <cell r="X188" t="e">
            <v>#REF!</v>
          </cell>
          <cell r="Y188" t="e">
            <v>#REF!</v>
          </cell>
          <cell r="Z188">
            <v>52</v>
          </cell>
          <cell r="AA188">
            <v>52</v>
          </cell>
          <cell r="AC188">
            <v>130.99</v>
          </cell>
          <cell r="AD188">
            <v>130.99</v>
          </cell>
          <cell r="AE188">
            <v>130.99</v>
          </cell>
          <cell r="AF188" t="str">
            <v/>
          </cell>
        </row>
        <row r="189">
          <cell r="P189">
            <v>16686</v>
          </cell>
          <cell r="S189">
            <v>54.1</v>
          </cell>
          <cell r="U189">
            <v>25</v>
          </cell>
          <cell r="V189">
            <v>25</v>
          </cell>
          <cell r="W189">
            <v>0</v>
          </cell>
          <cell r="X189">
            <v>67.400000000000006</v>
          </cell>
          <cell r="Y189" t="e">
            <v>#REF!</v>
          </cell>
          <cell r="Z189">
            <v>46737</v>
          </cell>
          <cell r="AA189">
            <v>9863.1854657688</v>
          </cell>
          <cell r="AB189">
            <v>36873.814534231198</v>
          </cell>
          <cell r="AC189">
            <v>64.8</v>
          </cell>
          <cell r="AD189">
            <v>52</v>
          </cell>
          <cell r="AK189">
            <v>186.29999999999998</v>
          </cell>
          <cell r="AO189">
            <v>221.49122807017542</v>
          </cell>
        </row>
        <row r="190">
          <cell r="P190">
            <v>8271</v>
          </cell>
          <cell r="S190">
            <v>8.3000000000000007</v>
          </cell>
          <cell r="U190">
            <v>20645</v>
          </cell>
          <cell r="V190">
            <v>12874</v>
          </cell>
          <cell r="W190">
            <v>7771</v>
          </cell>
          <cell r="X190">
            <v>70.7</v>
          </cell>
          <cell r="AC190">
            <v>60.2</v>
          </cell>
          <cell r="AD190">
            <v>9863.1854657688</v>
          </cell>
          <cell r="AE190">
            <v>36873.814534231198</v>
          </cell>
          <cell r="AI190">
            <v>139.20000000000002</v>
          </cell>
          <cell r="AK190">
            <v>213.3</v>
          </cell>
          <cell r="AM190">
            <v>221.49122807017542</v>
          </cell>
          <cell r="AO190">
            <v>252.49999999999997</v>
          </cell>
        </row>
        <row r="191">
          <cell r="P191">
            <v>0</v>
          </cell>
          <cell r="S191">
            <v>9.5</v>
          </cell>
          <cell r="X191">
            <v>81</v>
          </cell>
          <cell r="AC191">
            <v>68.900000000000006</v>
          </cell>
          <cell r="AI191">
            <v>159.4</v>
          </cell>
          <cell r="AM191">
            <v>252.49999999999997</v>
          </cell>
          <cell r="AO191">
            <v>66</v>
          </cell>
        </row>
        <row r="192">
          <cell r="P192">
            <v>0</v>
          </cell>
          <cell r="S192">
            <v>0</v>
          </cell>
          <cell r="X192">
            <v>0</v>
          </cell>
          <cell r="AC192">
            <v>0</v>
          </cell>
          <cell r="AK192">
            <v>192.5</v>
          </cell>
          <cell r="AM192">
            <v>66</v>
          </cell>
          <cell r="AO192">
            <v>0</v>
          </cell>
        </row>
        <row r="193">
          <cell r="P193">
            <v>0</v>
          </cell>
          <cell r="S193">
            <v>192.5</v>
          </cell>
          <cell r="X193">
            <v>192.5</v>
          </cell>
          <cell r="AC193">
            <v>192.5</v>
          </cell>
          <cell r="AI193">
            <v>192.5</v>
          </cell>
          <cell r="AK193">
            <v>35863</v>
          </cell>
          <cell r="AM193">
            <v>0</v>
          </cell>
          <cell r="AO193">
            <v>0</v>
          </cell>
        </row>
        <row r="194">
          <cell r="S194">
            <v>1598</v>
          </cell>
          <cell r="X194">
            <v>13610</v>
          </cell>
          <cell r="Z194">
            <v>4948.1398501338263</v>
          </cell>
          <cell r="AB194">
            <v>4948.1398501337389</v>
          </cell>
          <cell r="AC194">
            <v>11589</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0</v>
          </cell>
          <cell r="AC197">
            <v>0</v>
          </cell>
          <cell r="AI197">
            <v>0</v>
          </cell>
        </row>
        <row r="198">
          <cell r="X198">
            <v>82.5</v>
          </cell>
          <cell r="AC198">
            <v>82.5</v>
          </cell>
          <cell r="AK198">
            <v>0</v>
          </cell>
        </row>
        <row r="199">
          <cell r="S199">
            <v>0</v>
          </cell>
          <cell r="X199">
            <v>0</v>
          </cell>
          <cell r="AC199">
            <v>0</v>
          </cell>
          <cell r="AI199">
            <v>0</v>
          </cell>
          <cell r="AK199">
            <v>0</v>
          </cell>
        </row>
        <row r="200">
          <cell r="S200">
            <v>0</v>
          </cell>
          <cell r="X200">
            <v>0</v>
          </cell>
          <cell r="AC200">
            <v>0</v>
          </cell>
          <cell r="AI200">
            <v>0</v>
          </cell>
        </row>
        <row r="201">
          <cell r="X201">
            <v>5</v>
          </cell>
          <cell r="AC201">
            <v>5</v>
          </cell>
          <cell r="AD201">
            <v>5</v>
          </cell>
          <cell r="AE201">
            <v>7</v>
          </cell>
          <cell r="AK201">
            <v>10</v>
          </cell>
          <cell r="AO201">
            <v>75.839416058394164</v>
          </cell>
        </row>
        <row r="202">
          <cell r="X202">
            <v>0</v>
          </cell>
          <cell r="AC202">
            <v>0</v>
          </cell>
          <cell r="AI202">
            <v>0</v>
          </cell>
          <cell r="AK202">
            <v>14</v>
          </cell>
          <cell r="AM202">
            <v>75.839416058394164</v>
          </cell>
          <cell r="AO202">
            <v>103.9</v>
          </cell>
        </row>
        <row r="203">
          <cell r="F203">
            <v>75</v>
          </cell>
          <cell r="X203">
            <v>0</v>
          </cell>
          <cell r="AC203">
            <v>0</v>
          </cell>
          <cell r="AI203">
            <v>0</v>
          </cell>
          <cell r="AJ203">
            <v>0</v>
          </cell>
          <cell r="AM203">
            <v>103.9</v>
          </cell>
          <cell r="AO203" t="e">
            <v>#DIV/0!</v>
          </cell>
        </row>
        <row r="204">
          <cell r="F204">
            <v>75</v>
          </cell>
          <cell r="P204">
            <v>75</v>
          </cell>
          <cell r="X204">
            <v>601.41999999999996</v>
          </cell>
          <cell r="AC204">
            <v>601.41999999999996</v>
          </cell>
          <cell r="AK204">
            <v>601.41999999999996</v>
          </cell>
          <cell r="AM204" t="e">
            <v>#DIV/0!</v>
          </cell>
          <cell r="AO204">
            <v>195.28</v>
          </cell>
          <cell r="AP204">
            <v>75</v>
          </cell>
        </row>
        <row r="205">
          <cell r="S205">
            <v>385</v>
          </cell>
          <cell r="X205">
            <v>385</v>
          </cell>
          <cell r="AC205">
            <v>385</v>
          </cell>
          <cell r="AI205">
            <v>385</v>
          </cell>
          <cell r="AK205">
            <v>6014</v>
          </cell>
          <cell r="AM205">
            <v>195.28</v>
          </cell>
          <cell r="AO205">
            <v>14810</v>
          </cell>
        </row>
        <row r="206">
          <cell r="S206">
            <v>0</v>
          </cell>
          <cell r="X206">
            <v>0</v>
          </cell>
          <cell r="AC206">
            <v>0</v>
          </cell>
          <cell r="AI206">
            <v>0</v>
          </cell>
          <cell r="AK206">
            <v>6014</v>
          </cell>
          <cell r="AM206">
            <v>14810</v>
          </cell>
        </row>
        <row r="207">
          <cell r="S207">
            <v>62</v>
          </cell>
          <cell r="X207">
            <v>84.1</v>
          </cell>
          <cell r="Y207">
            <v>44.9</v>
          </cell>
          <cell r="Z207">
            <v>39.200000000000003</v>
          </cell>
          <cell r="AC207">
            <v>81.2</v>
          </cell>
          <cell r="AD207">
            <v>32.799999999999997</v>
          </cell>
          <cell r="AE207">
            <v>48.4</v>
          </cell>
          <cell r="AI207">
            <v>0</v>
          </cell>
          <cell r="AK207">
            <v>227.3</v>
          </cell>
          <cell r="AL207">
            <v>77.699999999999989</v>
          </cell>
          <cell r="AM207">
            <v>149.6</v>
          </cell>
          <cell r="AO207">
            <v>356.4</v>
          </cell>
          <cell r="AP207">
            <v>74.900000000000006</v>
          </cell>
        </row>
        <row r="208">
          <cell r="S208">
            <v>9.5</v>
          </cell>
          <cell r="X208">
            <v>81</v>
          </cell>
          <cell r="Y208">
            <v>57.4</v>
          </cell>
          <cell r="Z208">
            <v>23.6</v>
          </cell>
          <cell r="AA208">
            <v>6597</v>
          </cell>
          <cell r="AC208">
            <v>68.900000000000006</v>
          </cell>
          <cell r="AD208">
            <v>36.1</v>
          </cell>
          <cell r="AE208">
            <v>32.799999999999997</v>
          </cell>
          <cell r="AI208">
            <v>159.4</v>
          </cell>
          <cell r="AJ208">
            <v>93.5</v>
          </cell>
          <cell r="AK208">
            <v>65.900000000000006</v>
          </cell>
          <cell r="AL208">
            <v>16729</v>
          </cell>
          <cell r="AM208">
            <v>356.4</v>
          </cell>
          <cell r="AN208">
            <v>74.900000000000006</v>
          </cell>
          <cell r="AO208">
            <v>281.5</v>
          </cell>
          <cell r="AP208">
            <v>3112.427048260382</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L209">
            <v>215.3</v>
          </cell>
          <cell r="AM209">
            <v>14810</v>
          </cell>
          <cell r="AN209">
            <v>3112.427048260382</v>
          </cell>
          <cell r="AO209">
            <v>11697.572951739618</v>
          </cell>
          <cell r="AP209">
            <v>41.55</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X211">
            <v>15982</v>
          </cell>
          <cell r="AC211">
            <v>15481</v>
          </cell>
          <cell r="AK211">
            <v>0</v>
          </cell>
          <cell r="AL211">
            <v>16729</v>
          </cell>
          <cell r="AM211">
            <v>52</v>
          </cell>
          <cell r="AN211">
            <v>52</v>
          </cell>
          <cell r="AO211">
            <v>14862</v>
          </cell>
          <cell r="AP211">
            <v>3164.427048260382</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cell r="S225" t="str">
            <v>ТИС.ГРН.</v>
          </cell>
        </row>
        <row r="226">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P229" t="e">
            <v>#REF!</v>
          </cell>
          <cell r="Q229" t="e">
            <v>#REF!</v>
          </cell>
          <cell r="R229" t="e">
            <v>#REF!</v>
          </cell>
          <cell r="S229" t="str">
            <v>ТИС.ГРН.</v>
          </cell>
          <cell r="T229">
            <v>889</v>
          </cell>
          <cell r="W229" t="e">
            <v>#REF!</v>
          </cell>
          <cell r="X229" t="e">
            <v>#REF!</v>
          </cell>
          <cell r="Y229" t="e">
            <v>#REF!</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2">
          <cell r="P232" t="e">
            <v>#REF!</v>
          </cell>
          <cell r="S232" t="e">
            <v>#REF!</v>
          </cell>
          <cell r="W232" t="e">
            <v>#REF!</v>
          </cell>
          <cell r="X232" t="e">
            <v>#REF!</v>
          </cell>
        </row>
        <row r="233">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P234">
            <v>733.8070175438595</v>
          </cell>
          <cell r="Q234">
            <v>1327</v>
          </cell>
          <cell r="R234">
            <v>742.99999999999977</v>
          </cell>
          <cell r="S234">
            <v>605</v>
          </cell>
          <cell r="T234">
            <v>117</v>
          </cell>
          <cell r="U234">
            <v>15320.660540053519</v>
          </cell>
          <cell r="V234" t="e">
            <v>#REF!</v>
          </cell>
          <cell r="W234" t="e">
            <v>#REF!</v>
          </cell>
          <cell r="X234" t="e">
            <v>#REF!</v>
          </cell>
        </row>
        <row r="235">
          <cell r="P235" t="e">
            <v>#REF!</v>
          </cell>
          <cell r="Q235">
            <v>0</v>
          </cell>
          <cell r="R235">
            <v>0</v>
          </cell>
          <cell r="S235">
            <v>897</v>
          </cell>
          <cell r="T235">
            <v>0</v>
          </cell>
          <cell r="W235" t="e">
            <v>#REF!</v>
          </cell>
          <cell r="X235" t="e">
            <v>#REF!</v>
          </cell>
        </row>
        <row r="236">
          <cell r="P236">
            <v>733.8070175438595</v>
          </cell>
          <cell r="S236">
            <v>685</v>
          </cell>
          <cell r="U236">
            <v>15689.007333333333</v>
          </cell>
          <cell r="V236">
            <v>15376.340666666665</v>
          </cell>
          <cell r="W236" t="e">
            <v>#REF!</v>
          </cell>
          <cell r="X236" t="e">
            <v>#REF!</v>
          </cell>
        </row>
        <row r="237">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P238">
            <v>131.12735849056605</v>
          </cell>
          <cell r="S238">
            <v>146.625</v>
          </cell>
          <cell r="U238">
            <v>1220.7727272727273</v>
          </cell>
          <cell r="V238">
            <v>1231.382075471698</v>
          </cell>
          <cell r="W238">
            <v>0</v>
          </cell>
          <cell r="X238">
            <v>0</v>
          </cell>
          <cell r="AG238" t="str">
            <v xml:space="preserve">         Затверджую</v>
          </cell>
        </row>
        <row r="239">
          <cell r="P239">
            <v>42</v>
          </cell>
          <cell r="Q239">
            <v>0</v>
          </cell>
          <cell r="R239">
            <v>0</v>
          </cell>
          <cell r="S239">
            <v>0</v>
          </cell>
          <cell r="T239">
            <v>0</v>
          </cell>
          <cell r="U239">
            <v>3586.2745410050566</v>
          </cell>
          <cell r="V239">
            <v>3586.2745410050566</v>
          </cell>
          <cell r="W239">
            <v>2421.3333333333335</v>
          </cell>
          <cell r="X239">
            <v>2421.3333333333335</v>
          </cell>
          <cell r="AG239" t="str">
            <v xml:space="preserve"> Голова правління </v>
          </cell>
        </row>
        <row r="240">
          <cell r="P240">
            <v>12</v>
          </cell>
          <cell r="Q240">
            <v>0</v>
          </cell>
          <cell r="R240">
            <v>0</v>
          </cell>
          <cell r="S240">
            <v>0</v>
          </cell>
          <cell r="U240">
            <v>589</v>
          </cell>
          <cell r="V240">
            <v>589</v>
          </cell>
          <cell r="W240" t="e">
            <v>#REF!</v>
          </cell>
          <cell r="X240" t="e">
            <v>#REF!</v>
          </cell>
          <cell r="AG240" t="str">
            <v xml:space="preserve">                        І.В.Плачков</v>
          </cell>
        </row>
        <row r="241">
          <cell r="P241">
            <v>30</v>
          </cell>
          <cell r="S241">
            <v>0</v>
          </cell>
          <cell r="U241">
            <v>53.583333333333336</v>
          </cell>
          <cell r="V241">
            <v>53.583333333333336</v>
          </cell>
          <cell r="X241">
            <v>0</v>
          </cell>
          <cell r="AC241">
            <v>6</v>
          </cell>
          <cell r="AD241">
            <v>6</v>
          </cell>
          <cell r="AE241">
            <v>12</v>
          </cell>
          <cell r="AG241" t="str">
            <v xml:space="preserve">   "_____" ________2000 р.</v>
          </cell>
        </row>
        <row r="242">
          <cell r="P242" t="e">
            <v>#REF!</v>
          </cell>
          <cell r="S242">
            <v>163</v>
          </cell>
          <cell r="U242">
            <v>-149.73279232827699</v>
          </cell>
          <cell r="V242">
            <v>-149.73279232827699</v>
          </cell>
          <cell r="W242" t="e">
            <v>#REF!</v>
          </cell>
          <cell r="X242" t="e">
            <v>#REF!</v>
          </cell>
        </row>
        <row r="243">
          <cell r="P243">
            <v>180</v>
          </cell>
          <cell r="S243">
            <v>0</v>
          </cell>
          <cell r="U243">
            <v>2421.3333333333335</v>
          </cell>
          <cell r="V243">
            <v>2421.3333333333335</v>
          </cell>
          <cell r="W243">
            <v>2595.8000000000002</v>
          </cell>
          <cell r="X243">
            <v>2401.8000000000002</v>
          </cell>
        </row>
        <row r="244">
          <cell r="P244">
            <v>0</v>
          </cell>
          <cell r="Q244">
            <v>0</v>
          </cell>
          <cell r="R244">
            <v>0</v>
          </cell>
          <cell r="S244">
            <v>0</v>
          </cell>
          <cell r="U244">
            <v>672.09066666666661</v>
          </cell>
          <cell r="V244">
            <v>672.09066666666661</v>
          </cell>
          <cell r="X244">
            <v>0</v>
          </cell>
          <cell r="AG244" t="str">
            <v xml:space="preserve">         Затверджую</v>
          </cell>
        </row>
        <row r="245">
          <cell r="F245" t="str">
            <v>РОЗРАХУНОК ФІНАНСОВИХ ПОТОКІВ НА   березень  2000 року</v>
          </cell>
          <cell r="P245">
            <v>-165.33333333333334</v>
          </cell>
          <cell r="Q245">
            <v>0</v>
          </cell>
          <cell r="R245">
            <v>0</v>
          </cell>
          <cell r="S245">
            <v>0</v>
          </cell>
          <cell r="T245">
            <v>0</v>
          </cell>
          <cell r="V245">
            <v>0</v>
          </cell>
          <cell r="W245">
            <v>-798.66666666666674</v>
          </cell>
          <cell r="X245">
            <v>-798.66666666666674</v>
          </cell>
          <cell r="AG245" t="str">
            <v xml:space="preserve"> Голова правління </v>
          </cell>
        </row>
        <row r="246">
          <cell r="F246" t="str">
            <v>ПО ФІЛІАЛАХ АК КИЇВЕНЕРГО</v>
          </cell>
          <cell r="P246">
            <v>450</v>
          </cell>
          <cell r="Q246">
            <v>0</v>
          </cell>
          <cell r="R246">
            <v>0</v>
          </cell>
          <cell r="S246">
            <v>406</v>
          </cell>
          <cell r="T246">
            <v>0</v>
          </cell>
          <cell r="U246">
            <v>4903</v>
          </cell>
          <cell r="V246">
            <v>4635</v>
          </cell>
          <cell r="W246">
            <v>0</v>
          </cell>
          <cell r="X246">
            <v>0</v>
          </cell>
          <cell r="AG246" t="str">
            <v xml:space="preserve">                        І.В.Плачков</v>
          </cell>
        </row>
        <row r="247">
          <cell r="P247">
            <v>1174</v>
          </cell>
          <cell r="S247">
            <v>0</v>
          </cell>
          <cell r="U247">
            <v>2921</v>
          </cell>
          <cell r="V247">
            <v>2921</v>
          </cell>
          <cell r="X247">
            <v>0</v>
          </cell>
          <cell r="AG247" t="str">
            <v xml:space="preserve">   "_____" ________2000 р.</v>
          </cell>
        </row>
        <row r="248">
          <cell r="P248">
            <v>4</v>
          </cell>
          <cell r="S248">
            <v>0</v>
          </cell>
          <cell r="V248">
            <v>0</v>
          </cell>
          <cell r="W248">
            <v>298.7</v>
          </cell>
          <cell r="X248">
            <v>298.7</v>
          </cell>
        </row>
        <row r="249">
          <cell r="P249">
            <v>-100</v>
          </cell>
          <cell r="Q249">
            <v>0</v>
          </cell>
          <cell r="R249">
            <v>0</v>
          </cell>
          <cell r="S249">
            <v>0</v>
          </cell>
          <cell r="T249">
            <v>0</v>
          </cell>
          <cell r="U249">
            <v>-578</v>
          </cell>
          <cell r="V249">
            <v>-578</v>
          </cell>
          <cell r="W249">
            <v>200</v>
          </cell>
          <cell r="X249">
            <v>200</v>
          </cell>
        </row>
        <row r="250">
          <cell r="P250">
            <v>0</v>
          </cell>
          <cell r="Q250">
            <v>0</v>
          </cell>
          <cell r="R250">
            <v>0</v>
          </cell>
          <cell r="S250">
            <v>0</v>
          </cell>
          <cell r="T250">
            <v>0</v>
          </cell>
          <cell r="U250">
            <v>0</v>
          </cell>
          <cell r="V250">
            <v>0</v>
          </cell>
          <cell r="X250">
            <v>0</v>
          </cell>
        </row>
        <row r="251">
          <cell r="F251" t="str">
            <v>РОЗРАХУНОК ФІНАНСОВИХ ПОТОКІВ НА   березень  2000 року</v>
          </cell>
          <cell r="P251">
            <v>91.8</v>
          </cell>
          <cell r="Q251">
            <v>36</v>
          </cell>
          <cell r="R251">
            <v>55.8</v>
          </cell>
          <cell r="S251">
            <v>0</v>
          </cell>
          <cell r="T251">
            <v>0</v>
          </cell>
          <cell r="V251">
            <v>0</v>
          </cell>
          <cell r="W251">
            <v>134.1</v>
          </cell>
          <cell r="X251">
            <v>134.1</v>
          </cell>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U253">
            <v>200</v>
          </cell>
          <cell r="V253">
            <v>200</v>
          </cell>
          <cell r="W253">
            <v>580</v>
          </cell>
          <cell r="X253">
            <v>2672.4863636363625</v>
          </cell>
          <cell r="AC253">
            <v>1389.1963636363635</v>
          </cell>
          <cell r="AF253">
            <v>4185.9539393939394</v>
          </cell>
          <cell r="AG253">
            <v>3391.2</v>
          </cell>
          <cell r="AH253">
            <v>794.7539393939395</v>
          </cell>
          <cell r="AI253">
            <v>27896.847545454541</v>
          </cell>
        </row>
        <row r="254">
          <cell r="V254">
            <v>0</v>
          </cell>
          <cell r="W254">
            <v>0</v>
          </cell>
          <cell r="X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v>26797</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W258" t="e">
            <v>#REF!</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row>
        <row r="259">
          <cell r="F259">
            <v>5607</v>
          </cell>
          <cell r="P259">
            <v>5528.9166666666661</v>
          </cell>
          <cell r="S259">
            <v>11148.516969696972</v>
          </cell>
          <cell r="U259">
            <v>2217</v>
          </cell>
          <cell r="V259">
            <v>2217</v>
          </cell>
          <cell r="W259" t="e">
            <v>#REF!</v>
          </cell>
          <cell r="X259">
            <v>3572.9196969697005</v>
          </cell>
          <cell r="AC259">
            <v>1815.6175757575729</v>
          </cell>
          <cell r="AF259">
            <v>5288.3842424242421</v>
          </cell>
          <cell r="AG259">
            <v>4487.3999999999996</v>
          </cell>
          <cell r="AH259">
            <v>801.98424242424232</v>
          </cell>
          <cell r="AI259">
            <v>5607</v>
          </cell>
          <cell r="AJ259">
            <v>7599</v>
          </cell>
          <cell r="AK259">
            <v>32648.355151515156</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0</v>
          </cell>
          <cell r="G262">
            <v>1518.0409150901905</v>
          </cell>
          <cell r="H262">
            <v>2928.9590849098108</v>
          </cell>
          <cell r="P262">
            <v>3433.9999999999991</v>
          </cell>
          <cell r="Q262" t="e">
            <v>#REF!</v>
          </cell>
          <cell r="R262" t="e">
            <v>#REF!</v>
          </cell>
          <cell r="S262">
            <v>4201.3333333333358</v>
          </cell>
          <cell r="T262">
            <v>3752.599999999999</v>
          </cell>
          <cell r="U262">
            <v>1487.7333333333331</v>
          </cell>
          <cell r="V262">
            <v>3661</v>
          </cell>
          <cell r="W262" t="e">
            <v>#REF!</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t="e">
            <v>#REF!</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K263">
            <v>67522.157142857148</v>
          </cell>
        </row>
        <row r="264">
          <cell r="F264">
            <v>3500</v>
          </cell>
          <cell r="P264">
            <v>295.8070175438595</v>
          </cell>
          <cell r="Q264">
            <v>178</v>
          </cell>
          <cell r="R264">
            <v>99</v>
          </cell>
          <cell r="S264">
            <v>0</v>
          </cell>
          <cell r="T264">
            <v>0</v>
          </cell>
          <cell r="U264">
            <v>1603.0000000000005</v>
          </cell>
          <cell r="V264">
            <v>1558.3333333333326</v>
          </cell>
          <cell r="W264">
            <v>0</v>
          </cell>
          <cell r="X264" t="e">
            <v>#REF!</v>
          </cell>
          <cell r="AI264">
            <v>3500</v>
          </cell>
          <cell r="AK264">
            <v>41877</v>
          </cell>
        </row>
        <row r="265">
          <cell r="F265">
            <v>0</v>
          </cell>
          <cell r="P265">
            <v>168</v>
          </cell>
          <cell r="Q265">
            <v>108</v>
          </cell>
          <cell r="R265">
            <v>60</v>
          </cell>
          <cell r="S265">
            <v>0</v>
          </cell>
          <cell r="T265">
            <v>16</v>
          </cell>
          <cell r="U265">
            <v>405.33333333333348</v>
          </cell>
          <cell r="AI265">
            <v>0</v>
          </cell>
          <cell r="AK265">
            <v>15510</v>
          </cell>
        </row>
        <row r="266">
          <cell r="F266">
            <v>538</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t="e">
            <v>#REF!</v>
          </cell>
          <cell r="P267">
            <v>29</v>
          </cell>
          <cell r="Q267">
            <v>20</v>
          </cell>
          <cell r="R267">
            <v>11</v>
          </cell>
          <cell r="S267">
            <v>0</v>
          </cell>
          <cell r="T267">
            <v>12</v>
          </cell>
          <cell r="U267">
            <v>702.66666666666697</v>
          </cell>
          <cell r="V267">
            <v>637.66666666666674</v>
          </cell>
          <cell r="AI267" t="e">
            <v>#REF!</v>
          </cell>
          <cell r="AK267">
            <v>660.3</v>
          </cell>
        </row>
        <row r="268">
          <cell r="F268">
            <v>295</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cell r="AK272">
            <v>821</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cell r="AK273">
            <v>3580</v>
          </cell>
        </row>
        <row r="274">
          <cell r="F274">
            <v>133</v>
          </cell>
          <cell r="P274">
            <v>300</v>
          </cell>
          <cell r="S274">
            <v>603</v>
          </cell>
          <cell r="X274">
            <v>115</v>
          </cell>
          <cell r="AC274">
            <v>96</v>
          </cell>
          <cell r="AF274">
            <v>361</v>
          </cell>
          <cell r="AG274">
            <v>0</v>
          </cell>
          <cell r="AH274">
            <v>0</v>
          </cell>
          <cell r="AI274">
            <v>1640</v>
          </cell>
          <cell r="AK274">
            <v>193</v>
          </cell>
        </row>
        <row r="275">
          <cell r="F275">
            <v>770</v>
          </cell>
          <cell r="P275">
            <v>4</v>
          </cell>
          <cell r="Q275">
            <v>0</v>
          </cell>
          <cell r="R275">
            <v>0</v>
          </cell>
          <cell r="S275">
            <v>15</v>
          </cell>
          <cell r="T275">
            <v>0</v>
          </cell>
          <cell r="U275">
            <v>0</v>
          </cell>
          <cell r="V275">
            <v>0</v>
          </cell>
          <cell r="W275">
            <v>0</v>
          </cell>
          <cell r="X275">
            <v>30</v>
          </cell>
          <cell r="Y275">
            <v>0</v>
          </cell>
          <cell r="Z275">
            <v>0</v>
          </cell>
          <cell r="AA275">
            <v>0</v>
          </cell>
          <cell r="AB275">
            <v>0</v>
          </cell>
          <cell r="AC275">
            <v>8</v>
          </cell>
          <cell r="AD275">
            <v>0</v>
          </cell>
          <cell r="AE275">
            <v>0</v>
          </cell>
          <cell r="AF275">
            <v>15</v>
          </cell>
          <cell r="AG275">
            <v>15</v>
          </cell>
          <cell r="AH275">
            <v>0</v>
          </cell>
          <cell r="AI275">
            <v>952</v>
          </cell>
          <cell r="AK275">
            <v>100170.5122943723</v>
          </cell>
        </row>
        <row r="276">
          <cell r="F276">
            <v>60</v>
          </cell>
          <cell r="P276">
            <v>500</v>
          </cell>
          <cell r="Q276">
            <v>0</v>
          </cell>
          <cell r="R276">
            <v>0</v>
          </cell>
          <cell r="S276">
            <v>430</v>
          </cell>
          <cell r="T276">
            <v>710.90664848484835</v>
          </cell>
          <cell r="U276">
            <v>725.94365454545448</v>
          </cell>
          <cell r="V276">
            <v>0</v>
          </cell>
          <cell r="W276">
            <v>0</v>
          </cell>
          <cell r="X276">
            <v>100</v>
          </cell>
          <cell r="Y276">
            <v>549</v>
          </cell>
          <cell r="Z276">
            <v>479.58636363636367</v>
          </cell>
          <cell r="AA276">
            <v>0</v>
          </cell>
          <cell r="AB276">
            <v>9</v>
          </cell>
          <cell r="AC276">
            <v>130</v>
          </cell>
          <cell r="AD276">
            <v>149</v>
          </cell>
          <cell r="AE276">
            <v>219.28424242424248</v>
          </cell>
          <cell r="AF276">
            <v>150</v>
          </cell>
          <cell r="AG276">
            <v>150</v>
          </cell>
          <cell r="AH276">
            <v>674.01757575757563</v>
          </cell>
          <cell r="AI276">
            <v>1370</v>
          </cell>
          <cell r="AK276">
            <v>16370.473333333333</v>
          </cell>
        </row>
        <row r="277">
          <cell r="F277">
            <v>204</v>
          </cell>
          <cell r="G277">
            <v>162</v>
          </cell>
          <cell r="H277">
            <v>425</v>
          </cell>
          <cell r="P277">
            <v>145</v>
          </cell>
          <cell r="S277">
            <v>145</v>
          </cell>
          <cell r="T277">
            <v>697.23998181818172</v>
          </cell>
          <cell r="U277">
            <v>725.94365454545448</v>
          </cell>
          <cell r="X277">
            <v>66</v>
          </cell>
          <cell r="Y277">
            <v>204</v>
          </cell>
          <cell r="Z277">
            <v>177.58636363636367</v>
          </cell>
          <cell r="AC277">
            <v>50</v>
          </cell>
          <cell r="AD277">
            <v>144</v>
          </cell>
          <cell r="AE277">
            <v>210.95090909090914</v>
          </cell>
          <cell r="AF277">
            <v>100</v>
          </cell>
          <cell r="AG277">
            <v>100</v>
          </cell>
          <cell r="AH277">
            <v>0</v>
          </cell>
          <cell r="AI277">
            <v>710</v>
          </cell>
          <cell r="AK277">
            <v>6760.8399999999992</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cell r="AK278">
            <v>660.3</v>
          </cell>
        </row>
        <row r="279">
          <cell r="F279">
            <v>0</v>
          </cell>
          <cell r="P279">
            <v>0</v>
          </cell>
          <cell r="Q279">
            <v>0</v>
          </cell>
          <cell r="R279">
            <v>0</v>
          </cell>
          <cell r="S279">
            <v>0</v>
          </cell>
          <cell r="T279">
            <v>0</v>
          </cell>
          <cell r="U279">
            <v>0</v>
          </cell>
          <cell r="V279">
            <v>0</v>
          </cell>
          <cell r="W279">
            <v>0</v>
          </cell>
          <cell r="X279">
            <v>4</v>
          </cell>
          <cell r="Y279">
            <v>0</v>
          </cell>
          <cell r="Z279">
            <v>0</v>
          </cell>
          <cell r="AA279">
            <v>0</v>
          </cell>
          <cell r="AB279">
            <v>9</v>
          </cell>
          <cell r="AC279">
            <v>0</v>
          </cell>
          <cell r="AD279">
            <v>0</v>
          </cell>
          <cell r="AE279">
            <v>0</v>
          </cell>
          <cell r="AF279">
            <v>0</v>
          </cell>
          <cell r="AG279">
            <v>0</v>
          </cell>
          <cell r="AH279">
            <v>0</v>
          </cell>
          <cell r="AI279">
            <v>4</v>
          </cell>
          <cell r="AK279">
            <v>4987</v>
          </cell>
        </row>
        <row r="280">
          <cell r="F280">
            <v>0</v>
          </cell>
          <cell r="P280">
            <v>11.200000000000001</v>
          </cell>
          <cell r="S280">
            <v>267.2</v>
          </cell>
          <cell r="X280">
            <v>0</v>
          </cell>
          <cell r="AC280">
            <v>0</v>
          </cell>
          <cell r="AF280">
            <v>536</v>
          </cell>
          <cell r="AG280">
            <v>220</v>
          </cell>
          <cell r="AH280">
            <v>316</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250</v>
          </cell>
          <cell r="X282">
            <v>100</v>
          </cell>
          <cell r="AC282">
            <v>100</v>
          </cell>
          <cell r="AF282">
            <v>0</v>
          </cell>
          <cell r="AG282">
            <v>0</v>
          </cell>
          <cell r="AH282">
            <v>0</v>
          </cell>
          <cell r="AI282">
            <v>250</v>
          </cell>
          <cell r="AK282">
            <v>1110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K284">
            <v>3712.333333333333</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cell r="AK285">
            <v>20</v>
          </cell>
        </row>
        <row r="286">
          <cell r="F286">
            <v>35</v>
          </cell>
          <cell r="P286">
            <v>1065</v>
          </cell>
          <cell r="S286">
            <v>4233.1499999999996</v>
          </cell>
          <cell r="X286">
            <v>190</v>
          </cell>
          <cell r="AC286">
            <v>-45</v>
          </cell>
          <cell r="AF286">
            <v>-145</v>
          </cell>
          <cell r="AG286">
            <v>-145</v>
          </cell>
          <cell r="AH286">
            <v>0</v>
          </cell>
          <cell r="AI286">
            <v>5357.15</v>
          </cell>
          <cell r="AK286">
            <v>3334.333333333333</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cell r="AK287">
            <v>358</v>
          </cell>
        </row>
        <row r="288">
          <cell r="F288">
            <v>0</v>
          </cell>
          <cell r="P288">
            <v>0</v>
          </cell>
          <cell r="S288">
            <v>0</v>
          </cell>
          <cell r="X288">
            <v>0</v>
          </cell>
          <cell r="AC288">
            <v>0</v>
          </cell>
          <cell r="AF288">
            <v>0</v>
          </cell>
          <cell r="AG288">
            <v>0</v>
          </cell>
          <cell r="AH288">
            <v>0</v>
          </cell>
          <cell r="AI288">
            <v>0</v>
          </cell>
          <cell r="AK288">
            <v>250</v>
          </cell>
        </row>
        <row r="289">
          <cell r="F289">
            <v>0</v>
          </cell>
          <cell r="P289">
            <v>0</v>
          </cell>
          <cell r="Q289">
            <v>0</v>
          </cell>
          <cell r="R289">
            <v>0</v>
          </cell>
          <cell r="S289">
            <v>0</v>
          </cell>
          <cell r="T289">
            <v>-710.90664848484835</v>
          </cell>
          <cell r="U289">
            <v>-725.94365454545448</v>
          </cell>
          <cell r="V289">
            <v>0</v>
          </cell>
          <cell r="W289">
            <v>0</v>
          </cell>
          <cell r="X289">
            <v>0</v>
          </cell>
          <cell r="Y289">
            <v>-549</v>
          </cell>
          <cell r="Z289">
            <v>-479.58636363636367</v>
          </cell>
          <cell r="AA289">
            <v>0</v>
          </cell>
          <cell r="AB289">
            <v>-9</v>
          </cell>
          <cell r="AC289">
            <v>0</v>
          </cell>
          <cell r="AD289">
            <v>-149</v>
          </cell>
          <cell r="AE289">
            <v>-219.28424242424248</v>
          </cell>
          <cell r="AF289">
            <v>0</v>
          </cell>
          <cell r="AG289">
            <v>0</v>
          </cell>
          <cell r="AH289">
            <v>0</v>
          </cell>
          <cell r="AI289">
            <v>0</v>
          </cell>
          <cell r="AK289">
            <v>83800.038961038968</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cell r="AK290">
            <v>0</v>
          </cell>
        </row>
        <row r="291">
          <cell r="F291">
            <v>9</v>
          </cell>
          <cell r="P291">
            <v>0.23599999999999</v>
          </cell>
          <cell r="Q291">
            <v>0</v>
          </cell>
          <cell r="R291">
            <v>0</v>
          </cell>
          <cell r="S291">
            <v>142.26666666666688</v>
          </cell>
          <cell r="T291">
            <v>0</v>
          </cell>
          <cell r="U291">
            <v>0</v>
          </cell>
          <cell r="V291">
            <v>0</v>
          </cell>
          <cell r="W291">
            <v>0</v>
          </cell>
          <cell r="X291">
            <v>47.800000000000011</v>
          </cell>
          <cell r="Y291">
            <v>0</v>
          </cell>
          <cell r="Z291">
            <v>0</v>
          </cell>
          <cell r="AA291">
            <v>0</v>
          </cell>
          <cell r="AB291">
            <v>0</v>
          </cell>
          <cell r="AC291">
            <v>0</v>
          </cell>
          <cell r="AD291">
            <v>0</v>
          </cell>
          <cell r="AE291">
            <v>0</v>
          </cell>
          <cell r="AF291">
            <v>22.133333333333439</v>
          </cell>
          <cell r="AG291">
            <v>285</v>
          </cell>
          <cell r="AH291">
            <v>98.133333333333439</v>
          </cell>
          <cell r="AI291">
            <v>256.43600000000032</v>
          </cell>
          <cell r="AK291">
            <v>18808.215151515153</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cell r="AK292">
            <v>8743</v>
          </cell>
        </row>
        <row r="293">
          <cell r="F293">
            <v>3657.5</v>
          </cell>
          <cell r="P293">
            <v>88.2</v>
          </cell>
          <cell r="Q293">
            <v>0</v>
          </cell>
          <cell r="R293">
            <v>0</v>
          </cell>
          <cell r="S293">
            <v>201.86666666666662</v>
          </cell>
          <cell r="T293">
            <v>0</v>
          </cell>
          <cell r="U293">
            <v>0</v>
          </cell>
          <cell r="V293">
            <v>0</v>
          </cell>
          <cell r="W293">
            <v>0</v>
          </cell>
          <cell r="X293">
            <v>84.800000000000011</v>
          </cell>
          <cell r="Y293">
            <v>0</v>
          </cell>
          <cell r="Z293">
            <v>0</v>
          </cell>
          <cell r="AA293">
            <v>0</v>
          </cell>
          <cell r="AB293">
            <v>0</v>
          </cell>
          <cell r="AC293">
            <v>135.4</v>
          </cell>
          <cell r="AD293">
            <v>0</v>
          </cell>
          <cell r="AE293">
            <v>0</v>
          </cell>
          <cell r="AF293">
            <v>168</v>
          </cell>
          <cell r="AG293">
            <v>140</v>
          </cell>
          <cell r="AH293">
            <v>28</v>
          </cell>
          <cell r="AI293">
            <v>4491.7666666666664</v>
          </cell>
          <cell r="AK293">
            <v>4839.181818181818</v>
          </cell>
        </row>
        <row r="294">
          <cell r="F294">
            <v>0</v>
          </cell>
          <cell r="P294">
            <v>0</v>
          </cell>
          <cell r="S294">
            <v>0</v>
          </cell>
          <cell r="X294">
            <v>0</v>
          </cell>
          <cell r="AC294">
            <v>0</v>
          </cell>
          <cell r="AF294">
            <v>0</v>
          </cell>
          <cell r="AG294">
            <v>0</v>
          </cell>
          <cell r="AH294">
            <v>0</v>
          </cell>
          <cell r="AI294">
            <v>0</v>
          </cell>
          <cell r="AK294">
            <v>0</v>
          </cell>
        </row>
        <row r="295">
          <cell r="F295">
            <v>0</v>
          </cell>
          <cell r="P295">
            <v>0</v>
          </cell>
          <cell r="S295">
            <v>0</v>
          </cell>
          <cell r="X295">
            <v>0</v>
          </cell>
          <cell r="AC295">
            <v>0</v>
          </cell>
          <cell r="AF295">
            <v>12</v>
          </cell>
          <cell r="AG295">
            <v>10</v>
          </cell>
          <cell r="AH295">
            <v>2</v>
          </cell>
          <cell r="AI295">
            <v>12</v>
          </cell>
          <cell r="AK295">
            <v>0</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cell r="AK296">
            <v>5229.0333333333338</v>
          </cell>
        </row>
        <row r="297">
          <cell r="F297">
            <v>2</v>
          </cell>
          <cell r="P297">
            <v>0</v>
          </cell>
          <cell r="S297">
            <v>219</v>
          </cell>
          <cell r="X297">
            <v>93.666666666666629</v>
          </cell>
          <cell r="AC297">
            <v>93</v>
          </cell>
          <cell r="AF297">
            <v>0</v>
          </cell>
          <cell r="AG297">
            <v>0</v>
          </cell>
          <cell r="AH297">
            <v>191</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cell r="AK299">
            <v>3585.6666666666665</v>
          </cell>
        </row>
        <row r="300">
          <cell r="F300">
            <v>0</v>
          </cell>
          <cell r="P300">
            <v>0</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-3</v>
          </cell>
        </row>
        <row r="302">
          <cell r="F302">
            <v>0</v>
          </cell>
          <cell r="P302">
            <v>0</v>
          </cell>
          <cell r="Q302">
            <v>0</v>
          </cell>
          <cell r="R302">
            <v>0</v>
          </cell>
          <cell r="S302">
            <v>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0</v>
          </cell>
          <cell r="AG302">
            <v>0</v>
          </cell>
          <cell r="AH302">
            <v>0</v>
          </cell>
          <cell r="AI302">
            <v>0</v>
          </cell>
          <cell r="AK302">
            <v>83800.038961038968</v>
          </cell>
        </row>
        <row r="303">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P306">
            <v>0</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3609</v>
          </cell>
          <cell r="P308">
            <v>0</v>
          </cell>
          <cell r="S308">
            <v>0</v>
          </cell>
          <cell r="X308">
            <v>0</v>
          </cell>
          <cell r="AC308">
            <v>0</v>
          </cell>
          <cell r="AF308">
            <v>0</v>
          </cell>
          <cell r="AG308">
            <v>0</v>
          </cell>
          <cell r="AH308">
            <v>0</v>
          </cell>
          <cell r="AI308">
            <v>3609</v>
          </cell>
          <cell r="AK308">
            <v>0</v>
          </cell>
        </row>
        <row r="309">
          <cell r="S309">
            <v>0</v>
          </cell>
          <cell r="AK309">
            <v>0</v>
          </cell>
        </row>
        <row r="310">
          <cell r="F310">
            <v>0</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AI311">
            <v>0</v>
          </cell>
          <cell r="AK311">
            <v>0</v>
          </cell>
        </row>
        <row r="312">
          <cell r="P312">
            <v>0</v>
          </cell>
          <cell r="AK312">
            <v>0</v>
          </cell>
        </row>
        <row r="313">
          <cell r="S313">
            <v>0</v>
          </cell>
          <cell r="AI313">
            <v>0</v>
          </cell>
          <cell r="AK313">
            <v>0</v>
          </cell>
        </row>
        <row r="314">
          <cell r="F314">
            <v>3480</v>
          </cell>
          <cell r="S314">
            <v>0</v>
          </cell>
          <cell r="AK314">
            <v>3480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t="e">
            <v>#REF!</v>
          </cell>
          <cell r="AM330">
            <v>5000.8799999999992</v>
          </cell>
        </row>
        <row r="331">
          <cell r="F331">
            <v>160</v>
          </cell>
          <cell r="P331">
            <v>326</v>
          </cell>
          <cell r="S331">
            <v>523</v>
          </cell>
          <cell r="X331">
            <v>174</v>
          </cell>
          <cell r="AC331">
            <v>147</v>
          </cell>
          <cell r="AF331">
            <v>480</v>
          </cell>
          <cell r="AG331">
            <v>480</v>
          </cell>
          <cell r="AH331">
            <v>0</v>
          </cell>
          <cell r="AI331">
            <v>0</v>
          </cell>
          <cell r="AK331">
            <v>1910</v>
          </cell>
          <cell r="AM331">
            <v>1430</v>
          </cell>
        </row>
        <row r="332">
          <cell r="AI332">
            <v>538</v>
          </cell>
          <cell r="AJ332">
            <v>36</v>
          </cell>
          <cell r="AK332" t="e">
            <v>#REF!</v>
          </cell>
          <cell r="AM332">
            <v>6362.1571428571433</v>
          </cell>
        </row>
        <row r="333">
          <cell r="AI333" t="e">
            <v>#REF!</v>
          </cell>
          <cell r="AK333">
            <v>660.3</v>
          </cell>
          <cell r="AM333">
            <v>660.3</v>
          </cell>
        </row>
        <row r="334">
          <cell r="AI334">
            <v>0</v>
          </cell>
          <cell r="AJ334">
            <v>36</v>
          </cell>
          <cell r="AK334" t="e">
            <v>#REF!</v>
          </cell>
          <cell r="AM334">
            <v>0</v>
          </cell>
        </row>
        <row r="335">
          <cell r="AI335">
            <v>5357.15</v>
          </cell>
          <cell r="AK335" t="e">
            <v>#REF!</v>
          </cell>
          <cell r="AM335">
            <v>1380.8571428571431</v>
          </cell>
        </row>
        <row r="336">
          <cell r="AI336">
            <v>4025.8545454545456</v>
          </cell>
          <cell r="AK336" t="e">
            <v>#REF!</v>
          </cell>
          <cell r="AM336">
            <v>3500</v>
          </cell>
        </row>
        <row r="337">
          <cell r="AI337">
            <v>0</v>
          </cell>
          <cell r="AK337" t="e">
            <v>#REF!</v>
          </cell>
        </row>
        <row r="338">
          <cell r="AI338">
            <v>0</v>
          </cell>
          <cell r="AK338" t="e">
            <v>#REF!</v>
          </cell>
          <cell r="AM338">
            <v>821</v>
          </cell>
        </row>
        <row r="339">
          <cell r="AI339">
            <v>0</v>
          </cell>
          <cell r="AK339" t="e">
            <v>#REF!</v>
          </cell>
        </row>
        <row r="340">
          <cell r="AI340">
            <v>4672</v>
          </cell>
          <cell r="AK340" t="e">
            <v>#REF!</v>
          </cell>
          <cell r="AM340">
            <v>0</v>
          </cell>
        </row>
        <row r="341">
          <cell r="AI341">
            <v>1640</v>
          </cell>
          <cell r="AK341" t="e">
            <v>#REF!</v>
          </cell>
          <cell r="AM341">
            <v>7882</v>
          </cell>
        </row>
        <row r="342">
          <cell r="AI342">
            <v>952</v>
          </cell>
          <cell r="AK342" t="e">
            <v>#REF!</v>
          </cell>
          <cell r="AM342">
            <v>4100.090909090909</v>
          </cell>
        </row>
        <row r="343">
          <cell r="AI343">
            <v>1370</v>
          </cell>
          <cell r="AK343">
            <v>0</v>
          </cell>
          <cell r="AM343">
            <v>0</v>
          </cell>
        </row>
        <row r="344">
          <cell r="AI344">
            <v>710</v>
          </cell>
          <cell r="AK344">
            <v>0</v>
          </cell>
          <cell r="AM344">
            <v>0</v>
          </cell>
        </row>
        <row r="345">
          <cell r="AI345">
            <v>0</v>
          </cell>
          <cell r="AK345" t="e">
            <v>#REF!</v>
          </cell>
          <cell r="AM345">
            <v>0</v>
          </cell>
        </row>
        <row r="346">
          <cell r="AI346">
            <v>4</v>
          </cell>
          <cell r="AK346" t="e">
            <v>#REF!</v>
          </cell>
          <cell r="AM346">
            <v>4385</v>
          </cell>
        </row>
        <row r="347">
          <cell r="AI347">
            <v>814.4</v>
          </cell>
          <cell r="AK347" t="e">
            <v>#REF!</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cell r="AM351">
            <v>0</v>
          </cell>
        </row>
        <row r="352">
          <cell r="AI352">
            <v>0</v>
          </cell>
          <cell r="AK352" t="e">
            <v>#REF!</v>
          </cell>
          <cell r="AM352">
            <v>20</v>
          </cell>
        </row>
        <row r="353">
          <cell r="AI353">
            <v>0</v>
          </cell>
          <cell r="AK353" t="e">
            <v>#REF!</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t="e">
            <v>#REF!</v>
          </cell>
        </row>
        <row r="355">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7">
          <cell r="F367" t="e">
            <v>#REF!</v>
          </cell>
        </row>
        <row r="373">
          <cell r="F373">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cell r="AK386" t="str">
            <v>АК "КЕ"</v>
          </cell>
          <cell r="AL386" t="str">
            <v>Е/Е</v>
          </cell>
        </row>
        <row r="387">
          <cell r="F387">
            <v>0</v>
          </cell>
          <cell r="G387">
            <v>0</v>
          </cell>
          <cell r="P387">
            <v>2</v>
          </cell>
          <cell r="X387">
            <v>0</v>
          </cell>
          <cell r="Y387">
            <v>0</v>
          </cell>
          <cell r="AC387">
            <v>25</v>
          </cell>
          <cell r="AD387">
            <v>13</v>
          </cell>
          <cell r="AI387">
            <v>33.666666666666671</v>
          </cell>
          <cell r="AJ387">
            <v>18</v>
          </cell>
          <cell r="AK387" t="str">
            <v>ПЛАН</v>
          </cell>
          <cell r="AL387" t="str">
            <v>ПЛАН</v>
          </cell>
        </row>
        <row r="388">
          <cell r="F388">
            <v>0</v>
          </cell>
          <cell r="G388">
            <v>0</v>
          </cell>
          <cell r="H388">
            <v>56</v>
          </cell>
          <cell r="P388">
            <v>0</v>
          </cell>
          <cell r="S388">
            <v>14.333333333333332</v>
          </cell>
          <cell r="X388">
            <v>25.333333333333332</v>
          </cell>
          <cell r="Y388">
            <v>18</v>
          </cell>
          <cell r="Z388">
            <v>97</v>
          </cell>
          <cell r="AC388">
            <v>0.66666666666666663</v>
          </cell>
          <cell r="AD388">
            <v>0</v>
          </cell>
          <cell r="AE388">
            <v>130</v>
          </cell>
          <cell r="AI388">
            <v>26</v>
          </cell>
          <cell r="AJ388">
            <v>18</v>
          </cell>
          <cell r="AK388">
            <v>735.30000000000018</v>
          </cell>
          <cell r="AL388">
            <v>469.33333333333337</v>
          </cell>
          <cell r="AM388">
            <v>312.33333333333331</v>
          </cell>
        </row>
        <row r="389">
          <cell r="F389">
            <v>120.63333333333333</v>
          </cell>
          <cell r="G389">
            <v>71</v>
          </cell>
          <cell r="P389">
            <v>0</v>
          </cell>
          <cell r="X389">
            <v>0</v>
          </cell>
          <cell r="Y389">
            <v>0</v>
          </cell>
          <cell r="AC389">
            <v>0</v>
          </cell>
          <cell r="AD389">
            <v>0</v>
          </cell>
          <cell r="AI389">
            <v>120.63333333333333</v>
          </cell>
          <cell r="AJ389">
            <v>73</v>
          </cell>
          <cell r="AK389">
            <v>46</v>
          </cell>
          <cell r="AL389">
            <v>14</v>
          </cell>
        </row>
        <row r="390">
          <cell r="F390">
            <v>8.6666666666666661</v>
          </cell>
          <cell r="G390">
            <v>5</v>
          </cell>
          <cell r="P390">
            <v>0</v>
          </cell>
          <cell r="X390">
            <v>0</v>
          </cell>
          <cell r="Y390">
            <v>0</v>
          </cell>
          <cell r="AC390">
            <v>0</v>
          </cell>
          <cell r="AD390">
            <v>0</v>
          </cell>
          <cell r="AI390">
            <v>8.6666666666666661</v>
          </cell>
          <cell r="AJ390">
            <v>0</v>
          </cell>
          <cell r="AK390">
            <v>428</v>
          </cell>
          <cell r="AL390">
            <v>191.66666666666669</v>
          </cell>
        </row>
        <row r="391">
          <cell r="F391">
            <v>0</v>
          </cell>
          <cell r="G391">
            <v>0</v>
          </cell>
          <cell r="P391">
            <v>5.333333333333333</v>
          </cell>
          <cell r="X391">
            <v>0</v>
          </cell>
          <cell r="Y391">
            <v>0</v>
          </cell>
          <cell r="AC391">
            <v>0</v>
          </cell>
          <cell r="AD391">
            <v>0</v>
          </cell>
          <cell r="AI391">
            <v>22</v>
          </cell>
          <cell r="AJ391">
            <v>15.333333333333332</v>
          </cell>
          <cell r="AK391">
            <v>33.666666666666671</v>
          </cell>
          <cell r="AL391">
            <v>15</v>
          </cell>
        </row>
        <row r="392">
          <cell r="F392">
            <v>5.333333333333333</v>
          </cell>
          <cell r="G392">
            <v>3</v>
          </cell>
          <cell r="P392">
            <v>0</v>
          </cell>
          <cell r="X392">
            <v>0</v>
          </cell>
          <cell r="Y392">
            <v>0</v>
          </cell>
          <cell r="AC392">
            <v>0</v>
          </cell>
          <cell r="AD392">
            <v>0</v>
          </cell>
          <cell r="AI392">
            <v>5.333333333333333</v>
          </cell>
          <cell r="AJ392">
            <v>3</v>
          </cell>
          <cell r="AK392">
            <v>26</v>
          </cell>
          <cell r="AL392">
            <v>14</v>
          </cell>
        </row>
        <row r="393">
          <cell r="F393">
            <v>0.33333333333333331</v>
          </cell>
          <cell r="G393">
            <v>0</v>
          </cell>
          <cell r="P393">
            <v>4.333333333333333</v>
          </cell>
          <cell r="X393">
            <v>0</v>
          </cell>
          <cell r="Y393">
            <v>0</v>
          </cell>
          <cell r="AC393">
            <v>0</v>
          </cell>
          <cell r="AD393">
            <v>0</v>
          </cell>
          <cell r="AI393">
            <v>4.6666666666666661</v>
          </cell>
          <cell r="AJ393">
            <v>4.333333333333333</v>
          </cell>
          <cell r="AK393">
            <v>120.63333333333333</v>
          </cell>
          <cell r="AL393">
            <v>43</v>
          </cell>
        </row>
        <row r="394">
          <cell r="F394">
            <v>0.33333333333333331</v>
          </cell>
          <cell r="G394">
            <v>0</v>
          </cell>
          <cell r="P394">
            <v>2</v>
          </cell>
          <cell r="X394">
            <v>10</v>
          </cell>
          <cell r="Y394">
            <v>7</v>
          </cell>
          <cell r="AC394">
            <v>13.666666666666666</v>
          </cell>
          <cell r="AD394">
            <v>7</v>
          </cell>
          <cell r="AI394">
            <v>26</v>
          </cell>
          <cell r="AJ394">
            <v>16</v>
          </cell>
          <cell r="AK394">
            <v>8.6666666666666661</v>
          </cell>
          <cell r="AL394">
            <v>0</v>
          </cell>
        </row>
        <row r="395">
          <cell r="F395">
            <v>0</v>
          </cell>
          <cell r="G395">
            <v>0</v>
          </cell>
          <cell r="P395">
            <v>0</v>
          </cell>
          <cell r="X395">
            <v>0</v>
          </cell>
          <cell r="Y395">
            <v>0</v>
          </cell>
          <cell r="AC395">
            <v>0</v>
          </cell>
          <cell r="AD395">
            <v>0</v>
          </cell>
          <cell r="AI395">
            <v>0</v>
          </cell>
          <cell r="AK395">
            <v>22</v>
          </cell>
          <cell r="AL395">
            <v>15.333333333333332</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cell r="AL396">
            <v>2</v>
          </cell>
        </row>
        <row r="397">
          <cell r="F397">
            <v>0</v>
          </cell>
          <cell r="G397">
            <v>0</v>
          </cell>
          <cell r="P397">
            <v>0</v>
          </cell>
          <cell r="X397">
            <v>0</v>
          </cell>
          <cell r="Y397">
            <v>0</v>
          </cell>
          <cell r="AC397">
            <v>0</v>
          </cell>
          <cell r="AD397">
            <v>0</v>
          </cell>
          <cell r="AI397">
            <v>0</v>
          </cell>
          <cell r="AJ397">
            <v>0</v>
          </cell>
          <cell r="AK397">
            <v>4.6666666666666661</v>
          </cell>
          <cell r="AL397">
            <v>4.333333333333333</v>
          </cell>
        </row>
        <row r="398">
          <cell r="F398">
            <v>0</v>
          </cell>
          <cell r="G398">
            <v>0</v>
          </cell>
          <cell r="P398">
            <v>0</v>
          </cell>
          <cell r="X398">
            <v>480.66666666666669</v>
          </cell>
          <cell r="Y398">
            <v>341</v>
          </cell>
          <cell r="AC398">
            <v>11</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row>
        <row r="400">
          <cell r="F400">
            <v>1.1666666666666667</v>
          </cell>
          <cell r="G400">
            <v>1</v>
          </cell>
          <cell r="P400">
            <v>15.833333333333334</v>
          </cell>
          <cell r="X400">
            <v>41.666666666666664</v>
          </cell>
          <cell r="Y400">
            <v>30</v>
          </cell>
          <cell r="AC400">
            <v>32</v>
          </cell>
          <cell r="AD400">
            <v>17</v>
          </cell>
          <cell r="AI400">
            <v>91</v>
          </cell>
          <cell r="AJ400">
            <v>68.833333333333343</v>
          </cell>
          <cell r="AK400">
            <v>587.33333333333337</v>
          </cell>
          <cell r="AL400">
            <v>316.5</v>
          </cell>
          <cell r="AM400">
            <v>316.83333333333331</v>
          </cell>
        </row>
        <row r="401">
          <cell r="F401">
            <v>0</v>
          </cell>
          <cell r="G401">
            <v>0</v>
          </cell>
          <cell r="P401">
            <v>4.666666666666667</v>
          </cell>
          <cell r="X401">
            <v>0</v>
          </cell>
          <cell r="Y401">
            <v>0</v>
          </cell>
          <cell r="AC401">
            <v>0</v>
          </cell>
          <cell r="AD401">
            <v>0</v>
          </cell>
          <cell r="AI401">
            <v>4.666666666666667</v>
          </cell>
          <cell r="AJ401">
            <v>0</v>
          </cell>
          <cell r="AK401">
            <v>0</v>
          </cell>
          <cell r="AL401">
            <v>0</v>
          </cell>
        </row>
        <row r="402">
          <cell r="F402">
            <v>0</v>
          </cell>
          <cell r="G402">
            <v>0</v>
          </cell>
          <cell r="P402">
            <v>0</v>
          </cell>
          <cell r="X402">
            <v>0</v>
          </cell>
          <cell r="Y402">
            <v>0</v>
          </cell>
          <cell r="AC402">
            <v>0</v>
          </cell>
          <cell r="AD402">
            <v>0</v>
          </cell>
          <cell r="AI402">
            <v>0</v>
          </cell>
          <cell r="AK402">
            <v>491.66666666666669</v>
          </cell>
          <cell r="AL402">
            <v>261</v>
          </cell>
        </row>
        <row r="403">
          <cell r="F403">
            <v>10</v>
          </cell>
          <cell r="G403">
            <v>6</v>
          </cell>
          <cell r="P403">
            <v>39</v>
          </cell>
          <cell r="X403">
            <v>0</v>
          </cell>
          <cell r="Y403">
            <v>0</v>
          </cell>
          <cell r="AC403">
            <v>0</v>
          </cell>
          <cell r="AD403">
            <v>0</v>
          </cell>
          <cell r="AI403">
            <v>49</v>
          </cell>
          <cell r="AJ403">
            <v>45</v>
          </cell>
          <cell r="AK403">
            <v>45</v>
          </cell>
          <cell r="AL403">
            <v>0</v>
          </cell>
        </row>
        <row r="404">
          <cell r="F404">
            <v>2.6666666666666665</v>
          </cell>
          <cell r="G404">
            <v>2</v>
          </cell>
          <cell r="P404">
            <v>3.3333333333333335</v>
          </cell>
          <cell r="X404">
            <v>0</v>
          </cell>
          <cell r="Y404">
            <v>0</v>
          </cell>
          <cell r="AC404">
            <v>0</v>
          </cell>
          <cell r="AD404">
            <v>0</v>
          </cell>
          <cell r="AI404">
            <v>6</v>
          </cell>
          <cell r="AJ404">
            <v>5.3333333333333339</v>
          </cell>
          <cell r="AK404">
            <v>91</v>
          </cell>
          <cell r="AL404">
            <v>55.833333333333336</v>
          </cell>
        </row>
        <row r="405">
          <cell r="F405">
            <v>7.333333333333333</v>
          </cell>
          <cell r="G405">
            <v>4</v>
          </cell>
          <cell r="P405">
            <v>35.666666666666664</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cell r="AL407">
            <v>42</v>
          </cell>
          <cell r="AM407">
            <v>43</v>
          </cell>
        </row>
        <row r="408">
          <cell r="F408">
            <v>0</v>
          </cell>
          <cell r="G408">
            <v>0</v>
          </cell>
          <cell r="P408">
            <v>0</v>
          </cell>
          <cell r="X408">
            <v>0</v>
          </cell>
          <cell r="Y408">
            <v>0</v>
          </cell>
          <cell r="AC408">
            <v>0</v>
          </cell>
          <cell r="AD408">
            <v>0</v>
          </cell>
          <cell r="AI408">
            <v>1350</v>
          </cell>
          <cell r="AJ408">
            <v>0</v>
          </cell>
          <cell r="AK408">
            <v>6</v>
          </cell>
          <cell r="AL408">
            <v>4.3333333333333339</v>
          </cell>
        </row>
        <row r="409">
          <cell r="F409">
            <v>0</v>
          </cell>
          <cell r="G409">
            <v>0</v>
          </cell>
          <cell r="P409">
            <v>0</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row>
        <row r="411">
          <cell r="F411">
            <v>0</v>
          </cell>
          <cell r="G411">
            <v>0</v>
          </cell>
          <cell r="H411">
            <v>71</v>
          </cell>
          <cell r="P411">
            <v>12.333333333333334</v>
          </cell>
          <cell r="S411">
            <v>50.166666666666671</v>
          </cell>
          <cell r="X411">
            <v>0</v>
          </cell>
          <cell r="Y411">
            <v>0</v>
          </cell>
          <cell r="AC411">
            <v>0</v>
          </cell>
          <cell r="AD411">
            <v>0</v>
          </cell>
          <cell r="AI411">
            <v>12.333333333333334</v>
          </cell>
          <cell r="AJ411">
            <v>12.333333333333334</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I412">
            <v>0</v>
          </cell>
          <cell r="AJ412">
            <v>0</v>
          </cell>
          <cell r="AK412">
            <v>1350</v>
          </cell>
          <cell r="AL412">
            <v>0</v>
          </cell>
        </row>
        <row r="413">
          <cell r="F413">
            <v>1.6666666666666667</v>
          </cell>
          <cell r="G413">
            <v>1</v>
          </cell>
          <cell r="P413">
            <v>5</v>
          </cell>
          <cell r="X413">
            <v>3</v>
          </cell>
          <cell r="Y413">
            <v>2</v>
          </cell>
          <cell r="AC413">
            <v>3</v>
          </cell>
          <cell r="AD413">
            <v>2</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0</v>
          </cell>
          <cell r="X415">
            <v>0</v>
          </cell>
          <cell r="Y415">
            <v>0</v>
          </cell>
          <cell r="AC415">
            <v>0</v>
          </cell>
          <cell r="AD415">
            <v>0</v>
          </cell>
          <cell r="AI415">
            <v>0</v>
          </cell>
          <cell r="AJ415">
            <v>0</v>
          </cell>
          <cell r="AK415">
            <v>12.333333333333334</v>
          </cell>
          <cell r="AL415">
            <v>12.333333333333334</v>
          </cell>
        </row>
        <row r="416">
          <cell r="F416">
            <v>0</v>
          </cell>
          <cell r="G416">
            <v>0</v>
          </cell>
          <cell r="P416">
            <v>18.5</v>
          </cell>
          <cell r="X416">
            <v>4.5</v>
          </cell>
          <cell r="Y416">
            <v>3</v>
          </cell>
          <cell r="AC416">
            <v>1.3333333333333333</v>
          </cell>
          <cell r="AD416">
            <v>1</v>
          </cell>
          <cell r="AI416">
            <v>28.5</v>
          </cell>
          <cell r="AJ416">
            <v>26.5</v>
          </cell>
          <cell r="AK416">
            <v>0</v>
          </cell>
          <cell r="AL416">
            <v>0</v>
          </cell>
        </row>
        <row r="417">
          <cell r="F417">
            <v>0</v>
          </cell>
          <cell r="G417">
            <v>0</v>
          </cell>
          <cell r="P417">
            <v>1.3333333333333333</v>
          </cell>
          <cell r="X417">
            <v>0</v>
          </cell>
          <cell r="Y417">
            <v>0</v>
          </cell>
          <cell r="AC417">
            <v>1.6666666666666667</v>
          </cell>
          <cell r="AD417">
            <v>1</v>
          </cell>
          <cell r="AI417">
            <v>69</v>
          </cell>
          <cell r="AJ417">
            <v>52.333333333333336</v>
          </cell>
          <cell r="AK417">
            <v>57.666666666666664</v>
          </cell>
          <cell r="AL417">
            <v>49</v>
          </cell>
        </row>
        <row r="418">
          <cell r="F418">
            <v>177</v>
          </cell>
          <cell r="G418">
            <v>104</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10</v>
          </cell>
          <cell r="Y419">
            <v>7</v>
          </cell>
          <cell r="AC419">
            <v>7.666666666666667</v>
          </cell>
          <cell r="AD419">
            <v>4</v>
          </cell>
          <cell r="AI419">
            <v>17.666666666666668</v>
          </cell>
          <cell r="AJ419">
            <v>11</v>
          </cell>
          <cell r="AK419">
            <v>0</v>
          </cell>
          <cell r="AL419">
            <v>0</v>
          </cell>
        </row>
        <row r="420">
          <cell r="F420">
            <v>0.66666666666666663</v>
          </cell>
          <cell r="G420">
            <v>0</v>
          </cell>
          <cell r="P420">
            <v>2</v>
          </cell>
          <cell r="X420">
            <v>1.3333333333333333</v>
          </cell>
          <cell r="Y420">
            <v>1</v>
          </cell>
          <cell r="AC420">
            <v>1</v>
          </cell>
          <cell r="AD420">
            <v>1</v>
          </cell>
          <cell r="AI420">
            <v>6</v>
          </cell>
          <cell r="AJ420">
            <v>4</v>
          </cell>
          <cell r="AK420">
            <v>28.5</v>
          </cell>
          <cell r="AL420">
            <v>25.5</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cell r="AK421">
            <v>69</v>
          </cell>
          <cell r="AL421">
            <v>52.333333333333336</v>
          </cell>
        </row>
        <row r="422">
          <cell r="F422">
            <v>0</v>
          </cell>
          <cell r="G422">
            <v>0</v>
          </cell>
          <cell r="P422">
            <v>2.3333333333333335</v>
          </cell>
          <cell r="X422">
            <v>6</v>
          </cell>
          <cell r="Y422">
            <v>4</v>
          </cell>
          <cell r="AC422">
            <v>5</v>
          </cell>
          <cell r="AD422">
            <v>3</v>
          </cell>
          <cell r="AI422">
            <v>13.333333333333334</v>
          </cell>
          <cell r="AJ422">
            <v>9.3333333333333339</v>
          </cell>
          <cell r="AK422">
            <v>177</v>
          </cell>
          <cell r="AL422">
            <v>61</v>
          </cell>
        </row>
        <row r="423">
          <cell r="F423">
            <v>0</v>
          </cell>
          <cell r="G423">
            <v>0</v>
          </cell>
          <cell r="P423">
            <v>0</v>
          </cell>
          <cell r="X423">
            <v>0</v>
          </cell>
          <cell r="Y423">
            <v>0</v>
          </cell>
          <cell r="AC423">
            <v>0</v>
          </cell>
          <cell r="AD423">
            <v>0</v>
          </cell>
          <cell r="AI423">
            <v>0</v>
          </cell>
          <cell r="AJ423">
            <v>0</v>
          </cell>
          <cell r="AK423">
            <v>17.666666666666668</v>
          </cell>
          <cell r="AL423">
            <v>8</v>
          </cell>
        </row>
        <row r="424">
          <cell r="F424">
            <v>0</v>
          </cell>
          <cell r="G424">
            <v>0</v>
          </cell>
          <cell r="P424">
            <v>0</v>
          </cell>
          <cell r="X424">
            <v>0</v>
          </cell>
          <cell r="Y424">
            <v>0</v>
          </cell>
          <cell r="AC424">
            <v>0</v>
          </cell>
          <cell r="AD424">
            <v>0</v>
          </cell>
          <cell r="AI424">
            <v>0</v>
          </cell>
          <cell r="AJ424">
            <v>0</v>
          </cell>
          <cell r="AK424">
            <v>6</v>
          </cell>
          <cell r="AL424">
            <v>3</v>
          </cell>
        </row>
        <row r="425">
          <cell r="F425">
            <v>9.6666666666666661</v>
          </cell>
          <cell r="G425">
            <v>6</v>
          </cell>
          <cell r="P425">
            <v>1</v>
          </cell>
          <cell r="X425">
            <v>0</v>
          </cell>
          <cell r="Y425">
            <v>0</v>
          </cell>
          <cell r="AC425">
            <v>0</v>
          </cell>
          <cell r="AD425">
            <v>0</v>
          </cell>
          <cell r="AI425">
            <v>12</v>
          </cell>
          <cell r="AJ425">
            <v>8</v>
          </cell>
          <cell r="AK425">
            <v>9.3333333333333339</v>
          </cell>
          <cell r="AL425">
            <v>4.3333333333333339</v>
          </cell>
        </row>
        <row r="426">
          <cell r="F426">
            <v>0</v>
          </cell>
          <cell r="G426">
            <v>0</v>
          </cell>
          <cell r="P426">
            <v>0</v>
          </cell>
          <cell r="X426">
            <v>0</v>
          </cell>
          <cell r="Y426">
            <v>0</v>
          </cell>
          <cell r="AC426">
            <v>0</v>
          </cell>
          <cell r="AD426">
            <v>0</v>
          </cell>
          <cell r="AI426">
            <v>0</v>
          </cell>
          <cell r="AJ426">
            <v>0</v>
          </cell>
          <cell r="AK426">
            <v>13.333333333333334</v>
          </cell>
          <cell r="AL426">
            <v>7.3333333333333339</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cell r="AK427">
            <v>0</v>
          </cell>
          <cell r="AL427">
            <v>0</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cell r="AK428">
            <v>0</v>
          </cell>
          <cell r="AL428">
            <v>0</v>
          </cell>
        </row>
        <row r="429">
          <cell r="F429">
            <v>6.666666666666667</v>
          </cell>
          <cell r="G429">
            <v>4</v>
          </cell>
          <cell r="P429">
            <v>4.666666666666667</v>
          </cell>
          <cell r="X429">
            <v>3</v>
          </cell>
          <cell r="Y429">
            <v>2</v>
          </cell>
          <cell r="AC429">
            <v>2</v>
          </cell>
          <cell r="AD429">
            <v>1</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0</v>
          </cell>
          <cell r="G431">
            <v>0</v>
          </cell>
          <cell r="P431">
            <v>0</v>
          </cell>
          <cell r="X431">
            <v>0</v>
          </cell>
          <cell r="Y431">
            <v>0</v>
          </cell>
          <cell r="AC431">
            <v>0</v>
          </cell>
          <cell r="AD431">
            <v>0</v>
          </cell>
          <cell r="AI431">
            <v>0</v>
          </cell>
          <cell r="AJ431">
            <v>53</v>
          </cell>
          <cell r="AK431">
            <v>4.333333333333333</v>
          </cell>
          <cell r="AL431">
            <v>1.6666666666666665</v>
          </cell>
        </row>
        <row r="432">
          <cell r="F432">
            <v>1</v>
          </cell>
          <cell r="G432">
            <v>1</v>
          </cell>
          <cell r="P432">
            <v>0</v>
          </cell>
          <cell r="X432">
            <v>0</v>
          </cell>
          <cell r="Y432">
            <v>0</v>
          </cell>
          <cell r="AC432">
            <v>0</v>
          </cell>
          <cell r="AD432">
            <v>0</v>
          </cell>
          <cell r="AI432">
            <v>1</v>
          </cell>
          <cell r="AJ432">
            <v>1</v>
          </cell>
          <cell r="AK432">
            <v>3.6666666666666665</v>
          </cell>
          <cell r="AL432">
            <v>1.6666666666666665</v>
          </cell>
        </row>
        <row r="433">
          <cell r="F433">
            <v>0</v>
          </cell>
          <cell r="G433">
            <v>0</v>
          </cell>
          <cell r="P433">
            <v>0</v>
          </cell>
          <cell r="X433">
            <v>0</v>
          </cell>
          <cell r="Y433">
            <v>0</v>
          </cell>
          <cell r="AC433">
            <v>0</v>
          </cell>
          <cell r="AD433">
            <v>0</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2.6666666666666665</v>
          </cell>
          <cell r="G435">
            <v>2</v>
          </cell>
          <cell r="P435">
            <v>1</v>
          </cell>
          <cell r="X435">
            <v>4</v>
          </cell>
          <cell r="Y435">
            <v>3</v>
          </cell>
          <cell r="AC435">
            <v>2</v>
          </cell>
          <cell r="AD435">
            <v>1</v>
          </cell>
          <cell r="AI435">
            <v>15.666666666666666</v>
          </cell>
          <cell r="AJ435">
            <v>10</v>
          </cell>
          <cell r="AK435">
            <v>0</v>
          </cell>
          <cell r="AL435">
            <v>53</v>
          </cell>
        </row>
        <row r="436">
          <cell r="F436">
            <v>0</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3.3333333333333335</v>
          </cell>
          <cell r="Y437">
            <v>2</v>
          </cell>
          <cell r="AC437">
            <v>0</v>
          </cell>
          <cell r="AD437">
            <v>0</v>
          </cell>
          <cell r="AI437">
            <v>3.3333333333333335</v>
          </cell>
          <cell r="AJ437">
            <v>2</v>
          </cell>
          <cell r="AK437">
            <v>0</v>
          </cell>
          <cell r="AL437">
            <v>0</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0</v>
          </cell>
          <cell r="Y441">
            <v>0</v>
          </cell>
          <cell r="AC441">
            <v>0</v>
          </cell>
          <cell r="AD441">
            <v>0</v>
          </cell>
          <cell r="AI441">
            <v>0</v>
          </cell>
          <cell r="AJ441">
            <v>0</v>
          </cell>
          <cell r="AK441">
            <v>3.3333333333333335</v>
          </cell>
          <cell r="AL441">
            <v>2</v>
          </cell>
        </row>
        <row r="442">
          <cell r="F442">
            <v>0</v>
          </cell>
          <cell r="G442">
            <v>0</v>
          </cell>
          <cell r="P442">
            <v>0</v>
          </cell>
          <cell r="X442">
            <v>0</v>
          </cell>
          <cell r="Y442">
            <v>0</v>
          </cell>
          <cell r="AC442">
            <v>0</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1">
          <cell r="AE1" t="str">
            <v>'9 міс.'!</v>
          </cell>
        </row>
        <row r="8">
          <cell r="S8" t="str">
            <v>ЗАТВЕРДЖУЮ</v>
          </cell>
        </row>
        <row r="22">
          <cell r="U22" t="str">
            <v>ЗАТВЕРДЖУЮ</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Q32" t="str">
            <v>КТМ</v>
          </cell>
          <cell r="S32" t="str">
            <v>ГОЛОВА ПРАЛІННЯ  КЕ</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U37" t="str">
            <v xml:space="preserve">                      ПЛАЧКОВ І.В.</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AJ39">
            <v>0</v>
          </cell>
          <cell r="AL39">
            <v>0</v>
          </cell>
        </row>
        <row r="40">
          <cell r="Q40">
            <v>145</v>
          </cell>
          <cell r="V40">
            <v>347.3</v>
          </cell>
          <cell r="AL40">
            <v>0</v>
          </cell>
        </row>
        <row r="41">
          <cell r="V41">
            <v>0</v>
          </cell>
          <cell r="AJ41">
            <v>0</v>
          </cell>
          <cell r="AL41">
            <v>395.6</v>
          </cell>
        </row>
        <row r="42">
          <cell r="P42">
            <v>0</v>
          </cell>
          <cell r="V42">
            <v>33</v>
          </cell>
          <cell r="AJ42">
            <v>0</v>
          </cell>
          <cell r="AL42">
            <v>395.6</v>
          </cell>
        </row>
        <row r="43">
          <cell r="V43">
            <v>0</v>
          </cell>
          <cell r="AJ43">
            <v>395.6</v>
          </cell>
          <cell r="AM43">
            <v>1580</v>
          </cell>
        </row>
        <row r="44">
          <cell r="P44">
            <v>0</v>
          </cell>
          <cell r="V44">
            <v>0</v>
          </cell>
          <cell r="AJ44">
            <v>395.6</v>
          </cell>
          <cell r="AM44">
            <v>0</v>
          </cell>
        </row>
        <row r="45">
          <cell r="V45">
            <v>350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AC46">
            <v>1815.6175757575729</v>
          </cell>
          <cell r="AF46">
            <v>5288.3842424242421</v>
          </cell>
          <cell r="AG46">
            <v>4487.3999999999996</v>
          </cell>
          <cell r="AH46">
            <v>801.98424242424232</v>
          </cell>
          <cell r="AK46">
            <v>0</v>
          </cell>
        </row>
        <row r="47">
          <cell r="F47">
            <v>0.8</v>
          </cell>
          <cell r="R47">
            <v>145</v>
          </cell>
          <cell r="W47">
            <v>385</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726</v>
          </cell>
          <cell r="G49">
            <v>201</v>
          </cell>
          <cell r="H49">
            <v>525</v>
          </cell>
          <cell r="P49">
            <v>273</v>
          </cell>
          <cell r="R49">
            <v>145</v>
          </cell>
          <cell r="S49">
            <v>890</v>
          </cell>
          <cell r="T49">
            <v>445</v>
          </cell>
          <cell r="U49">
            <v>445</v>
          </cell>
          <cell r="W49">
            <v>285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0</v>
          </cell>
          <cell r="H51">
            <v>433</v>
          </cell>
          <cell r="P51">
            <v>0</v>
          </cell>
          <cell r="Q51">
            <v>144</v>
          </cell>
          <cell r="R51">
            <v>80</v>
          </cell>
          <cell r="S51">
            <v>760.26666666666688</v>
          </cell>
          <cell r="T51">
            <v>380.13333333333344</v>
          </cell>
          <cell r="U51">
            <v>380.13333333333344</v>
          </cell>
          <cell r="V51">
            <v>433</v>
          </cell>
          <cell r="W51">
            <v>613.33333333333348</v>
          </cell>
          <cell r="X51">
            <v>20</v>
          </cell>
          <cell r="Y51">
            <v>11</v>
          </cell>
          <cell r="Z51">
            <v>9</v>
          </cell>
          <cell r="AA51">
            <v>2319</v>
          </cell>
          <cell r="AB51">
            <v>7435.3333333333339</v>
          </cell>
          <cell r="AC51">
            <v>0</v>
          </cell>
          <cell r="AD51">
            <v>0</v>
          </cell>
          <cell r="AE51">
            <v>0</v>
          </cell>
          <cell r="AF51">
            <v>398.13333333333344</v>
          </cell>
          <cell r="AG51">
            <v>300</v>
          </cell>
          <cell r="AH51">
            <v>0</v>
          </cell>
          <cell r="AI51">
            <v>2554.3026666666669</v>
          </cell>
          <cell r="AJ51">
            <v>931.23599999999999</v>
          </cell>
          <cell r="AK51">
            <v>20</v>
          </cell>
          <cell r="AL51">
            <v>11</v>
          </cell>
          <cell r="AM51">
            <v>9</v>
          </cell>
          <cell r="AN51">
            <v>9</v>
          </cell>
          <cell r="AO51">
            <v>738.23599999999999</v>
          </cell>
          <cell r="AP51">
            <v>1257.0666666666671</v>
          </cell>
        </row>
        <row r="52">
          <cell r="F52">
            <v>565</v>
          </cell>
          <cell r="G52">
            <v>156</v>
          </cell>
          <cell r="H52">
            <v>409</v>
          </cell>
          <cell r="P52">
            <v>13</v>
          </cell>
          <cell r="Q52">
            <v>4</v>
          </cell>
          <cell r="R52">
            <v>2</v>
          </cell>
          <cell r="S52">
            <v>21</v>
          </cell>
          <cell r="U52">
            <v>331</v>
          </cell>
          <cell r="X52">
            <v>29</v>
          </cell>
          <cell r="Y52">
            <v>15</v>
          </cell>
          <cell r="Z52">
            <v>14</v>
          </cell>
          <cell r="AC52">
            <v>66</v>
          </cell>
          <cell r="AD52">
            <v>27</v>
          </cell>
          <cell r="AE52">
            <v>39</v>
          </cell>
          <cell r="AF52">
            <v>16</v>
          </cell>
          <cell r="AG52">
            <v>11</v>
          </cell>
          <cell r="AH52">
            <v>5</v>
          </cell>
          <cell r="AI52">
            <v>1279</v>
          </cell>
          <cell r="AJ52">
            <v>511</v>
          </cell>
          <cell r="AK52">
            <v>828</v>
          </cell>
          <cell r="AL52">
            <v>334</v>
          </cell>
          <cell r="AM52">
            <v>494</v>
          </cell>
          <cell r="AN52">
            <v>494</v>
          </cell>
        </row>
        <row r="53">
          <cell r="F53">
            <v>2</v>
          </cell>
          <cell r="G53">
            <v>1</v>
          </cell>
          <cell r="H53">
            <v>1</v>
          </cell>
          <cell r="P53">
            <v>41.333333333333336</v>
          </cell>
          <cell r="Q53">
            <v>32</v>
          </cell>
          <cell r="R53">
            <v>18</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I53">
            <v>4</v>
          </cell>
          <cell r="AJ53">
            <v>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P54">
            <v>4</v>
          </cell>
          <cell r="S54">
            <v>13.666666666666666</v>
          </cell>
          <cell r="T54">
            <v>13.666666666666666</v>
          </cell>
          <cell r="U54">
            <v>0</v>
          </cell>
          <cell r="X54">
            <v>647</v>
          </cell>
          <cell r="Y54">
            <v>345</v>
          </cell>
          <cell r="Z54">
            <v>302</v>
          </cell>
          <cell r="AC54">
            <v>13.333333333333334</v>
          </cell>
          <cell r="AD54">
            <v>5</v>
          </cell>
          <cell r="AE54">
            <v>8.3333333333333339</v>
          </cell>
          <cell r="AF54">
            <v>0.3</v>
          </cell>
          <cell r="AG54">
            <v>15</v>
          </cell>
          <cell r="AH54">
            <v>0.3</v>
          </cell>
          <cell r="AI54">
            <v>752</v>
          </cell>
          <cell r="AJ54">
            <v>362</v>
          </cell>
          <cell r="AK54">
            <v>674</v>
          </cell>
          <cell r="AL54">
            <v>350</v>
          </cell>
          <cell r="AM54">
            <v>324</v>
          </cell>
          <cell r="AN54">
            <v>324</v>
          </cell>
          <cell r="AO54">
            <v>350</v>
          </cell>
          <cell r="AP54">
            <v>315</v>
          </cell>
          <cell r="AQ54">
            <v>0</v>
          </cell>
          <cell r="AR54">
            <v>9</v>
          </cell>
        </row>
        <row r="55">
          <cell r="F55">
            <v>0</v>
          </cell>
          <cell r="G55">
            <v>0</v>
          </cell>
          <cell r="H55">
            <v>0</v>
          </cell>
          <cell r="P55">
            <v>40.800000000000004</v>
          </cell>
          <cell r="Q55">
            <v>58</v>
          </cell>
          <cell r="R55">
            <v>32</v>
          </cell>
          <cell r="S55">
            <v>10414</v>
          </cell>
          <cell r="T55">
            <v>10414</v>
          </cell>
          <cell r="U55">
            <v>0</v>
          </cell>
          <cell r="V55">
            <v>552</v>
          </cell>
          <cell r="W55">
            <v>532</v>
          </cell>
          <cell r="X55">
            <v>15982</v>
          </cell>
          <cell r="Y55">
            <v>9385</v>
          </cell>
          <cell r="Z55">
            <v>6597</v>
          </cell>
          <cell r="AA55">
            <v>2526</v>
          </cell>
          <cell r="AB55">
            <v>7785</v>
          </cell>
          <cell r="AC55">
            <v>15481</v>
          </cell>
          <cell r="AD55">
            <v>7344</v>
          </cell>
          <cell r="AE55">
            <v>8137</v>
          </cell>
          <cell r="AF55">
            <v>157.33333333333334</v>
          </cell>
          <cell r="AG55">
            <v>108</v>
          </cell>
          <cell r="AH55">
            <v>0</v>
          </cell>
          <cell r="AI55">
            <v>1268.4000000000001</v>
          </cell>
          <cell r="AJ55">
            <v>635.79999999999995</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Q56">
            <v>8</v>
          </cell>
          <cell r="R56">
            <v>4</v>
          </cell>
          <cell r="S56">
            <v>10414</v>
          </cell>
          <cell r="T56">
            <v>10414</v>
          </cell>
          <cell r="U56">
            <v>0</v>
          </cell>
          <cell r="V56">
            <v>410</v>
          </cell>
          <cell r="W56">
            <v>179</v>
          </cell>
          <cell r="X56">
            <v>15982</v>
          </cell>
          <cell r="Y56">
            <v>9385</v>
          </cell>
          <cell r="Z56">
            <v>6597</v>
          </cell>
          <cell r="AA56">
            <v>902</v>
          </cell>
          <cell r="AB56">
            <v>2722</v>
          </cell>
          <cell r="AC56">
            <v>15481</v>
          </cell>
          <cell r="AD56">
            <v>7344</v>
          </cell>
          <cell r="AE56">
            <v>8137</v>
          </cell>
          <cell r="AF56">
            <v>0</v>
          </cell>
          <cell r="AG56">
            <v>0</v>
          </cell>
          <cell r="AH56">
            <v>0</v>
          </cell>
          <cell r="AI56">
            <v>735.80000000000007</v>
          </cell>
          <cell r="AJ56">
            <v>509</v>
          </cell>
          <cell r="AK56">
            <v>41877</v>
          </cell>
          <cell r="AL56">
            <v>16729</v>
          </cell>
          <cell r="AM56">
            <v>25148</v>
          </cell>
          <cell r="AN56">
            <v>25148</v>
          </cell>
          <cell r="AO56">
            <v>16729</v>
          </cell>
          <cell r="AP56">
            <v>25148</v>
          </cell>
          <cell r="AQ56">
            <v>0</v>
          </cell>
          <cell r="AR56">
            <v>0</v>
          </cell>
        </row>
        <row r="57">
          <cell r="F57">
            <v>0</v>
          </cell>
          <cell r="G57">
            <v>0</v>
          </cell>
          <cell r="H57">
            <v>0</v>
          </cell>
          <cell r="P57">
            <v>8271</v>
          </cell>
          <cell r="Q57">
            <v>5299</v>
          </cell>
          <cell r="R57">
            <v>2972</v>
          </cell>
          <cell r="S57">
            <v>1598</v>
          </cell>
          <cell r="T57">
            <v>0</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5</v>
          </cell>
          <cell r="G58">
            <v>1</v>
          </cell>
          <cell r="H58">
            <v>4</v>
          </cell>
          <cell r="P58">
            <v>58.666666666666664</v>
          </cell>
          <cell r="Q58">
            <v>5299</v>
          </cell>
          <cell r="R58">
            <v>2972</v>
          </cell>
          <cell r="S58">
            <v>2370</v>
          </cell>
          <cell r="T58">
            <v>2370</v>
          </cell>
          <cell r="U58">
            <v>0</v>
          </cell>
          <cell r="V58">
            <v>12849</v>
          </cell>
          <cell r="W58">
            <v>7771</v>
          </cell>
          <cell r="X58">
            <v>0</v>
          </cell>
          <cell r="Y58">
            <v>0</v>
          </cell>
          <cell r="Z58">
            <v>0</v>
          </cell>
          <cell r="AA58">
            <v>146826</v>
          </cell>
          <cell r="AB58">
            <v>294840</v>
          </cell>
          <cell r="AC58">
            <v>0</v>
          </cell>
          <cell r="AD58">
            <v>0</v>
          </cell>
          <cell r="AE58">
            <v>0</v>
          </cell>
          <cell r="AF58">
            <v>900.66666666666663</v>
          </cell>
          <cell r="AG58">
            <v>270</v>
          </cell>
          <cell r="AH58">
            <v>630.66666666666663</v>
          </cell>
          <cell r="AI58">
            <v>26797</v>
          </cell>
          <cell r="AJ58">
            <v>15717</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Q59">
            <v>0</v>
          </cell>
          <cell r="R59">
            <v>0</v>
          </cell>
          <cell r="S59">
            <v>1035.1836363636362</v>
          </cell>
          <cell r="T59">
            <v>507.23998181818172</v>
          </cell>
          <cell r="U59">
            <v>527.94365454545448</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1165.050909090909</v>
          </cell>
          <cell r="AG59">
            <v>1165</v>
          </cell>
          <cell r="AH59">
            <v>5.0909090909044608E-2</v>
          </cell>
          <cell r="AI59">
            <v>0</v>
          </cell>
          <cell r="AJ59">
            <v>0</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Q60">
            <v>0</v>
          </cell>
          <cell r="R60">
            <v>0</v>
          </cell>
          <cell r="S60">
            <v>57</v>
          </cell>
          <cell r="T60">
            <v>28</v>
          </cell>
          <cell r="U60">
            <v>29</v>
          </cell>
          <cell r="V60">
            <v>16</v>
          </cell>
          <cell r="W60">
            <v>350</v>
          </cell>
          <cell r="X60">
            <v>15</v>
          </cell>
          <cell r="Y60">
            <v>8</v>
          </cell>
          <cell r="Z60">
            <v>7</v>
          </cell>
          <cell r="AA60">
            <v>4344</v>
          </cell>
          <cell r="AB60">
            <v>11898</v>
          </cell>
          <cell r="AC60">
            <v>14</v>
          </cell>
          <cell r="AD60">
            <v>6</v>
          </cell>
          <cell r="AE60">
            <v>8</v>
          </cell>
          <cell r="AF60">
            <v>64</v>
          </cell>
          <cell r="AG60">
            <v>64</v>
          </cell>
          <cell r="AH60">
            <v>0</v>
          </cell>
          <cell r="AI60">
            <v>498.4</v>
          </cell>
          <cell r="AJ60">
            <v>11.200000000000001</v>
          </cell>
          <cell r="AK60">
            <v>219</v>
          </cell>
          <cell r="AL60">
            <v>61</v>
          </cell>
          <cell r="AM60">
            <v>158</v>
          </cell>
          <cell r="AN60">
            <v>158</v>
          </cell>
          <cell r="AO60">
            <v>14</v>
          </cell>
          <cell r="AP60">
            <v>26</v>
          </cell>
          <cell r="AQ60">
            <v>47</v>
          </cell>
          <cell r="AR60">
            <v>132</v>
          </cell>
        </row>
        <row r="61">
          <cell r="F61">
            <v>137</v>
          </cell>
          <cell r="G61">
            <v>38</v>
          </cell>
          <cell r="H61">
            <v>99</v>
          </cell>
          <cell r="P61">
            <v>180</v>
          </cell>
          <cell r="Q61">
            <v>40</v>
          </cell>
          <cell r="R61">
            <v>22.423728813559308</v>
          </cell>
          <cell r="S61">
            <v>331</v>
          </cell>
          <cell r="T61">
            <v>162</v>
          </cell>
          <cell r="U61">
            <v>169</v>
          </cell>
          <cell r="V61">
            <v>748.3098245614035</v>
          </cell>
          <cell r="W61">
            <v>618.1254831995243</v>
          </cell>
          <cell r="X61">
            <v>89</v>
          </cell>
          <cell r="Y61">
            <v>48</v>
          </cell>
          <cell r="Z61">
            <v>41</v>
          </cell>
          <cell r="AA61">
            <v>2580</v>
          </cell>
          <cell r="AB61">
            <v>8244.1254831995248</v>
          </cell>
          <cell r="AC61">
            <v>83</v>
          </cell>
          <cell r="AD61">
            <v>34</v>
          </cell>
          <cell r="AE61">
            <v>49</v>
          </cell>
          <cell r="AF61">
            <v>373</v>
          </cell>
          <cell r="AG61">
            <v>373</v>
          </cell>
          <cell r="AH61">
            <v>0</v>
          </cell>
          <cell r="AI61">
            <v>3532.6742727272731</v>
          </cell>
          <cell r="AJ61">
            <v>1273.3200000000002</v>
          </cell>
          <cell r="AK61">
            <v>1278</v>
          </cell>
          <cell r="AL61">
            <v>356</v>
          </cell>
          <cell r="AM61">
            <v>922</v>
          </cell>
          <cell r="AN61">
            <v>920</v>
          </cell>
          <cell r="AO61">
            <v>0</v>
          </cell>
          <cell r="AP61">
            <v>0</v>
          </cell>
          <cell r="AQ61">
            <v>0</v>
          </cell>
          <cell r="AR61">
            <v>0</v>
          </cell>
        </row>
        <row r="62">
          <cell r="F62">
            <v>0</v>
          </cell>
          <cell r="G62">
            <v>0</v>
          </cell>
          <cell r="H62">
            <v>13</v>
          </cell>
          <cell r="P62">
            <v>0</v>
          </cell>
          <cell r="Q62">
            <v>2</v>
          </cell>
          <cell r="R62">
            <v>1</v>
          </cell>
          <cell r="S62">
            <v>49</v>
          </cell>
          <cell r="T62">
            <v>24</v>
          </cell>
          <cell r="U62">
            <v>25</v>
          </cell>
          <cell r="V62">
            <v>41</v>
          </cell>
          <cell r="W62">
            <v>34</v>
          </cell>
          <cell r="X62">
            <v>0</v>
          </cell>
          <cell r="Y62">
            <v>11</v>
          </cell>
          <cell r="Z62">
            <v>5</v>
          </cell>
          <cell r="AA62">
            <v>143</v>
          </cell>
          <cell r="AB62">
            <v>460</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Q63">
            <v>13</v>
          </cell>
          <cell r="R63">
            <v>8</v>
          </cell>
          <cell r="S63">
            <v>1018</v>
          </cell>
          <cell r="T63">
            <v>162.88</v>
          </cell>
          <cell r="U63">
            <v>855.12</v>
          </cell>
          <cell r="V63">
            <v>240</v>
          </cell>
          <cell r="W63">
            <v>198</v>
          </cell>
          <cell r="X63">
            <v>569</v>
          </cell>
          <cell r="Y63">
            <v>304</v>
          </cell>
          <cell r="Z63">
            <v>265</v>
          </cell>
          <cell r="AA63">
            <v>825</v>
          </cell>
          <cell r="AB63">
            <v>2637</v>
          </cell>
          <cell r="AC63">
            <v>527</v>
          </cell>
          <cell r="AD63">
            <v>213</v>
          </cell>
          <cell r="AE63">
            <v>314</v>
          </cell>
          <cell r="AF63">
            <v>526</v>
          </cell>
          <cell r="AG63">
            <v>526</v>
          </cell>
          <cell r="AH63">
            <v>0</v>
          </cell>
          <cell r="AI63">
            <v>1131</v>
          </cell>
          <cell r="AJ63">
            <v>407</v>
          </cell>
          <cell r="AK63">
            <v>3222</v>
          </cell>
          <cell r="AL63">
            <v>1031</v>
          </cell>
          <cell r="AM63">
            <v>2191</v>
          </cell>
          <cell r="AN63">
            <v>2191</v>
          </cell>
          <cell r="AO63">
            <v>517</v>
          </cell>
          <cell r="AP63">
            <v>925</v>
          </cell>
          <cell r="AQ63">
            <v>514</v>
          </cell>
          <cell r="AR63">
            <v>1266</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cell r="AQ64">
            <v>51</v>
          </cell>
          <cell r="AR64">
            <v>127</v>
          </cell>
        </row>
        <row r="65">
          <cell r="F65">
            <v>0</v>
          </cell>
          <cell r="G65">
            <v>0</v>
          </cell>
          <cell r="H65">
            <v>0</v>
          </cell>
          <cell r="P65">
            <v>470</v>
          </cell>
          <cell r="Q65">
            <v>285</v>
          </cell>
          <cell r="R65">
            <v>160</v>
          </cell>
          <cell r="S65">
            <v>1018</v>
          </cell>
          <cell r="T65">
            <v>162.88</v>
          </cell>
          <cell r="U65">
            <v>855.12</v>
          </cell>
          <cell r="V65">
            <v>973</v>
          </cell>
          <cell r="W65">
            <v>1131</v>
          </cell>
          <cell r="X65">
            <v>225</v>
          </cell>
          <cell r="Y65">
            <v>404</v>
          </cell>
          <cell r="Z65">
            <v>166</v>
          </cell>
          <cell r="AA65">
            <v>3962</v>
          </cell>
          <cell r="AB65">
            <v>14646</v>
          </cell>
          <cell r="AC65">
            <v>170</v>
          </cell>
          <cell r="AD65">
            <v>336</v>
          </cell>
          <cell r="AE65">
            <v>305</v>
          </cell>
          <cell r="AF65">
            <v>861</v>
          </cell>
          <cell r="AG65">
            <v>861</v>
          </cell>
          <cell r="AH65">
            <v>0</v>
          </cell>
          <cell r="AI65">
            <v>3313</v>
          </cell>
          <cell r="AJ65">
            <v>1298</v>
          </cell>
          <cell r="AK65">
            <v>2759</v>
          </cell>
          <cell r="AL65">
            <v>480</v>
          </cell>
          <cell r="AM65">
            <v>2279</v>
          </cell>
          <cell r="AN65">
            <v>1884</v>
          </cell>
          <cell r="AO65">
            <v>558</v>
          </cell>
          <cell r="AP65">
            <v>280</v>
          </cell>
        </row>
        <row r="66">
          <cell r="F66">
            <v>0</v>
          </cell>
          <cell r="G66">
            <v>0</v>
          </cell>
          <cell r="P66">
            <v>0</v>
          </cell>
          <cell r="Q66">
            <v>285</v>
          </cell>
          <cell r="R66">
            <v>160</v>
          </cell>
          <cell r="S66">
            <v>0</v>
          </cell>
          <cell r="T66">
            <v>16</v>
          </cell>
          <cell r="U66">
            <v>86</v>
          </cell>
          <cell r="V66">
            <v>914</v>
          </cell>
          <cell r="W66">
            <v>832</v>
          </cell>
          <cell r="X66">
            <v>0</v>
          </cell>
          <cell r="Z66">
            <v>832</v>
          </cell>
          <cell r="AB66">
            <v>832</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0</v>
          </cell>
          <cell r="Q67">
            <v>0</v>
          </cell>
          <cell r="R67">
            <v>0</v>
          </cell>
          <cell r="S67">
            <v>0</v>
          </cell>
          <cell r="T67">
            <v>146.88</v>
          </cell>
          <cell r="U67">
            <v>769.12</v>
          </cell>
          <cell r="V67">
            <v>54</v>
          </cell>
          <cell r="W67">
            <v>293</v>
          </cell>
          <cell r="X67">
            <v>344</v>
          </cell>
          <cell r="Y67">
            <v>304</v>
          </cell>
          <cell r="Z67">
            <v>265</v>
          </cell>
          <cell r="AB67">
            <v>293</v>
          </cell>
          <cell r="AC67">
            <v>357</v>
          </cell>
          <cell r="AD67">
            <v>213</v>
          </cell>
          <cell r="AE67">
            <v>314</v>
          </cell>
          <cell r="AF67">
            <v>-335</v>
          </cell>
          <cell r="AG67">
            <v>-335</v>
          </cell>
          <cell r="AH67">
            <v>0</v>
          </cell>
          <cell r="AI67">
            <v>6650</v>
          </cell>
          <cell r="AJ67">
            <v>0</v>
          </cell>
          <cell r="AK67">
            <v>375</v>
          </cell>
          <cell r="AL67">
            <v>4951</v>
          </cell>
          <cell r="AN67">
            <v>308</v>
          </cell>
          <cell r="AO67">
            <v>465</v>
          </cell>
          <cell r="AP67">
            <v>552</v>
          </cell>
          <cell r="AQ67">
            <v>463</v>
          </cell>
          <cell r="AR67">
            <v>1139</v>
          </cell>
        </row>
        <row r="68">
          <cell r="F68">
            <v>130</v>
          </cell>
          <cell r="G68">
            <v>36</v>
          </cell>
          <cell r="H68">
            <v>94</v>
          </cell>
          <cell r="P68">
            <v>730</v>
          </cell>
          <cell r="Q68">
            <v>852</v>
          </cell>
          <cell r="R68">
            <v>478</v>
          </cell>
          <cell r="S68">
            <v>2168</v>
          </cell>
          <cell r="T68">
            <v>542</v>
          </cell>
          <cell r="U68">
            <v>1626</v>
          </cell>
          <cell r="V68">
            <v>2249</v>
          </cell>
          <cell r="W68">
            <v>2344</v>
          </cell>
          <cell r="X68">
            <v>1785</v>
          </cell>
          <cell r="Y68">
            <v>953</v>
          </cell>
          <cell r="Z68">
            <v>832</v>
          </cell>
          <cell r="AA68">
            <v>3910</v>
          </cell>
          <cell r="AB68">
            <v>15937</v>
          </cell>
          <cell r="AC68">
            <v>723</v>
          </cell>
          <cell r="AD68">
            <v>292</v>
          </cell>
          <cell r="AE68">
            <v>431</v>
          </cell>
          <cell r="AF68">
            <v>963</v>
          </cell>
          <cell r="AG68">
            <v>963</v>
          </cell>
          <cell r="AH68">
            <v>0</v>
          </cell>
          <cell r="AI68">
            <v>0</v>
          </cell>
          <cell r="AJ68">
            <v>0</v>
          </cell>
          <cell r="AK68">
            <v>6499</v>
          </cell>
          <cell r="AL68">
            <v>2011</v>
          </cell>
          <cell r="AM68">
            <v>4488</v>
          </cell>
          <cell r="AN68">
            <v>4488</v>
          </cell>
          <cell r="AO68">
            <v>1245</v>
          </cell>
          <cell r="AP68">
            <v>2000</v>
          </cell>
          <cell r="AQ68">
            <v>766</v>
          </cell>
          <cell r="AR68">
            <v>2488</v>
          </cell>
        </row>
        <row r="69">
          <cell r="F69">
            <v>0</v>
          </cell>
          <cell r="G69">
            <v>0</v>
          </cell>
          <cell r="H69">
            <v>0</v>
          </cell>
          <cell r="P69">
            <v>65</v>
          </cell>
          <cell r="Q69">
            <v>40</v>
          </cell>
          <cell r="R69">
            <v>23.192982456140342</v>
          </cell>
          <cell r="S69">
            <v>363.63636363636363</v>
          </cell>
          <cell r="T69">
            <v>146.88</v>
          </cell>
          <cell r="U69">
            <v>769.12</v>
          </cell>
          <cell r="V69">
            <v>158.07017543859649</v>
          </cell>
          <cell r="W69">
            <v>252.4912280701754</v>
          </cell>
          <cell r="X69">
            <v>188.36363636363637</v>
          </cell>
          <cell r="Y69">
            <v>101</v>
          </cell>
          <cell r="Z69">
            <v>87.363636363636374</v>
          </cell>
          <cell r="AA69">
            <v>948</v>
          </cell>
          <cell r="AB69">
            <v>3117.4912280701756</v>
          </cell>
          <cell r="AC69">
            <v>130.90909090909091</v>
          </cell>
          <cell r="AD69">
            <v>53</v>
          </cell>
          <cell r="AE69">
            <v>77.909090909090907</v>
          </cell>
          <cell r="AF69">
            <v>114.90909090909091</v>
          </cell>
          <cell r="AG69">
            <v>114.90909090909091</v>
          </cell>
          <cell r="AH69">
            <v>0</v>
          </cell>
          <cell r="AI69">
            <v>-3332</v>
          </cell>
          <cell r="AK69">
            <v>862.81818181818176</v>
          </cell>
          <cell r="AL69">
            <v>219</v>
          </cell>
          <cell r="AM69">
            <v>643.81818181818176</v>
          </cell>
          <cell r="AN69">
            <v>643.81818181818176</v>
          </cell>
          <cell r="AO69">
            <v>502</v>
          </cell>
          <cell r="AP69">
            <v>1078</v>
          </cell>
        </row>
        <row r="70">
          <cell r="F70">
            <v>0</v>
          </cell>
          <cell r="G70">
            <v>0</v>
          </cell>
          <cell r="H70">
            <v>0</v>
          </cell>
          <cell r="P70">
            <v>4</v>
          </cell>
          <cell r="Q70">
            <v>2</v>
          </cell>
          <cell r="R70">
            <v>1</v>
          </cell>
          <cell r="S70">
            <v>20</v>
          </cell>
          <cell r="T70">
            <v>479.6</v>
          </cell>
          <cell r="U70">
            <v>1438.8000000000002</v>
          </cell>
          <cell r="V70">
            <v>9</v>
          </cell>
          <cell r="W70">
            <v>13</v>
          </cell>
          <cell r="X70">
            <v>10</v>
          </cell>
          <cell r="Y70">
            <v>5</v>
          </cell>
          <cell r="Z70">
            <v>5</v>
          </cell>
          <cell r="AA70">
            <v>51</v>
          </cell>
          <cell r="AB70">
            <v>188</v>
          </cell>
          <cell r="AC70">
            <v>7</v>
          </cell>
          <cell r="AD70">
            <v>3</v>
          </cell>
          <cell r="AE70">
            <v>4</v>
          </cell>
          <cell r="AF70">
            <v>6</v>
          </cell>
          <cell r="AG70">
            <v>6</v>
          </cell>
          <cell r="AH70">
            <v>0</v>
          </cell>
          <cell r="AI70">
            <v>6117.4</v>
          </cell>
          <cell r="AJ70">
            <v>1964.4</v>
          </cell>
          <cell r="AK70">
            <v>47</v>
          </cell>
          <cell r="AL70">
            <v>12</v>
          </cell>
          <cell r="AM70">
            <v>35</v>
          </cell>
          <cell r="AN70">
            <v>35</v>
          </cell>
          <cell r="AO70">
            <v>998.40000000000009</v>
          </cell>
          <cell r="AP70">
            <v>2941</v>
          </cell>
        </row>
        <row r="71">
          <cell r="F71">
            <v>0</v>
          </cell>
          <cell r="G71">
            <v>0</v>
          </cell>
          <cell r="H71">
            <v>0</v>
          </cell>
          <cell r="P71">
            <v>21</v>
          </cell>
          <cell r="Q71">
            <v>13</v>
          </cell>
          <cell r="R71">
            <v>7</v>
          </cell>
          <cell r="S71">
            <v>115</v>
          </cell>
          <cell r="U71">
            <v>133</v>
          </cell>
          <cell r="V71">
            <v>51</v>
          </cell>
          <cell r="W71">
            <v>82</v>
          </cell>
          <cell r="X71">
            <v>60</v>
          </cell>
          <cell r="Y71">
            <v>32</v>
          </cell>
          <cell r="Z71">
            <v>28</v>
          </cell>
          <cell r="AA71">
            <v>303</v>
          </cell>
          <cell r="AB71">
            <v>978</v>
          </cell>
          <cell r="AC71">
            <v>43</v>
          </cell>
          <cell r="AD71">
            <v>17</v>
          </cell>
          <cell r="AE71">
            <v>26</v>
          </cell>
          <cell r="AF71">
            <v>37</v>
          </cell>
          <cell r="AG71">
            <v>37</v>
          </cell>
          <cell r="AH71">
            <v>0</v>
          </cell>
          <cell r="AI71">
            <v>1063.2727272727273</v>
          </cell>
          <cell r="AJ71">
            <v>248</v>
          </cell>
          <cell r="AK71">
            <v>276</v>
          </cell>
          <cell r="AL71">
            <v>70</v>
          </cell>
          <cell r="AM71">
            <v>206</v>
          </cell>
          <cell r="AN71">
            <v>206</v>
          </cell>
        </row>
        <row r="72">
          <cell r="F72">
            <v>0</v>
          </cell>
          <cell r="G72">
            <v>0</v>
          </cell>
          <cell r="H72">
            <v>0</v>
          </cell>
          <cell r="P72">
            <v>90</v>
          </cell>
          <cell r="Q72">
            <v>2</v>
          </cell>
          <cell r="R72">
            <v>1</v>
          </cell>
          <cell r="S72">
            <v>27</v>
          </cell>
          <cell r="U72">
            <v>19</v>
          </cell>
          <cell r="V72">
            <v>7</v>
          </cell>
          <cell r="W72">
            <v>12</v>
          </cell>
          <cell r="X72">
            <v>0</v>
          </cell>
          <cell r="Y72">
            <v>6</v>
          </cell>
          <cell r="Z72">
            <v>3</v>
          </cell>
          <cell r="AA72">
            <v>48</v>
          </cell>
          <cell r="AB72">
            <v>232</v>
          </cell>
          <cell r="AC72">
            <v>0</v>
          </cell>
          <cell r="AD72">
            <v>3</v>
          </cell>
          <cell r="AE72">
            <v>3</v>
          </cell>
          <cell r="AF72">
            <v>0</v>
          </cell>
          <cell r="AG72">
            <v>0</v>
          </cell>
          <cell r="AH72">
            <v>0</v>
          </cell>
          <cell r="AI72">
            <v>58</v>
          </cell>
          <cell r="AJ72">
            <v>13</v>
          </cell>
          <cell r="AK72">
            <v>90</v>
          </cell>
          <cell r="AL72">
            <v>90</v>
          </cell>
          <cell r="AM72">
            <v>0</v>
          </cell>
          <cell r="AN72">
            <v>0</v>
          </cell>
        </row>
        <row r="73">
          <cell r="F73">
            <v>0</v>
          </cell>
          <cell r="G73">
            <v>0</v>
          </cell>
          <cell r="H73">
            <v>0</v>
          </cell>
          <cell r="P73">
            <v>21</v>
          </cell>
          <cell r="Q73">
            <v>849</v>
          </cell>
          <cell r="R73">
            <v>476</v>
          </cell>
          <cell r="S73">
            <v>1558</v>
          </cell>
          <cell r="U73">
            <v>4085</v>
          </cell>
          <cell r="V73">
            <v>1841</v>
          </cell>
          <cell r="W73">
            <v>2244</v>
          </cell>
          <cell r="X73">
            <v>1785</v>
          </cell>
          <cell r="Y73">
            <v>953</v>
          </cell>
          <cell r="Z73">
            <v>832</v>
          </cell>
          <cell r="AB73">
            <v>2244</v>
          </cell>
          <cell r="AC73">
            <v>633</v>
          </cell>
          <cell r="AD73">
            <v>256</v>
          </cell>
          <cell r="AE73">
            <v>377</v>
          </cell>
          <cell r="AF73">
            <v>530</v>
          </cell>
          <cell r="AG73">
            <v>530</v>
          </cell>
          <cell r="AH73">
            <v>0</v>
          </cell>
          <cell r="AI73">
            <v>340</v>
          </cell>
          <cell r="AJ73">
            <v>79</v>
          </cell>
          <cell r="AK73">
            <v>4506</v>
          </cell>
          <cell r="AL73">
            <v>1209</v>
          </cell>
          <cell r="AM73">
            <v>3297</v>
          </cell>
          <cell r="AN73">
            <v>3297</v>
          </cell>
        </row>
        <row r="74">
          <cell r="F74">
            <v>0</v>
          </cell>
          <cell r="G74">
            <v>0</v>
          </cell>
          <cell r="P74">
            <v>63</v>
          </cell>
          <cell r="Q74">
            <v>3</v>
          </cell>
          <cell r="R74">
            <v>2</v>
          </cell>
          <cell r="S74">
            <v>0</v>
          </cell>
          <cell r="U74">
            <v>494</v>
          </cell>
          <cell r="V74">
            <v>3</v>
          </cell>
          <cell r="W74">
            <v>491</v>
          </cell>
          <cell r="X74">
            <v>0</v>
          </cell>
          <cell r="Z74">
            <v>0</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746</v>
          </cell>
          <cell r="H75">
            <v>1993</v>
          </cell>
          <cell r="P75">
            <v>105.66666666666667</v>
          </cell>
          <cell r="Q75">
            <v>20</v>
          </cell>
          <cell r="R75">
            <v>11</v>
          </cell>
          <cell r="S75">
            <v>242.66666666666666</v>
          </cell>
          <cell r="T75">
            <v>100.1</v>
          </cell>
          <cell r="U75">
            <v>142.56666666666666</v>
          </cell>
          <cell r="V75">
            <v>635</v>
          </cell>
          <cell r="W75">
            <v>2284.666666666667</v>
          </cell>
          <cell r="X75">
            <v>88.666666666666671</v>
          </cell>
          <cell r="Y75">
            <v>47</v>
          </cell>
          <cell r="Z75">
            <v>41.666666666666671</v>
          </cell>
          <cell r="AA75">
            <v>5795</v>
          </cell>
          <cell r="AB75">
            <v>23945.666666666668</v>
          </cell>
          <cell r="AC75">
            <v>69.333333333333343</v>
          </cell>
          <cell r="AD75">
            <v>28</v>
          </cell>
          <cell r="AE75">
            <v>41.333333333333343</v>
          </cell>
          <cell r="AF75">
            <v>250.33333333333331</v>
          </cell>
          <cell r="AG75">
            <v>183.4</v>
          </cell>
          <cell r="AH75">
            <v>66.933333333333309</v>
          </cell>
          <cell r="AI75">
            <v>870.40000000000009</v>
          </cell>
          <cell r="AJ75">
            <v>870.40000000000009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P76">
            <v>935</v>
          </cell>
          <cell r="S76">
            <v>4732.8</v>
          </cell>
          <cell r="T76">
            <v>0</v>
          </cell>
          <cell r="U76">
            <v>0</v>
          </cell>
          <cell r="V76">
            <v>0</v>
          </cell>
          <cell r="W76">
            <v>0</v>
          </cell>
          <cell r="X76">
            <v>80</v>
          </cell>
          <cell r="Y76">
            <v>0</v>
          </cell>
          <cell r="Z76">
            <v>0</v>
          </cell>
          <cell r="AA76">
            <v>0</v>
          </cell>
          <cell r="AB76">
            <v>401</v>
          </cell>
          <cell r="AC76">
            <v>85</v>
          </cell>
          <cell r="AD76">
            <v>45</v>
          </cell>
          <cell r="AE76">
            <v>0</v>
          </cell>
          <cell r="AF76">
            <v>0</v>
          </cell>
          <cell r="AH76">
            <v>0</v>
          </cell>
          <cell r="AI76">
            <v>5832.8</v>
          </cell>
          <cell r="AJ76">
            <v>980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Q77">
            <v>20</v>
          </cell>
          <cell r="R77">
            <v>11</v>
          </cell>
          <cell r="S77">
            <v>242.66666666666666</v>
          </cell>
          <cell r="T77">
            <v>100.1</v>
          </cell>
          <cell r="U77">
            <v>142.56666666666666</v>
          </cell>
          <cell r="V77">
            <v>635</v>
          </cell>
          <cell r="W77">
            <v>2284.666666666667</v>
          </cell>
          <cell r="X77">
            <v>88.666666666666671</v>
          </cell>
          <cell r="Y77">
            <v>47</v>
          </cell>
          <cell r="Z77">
            <v>41.666666666666671</v>
          </cell>
          <cell r="AA77">
            <v>5796</v>
          </cell>
          <cell r="AB77">
            <v>23529.666666666668</v>
          </cell>
          <cell r="AC77">
            <v>69.333333333333343</v>
          </cell>
          <cell r="AD77">
            <v>28</v>
          </cell>
          <cell r="AE77">
            <v>41.333333333333343</v>
          </cell>
          <cell r="AF77">
            <v>250.33333333333331</v>
          </cell>
          <cell r="AG77">
            <v>183.4</v>
          </cell>
          <cell r="AH77">
            <v>66.933333333333309</v>
          </cell>
          <cell r="AI77">
            <v>5147.7666666666664</v>
          </cell>
          <cell r="AJ77">
            <v>2074.1999999999998</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Q78">
            <v>20</v>
          </cell>
          <cell r="R78">
            <v>11</v>
          </cell>
          <cell r="S78">
            <v>151.66666666666666</v>
          </cell>
          <cell r="T78">
            <v>100.1</v>
          </cell>
          <cell r="U78">
            <v>51.566666666666663</v>
          </cell>
          <cell r="V78">
            <v>373</v>
          </cell>
          <cell r="W78">
            <v>330</v>
          </cell>
          <cell r="X78">
            <v>57</v>
          </cell>
          <cell r="Y78">
            <v>30</v>
          </cell>
          <cell r="Z78">
            <v>27</v>
          </cell>
          <cell r="AB78">
            <v>330</v>
          </cell>
          <cell r="AC78">
            <v>37</v>
          </cell>
          <cell r="AD78">
            <v>28</v>
          </cell>
          <cell r="AE78">
            <v>9</v>
          </cell>
          <cell r="AF78">
            <v>136.66666666666666</v>
          </cell>
          <cell r="AG78">
            <v>119</v>
          </cell>
          <cell r="AH78">
            <v>17.666666666666657</v>
          </cell>
          <cell r="AI78" t="e">
            <v>#REF!</v>
          </cell>
          <cell r="AJ78">
            <v>115</v>
          </cell>
          <cell r="AK78">
            <v>2132.3333333333335</v>
          </cell>
          <cell r="AL78">
            <v>599.66666666666663</v>
          </cell>
          <cell r="AM78">
            <v>1532.666666666667</v>
          </cell>
          <cell r="AN78">
            <v>1532.6666666666667</v>
          </cell>
          <cell r="AO78">
            <v>115</v>
          </cell>
          <cell r="AP78" t="e">
            <v>#REF!</v>
          </cell>
          <cell r="AR78">
            <v>1532.666666666667</v>
          </cell>
        </row>
        <row r="79">
          <cell r="F79">
            <v>3690.5</v>
          </cell>
          <cell r="G79">
            <v>0</v>
          </cell>
          <cell r="H79">
            <v>0</v>
          </cell>
          <cell r="P79">
            <v>0</v>
          </cell>
          <cell r="S79">
            <v>0</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358</v>
          </cell>
          <cell r="AL79">
            <v>158</v>
          </cell>
          <cell r="AM79">
            <v>200</v>
          </cell>
          <cell r="AN79">
            <v>200</v>
          </cell>
          <cell r="AO79">
            <v>1828.2</v>
          </cell>
          <cell r="AP79">
            <v>2735.5666666666666</v>
          </cell>
          <cell r="AR79">
            <v>200</v>
          </cell>
        </row>
        <row r="80">
          <cell r="F80">
            <v>315</v>
          </cell>
          <cell r="G80">
            <v>87</v>
          </cell>
          <cell r="H80">
            <v>228</v>
          </cell>
          <cell r="P80">
            <v>10.333333333333334</v>
          </cell>
          <cell r="S80">
            <v>38.333333333333336</v>
          </cell>
          <cell r="T80">
            <v>80.431999999999974</v>
          </cell>
          <cell r="U80">
            <v>41.434666666666658</v>
          </cell>
          <cell r="V80">
            <v>0</v>
          </cell>
          <cell r="W80">
            <v>0</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I80">
            <v>1201.8666666666668</v>
          </cell>
          <cell r="AJ80">
            <v>525.20000000000005</v>
          </cell>
          <cell r="AK80">
            <v>413.73333333333323</v>
          </cell>
          <cell r="AL80">
            <v>105.33333333333333</v>
          </cell>
          <cell r="AM80">
            <v>308.39999999999992</v>
          </cell>
          <cell r="AN80">
            <v>308.39999999999992</v>
          </cell>
          <cell r="AP80">
            <v>676.66666666666674</v>
          </cell>
        </row>
        <row r="81">
          <cell r="F81">
            <v>496</v>
          </cell>
          <cell r="G81">
            <v>137</v>
          </cell>
          <cell r="H81">
            <v>359</v>
          </cell>
          <cell r="P81">
            <v>22.666666666666668</v>
          </cell>
          <cell r="S81">
            <v>52.666666666666664</v>
          </cell>
          <cell r="U81">
            <v>65</v>
          </cell>
          <cell r="V81">
            <v>30</v>
          </cell>
          <cell r="W81">
            <v>35</v>
          </cell>
          <cell r="X81">
            <v>25.333333333333332</v>
          </cell>
          <cell r="Y81">
            <v>14</v>
          </cell>
          <cell r="Z81">
            <v>11.333333333333332</v>
          </cell>
          <cell r="AC81">
            <v>25</v>
          </cell>
          <cell r="AD81">
            <v>10</v>
          </cell>
          <cell r="AE81">
            <v>15</v>
          </cell>
          <cell r="AF81">
            <v>53</v>
          </cell>
          <cell r="AG81">
            <v>26</v>
          </cell>
          <cell r="AH81">
            <v>27</v>
          </cell>
          <cell r="AI81">
            <v>389</v>
          </cell>
          <cell r="AJ81">
            <v>156</v>
          </cell>
          <cell r="AK81">
            <v>656.66666666666663</v>
          </cell>
          <cell r="AL81">
            <v>188.66666666666666</v>
          </cell>
          <cell r="AM81">
            <v>468</v>
          </cell>
          <cell r="AN81">
            <v>468</v>
          </cell>
          <cell r="AP81">
            <v>233</v>
          </cell>
        </row>
        <row r="82">
          <cell r="F82">
            <v>239</v>
          </cell>
          <cell r="G82">
            <v>0</v>
          </cell>
          <cell r="H82">
            <v>0</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0</v>
          </cell>
          <cell r="U83">
            <v>14098.435307760927</v>
          </cell>
          <cell r="V83">
            <v>5945.3098245614019</v>
          </cell>
          <cell r="W83">
            <v>8153.1254831995248</v>
          </cell>
          <cell r="X83">
            <v>0</v>
          </cell>
          <cell r="Y83">
            <v>14</v>
          </cell>
          <cell r="Z83">
            <v>5.2000000000000028</v>
          </cell>
          <cell r="AC83">
            <v>4</v>
          </cell>
          <cell r="AD83">
            <v>42</v>
          </cell>
          <cell r="AE83">
            <v>39</v>
          </cell>
          <cell r="AF83">
            <v>38</v>
          </cell>
          <cell r="AG83">
            <v>38</v>
          </cell>
          <cell r="AH83">
            <v>0</v>
          </cell>
          <cell r="AI83" t="e">
            <v>#REF!</v>
          </cell>
          <cell r="AJ83" t="e">
            <v>#REF!</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5.0909090909044608E-2</v>
          </cell>
          <cell r="AI85" t="e">
            <v>#REF!</v>
          </cell>
          <cell r="AJ85">
            <v>10.600000000000001</v>
          </cell>
          <cell r="AK85">
            <v>4850.7890909090911</v>
          </cell>
          <cell r="AL85">
            <v>1331.25</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24191.916666666664</v>
          </cell>
          <cell r="AM86">
            <v>18714</v>
          </cell>
          <cell r="AN86">
            <v>0</v>
          </cell>
          <cell r="AO86">
            <v>5261.1559999999999</v>
          </cell>
          <cell r="AP86">
            <v>10831.787606060607</v>
          </cell>
        </row>
        <row r="87">
          <cell r="F87">
            <v>21770</v>
          </cell>
          <cell r="G87">
            <v>21770</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cell r="AQ89">
            <v>0</v>
          </cell>
          <cell r="AR89">
            <v>-1</v>
          </cell>
        </row>
        <row r="90">
          <cell r="F90">
            <v>777</v>
          </cell>
          <cell r="G90">
            <v>494</v>
          </cell>
          <cell r="H90">
            <v>283</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-8</v>
          </cell>
          <cell r="AI92">
            <v>497</v>
          </cell>
          <cell r="AJ92">
            <v>389</v>
          </cell>
          <cell r="AK92">
            <v>5</v>
          </cell>
          <cell r="AL92">
            <v>0</v>
          </cell>
          <cell r="AM92">
            <v>5</v>
          </cell>
          <cell r="AN92">
            <v>5</v>
          </cell>
          <cell r="AO92">
            <v>0</v>
          </cell>
          <cell r="AP92">
            <v>0</v>
          </cell>
          <cell r="AQ92">
            <v>0</v>
          </cell>
          <cell r="AR92">
            <v>5</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G97">
            <v>8221</v>
          </cell>
          <cell r="H97">
            <v>3572.1970000000001</v>
          </cell>
          <cell r="P97">
            <v>3547</v>
          </cell>
          <cell r="Q97">
            <v>0</v>
          </cell>
          <cell r="R97">
            <v>0</v>
          </cell>
          <cell r="S97">
            <v>3467</v>
          </cell>
          <cell r="T97">
            <v>3771.5508606060603</v>
          </cell>
          <cell r="U97">
            <v>3476.1570181818183</v>
          </cell>
          <cell r="V97">
            <v>0</v>
          </cell>
          <cell r="W97">
            <v>0</v>
          </cell>
          <cell r="X97">
            <v>225</v>
          </cell>
          <cell r="Y97">
            <v>11736</v>
          </cell>
          <cell r="Z97">
            <v>4826.4863636363634</v>
          </cell>
          <cell r="AA97">
            <v>0</v>
          </cell>
          <cell r="AB97">
            <v>0</v>
          </cell>
          <cell r="AC97">
            <v>170</v>
          </cell>
          <cell r="AD97">
            <v>17653.617575757577</v>
          </cell>
          <cell r="AE97">
            <v>6443.1963636363625</v>
          </cell>
          <cell r="AF97">
            <v>861</v>
          </cell>
          <cell r="AG97">
            <v>861</v>
          </cell>
          <cell r="AH97">
            <v>0</v>
          </cell>
          <cell r="AI97">
            <v>56708.943606060609</v>
          </cell>
          <cell r="AJ97">
            <v>0</v>
          </cell>
          <cell r="AK97">
            <v>10043</v>
          </cell>
          <cell r="AL97">
            <v>26314.787606060603</v>
          </cell>
          <cell r="AM97">
            <v>18714</v>
          </cell>
          <cell r="AN97">
            <v>14616</v>
          </cell>
          <cell r="AO97" t="e">
            <v>#REF!</v>
          </cell>
          <cell r="AP97" t="e">
            <v>#REF!</v>
          </cell>
        </row>
        <row r="98">
          <cell r="F98">
            <v>6186.1970000000001</v>
          </cell>
          <cell r="G98">
            <v>2614</v>
          </cell>
          <cell r="H98">
            <v>3572.1970000000001</v>
          </cell>
          <cell r="P98">
            <v>1878</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1669</v>
          </cell>
          <cell r="S99">
            <v>3362</v>
          </cell>
          <cell r="U99">
            <v>0</v>
          </cell>
          <cell r="X99">
            <v>115</v>
          </cell>
          <cell r="AC99">
            <v>40</v>
          </cell>
          <cell r="AF99">
            <v>454</v>
          </cell>
          <cell r="AG99">
            <v>454</v>
          </cell>
          <cell r="AH99">
            <v>0</v>
          </cell>
          <cell r="AI99" t="e">
            <v>#REF!</v>
          </cell>
          <cell r="AJ99" t="e">
            <v>#REF!</v>
          </cell>
          <cell r="AK99">
            <v>5737</v>
          </cell>
          <cell r="AL99">
            <v>109509.14393939395</v>
          </cell>
          <cell r="AM99">
            <v>46269.90741929959</v>
          </cell>
        </row>
        <row r="100">
          <cell r="F100">
            <v>0</v>
          </cell>
          <cell r="P100">
            <v>470</v>
          </cell>
          <cell r="S100">
            <v>1018</v>
          </cell>
          <cell r="U100">
            <v>1093</v>
          </cell>
          <cell r="X100">
            <v>225</v>
          </cell>
          <cell r="AC100">
            <v>170</v>
          </cell>
          <cell r="AF100">
            <v>861</v>
          </cell>
          <cell r="AG100">
            <v>861</v>
          </cell>
          <cell r="AH100">
            <v>0</v>
          </cell>
          <cell r="AI100" t="e">
            <v>#REF!</v>
          </cell>
          <cell r="AJ100">
            <v>56708.943606060609</v>
          </cell>
          <cell r="AK100">
            <v>2759</v>
          </cell>
          <cell r="AL100">
            <v>85097.370909090911</v>
          </cell>
          <cell r="AM100">
            <v>40210.957581756855</v>
          </cell>
        </row>
        <row r="101">
          <cell r="F101">
            <v>0</v>
          </cell>
          <cell r="P101">
            <v>813</v>
          </cell>
          <cell r="S101">
            <v>0</v>
          </cell>
          <cell r="U101">
            <v>913</v>
          </cell>
          <cell r="X101">
            <v>0</v>
          </cell>
          <cell r="AC101">
            <v>0</v>
          </cell>
          <cell r="AF101">
            <v>0</v>
          </cell>
          <cell r="AG101">
            <v>0</v>
          </cell>
          <cell r="AH101">
            <v>0</v>
          </cell>
          <cell r="AI101" t="e">
            <v>#REF!</v>
          </cell>
          <cell r="AK101">
            <v>0</v>
          </cell>
        </row>
        <row r="102">
          <cell r="F102">
            <v>1758</v>
          </cell>
          <cell r="P102">
            <v>3077</v>
          </cell>
          <cell r="S102">
            <v>2449</v>
          </cell>
          <cell r="U102">
            <v>50</v>
          </cell>
          <cell r="X102">
            <v>0</v>
          </cell>
          <cell r="AC102">
            <v>0</v>
          </cell>
          <cell r="AF102">
            <v>0</v>
          </cell>
          <cell r="AG102">
            <v>0</v>
          </cell>
          <cell r="AH102">
            <v>0</v>
          </cell>
          <cell r="AI102" t="e">
            <v>#REF!</v>
          </cell>
          <cell r="AK102">
            <v>7284</v>
          </cell>
        </row>
        <row r="103">
          <cell r="F103">
            <v>0</v>
          </cell>
          <cell r="P103">
            <v>1878</v>
          </cell>
          <cell r="S103">
            <v>0</v>
          </cell>
          <cell r="U103">
            <v>130</v>
          </cell>
          <cell r="X103">
            <v>0</v>
          </cell>
        </row>
        <row r="104">
          <cell r="F104">
            <v>0</v>
          </cell>
          <cell r="P104">
            <v>935</v>
          </cell>
          <cell r="S104">
            <v>0</v>
          </cell>
          <cell r="U104">
            <v>3922</v>
          </cell>
          <cell r="X104">
            <v>0</v>
          </cell>
          <cell r="AC104">
            <v>85</v>
          </cell>
        </row>
        <row r="105">
          <cell r="P105">
            <v>0</v>
          </cell>
          <cell r="S105">
            <v>0</v>
          </cell>
          <cell r="U105">
            <v>261</v>
          </cell>
          <cell r="X105">
            <v>0</v>
          </cell>
          <cell r="AK105">
            <v>0</v>
          </cell>
        </row>
        <row r="106">
          <cell r="P106">
            <v>935</v>
          </cell>
          <cell r="S106">
            <v>2100</v>
          </cell>
          <cell r="U106">
            <v>3661</v>
          </cell>
          <cell r="X106">
            <v>80</v>
          </cell>
          <cell r="AC106">
            <v>85</v>
          </cell>
          <cell r="AK106">
            <v>0</v>
          </cell>
        </row>
        <row r="107">
          <cell r="F107">
            <v>0</v>
          </cell>
          <cell r="P107">
            <v>0</v>
          </cell>
          <cell r="S107">
            <v>0</v>
          </cell>
          <cell r="U107">
            <v>-38.052597442759001</v>
          </cell>
          <cell r="V107">
            <v>-38.052597442759001</v>
          </cell>
          <cell r="W107">
            <v>0</v>
          </cell>
          <cell r="X107">
            <v>0</v>
          </cell>
          <cell r="AC107">
            <v>0</v>
          </cell>
          <cell r="AF107">
            <v>0</v>
          </cell>
          <cell r="AG107">
            <v>0</v>
          </cell>
          <cell r="AH107">
            <v>0</v>
          </cell>
          <cell r="AI107" t="e">
            <v>#REF!</v>
          </cell>
          <cell r="AK107">
            <v>0</v>
          </cell>
        </row>
        <row r="108">
          <cell r="F108">
            <v>0</v>
          </cell>
          <cell r="P108">
            <v>0</v>
          </cell>
          <cell r="S108">
            <v>0</v>
          </cell>
          <cell r="U108">
            <v>268</v>
          </cell>
          <cell r="X108">
            <v>0</v>
          </cell>
          <cell r="AC108">
            <v>0</v>
          </cell>
          <cell r="AF108">
            <v>0</v>
          </cell>
          <cell r="AG108">
            <v>0</v>
          </cell>
          <cell r="AH108">
            <v>0</v>
          </cell>
          <cell r="AI108" t="e">
            <v>#REF!</v>
          </cell>
          <cell r="AK108">
            <v>0</v>
          </cell>
        </row>
        <row r="109">
          <cell r="F109">
            <v>0</v>
          </cell>
          <cell r="P109">
            <v>0</v>
          </cell>
          <cell r="S109">
            <v>0</v>
          </cell>
          <cell r="U109">
            <v>0</v>
          </cell>
          <cell r="V109">
            <v>0</v>
          </cell>
          <cell r="W109">
            <v>0</v>
          </cell>
          <cell r="X109">
            <v>0</v>
          </cell>
          <cell r="AC109">
            <v>0</v>
          </cell>
          <cell r="AF109">
            <v>0</v>
          </cell>
          <cell r="AG109">
            <v>0</v>
          </cell>
          <cell r="AH109">
            <v>0</v>
          </cell>
          <cell r="AI109" t="e">
            <v>#REF!</v>
          </cell>
          <cell r="AK109">
            <v>0</v>
          </cell>
        </row>
        <row r="110">
          <cell r="F110">
            <v>0</v>
          </cell>
          <cell r="P110">
            <v>0</v>
          </cell>
          <cell r="S110">
            <v>0</v>
          </cell>
          <cell r="U110">
            <v>0</v>
          </cell>
          <cell r="X110">
            <v>0</v>
          </cell>
          <cell r="AC110">
            <v>0</v>
          </cell>
          <cell r="AF110">
            <v>0</v>
          </cell>
          <cell r="AG110">
            <v>0</v>
          </cell>
          <cell r="AH110">
            <v>0</v>
          </cell>
          <cell r="AI110" t="e">
            <v>#REF!</v>
          </cell>
          <cell r="AK110">
            <v>0</v>
          </cell>
        </row>
        <row r="111">
          <cell r="F111">
            <v>0</v>
          </cell>
          <cell r="P111">
            <v>0</v>
          </cell>
          <cell r="S111">
            <v>0</v>
          </cell>
          <cell r="U111">
            <v>1568.5</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U114" t="e">
            <v>#REF!</v>
          </cell>
          <cell r="V114" t="e">
            <v>#REF!</v>
          </cell>
          <cell r="X114">
            <v>0</v>
          </cell>
          <cell r="AC114">
            <v>0</v>
          </cell>
          <cell r="AF114">
            <v>0</v>
          </cell>
          <cell r="AG114">
            <v>0</v>
          </cell>
          <cell r="AH114">
            <v>0</v>
          </cell>
          <cell r="AI114" t="e">
            <v>#REF!</v>
          </cell>
          <cell r="AK114">
            <v>0</v>
          </cell>
          <cell r="AM114">
            <v>0</v>
          </cell>
        </row>
        <row r="115">
          <cell r="F115">
            <v>0</v>
          </cell>
          <cell r="P115">
            <v>0</v>
          </cell>
          <cell r="S115">
            <v>0</v>
          </cell>
          <cell r="U115" t="e">
            <v>#REF!</v>
          </cell>
          <cell r="X115">
            <v>0</v>
          </cell>
          <cell r="AC115">
            <v>0</v>
          </cell>
          <cell r="AF115">
            <v>0</v>
          </cell>
          <cell r="AG115">
            <v>0</v>
          </cell>
          <cell r="AH115">
            <v>0</v>
          </cell>
          <cell r="AI115" t="e">
            <v>#REF!</v>
          </cell>
          <cell r="AK115">
            <v>0</v>
          </cell>
          <cell r="AM115">
            <v>0</v>
          </cell>
        </row>
        <row r="116">
          <cell r="F116">
            <v>0</v>
          </cell>
          <cell r="P116">
            <v>0</v>
          </cell>
          <cell r="Q116">
            <v>0</v>
          </cell>
          <cell r="R116">
            <v>0</v>
          </cell>
          <cell r="S116">
            <v>0</v>
          </cell>
          <cell r="T116">
            <v>0</v>
          </cell>
          <cell r="U116">
            <v>7512.0307358905739</v>
          </cell>
          <cell r="V116" t="e">
            <v>#REF!</v>
          </cell>
          <cell r="AC116">
            <v>0</v>
          </cell>
          <cell r="AD116">
            <v>0</v>
          </cell>
          <cell r="AE116">
            <v>0</v>
          </cell>
          <cell r="AF116">
            <v>0</v>
          </cell>
          <cell r="AG116">
            <v>0</v>
          </cell>
          <cell r="AH116">
            <v>0</v>
          </cell>
          <cell r="AI116" t="e">
            <v>#REF!</v>
          </cell>
          <cell r="AK116">
            <v>0</v>
          </cell>
          <cell r="AL116">
            <v>0</v>
          </cell>
          <cell r="AM116">
            <v>0</v>
          </cell>
        </row>
        <row r="117">
          <cell r="F117">
            <v>0</v>
          </cell>
          <cell r="P117">
            <v>0</v>
          </cell>
          <cell r="S117">
            <v>0</v>
          </cell>
          <cell r="T117">
            <v>0</v>
          </cell>
          <cell r="U117">
            <v>6599.0307358905739</v>
          </cell>
          <cell r="AC117">
            <v>0</v>
          </cell>
          <cell r="AG117">
            <v>0</v>
          </cell>
          <cell r="AH117">
            <v>0</v>
          </cell>
          <cell r="AI117" t="e">
            <v>#REF!</v>
          </cell>
          <cell r="AK117">
            <v>0</v>
          </cell>
          <cell r="AL117">
            <v>0</v>
          </cell>
          <cell r="AM117">
            <v>0</v>
          </cell>
        </row>
        <row r="118">
          <cell r="F118">
            <v>0</v>
          </cell>
          <cell r="P118">
            <v>0</v>
          </cell>
          <cell r="S118">
            <v>0</v>
          </cell>
          <cell r="U118" t="e">
            <v>#REF!</v>
          </cell>
          <cell r="AC118">
            <v>0</v>
          </cell>
          <cell r="AF118">
            <v>0</v>
          </cell>
          <cell r="AG118">
            <v>0</v>
          </cell>
          <cell r="AH118">
            <v>0</v>
          </cell>
          <cell r="AI118" t="e">
            <v>#REF!</v>
          </cell>
          <cell r="AJ118">
            <v>0</v>
          </cell>
          <cell r="AK118">
            <v>0</v>
          </cell>
        </row>
        <row r="119">
          <cell r="F119">
            <v>0</v>
          </cell>
          <cell r="P119">
            <v>0</v>
          </cell>
          <cell r="S119">
            <v>0</v>
          </cell>
          <cell r="U119">
            <v>-230.79318209931299</v>
          </cell>
          <cell r="X119">
            <v>0</v>
          </cell>
          <cell r="AC119">
            <v>0</v>
          </cell>
          <cell r="AF119">
            <v>0</v>
          </cell>
          <cell r="AG119">
            <v>0</v>
          </cell>
          <cell r="AH119">
            <v>0</v>
          </cell>
          <cell r="AI119" t="e">
            <v>#REF!</v>
          </cell>
          <cell r="AK119">
            <v>0</v>
          </cell>
        </row>
        <row r="120">
          <cell r="F120">
            <v>100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X121">
            <v>0</v>
          </cell>
          <cell r="AC121">
            <v>0</v>
          </cell>
          <cell r="AF121">
            <v>0</v>
          </cell>
          <cell r="AG121">
            <v>0</v>
          </cell>
          <cell r="AH121">
            <v>0</v>
          </cell>
          <cell r="AI121" t="e">
            <v>#REF!</v>
          </cell>
          <cell r="AK121">
            <v>100</v>
          </cell>
        </row>
        <row r="122">
          <cell r="F122">
            <v>4000</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AI124" t="e">
            <v>#REF!</v>
          </cell>
          <cell r="AK124">
            <v>0</v>
          </cell>
          <cell r="AL124">
            <v>396.87424242423458</v>
          </cell>
        </row>
        <row r="125">
          <cell r="F125">
            <v>0</v>
          </cell>
          <cell r="U125">
            <v>8678</v>
          </cell>
          <cell r="W125">
            <v>8678</v>
          </cell>
          <cell r="AC125">
            <v>0</v>
          </cell>
          <cell r="AE125">
            <v>0</v>
          </cell>
          <cell r="AI125" t="e">
            <v>#REF!</v>
          </cell>
          <cell r="AK125">
            <v>0</v>
          </cell>
          <cell r="AL125">
            <v>-8132.8846363636376</v>
          </cell>
        </row>
        <row r="126">
          <cell r="F126">
            <v>0</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0</v>
          </cell>
          <cell r="AO126">
            <v>0</v>
          </cell>
          <cell r="AP126">
            <v>0</v>
          </cell>
          <cell r="AQ126">
            <v>0</v>
          </cell>
          <cell r="AR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cell r="AQ127">
            <v>0</v>
          </cell>
          <cell r="AR127">
            <v>0</v>
          </cell>
        </row>
        <row r="128">
          <cell r="F128">
            <v>3580</v>
          </cell>
          <cell r="G128">
            <v>0</v>
          </cell>
          <cell r="H128">
            <v>0</v>
          </cell>
          <cell r="P128">
            <v>3077</v>
          </cell>
          <cell r="Q128">
            <v>0</v>
          </cell>
          <cell r="R128">
            <v>0</v>
          </cell>
          <cell r="S128">
            <v>2449</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L128">
            <v>5340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AI130" t="e">
            <v>#REF!</v>
          </cell>
          <cell r="AJ130" t="e">
            <v>#REF!</v>
          </cell>
          <cell r="AK130">
            <v>-4552.8846363636376</v>
          </cell>
          <cell r="AL130">
            <v>10691.092580700395</v>
          </cell>
          <cell r="AM130">
            <v>-5132.2365200943386</v>
          </cell>
        </row>
        <row r="131">
          <cell r="U131">
            <v>8.49</v>
          </cell>
          <cell r="AC131" t="e">
            <v>#DIV/0!</v>
          </cell>
          <cell r="AI131" t="e">
            <v>#REF!</v>
          </cell>
          <cell r="AK131">
            <v>-6504.1209090909106</v>
          </cell>
          <cell r="AL131">
            <v>9186.0424182431379</v>
          </cell>
          <cell r="AM131">
            <v>-16555.413327334049</v>
          </cell>
        </row>
        <row r="132">
          <cell r="U132">
            <v>0</v>
          </cell>
          <cell r="AI132">
            <v>-11929.693606060609</v>
          </cell>
          <cell r="AJ132">
            <v>2695.8439999999973</v>
          </cell>
          <cell r="AK132">
            <v>1927.2318181818146</v>
          </cell>
          <cell r="AO132">
            <v>0</v>
          </cell>
        </row>
        <row r="133">
          <cell r="T133">
            <v>0</v>
          </cell>
          <cell r="U133">
            <v>6.57</v>
          </cell>
          <cell r="AC133" t="e">
            <v>#DIV/0!</v>
          </cell>
          <cell r="AK133">
            <v>-1951.236272727273</v>
          </cell>
          <cell r="AO133">
            <v>0</v>
          </cell>
        </row>
        <row r="134">
          <cell r="U134">
            <v>29726</v>
          </cell>
          <cell r="V134">
            <v>29726</v>
          </cell>
          <cell r="AI134" t="e">
            <v>#REF!</v>
          </cell>
          <cell r="AM134">
            <v>0</v>
          </cell>
        </row>
        <row r="135">
          <cell r="AK135">
            <v>58108</v>
          </cell>
          <cell r="AM135">
            <v>58108</v>
          </cell>
          <cell r="AO135">
            <v>0</v>
          </cell>
          <cell r="AQ135">
            <v>0</v>
          </cell>
        </row>
        <row r="136">
          <cell r="T136">
            <v>300</v>
          </cell>
          <cell r="U136">
            <v>300</v>
          </cell>
          <cell r="AK136">
            <v>28333</v>
          </cell>
          <cell r="AM136">
            <v>28333</v>
          </cell>
          <cell r="AO136">
            <v>0</v>
          </cell>
          <cell r="AQ136">
            <v>0</v>
          </cell>
        </row>
        <row r="137">
          <cell r="U137">
            <v>1</v>
          </cell>
          <cell r="AI137">
            <v>10816</v>
          </cell>
          <cell r="AK137">
            <v>-16555.413327334049</v>
          </cell>
          <cell r="AM137">
            <v>0</v>
          </cell>
          <cell r="AO137">
            <v>0</v>
          </cell>
        </row>
        <row r="138">
          <cell r="AI138">
            <v>-15490.787606060607</v>
          </cell>
          <cell r="AK138">
            <v>17.93</v>
          </cell>
          <cell r="AM138">
            <v>0</v>
          </cell>
          <cell r="AO138" t="e">
            <v>#DIV/0!</v>
          </cell>
        </row>
        <row r="139">
          <cell r="T139">
            <v>0</v>
          </cell>
          <cell r="U139">
            <v>38404</v>
          </cell>
          <cell r="V139">
            <v>29726</v>
          </cell>
          <cell r="W139">
            <v>8678</v>
          </cell>
          <cell r="AC139">
            <v>0</v>
          </cell>
          <cell r="AI139">
            <v>6.85</v>
          </cell>
          <cell r="AK139">
            <v>28.41</v>
          </cell>
          <cell r="AM139" t="e">
            <v>#DIV/0!</v>
          </cell>
          <cell r="AO139" t="e">
            <v>#DIV/0!</v>
          </cell>
        </row>
        <row r="140">
          <cell r="U140">
            <v>0</v>
          </cell>
          <cell r="V140">
            <v>0</v>
          </cell>
          <cell r="AI140">
            <v>16.649999999999999</v>
          </cell>
          <cell r="AK140">
            <v>0</v>
          </cell>
          <cell r="AM140" t="e">
            <v>#REF!</v>
          </cell>
          <cell r="AO140">
            <v>0</v>
          </cell>
        </row>
        <row r="141">
          <cell r="U141">
            <v>38404</v>
          </cell>
          <cell r="V141">
            <v>29726</v>
          </cell>
          <cell r="W141">
            <v>8678</v>
          </cell>
          <cell r="AI141">
            <v>0</v>
          </cell>
          <cell r="AK141">
            <v>14.4</v>
          </cell>
          <cell r="AM141">
            <v>0</v>
          </cell>
          <cell r="AO141" t="e">
            <v>#DIV/0!</v>
          </cell>
        </row>
        <row r="142">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J143">
            <v>0</v>
          </cell>
          <cell r="AK143">
            <v>11.7</v>
          </cell>
          <cell r="AM143" t="e">
            <v>#DIV/0!</v>
          </cell>
          <cell r="AO143" t="e">
            <v>#DIV/0!</v>
          </cell>
        </row>
        <row r="144">
          <cell r="AJ144">
            <v>0</v>
          </cell>
          <cell r="AK144">
            <v>10.16</v>
          </cell>
          <cell r="AL144">
            <v>56960</v>
          </cell>
          <cell r="AO144" t="e">
            <v>#DIV/0!</v>
          </cell>
        </row>
        <row r="145">
          <cell r="P145">
            <v>0</v>
          </cell>
          <cell r="S145">
            <v>0</v>
          </cell>
          <cell r="U145">
            <v>0</v>
          </cell>
          <cell r="AI145">
            <v>7.69</v>
          </cell>
          <cell r="AK145">
            <v>49395</v>
          </cell>
          <cell r="AL145">
            <v>49395</v>
          </cell>
          <cell r="AM145" t="e">
            <v>#DIV/0!</v>
          </cell>
        </row>
        <row r="146">
          <cell r="P146">
            <v>1325</v>
          </cell>
          <cell r="U146">
            <v>4402</v>
          </cell>
          <cell r="AI146">
            <v>38926</v>
          </cell>
          <cell r="AJ146">
            <v>300</v>
          </cell>
        </row>
        <row r="147">
          <cell r="P147">
            <v>1174</v>
          </cell>
          <cell r="U147">
            <v>2921</v>
          </cell>
          <cell r="AJ147">
            <v>300</v>
          </cell>
          <cell r="AK147">
            <v>5857.1428571428578</v>
          </cell>
          <cell r="AL147">
            <v>-46268.907419299605</v>
          </cell>
          <cell r="AM147">
            <v>-63240.236520094339</v>
          </cell>
        </row>
        <row r="148">
          <cell r="S148">
            <v>0</v>
          </cell>
          <cell r="U148">
            <v>0</v>
          </cell>
          <cell r="AK148">
            <v>5114.2857142857147</v>
          </cell>
          <cell r="AL148">
            <v>-40208.957581756862</v>
          </cell>
          <cell r="AM148">
            <v>-44888.413327334049</v>
          </cell>
        </row>
        <row r="149">
          <cell r="S149">
            <v>0</v>
          </cell>
          <cell r="U149">
            <v>0</v>
          </cell>
          <cell r="AI149" t="e">
            <v>#REF!</v>
          </cell>
          <cell r="AJ149">
            <v>-30402.156000000003</v>
          </cell>
          <cell r="AK149">
            <v>865.25</v>
          </cell>
        </row>
        <row r="150">
          <cell r="P150">
            <v>0</v>
          </cell>
          <cell r="S150">
            <v>0</v>
          </cell>
          <cell r="U150">
            <v>317</v>
          </cell>
          <cell r="AI150">
            <v>865.25</v>
          </cell>
          <cell r="AJ150">
            <v>0</v>
          </cell>
          <cell r="AK150">
            <v>115068</v>
          </cell>
          <cell r="AL150">
            <v>56960</v>
          </cell>
          <cell r="AM150">
            <v>58108</v>
          </cell>
          <cell r="AO150">
            <v>0</v>
          </cell>
        </row>
        <row r="151">
          <cell r="U151">
            <v>1774.0124999999998</v>
          </cell>
          <cell r="AJ151">
            <v>0</v>
          </cell>
          <cell r="AK151">
            <v>77728</v>
          </cell>
          <cell r="AL151">
            <v>49395</v>
          </cell>
          <cell r="AM151">
            <v>28333</v>
          </cell>
          <cell r="AO151">
            <v>0</v>
          </cell>
        </row>
        <row r="152">
          <cell r="U152">
            <v>0</v>
          </cell>
          <cell r="AI152">
            <v>49742</v>
          </cell>
          <cell r="AJ152">
            <v>38926</v>
          </cell>
          <cell r="AK152">
            <v>0</v>
          </cell>
          <cell r="AL152">
            <v>56960</v>
          </cell>
          <cell r="AM152">
            <v>58108</v>
          </cell>
        </row>
        <row r="153">
          <cell r="P153">
            <v>1325</v>
          </cell>
          <cell r="U153">
            <v>4085</v>
          </cell>
          <cell r="AI153">
            <v>0</v>
          </cell>
          <cell r="AK153">
            <v>77728</v>
          </cell>
          <cell r="AL153">
            <v>49395</v>
          </cell>
          <cell r="AM153">
            <v>28333</v>
          </cell>
          <cell r="AO153">
            <v>2093</v>
          </cell>
          <cell r="AP153">
            <v>5098</v>
          </cell>
          <cell r="AQ153">
            <v>4891.9653693155615</v>
          </cell>
          <cell r="AR153">
            <v>11328.349456446114</v>
          </cell>
        </row>
        <row r="154">
          <cell r="P154">
            <v>1325</v>
          </cell>
          <cell r="AI154">
            <v>43914</v>
          </cell>
          <cell r="AJ154">
            <v>33098</v>
          </cell>
          <cell r="AK154">
            <v>0</v>
          </cell>
          <cell r="AL154">
            <v>23.1</v>
          </cell>
          <cell r="AM154">
            <v>-8.1</v>
          </cell>
          <cell r="AO154">
            <v>2889</v>
          </cell>
          <cell r="AP154">
            <v>5865</v>
          </cell>
          <cell r="AQ154">
            <v>4320.2514445347797</v>
          </cell>
          <cell r="AR154">
            <v>12672.305468164745</v>
          </cell>
        </row>
        <row r="155">
          <cell r="P155">
            <v>0</v>
          </cell>
          <cell r="U155">
            <v>0</v>
          </cell>
          <cell r="AI155">
            <v>0</v>
          </cell>
          <cell r="AK155">
            <v>-7.6</v>
          </cell>
          <cell r="AL155">
            <v>22.8</v>
          </cell>
          <cell r="AM155">
            <v>-36.9</v>
          </cell>
          <cell r="AN155">
            <v>3536</v>
          </cell>
          <cell r="AO155" t="e">
            <v>#REF!</v>
          </cell>
          <cell r="AP155" t="e">
            <v>#REF!</v>
          </cell>
        </row>
        <row r="156">
          <cell r="P156">
            <v>-100</v>
          </cell>
          <cell r="U156">
            <v>-578</v>
          </cell>
          <cell r="AI156">
            <v>-21</v>
          </cell>
          <cell r="AJ156">
            <v>8.9</v>
          </cell>
          <cell r="AK156">
            <v>6.0099221158656952</v>
          </cell>
          <cell r="AL156">
            <v>-100</v>
          </cell>
          <cell r="AM156">
            <v>-100</v>
          </cell>
        </row>
        <row r="157">
          <cell r="U157">
            <v>0</v>
          </cell>
          <cell r="AI157" t="e">
            <v>#REF!</v>
          </cell>
          <cell r="AJ157">
            <v>-100</v>
          </cell>
          <cell r="AK157">
            <v>-100</v>
          </cell>
          <cell r="AL157">
            <v>0</v>
          </cell>
          <cell r="AM157">
            <v>0</v>
          </cell>
        </row>
        <row r="158">
          <cell r="F158">
            <v>0</v>
          </cell>
          <cell r="P158">
            <v>0</v>
          </cell>
          <cell r="S158">
            <v>0</v>
          </cell>
          <cell r="T158">
            <v>630</v>
          </cell>
          <cell r="U158">
            <v>4643</v>
          </cell>
          <cell r="X158">
            <v>0</v>
          </cell>
          <cell r="AC158">
            <v>0</v>
          </cell>
          <cell r="AJ158">
            <v>142</v>
          </cell>
          <cell r="AK158">
            <v>0</v>
          </cell>
        </row>
        <row r="159">
          <cell r="F159">
            <v>0</v>
          </cell>
          <cell r="P159">
            <v>0</v>
          </cell>
          <cell r="S159">
            <v>0</v>
          </cell>
          <cell r="X159">
            <v>0</v>
          </cell>
          <cell r="AC159">
            <v>0</v>
          </cell>
          <cell r="AF159">
            <v>312.8</v>
          </cell>
          <cell r="AG159">
            <v>313</v>
          </cell>
          <cell r="AH159">
            <v>-0.19999999999998863</v>
          </cell>
          <cell r="AJ159">
            <v>142</v>
          </cell>
          <cell r="AK159">
            <v>0</v>
          </cell>
        </row>
        <row r="160">
          <cell r="F160">
            <v>320</v>
          </cell>
          <cell r="P160">
            <v>730</v>
          </cell>
          <cell r="S160">
            <v>2168</v>
          </cell>
          <cell r="X160">
            <v>1785</v>
          </cell>
          <cell r="AC160">
            <v>723</v>
          </cell>
          <cell r="AF160">
            <v>963</v>
          </cell>
          <cell r="AG160">
            <v>530</v>
          </cell>
          <cell r="AH160">
            <v>433</v>
          </cell>
          <cell r="AI160" t="e">
            <v>#REF!</v>
          </cell>
          <cell r="AK160">
            <v>6689</v>
          </cell>
        </row>
        <row r="161">
          <cell r="F161">
            <v>320</v>
          </cell>
          <cell r="P161">
            <v>390</v>
          </cell>
          <cell r="S161">
            <v>512</v>
          </cell>
          <cell r="X161">
            <v>2374</v>
          </cell>
          <cell r="AC161">
            <v>1081</v>
          </cell>
          <cell r="AF161">
            <v>560</v>
          </cell>
          <cell r="AG161">
            <v>500</v>
          </cell>
          <cell r="AH161">
            <v>60</v>
          </cell>
          <cell r="AI161" t="e">
            <v>#REF!</v>
          </cell>
          <cell r="AK161">
            <v>4677</v>
          </cell>
        </row>
        <row r="162">
          <cell r="F162">
            <v>320</v>
          </cell>
          <cell r="P162">
            <v>275</v>
          </cell>
          <cell r="S162">
            <v>313</v>
          </cell>
          <cell r="X162">
            <v>230</v>
          </cell>
          <cell r="AB162">
            <v>9</v>
          </cell>
          <cell r="AC162">
            <v>231</v>
          </cell>
          <cell r="AD162" t="e">
            <v>#REF!</v>
          </cell>
          <cell r="AF162">
            <v>76</v>
          </cell>
          <cell r="AG162">
            <v>76</v>
          </cell>
          <cell r="AH162">
            <v>0</v>
          </cell>
          <cell r="AI162" t="e">
            <v>#REF!</v>
          </cell>
          <cell r="AK162">
            <v>1445</v>
          </cell>
        </row>
        <row r="163">
          <cell r="F163">
            <v>204</v>
          </cell>
          <cell r="P163">
            <v>200</v>
          </cell>
          <cell r="S163">
            <v>165</v>
          </cell>
          <cell r="X163">
            <v>186</v>
          </cell>
          <cell r="AB163">
            <v>9</v>
          </cell>
          <cell r="AC163">
            <v>47</v>
          </cell>
          <cell r="AF163">
            <v>66</v>
          </cell>
          <cell r="AG163">
            <v>66</v>
          </cell>
          <cell r="AH163">
            <v>0</v>
          </cell>
          <cell r="AI163" t="e">
            <v>#REF!</v>
          </cell>
          <cell r="AK163">
            <v>598</v>
          </cell>
        </row>
        <row r="164">
          <cell r="F164">
            <v>14.170833333333334</v>
          </cell>
          <cell r="P164">
            <v>70</v>
          </cell>
          <cell r="S164">
            <v>0</v>
          </cell>
          <cell r="X164">
            <v>107</v>
          </cell>
          <cell r="AC164">
            <v>41</v>
          </cell>
          <cell r="AF164">
            <v>80</v>
          </cell>
          <cell r="AI164" t="e">
            <v>#REF!</v>
          </cell>
          <cell r="AK164">
            <v>0</v>
          </cell>
        </row>
        <row r="165">
          <cell r="F165">
            <v>14.170833333333334</v>
          </cell>
          <cell r="P165">
            <v>152</v>
          </cell>
          <cell r="Q165" t="str">
            <v>Е/Е</v>
          </cell>
          <cell r="R165" t="str">
            <v xml:space="preserve"> Т/Е</v>
          </cell>
          <cell r="S165">
            <v>428.72727272727275</v>
          </cell>
          <cell r="T165" t="str">
            <v>ДОП.ВИР. СТ.ОРГ.</v>
          </cell>
          <cell r="U165" t="str">
            <v>АК КЕ ВСЬОГО</v>
          </cell>
          <cell r="V165" t="str">
            <v>Е/Е</v>
          </cell>
          <cell r="W165" t="str">
            <v xml:space="preserve"> Т/Е</v>
          </cell>
          <cell r="X165">
            <v>248.36363636363637</v>
          </cell>
          <cell r="AC165">
            <v>191.18181818181819</v>
          </cell>
          <cell r="AD165" t="str">
            <v>СТАНЦІІ ТЕПЛОВІ</v>
          </cell>
          <cell r="AE165" t="str">
            <v>МЕРЕЖІ ЕЛЕКТРО</v>
          </cell>
          <cell r="AF165">
            <v>157.90909090909091</v>
          </cell>
          <cell r="AG165">
            <v>157.90909090909091</v>
          </cell>
          <cell r="AI165" t="e">
            <v>#REF!</v>
          </cell>
          <cell r="AK165">
            <v>14.170833333333334</v>
          </cell>
        </row>
        <row r="166">
          <cell r="F166">
            <v>260</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1669.3636363636365</v>
          </cell>
          <cell r="X167">
            <v>1526.6363636363635</v>
          </cell>
          <cell r="AC167">
            <v>542.09090909090912</v>
          </cell>
          <cell r="AF167">
            <v>296.27272727272725</v>
          </cell>
          <cell r="AG167">
            <v>296</v>
          </cell>
          <cell r="AI167" t="e">
            <v>#REF!</v>
          </cell>
          <cell r="AK167">
            <v>3998.090909090909</v>
          </cell>
        </row>
        <row r="168">
          <cell r="F168">
            <v>60</v>
          </cell>
          <cell r="P168">
            <v>0</v>
          </cell>
          <cell r="S168">
            <v>2168</v>
          </cell>
          <cell r="U168">
            <v>44.3</v>
          </cell>
          <cell r="X168">
            <v>1785</v>
          </cell>
          <cell r="AC168">
            <v>723</v>
          </cell>
          <cell r="AI168" t="e">
            <v>#REF!</v>
          </cell>
          <cell r="AK168">
            <v>60</v>
          </cell>
        </row>
        <row r="169">
          <cell r="F169">
            <v>60</v>
          </cell>
          <cell r="P169">
            <v>0</v>
          </cell>
          <cell r="S169">
            <v>0</v>
          </cell>
          <cell r="U169">
            <v>50.49</v>
          </cell>
          <cell r="X169">
            <v>0</v>
          </cell>
          <cell r="AC169">
            <v>0</v>
          </cell>
          <cell r="AF169">
            <v>0</v>
          </cell>
          <cell r="AG169">
            <v>0</v>
          </cell>
          <cell r="AH169">
            <v>0</v>
          </cell>
          <cell r="AK169">
            <v>60</v>
          </cell>
        </row>
        <row r="170">
          <cell r="F170">
            <v>427</v>
          </cell>
          <cell r="G170">
            <v>0</v>
          </cell>
          <cell r="H170">
            <v>0</v>
          </cell>
          <cell r="P170">
            <v>1736</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0</v>
          </cell>
          <cell r="AG170">
            <v>0</v>
          </cell>
          <cell r="AH170">
            <v>0</v>
          </cell>
          <cell r="AI170" t="e">
            <v>#REF!</v>
          </cell>
          <cell r="AJ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I171" t="e">
            <v>#REF!</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I172" t="e">
            <v>#REF!</v>
          </cell>
          <cell r="AJ172">
            <v>0</v>
          </cell>
          <cell r="AK172">
            <v>10043</v>
          </cell>
        </row>
        <row r="173">
          <cell r="F173">
            <v>0</v>
          </cell>
          <cell r="G173">
            <v>0</v>
          </cell>
          <cell r="H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4000</v>
          </cell>
          <cell r="P175">
            <v>36</v>
          </cell>
          <cell r="U175">
            <v>91.91</v>
          </cell>
          <cell r="AG175">
            <v>0</v>
          </cell>
          <cell r="AI175" t="e">
            <v>#REF!</v>
          </cell>
          <cell r="AK175">
            <v>0</v>
          </cell>
        </row>
        <row r="176">
          <cell r="F176">
            <v>3480</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3480</v>
          </cell>
          <cell r="AO176">
            <v>247</v>
          </cell>
          <cell r="AP176">
            <v>610</v>
          </cell>
          <cell r="AQ176">
            <v>920.25</v>
          </cell>
          <cell r="AR176">
            <v>2050.3572727272726</v>
          </cell>
        </row>
        <row r="177">
          <cell r="F177">
            <v>587</v>
          </cell>
          <cell r="G177">
            <v>0</v>
          </cell>
          <cell r="H177">
            <v>0</v>
          </cell>
          <cell r="P177">
            <v>863.25</v>
          </cell>
          <cell r="Q177">
            <v>0</v>
          </cell>
          <cell r="R177">
            <v>0</v>
          </cell>
          <cell r="S177">
            <v>1921.8199999999997</v>
          </cell>
          <cell r="T177">
            <v>697.23998181818172</v>
          </cell>
          <cell r="U177">
            <v>725.94365454545448</v>
          </cell>
          <cell r="V177">
            <v>0</v>
          </cell>
          <cell r="W177">
            <v>0</v>
          </cell>
          <cell r="X177">
            <v>639.95000000000005</v>
          </cell>
          <cell r="Y177">
            <v>103</v>
          </cell>
          <cell r="Z177">
            <v>145.36363636363637</v>
          </cell>
          <cell r="AA177">
            <v>0</v>
          </cell>
          <cell r="AB177">
            <v>0</v>
          </cell>
          <cell r="AC177">
            <v>535.86</v>
          </cell>
          <cell r="AD177">
            <v>88</v>
          </cell>
          <cell r="AE177">
            <v>103.18181818181819</v>
          </cell>
          <cell r="AF177">
            <v>1759.96</v>
          </cell>
          <cell r="AG177">
            <v>1759.909090909091</v>
          </cell>
          <cell r="AH177">
            <v>5.0909090909044608E-2</v>
          </cell>
          <cell r="AI177" t="e">
            <v>#REF!</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0</v>
          </cell>
          <cell r="Q179">
            <v>0</v>
          </cell>
          <cell r="R179">
            <v>0</v>
          </cell>
          <cell r="S179">
            <v>13.666666666666666</v>
          </cell>
          <cell r="T179">
            <v>13.666666666666666</v>
          </cell>
          <cell r="U179">
            <v>0</v>
          </cell>
          <cell r="V179">
            <v>0</v>
          </cell>
          <cell r="W179">
            <v>0</v>
          </cell>
          <cell r="X179">
            <v>647</v>
          </cell>
          <cell r="Y179">
            <v>167</v>
          </cell>
          <cell r="Z179">
            <v>69.363636363636374</v>
          </cell>
          <cell r="AA179">
            <v>0</v>
          </cell>
          <cell r="AB179">
            <v>0</v>
          </cell>
          <cell r="AC179">
            <v>13.333333333333334</v>
          </cell>
          <cell r="AD179">
            <v>83</v>
          </cell>
          <cell r="AE179">
            <v>76.36363636363636</v>
          </cell>
          <cell r="AF179">
            <v>-2.7</v>
          </cell>
          <cell r="AG179">
            <v>5</v>
          </cell>
          <cell r="AH179">
            <v>-7.7</v>
          </cell>
          <cell r="AJ179">
            <v>0</v>
          </cell>
          <cell r="AK179">
            <v>-1272.236272727273</v>
          </cell>
          <cell r="AO179">
            <v>350</v>
          </cell>
          <cell r="AP179">
            <v>315</v>
          </cell>
          <cell r="AQ179">
            <v>0</v>
          </cell>
          <cell r="AR179">
            <v>14</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F181">
            <v>9095</v>
          </cell>
          <cell r="P181">
            <v>676.66666666666652</v>
          </cell>
          <cell r="S181">
            <v>3680.4666666666681</v>
          </cell>
          <cell r="U181">
            <v>11.7</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T182">
            <v>0</v>
          </cell>
          <cell r="U182">
            <v>100.5</v>
          </cell>
          <cell r="X182">
            <v>534.33333333333678</v>
          </cell>
          <cell r="AC182">
            <v>554.33333333333053</v>
          </cell>
          <cell r="AF182">
            <v>1865.0333333333331</v>
          </cell>
          <cell r="AG182">
            <v>1889.3999999999996</v>
          </cell>
          <cell r="AH182">
            <v>376.63333333333327</v>
          </cell>
          <cell r="AO182" t="str">
            <v>ОЧИК.18.02.</v>
          </cell>
          <cell r="AP182">
            <v>1507.2</v>
          </cell>
        </row>
        <row r="183">
          <cell r="F183">
            <v>15172.5</v>
          </cell>
          <cell r="P183">
            <v>444.43599999999981</v>
          </cell>
          <cell r="S183">
            <v>1460.8666666666668</v>
          </cell>
          <cell r="U183">
            <v>215.42175</v>
          </cell>
          <cell r="X183">
            <v>363.19999999999868</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AC184">
            <v>14810</v>
          </cell>
          <cell r="AM184" t="str">
            <v>ОЧИК.18.02.</v>
          </cell>
        </row>
        <row r="185">
          <cell r="F185" t="str">
            <v>АПАРАТ ВСЬОГО</v>
          </cell>
          <cell r="G185" t="str">
            <v>АПАРАТ ЕЛЕКТРО</v>
          </cell>
          <cell r="H185" t="str">
            <v>АПАРАТ ТЕПЛО</v>
          </cell>
          <cell r="P185" t="str">
            <v>ККМ</v>
          </cell>
          <cell r="S185" t="str">
            <v>КТМ</v>
          </cell>
          <cell r="U185">
            <v>1831</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U187">
            <v>20620</v>
          </cell>
          <cell r="V187">
            <v>12849</v>
          </cell>
          <cell r="W187">
            <v>7771</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101.3</v>
          </cell>
          <cell r="T188" t="str">
            <v/>
          </cell>
          <cell r="U188">
            <v>133.81</v>
          </cell>
          <cell r="V188">
            <v>134.83000000000001</v>
          </cell>
          <cell r="W188">
            <v>132.16</v>
          </cell>
          <cell r="X188">
            <v>116.9</v>
          </cell>
          <cell r="AC188">
            <v>111.7</v>
          </cell>
          <cell r="AD188">
            <v>130.99</v>
          </cell>
          <cell r="AE188">
            <v>130.99</v>
          </cell>
          <cell r="AF188" t="str">
            <v/>
          </cell>
          <cell r="AK188">
            <v>329.90000000000003</v>
          </cell>
          <cell r="AO188">
            <v>221.49122807017542</v>
          </cell>
        </row>
        <row r="189">
          <cell r="S189">
            <v>54.1</v>
          </cell>
          <cell r="U189">
            <v>25</v>
          </cell>
          <cell r="V189">
            <v>25</v>
          </cell>
          <cell r="W189">
            <v>0</v>
          </cell>
          <cell r="X189">
            <v>67.400000000000006</v>
          </cell>
          <cell r="AC189">
            <v>64.8</v>
          </cell>
          <cell r="AD189">
            <v>52</v>
          </cell>
          <cell r="AK189">
            <v>186.29999999999998</v>
          </cell>
          <cell r="AO189">
            <v>221.49122807017542</v>
          </cell>
        </row>
        <row r="190">
          <cell r="P190">
            <v>0</v>
          </cell>
          <cell r="S190">
            <v>62</v>
          </cell>
          <cell r="U190">
            <v>20645</v>
          </cell>
          <cell r="V190">
            <v>12874</v>
          </cell>
          <cell r="W190">
            <v>7771</v>
          </cell>
          <cell r="X190">
            <v>77.099999999999994</v>
          </cell>
          <cell r="AC190">
            <v>74.2</v>
          </cell>
          <cell r="AD190">
            <v>9863.1854657688</v>
          </cell>
          <cell r="AE190">
            <v>36873.814534231198</v>
          </cell>
          <cell r="AI190">
            <v>139.20000000000002</v>
          </cell>
          <cell r="AK190">
            <v>213.3</v>
          </cell>
          <cell r="AM190">
            <v>221.49122807017542</v>
          </cell>
          <cell r="AO190">
            <v>252.49999999999997</v>
          </cell>
        </row>
        <row r="191">
          <cell r="P191">
            <v>0</v>
          </cell>
          <cell r="S191">
            <v>0</v>
          </cell>
          <cell r="X191">
            <v>0</v>
          </cell>
          <cell r="AC191">
            <v>0</v>
          </cell>
          <cell r="AI191">
            <v>159.4</v>
          </cell>
          <cell r="AK191">
            <v>192.5</v>
          </cell>
          <cell r="AM191">
            <v>252.49999999999997</v>
          </cell>
          <cell r="AO191">
            <v>66</v>
          </cell>
        </row>
        <row r="192">
          <cell r="P192">
            <v>0</v>
          </cell>
          <cell r="S192">
            <v>192.5</v>
          </cell>
          <cell r="X192">
            <v>192.5</v>
          </cell>
          <cell r="AC192">
            <v>192.5</v>
          </cell>
          <cell r="AK192">
            <v>192.5</v>
          </cell>
          <cell r="AM192">
            <v>66</v>
          </cell>
          <cell r="AO192">
            <v>0</v>
          </cell>
        </row>
        <row r="193">
          <cell r="P193">
            <v>0</v>
          </cell>
          <cell r="S193">
            <v>10414</v>
          </cell>
          <cell r="X193">
            <v>12975</v>
          </cell>
          <cell r="AC193">
            <v>12474</v>
          </cell>
          <cell r="AI193">
            <v>192.5</v>
          </cell>
          <cell r="AK193">
            <v>35863</v>
          </cell>
          <cell r="AM193">
            <v>0</v>
          </cell>
          <cell r="AO193">
            <v>0</v>
          </cell>
        </row>
        <row r="194">
          <cell r="S194">
            <v>1598</v>
          </cell>
          <cell r="X194">
            <v>0</v>
          </cell>
          <cell r="Z194">
            <v>4948.1398501338263</v>
          </cell>
          <cell r="AB194">
            <v>4948.1398501337389</v>
          </cell>
          <cell r="AC194">
            <v>0</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82.5</v>
          </cell>
          <cell r="AC197">
            <v>82.5</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v>
          </cell>
          <cell r="AC201">
            <v>5</v>
          </cell>
          <cell r="AD201">
            <v>5</v>
          </cell>
          <cell r="AE201">
            <v>7</v>
          </cell>
          <cell r="AK201">
            <v>10</v>
          </cell>
          <cell r="AO201">
            <v>75.839416058394164</v>
          </cell>
        </row>
        <row r="202">
          <cell r="F202">
            <v>75</v>
          </cell>
          <cell r="X202">
            <v>7</v>
          </cell>
          <cell r="AC202">
            <v>7</v>
          </cell>
          <cell r="AI202">
            <v>0</v>
          </cell>
          <cell r="AJ202">
            <v>0</v>
          </cell>
          <cell r="AK202">
            <v>14</v>
          </cell>
          <cell r="AM202">
            <v>75.839416058394164</v>
          </cell>
          <cell r="AO202">
            <v>103.9</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t="e">
            <v>#DIV/0!</v>
          </cell>
          <cell r="AR203">
            <v>75</v>
          </cell>
        </row>
        <row r="204">
          <cell r="F204">
            <v>75</v>
          </cell>
          <cell r="P204">
            <v>75</v>
          </cell>
          <cell r="S204">
            <v>0</v>
          </cell>
          <cell r="X204">
            <v>601.41999999999996</v>
          </cell>
          <cell r="AC204">
            <v>601.41999999999996</v>
          </cell>
          <cell r="AK204">
            <v>601.41999999999996</v>
          </cell>
          <cell r="AM204" t="e">
            <v>#DIV/0!</v>
          </cell>
          <cell r="AO204">
            <v>195.28</v>
          </cell>
          <cell r="AP204">
            <v>75</v>
          </cell>
        </row>
        <row r="205">
          <cell r="S205">
            <v>0</v>
          </cell>
          <cell r="X205">
            <v>3007</v>
          </cell>
          <cell r="AC205">
            <v>3007</v>
          </cell>
          <cell r="AI205">
            <v>385</v>
          </cell>
          <cell r="AK205">
            <v>6014</v>
          </cell>
          <cell r="AM205">
            <v>195.28</v>
          </cell>
          <cell r="AO205">
            <v>14810</v>
          </cell>
        </row>
        <row r="206">
          <cell r="S206">
            <v>116</v>
          </cell>
          <cell r="X206">
            <v>139.6</v>
          </cell>
          <cell r="Y206">
            <v>58</v>
          </cell>
          <cell r="Z206">
            <v>81.600000000000009</v>
          </cell>
          <cell r="AC206">
            <v>133.69999999999999</v>
          </cell>
          <cell r="AD206">
            <v>61.1</v>
          </cell>
          <cell r="AE206">
            <v>72.599999999999994</v>
          </cell>
          <cell r="AI206">
            <v>0</v>
          </cell>
          <cell r="AK206">
            <v>6014</v>
          </cell>
          <cell r="AL206">
            <v>119.1</v>
          </cell>
          <cell r="AM206">
            <v>270.2</v>
          </cell>
          <cell r="AO206">
            <v>356.4</v>
          </cell>
          <cell r="AP206">
            <v>74.900000000000006</v>
          </cell>
          <cell r="AQ206">
            <v>281.5</v>
          </cell>
        </row>
        <row r="207">
          <cell r="S207">
            <v>62</v>
          </cell>
          <cell r="X207">
            <v>84.1</v>
          </cell>
          <cell r="Y207">
            <v>44.9</v>
          </cell>
          <cell r="Z207">
            <v>39.200000000000003</v>
          </cell>
          <cell r="AA207">
            <v>13714</v>
          </cell>
          <cell r="AC207">
            <v>81.2</v>
          </cell>
          <cell r="AD207">
            <v>32.799999999999997</v>
          </cell>
          <cell r="AE207">
            <v>48.4</v>
          </cell>
          <cell r="AI207">
            <v>0</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I208">
            <v>159.4</v>
          </cell>
          <cell r="AJ208" t="str">
            <v/>
          </cell>
          <cell r="AK208">
            <v>41877</v>
          </cell>
          <cell r="AL208">
            <v>16729</v>
          </cell>
          <cell r="AM208">
            <v>25148</v>
          </cell>
          <cell r="AN208">
            <v>74.900000000000006</v>
          </cell>
          <cell r="AO208">
            <v>14810</v>
          </cell>
          <cell r="AP208">
            <v>3112.427048260382</v>
          </cell>
          <cell r="AQ208">
            <v>11697.572951739618</v>
          </cell>
          <cell r="AR208" t="str">
            <v/>
          </cell>
        </row>
        <row r="209">
          <cell r="S209">
            <v>167.97</v>
          </cell>
          <cell r="X209">
            <v>190.04</v>
          </cell>
          <cell r="Y209">
            <v>209.02</v>
          </cell>
          <cell r="Z209">
            <v>168.29</v>
          </cell>
          <cell r="AA209">
            <v>3965</v>
          </cell>
          <cell r="AC209">
            <v>190.65</v>
          </cell>
          <cell r="AD209">
            <v>223.9</v>
          </cell>
          <cell r="AE209">
            <v>168.12</v>
          </cell>
          <cell r="AI209">
            <v>26797</v>
          </cell>
          <cell r="AJ209" t="str">
            <v/>
          </cell>
          <cell r="AK209">
            <v>184.24</v>
          </cell>
          <cell r="AL209">
            <v>215.3</v>
          </cell>
          <cell r="AM209">
            <v>168.1</v>
          </cell>
          <cell r="AN209">
            <v>3112.427048260382</v>
          </cell>
          <cell r="AO209">
            <v>41.55</v>
          </cell>
          <cell r="AP209">
            <v>41.55</v>
          </cell>
          <cell r="AQ209">
            <v>41.55</v>
          </cell>
          <cell r="AR209" t="str">
            <v/>
          </cell>
        </row>
        <row r="210">
          <cell r="S210">
            <v>168.21</v>
          </cell>
          <cell r="X210">
            <v>24969</v>
          </cell>
          <cell r="Y210">
            <v>168.03</v>
          </cell>
          <cell r="Z210">
            <v>168.01</v>
          </cell>
          <cell r="AC210">
            <v>24028</v>
          </cell>
          <cell r="AD210">
            <v>168.2</v>
          </cell>
          <cell r="AE210">
            <v>168.2</v>
          </cell>
          <cell r="AI210">
            <v>168.11</v>
          </cell>
          <cell r="AJ210">
            <v>168.1</v>
          </cell>
          <cell r="AK210">
            <v>68498</v>
          </cell>
          <cell r="AL210">
            <v>23068</v>
          </cell>
          <cell r="AM210">
            <v>0</v>
          </cell>
          <cell r="AN210">
            <v>41.55</v>
          </cell>
          <cell r="AO210">
            <v>52</v>
          </cell>
          <cell r="AP210">
            <v>52</v>
          </cell>
          <cell r="AQ210">
            <v>11697.572951739618</v>
          </cell>
        </row>
        <row r="211">
          <cell r="X211">
            <v>15982</v>
          </cell>
          <cell r="AC211">
            <v>15481</v>
          </cell>
          <cell r="AK211">
            <v>41877</v>
          </cell>
          <cell r="AL211">
            <v>16729</v>
          </cell>
          <cell r="AM211">
            <v>25148</v>
          </cell>
          <cell r="AN211">
            <v>52</v>
          </cell>
          <cell r="AO211">
            <v>14862</v>
          </cell>
          <cell r="AP211">
            <v>3164.427048260382</v>
          </cell>
          <cell r="AQ211">
            <v>11697.572951739618</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row>
        <row r="226">
          <cell r="G226" t="str">
            <v xml:space="preserve">О.М.НИКОЛЕНКО      </v>
          </cell>
        </row>
        <row r="229">
          <cell r="S229" t="str">
            <v>ТИС.ГРН.</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cell r="AP230">
            <v>1507.2</v>
          </cell>
        </row>
        <row r="233">
          <cell r="P233">
            <v>2409.6737288135591</v>
          </cell>
          <cell r="Q233">
            <v>1422</v>
          </cell>
          <cell r="R233">
            <v>796.42372881355914</v>
          </cell>
          <cell r="S233">
            <v>1077.625</v>
          </cell>
          <cell r="T233">
            <v>1129</v>
          </cell>
          <cell r="U233">
            <v>23976.15725132322</v>
          </cell>
          <cell r="V233" t="e">
            <v>#REF!</v>
          </cell>
          <cell r="W233">
            <v>44621.157251323224</v>
          </cell>
        </row>
        <row r="234">
          <cell r="P234">
            <v>733.8070175438595</v>
          </cell>
          <cell r="Q234">
            <v>1327</v>
          </cell>
          <cell r="R234">
            <v>742.99999999999977</v>
          </cell>
          <cell r="S234">
            <v>605</v>
          </cell>
          <cell r="T234">
            <v>117</v>
          </cell>
          <cell r="U234">
            <v>15320.660540053519</v>
          </cell>
          <cell r="V234" t="e">
            <v>#REF!</v>
          </cell>
        </row>
        <row r="236">
          <cell r="P236">
            <v>733.8070175438595</v>
          </cell>
          <cell r="S236">
            <v>685</v>
          </cell>
          <cell r="U236">
            <v>15689.007333333333</v>
          </cell>
          <cell r="V236">
            <v>15376.340666666665</v>
          </cell>
        </row>
        <row r="237">
          <cell r="P237">
            <v>431.86671126969964</v>
          </cell>
          <cell r="Q237">
            <v>63</v>
          </cell>
          <cell r="R237">
            <v>35.423728813559308</v>
          </cell>
          <cell r="S237">
            <v>537.625</v>
          </cell>
          <cell r="T237">
            <v>1012</v>
          </cell>
          <cell r="U237">
            <v>4138.4967112696995</v>
          </cell>
          <cell r="V237">
            <v>4138.4967112696995</v>
          </cell>
        </row>
        <row r="238">
          <cell r="P238">
            <v>131.12735849056605</v>
          </cell>
          <cell r="S238">
            <v>146.625</v>
          </cell>
          <cell r="U238">
            <v>1220.7727272727273</v>
          </cell>
          <cell r="V238">
            <v>1231.382075471698</v>
          </cell>
          <cell r="AG238" t="str">
            <v xml:space="preserve">         Затверджую</v>
          </cell>
        </row>
        <row r="239">
          <cell r="P239">
            <v>42</v>
          </cell>
          <cell r="Q239">
            <v>0</v>
          </cell>
          <cell r="R239">
            <v>0</v>
          </cell>
          <cell r="S239">
            <v>0</v>
          </cell>
          <cell r="T239">
            <v>0</v>
          </cell>
          <cell r="U239">
            <v>3586.2745410050566</v>
          </cell>
          <cell r="V239">
            <v>3586.2745410050566</v>
          </cell>
          <cell r="AG239" t="str">
            <v xml:space="preserve"> Голова правління </v>
          </cell>
        </row>
        <row r="240">
          <cell r="P240">
            <v>12</v>
          </cell>
          <cell r="S240">
            <v>0</v>
          </cell>
          <cell r="U240">
            <v>589</v>
          </cell>
          <cell r="V240">
            <v>589</v>
          </cell>
          <cell r="AG240" t="str">
            <v xml:space="preserve">                        І.В.Плачков</v>
          </cell>
        </row>
        <row r="241">
          <cell r="P241">
            <v>30</v>
          </cell>
          <cell r="S241">
            <v>0</v>
          </cell>
          <cell r="U241">
            <v>53.583333333333336</v>
          </cell>
          <cell r="V241">
            <v>53.583333333333336</v>
          </cell>
          <cell r="AC241">
            <v>6</v>
          </cell>
          <cell r="AD241">
            <v>6</v>
          </cell>
          <cell r="AE241">
            <v>12</v>
          </cell>
          <cell r="AG241" t="str">
            <v xml:space="preserve">   "_____" ________2000 р.</v>
          </cell>
        </row>
        <row r="242">
          <cell r="U242">
            <v>-149.73279232827699</v>
          </cell>
          <cell r="V242">
            <v>-149.73279232827699</v>
          </cell>
        </row>
        <row r="243">
          <cell r="U243">
            <v>2421.3333333333335</v>
          </cell>
          <cell r="V243">
            <v>2421.3333333333335</v>
          </cell>
        </row>
        <row r="244">
          <cell r="P244">
            <v>0</v>
          </cell>
          <cell r="Q244">
            <v>0</v>
          </cell>
          <cell r="R244">
            <v>0</v>
          </cell>
          <cell r="S244">
            <v>0</v>
          </cell>
          <cell r="U244">
            <v>672.09066666666661</v>
          </cell>
          <cell r="V244">
            <v>672.09066666666661</v>
          </cell>
          <cell r="AG244" t="str">
            <v xml:space="preserve">         Затверджую</v>
          </cell>
        </row>
        <row r="245">
          <cell r="F245" t="str">
            <v>РОЗРАХУНОК ФІНАНСОВИХ ПОТОКІВ НА   березень  2000 року</v>
          </cell>
          <cell r="V245">
            <v>0</v>
          </cell>
          <cell r="AG245" t="str">
            <v xml:space="preserve"> Голова правління </v>
          </cell>
        </row>
        <row r="246">
          <cell r="F246" t="str">
            <v>ПО ФІЛІАЛАХ АК КИЇВЕНЕРГО</v>
          </cell>
          <cell r="P246">
            <v>450</v>
          </cell>
          <cell r="S246">
            <v>406</v>
          </cell>
          <cell r="U246">
            <v>4903</v>
          </cell>
          <cell r="V246">
            <v>4635</v>
          </cell>
          <cell r="AG246" t="str">
            <v xml:space="preserve">                        І.В.Плачков</v>
          </cell>
        </row>
        <row r="247">
          <cell r="P247">
            <v>1174</v>
          </cell>
          <cell r="S247">
            <v>0</v>
          </cell>
          <cell r="U247">
            <v>2921</v>
          </cell>
          <cell r="V247">
            <v>2921</v>
          </cell>
          <cell r="AG247" t="str">
            <v xml:space="preserve">   "_____" ________2000 р.</v>
          </cell>
        </row>
        <row r="248">
          <cell r="V248">
            <v>0</v>
          </cell>
          <cell r="AG248" t="str">
            <v xml:space="preserve">   "_____" ________2000 р.</v>
          </cell>
        </row>
        <row r="249">
          <cell r="P249">
            <v>-100</v>
          </cell>
          <cell r="Q249">
            <v>0</v>
          </cell>
          <cell r="R249">
            <v>0</v>
          </cell>
          <cell r="S249">
            <v>0</v>
          </cell>
          <cell r="T249">
            <v>0</v>
          </cell>
          <cell r="U249">
            <v>-578</v>
          </cell>
          <cell r="V249">
            <v>-578</v>
          </cell>
        </row>
        <row r="250">
          <cell r="P250">
            <v>0</v>
          </cell>
          <cell r="Q250">
            <v>0</v>
          </cell>
          <cell r="R250">
            <v>0</v>
          </cell>
          <cell r="S250">
            <v>0</v>
          </cell>
          <cell r="T250">
            <v>0</v>
          </cell>
          <cell r="U250">
            <v>0</v>
          </cell>
          <cell r="V250">
            <v>0</v>
          </cell>
        </row>
        <row r="251">
          <cell r="F251" t="str">
            <v>РОЗРАХУНОК ФІНАНСОВИХ ПОТОКІВ НА   березень  2000 року</v>
          </cell>
          <cell r="V251">
            <v>0</v>
          </cell>
          <cell r="AI251" t="str">
            <v>тис.грн.</v>
          </cell>
        </row>
        <row r="252">
          <cell r="F252" t="str">
            <v>ПО ФІЛІАЛАХ АК КИЇВЕНЕРГО</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U253">
            <v>200</v>
          </cell>
          <cell r="V253">
            <v>200</v>
          </cell>
          <cell r="X253">
            <v>2672.4863636363625</v>
          </cell>
          <cell r="AC253">
            <v>1389.1963636363635</v>
          </cell>
          <cell r="AF253">
            <v>4185.9539393939394</v>
          </cell>
          <cell r="AG253">
            <v>3391.2</v>
          </cell>
          <cell r="AH253">
            <v>794.7539393939395</v>
          </cell>
          <cell r="AI253">
            <v>27896.847545454541</v>
          </cell>
        </row>
        <row r="254">
          <cell r="V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G259" t="str">
            <v>АПАРАТ ЕЛЕКТРО</v>
          </cell>
          <cell r="H259" t="str">
            <v>АПАРАТ ТЕПЛО</v>
          </cell>
          <cell r="P259">
            <v>5528.9166666666661</v>
          </cell>
          <cell r="Q259" t="str">
            <v>ТМ</v>
          </cell>
          <cell r="S259">
            <v>11148.516969696972</v>
          </cell>
          <cell r="T259" t="str">
            <v>ВИРОБН</v>
          </cell>
          <cell r="U259" t="str">
            <v>ПЕРЕД</v>
          </cell>
          <cell r="V259">
            <v>2217</v>
          </cell>
          <cell r="X259">
            <v>3572.9196969697005</v>
          </cell>
          <cell r="Y259" t="str">
            <v>Е/Е</v>
          </cell>
          <cell r="Z259" t="str">
            <v xml:space="preserve"> Т/Е</v>
          </cell>
          <cell r="AC259">
            <v>1815.6175757575729</v>
          </cell>
          <cell r="AD259" t="str">
            <v>Е/Е</v>
          </cell>
          <cell r="AE259" t="str">
            <v xml:space="preserve"> Т/Е</v>
          </cell>
          <cell r="AF259">
            <v>5288.3842424242421</v>
          </cell>
          <cell r="AG259">
            <v>4487.3999999999996</v>
          </cell>
          <cell r="AH259">
            <v>801.98424242424232</v>
          </cell>
          <cell r="AI259">
            <v>5607</v>
          </cell>
          <cell r="AJ259">
            <v>7599</v>
          </cell>
          <cell r="AK259">
            <v>32648.355151515156</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7422.5571428571438</v>
          </cell>
          <cell r="G262">
            <v>1518.0409150901905</v>
          </cell>
          <cell r="H262">
            <v>2928.9590849098108</v>
          </cell>
          <cell r="P262">
            <v>3433.9999999999991</v>
          </cell>
          <cell r="Q262">
            <v>0</v>
          </cell>
          <cell r="R262">
            <v>0</v>
          </cell>
          <cell r="S262">
            <v>4201.3333333333358</v>
          </cell>
          <cell r="T262">
            <v>3752.599999999999</v>
          </cell>
          <cell r="U262">
            <v>1487.7333333333331</v>
          </cell>
          <cell r="V262">
            <v>0</v>
          </cell>
          <cell r="W262">
            <v>0</v>
          </cell>
          <cell r="X262">
            <v>1311.3333333333371</v>
          </cell>
          <cell r="Y262">
            <v>1280</v>
          </cell>
          <cell r="Z262">
            <v>1117.333333333333</v>
          </cell>
          <cell r="AA262">
            <v>0</v>
          </cell>
          <cell r="AB262">
            <v>0</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v>67522.157142857148</v>
          </cell>
          <cell r="G263">
            <v>1693.9907526329307</v>
          </cell>
          <cell r="H263">
            <v>3557.0092473670693</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J263">
            <v>-2455</v>
          </cell>
          <cell r="AK263">
            <v>67522.157142857148</v>
          </cell>
          <cell r="AM263">
            <v>17399.198571428577</v>
          </cell>
        </row>
        <row r="264">
          <cell r="F264">
            <v>41877</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41877</v>
          </cell>
        </row>
        <row r="265">
          <cell r="F265">
            <v>15510</v>
          </cell>
          <cell r="P265">
            <v>168</v>
          </cell>
          <cell r="Q265">
            <v>108</v>
          </cell>
          <cell r="R265">
            <v>60</v>
          </cell>
          <cell r="S265">
            <v>0</v>
          </cell>
          <cell r="T265">
            <v>16</v>
          </cell>
          <cell r="U265">
            <v>405.33333333333348</v>
          </cell>
          <cell r="AI265">
            <v>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v>660.3</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660.3</v>
          </cell>
        </row>
        <row r="268">
          <cell r="F268">
            <v>0</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v>1380.8571428571431</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3500</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821</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821</v>
          </cell>
        </row>
        <row r="273">
          <cell r="F273">
            <v>3580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3580</v>
          </cell>
        </row>
        <row r="274">
          <cell r="F274">
            <v>193</v>
          </cell>
          <cell r="P274">
            <v>0</v>
          </cell>
          <cell r="S274">
            <v>0</v>
          </cell>
          <cell r="X274">
            <v>0</v>
          </cell>
          <cell r="AC274">
            <v>0</v>
          </cell>
          <cell r="AF274">
            <v>0</v>
          </cell>
          <cell r="AG274">
            <v>0</v>
          </cell>
          <cell r="AH274">
            <v>0</v>
          </cell>
          <cell r="AI274">
            <v>1640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I275">
            <v>952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I276">
            <v>1370</v>
          </cell>
          <cell r="AK276">
            <v>16370.473333333333</v>
          </cell>
        </row>
        <row r="277">
          <cell r="F277">
            <v>587</v>
          </cell>
          <cell r="G277">
            <v>162</v>
          </cell>
          <cell r="H277">
            <v>425</v>
          </cell>
          <cell r="P277">
            <v>953.25</v>
          </cell>
          <cell r="Q277">
            <v>0</v>
          </cell>
          <cell r="R277">
            <v>0</v>
          </cell>
          <cell r="S277">
            <v>1921.8199999999997</v>
          </cell>
          <cell r="T277">
            <v>697.23998181818172</v>
          </cell>
          <cell r="U277">
            <v>725.94365454545448</v>
          </cell>
          <cell r="V277">
            <v>0</v>
          </cell>
          <cell r="W277">
            <v>0</v>
          </cell>
          <cell r="X277">
            <v>639.95000000000005</v>
          </cell>
          <cell r="Y277">
            <v>204</v>
          </cell>
          <cell r="Z277">
            <v>177.58636363636367</v>
          </cell>
          <cell r="AA277">
            <v>0</v>
          </cell>
          <cell r="AB277">
            <v>9</v>
          </cell>
          <cell r="AC277">
            <v>535.86</v>
          </cell>
          <cell r="AD277">
            <v>144</v>
          </cell>
          <cell r="AE277">
            <v>210.95090909090914</v>
          </cell>
          <cell r="AF277">
            <v>1759.96</v>
          </cell>
          <cell r="AG277">
            <v>1759.909090909091</v>
          </cell>
          <cell r="AH277">
            <v>5.0909090909044608E-2</v>
          </cell>
          <cell r="AI277">
            <v>710</v>
          </cell>
          <cell r="AK277">
            <v>6760.8399999999992</v>
          </cell>
        </row>
        <row r="278">
          <cell r="F278">
            <v>0</v>
          </cell>
          <cell r="G278">
            <v>158</v>
          </cell>
          <cell r="H278">
            <v>429</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I278">
            <v>1174.4000000000001</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I279">
            <v>4</v>
          </cell>
          <cell r="AK279">
            <v>4987</v>
          </cell>
        </row>
        <row r="280">
          <cell r="F280">
            <v>159</v>
          </cell>
          <cell r="P280">
            <v>260</v>
          </cell>
          <cell r="Q280">
            <v>0</v>
          </cell>
          <cell r="R280">
            <v>0</v>
          </cell>
          <cell r="S280">
            <v>650</v>
          </cell>
          <cell r="T280">
            <v>0</v>
          </cell>
          <cell r="U280">
            <v>0</v>
          </cell>
          <cell r="V280">
            <v>0</v>
          </cell>
          <cell r="W280">
            <v>0</v>
          </cell>
          <cell r="X280">
            <v>132</v>
          </cell>
          <cell r="Y280">
            <v>0</v>
          </cell>
          <cell r="Z280">
            <v>0</v>
          </cell>
          <cell r="AA280">
            <v>0</v>
          </cell>
          <cell r="AB280">
            <v>9</v>
          </cell>
          <cell r="AC280">
            <v>105</v>
          </cell>
          <cell r="AD280">
            <v>0</v>
          </cell>
          <cell r="AE280">
            <v>0</v>
          </cell>
          <cell r="AF280">
            <v>520</v>
          </cell>
          <cell r="AG280">
            <v>482</v>
          </cell>
          <cell r="AH280">
            <v>38</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480</v>
          </cell>
          <cell r="X282">
            <v>100</v>
          </cell>
          <cell r="AC282">
            <v>100</v>
          </cell>
          <cell r="AF282">
            <v>0</v>
          </cell>
          <cell r="AG282">
            <v>0</v>
          </cell>
          <cell r="AH282">
            <v>0</v>
          </cell>
          <cell r="AI282">
            <v>250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J284">
            <v>0</v>
          </cell>
          <cell r="AK284">
            <v>3712.333333333333</v>
          </cell>
        </row>
        <row r="285">
          <cell r="F285">
            <v>0</v>
          </cell>
          <cell r="P285">
            <v>0</v>
          </cell>
          <cell r="Q285">
            <v>0</v>
          </cell>
          <cell r="R285">
            <v>0</v>
          </cell>
          <cell r="S285">
            <v>0</v>
          </cell>
          <cell r="T285">
            <v>0</v>
          </cell>
          <cell r="U285">
            <v>0</v>
          </cell>
          <cell r="V285">
            <v>0</v>
          </cell>
          <cell r="W285">
            <v>0</v>
          </cell>
          <cell r="X285">
            <v>20</v>
          </cell>
          <cell r="Y285">
            <v>0</v>
          </cell>
          <cell r="Z285">
            <v>0</v>
          </cell>
          <cell r="AA285">
            <v>0</v>
          </cell>
          <cell r="AB285">
            <v>0</v>
          </cell>
          <cell r="AC285">
            <v>0</v>
          </cell>
          <cell r="AD285">
            <v>0</v>
          </cell>
          <cell r="AE285">
            <v>0</v>
          </cell>
          <cell r="AF285">
            <v>0</v>
          </cell>
          <cell r="AG285">
            <v>0</v>
          </cell>
          <cell r="AH285">
            <v>0</v>
          </cell>
          <cell r="AI285">
            <v>14738.47387878788</v>
          </cell>
          <cell r="AK285">
            <v>20</v>
          </cell>
        </row>
        <row r="286">
          <cell r="F286">
            <v>5</v>
          </cell>
          <cell r="P286">
            <v>58.666666666666664</v>
          </cell>
          <cell r="S286">
            <v>2370</v>
          </cell>
          <cell r="X286">
            <v>0</v>
          </cell>
          <cell r="AC286">
            <v>0</v>
          </cell>
          <cell r="AF286">
            <v>900.66666666666663</v>
          </cell>
          <cell r="AG286">
            <v>270</v>
          </cell>
          <cell r="AH286">
            <v>630.66666666666663</v>
          </cell>
          <cell r="AI286">
            <v>5357.15</v>
          </cell>
          <cell r="AK286">
            <v>3334.333333333333</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358</v>
          </cell>
        </row>
        <row r="288">
          <cell r="F288">
            <v>0</v>
          </cell>
          <cell r="P288">
            <v>0</v>
          </cell>
          <cell r="S288">
            <v>250</v>
          </cell>
          <cell r="X288">
            <v>0</v>
          </cell>
          <cell r="AC288">
            <v>0</v>
          </cell>
          <cell r="AF288">
            <v>0</v>
          </cell>
          <cell r="AG288">
            <v>0</v>
          </cell>
          <cell r="AH288">
            <v>0</v>
          </cell>
          <cell r="AI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I289">
            <v>0</v>
          </cell>
          <cell r="AK289">
            <v>83800.038961038968</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18808.215151515153</v>
          </cell>
        </row>
        <row r="292">
          <cell r="F292">
            <v>1758</v>
          </cell>
          <cell r="P292">
            <v>3177</v>
          </cell>
          <cell r="Q292">
            <v>0</v>
          </cell>
          <cell r="R292">
            <v>0</v>
          </cell>
          <cell r="S292">
            <v>2737</v>
          </cell>
          <cell r="T292">
            <v>0</v>
          </cell>
          <cell r="U292">
            <v>0</v>
          </cell>
          <cell r="V292">
            <v>0</v>
          </cell>
          <cell r="W292">
            <v>0</v>
          </cell>
          <cell r="X292">
            <v>125</v>
          </cell>
          <cell r="Y292">
            <v>0</v>
          </cell>
          <cell r="Z292">
            <v>0</v>
          </cell>
          <cell r="AA292">
            <v>0</v>
          </cell>
          <cell r="AB292">
            <v>0</v>
          </cell>
          <cell r="AC292">
            <v>70</v>
          </cell>
          <cell r="AD292">
            <v>0</v>
          </cell>
          <cell r="AE292">
            <v>0</v>
          </cell>
          <cell r="AF292">
            <v>861</v>
          </cell>
          <cell r="AG292">
            <v>461</v>
          </cell>
          <cell r="AH292">
            <v>0</v>
          </cell>
          <cell r="AI292">
            <v>595.26666666666665</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I293">
            <v>4491.7666666666664</v>
          </cell>
          <cell r="AK293">
            <v>4839.181818181818</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K294">
            <v>0</v>
          </cell>
        </row>
        <row r="295">
          <cell r="F295">
            <v>0</v>
          </cell>
          <cell r="P295">
            <v>0</v>
          </cell>
          <cell r="S295">
            <v>0</v>
          </cell>
          <cell r="X295">
            <v>0</v>
          </cell>
          <cell r="AC295">
            <v>0</v>
          </cell>
          <cell r="AF295">
            <v>0</v>
          </cell>
          <cell r="AG295">
            <v>0</v>
          </cell>
          <cell r="AH295">
            <v>0</v>
          </cell>
          <cell r="AI295">
            <v>12</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I296" t="e">
            <v>#REF!</v>
          </cell>
          <cell r="AK296">
            <v>5229.0333333333338</v>
          </cell>
        </row>
        <row r="297">
          <cell r="F297">
            <v>2</v>
          </cell>
          <cell r="P297">
            <v>0</v>
          </cell>
          <cell r="Q297">
            <v>0</v>
          </cell>
          <cell r="R297">
            <v>0</v>
          </cell>
          <cell r="S297">
            <v>219</v>
          </cell>
          <cell r="T297">
            <v>0</v>
          </cell>
          <cell r="U297">
            <v>0</v>
          </cell>
          <cell r="V297">
            <v>0</v>
          </cell>
          <cell r="W297">
            <v>0</v>
          </cell>
          <cell r="X297">
            <v>93.666666666666629</v>
          </cell>
          <cell r="Y297">
            <v>0</v>
          </cell>
          <cell r="Z297">
            <v>0</v>
          </cell>
          <cell r="AA297">
            <v>0</v>
          </cell>
          <cell r="AB297">
            <v>0</v>
          </cell>
          <cell r="AC297">
            <v>93</v>
          </cell>
          <cell r="AD297">
            <v>0</v>
          </cell>
          <cell r="AE297">
            <v>0</v>
          </cell>
          <cell r="AF297">
            <v>0</v>
          </cell>
          <cell r="AG297">
            <v>0</v>
          </cell>
          <cell r="AH297">
            <v>0</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G299">
            <v>0</v>
          </cell>
          <cell r="H299">
            <v>0</v>
          </cell>
          <cell r="P299">
            <v>105.66666666666667</v>
          </cell>
          <cell r="Q299">
            <v>0</v>
          </cell>
          <cell r="R299">
            <v>0</v>
          </cell>
          <cell r="S299">
            <v>242.66666666666666</v>
          </cell>
          <cell r="T299">
            <v>-611.67619393939378</v>
          </cell>
          <cell r="U299">
            <v>-622.76501818181805</v>
          </cell>
          <cell r="V299">
            <v>0</v>
          </cell>
          <cell r="W299">
            <v>0</v>
          </cell>
          <cell r="X299">
            <v>88.666666666666671</v>
          </cell>
          <cell r="Y299">
            <v>-790</v>
          </cell>
          <cell r="Z299">
            <v>-326.08636363636373</v>
          </cell>
          <cell r="AA299">
            <v>0</v>
          </cell>
          <cell r="AB299">
            <v>0</v>
          </cell>
          <cell r="AC299">
            <v>69.333333333333343</v>
          </cell>
          <cell r="AF299">
            <v>250.33333333333331</v>
          </cell>
          <cell r="AG299">
            <v>183.4</v>
          </cell>
          <cell r="AH299">
            <v>66.933333333333309</v>
          </cell>
          <cell r="AI299" t="e">
            <v>#REF!</v>
          </cell>
          <cell r="AK299">
            <v>3585.6666666666665</v>
          </cell>
        </row>
        <row r="300">
          <cell r="F300">
            <v>3058</v>
          </cell>
          <cell r="P300">
            <v>0</v>
          </cell>
          <cell r="S300">
            <v>172.46666666666664</v>
          </cell>
          <cell r="X300">
            <v>142.33666666666667</v>
          </cell>
          <cell r="AC300">
            <v>56.933333333333337</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-3</v>
          </cell>
          <cell r="AG301">
            <v>5</v>
          </cell>
          <cell r="AH301">
            <v>-8</v>
          </cell>
          <cell r="AI301">
            <v>0</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I302">
            <v>0</v>
          </cell>
          <cell r="AK302">
            <v>83800.038961038968</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0</v>
          </cell>
        </row>
        <row r="312">
          <cell r="P312">
            <v>0</v>
          </cell>
          <cell r="AK312">
            <v>0</v>
          </cell>
        </row>
        <row r="313">
          <cell r="P313">
            <v>0</v>
          </cell>
          <cell r="S313">
            <v>0</v>
          </cell>
          <cell r="AI313">
            <v>0</v>
          </cell>
          <cell r="AK313">
            <v>0</v>
          </cell>
        </row>
        <row r="314">
          <cell r="F314">
            <v>3480</v>
          </cell>
          <cell r="S314">
            <v>0</v>
          </cell>
          <cell r="AK314">
            <v>3480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1910</v>
          </cell>
          <cell r="AM331">
            <v>1430</v>
          </cell>
        </row>
        <row r="332">
          <cell r="F332">
            <v>160</v>
          </cell>
          <cell r="P332">
            <v>319</v>
          </cell>
          <cell r="S332">
            <v>425</v>
          </cell>
          <cell r="X332">
            <v>175</v>
          </cell>
          <cell r="AC332">
            <v>147</v>
          </cell>
          <cell r="AF332">
            <v>480</v>
          </cell>
          <cell r="AG332">
            <v>418</v>
          </cell>
          <cell r="AH332">
            <v>62</v>
          </cell>
          <cell r="AI332">
            <v>538</v>
          </cell>
          <cell r="AJ332">
            <v>36</v>
          </cell>
          <cell r="AK332">
            <v>6362.1571428571433</v>
          </cell>
          <cell r="AM332">
            <v>6362.1571428571433</v>
          </cell>
        </row>
        <row r="333">
          <cell r="AI333" t="e">
            <v>#REF!</v>
          </cell>
          <cell r="AJ333">
            <v>36</v>
          </cell>
          <cell r="AK333">
            <v>660.3</v>
          </cell>
          <cell r="AM333">
            <v>660.3</v>
          </cell>
        </row>
        <row r="334">
          <cell r="AI334">
            <v>0</v>
          </cell>
          <cell r="AJ334">
            <v>36</v>
          </cell>
          <cell r="AK334">
            <v>-3</v>
          </cell>
          <cell r="AM334">
            <v>0</v>
          </cell>
        </row>
        <row r="335">
          <cell r="AI335">
            <v>5357.15</v>
          </cell>
          <cell r="AJ335">
            <v>36</v>
          </cell>
          <cell r="AK335">
            <v>1380.8571428571431</v>
          </cell>
          <cell r="AM335">
            <v>1380.8571428571431</v>
          </cell>
        </row>
        <row r="336">
          <cell r="AI336">
            <v>4025.8545454545456</v>
          </cell>
          <cell r="AK336">
            <v>3500</v>
          </cell>
          <cell r="AM336">
            <v>3500</v>
          </cell>
        </row>
        <row r="337">
          <cell r="AI337">
            <v>0</v>
          </cell>
          <cell r="AK337">
            <v>0</v>
          </cell>
          <cell r="AM337">
            <v>3500</v>
          </cell>
        </row>
        <row r="338">
          <cell r="AI338">
            <v>0</v>
          </cell>
          <cell r="AK338">
            <v>821</v>
          </cell>
          <cell r="AM338">
            <v>821</v>
          </cell>
        </row>
        <row r="339">
          <cell r="AI339">
            <v>0</v>
          </cell>
          <cell r="AK339">
            <v>3580</v>
          </cell>
          <cell r="AM339">
            <v>1200</v>
          </cell>
        </row>
        <row r="340">
          <cell r="AI340">
            <v>4672</v>
          </cell>
          <cell r="AK340">
            <v>0</v>
          </cell>
          <cell r="AM340">
            <v>0</v>
          </cell>
        </row>
        <row r="341">
          <cell r="AI341">
            <v>1640</v>
          </cell>
          <cell r="AK341">
            <v>8743</v>
          </cell>
          <cell r="AM341">
            <v>7882</v>
          </cell>
        </row>
        <row r="342">
          <cell r="AI342">
            <v>952</v>
          </cell>
          <cell r="AK342">
            <v>4839.181818181818</v>
          </cell>
          <cell r="AM342">
            <v>4100.090909090909</v>
          </cell>
        </row>
        <row r="343">
          <cell r="AI343">
            <v>1370</v>
          </cell>
          <cell r="AK343">
            <v>0</v>
          </cell>
          <cell r="AM343">
            <v>0</v>
          </cell>
        </row>
        <row r="344">
          <cell r="AI344">
            <v>710</v>
          </cell>
          <cell r="AK344">
            <v>0</v>
          </cell>
          <cell r="AM344">
            <v>0</v>
          </cell>
        </row>
        <row r="345">
          <cell r="AI345">
            <v>0</v>
          </cell>
          <cell r="AK345">
            <v>0</v>
          </cell>
          <cell r="AM345">
            <v>0</v>
          </cell>
        </row>
        <row r="346">
          <cell r="AI346">
            <v>4</v>
          </cell>
          <cell r="AK346">
            <v>4987</v>
          </cell>
          <cell r="AM346">
            <v>4385</v>
          </cell>
        </row>
        <row r="347">
          <cell r="AI347">
            <v>814.4</v>
          </cell>
          <cell r="AK347">
            <v>1860</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cell r="AM349">
            <v>1041</v>
          </cell>
        </row>
        <row r="350">
          <cell r="F350">
            <v>33</v>
          </cell>
          <cell r="P350">
            <v>0</v>
          </cell>
          <cell r="S350">
            <v>0</v>
          </cell>
          <cell r="X350">
            <v>0</v>
          </cell>
          <cell r="AC350">
            <v>0</v>
          </cell>
          <cell r="AF350">
            <v>0</v>
          </cell>
          <cell r="AG350">
            <v>0</v>
          </cell>
          <cell r="AH350">
            <v>0</v>
          </cell>
          <cell r="AI350">
            <v>389</v>
          </cell>
          <cell r="AK350">
            <v>984</v>
          </cell>
        </row>
        <row r="351">
          <cell r="AI351">
            <v>295</v>
          </cell>
          <cell r="AK351">
            <v>0</v>
          </cell>
          <cell r="AM351">
            <v>0</v>
          </cell>
        </row>
        <row r="352">
          <cell r="AI352">
            <v>0</v>
          </cell>
          <cell r="AK352">
            <v>20</v>
          </cell>
          <cell r="AM352">
            <v>20</v>
          </cell>
        </row>
        <row r="353">
          <cell r="AI353">
            <v>0</v>
          </cell>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v>283.18181818181824</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F357">
            <v>0</v>
          </cell>
          <cell r="P357">
            <v>0</v>
          </cell>
          <cell r="S357">
            <v>0</v>
          </cell>
          <cell r="X357">
            <v>0</v>
          </cell>
          <cell r="AC357">
            <v>0</v>
          </cell>
          <cell r="AF357">
            <v>0</v>
          </cell>
          <cell r="AG357">
            <v>0</v>
          </cell>
          <cell r="AH357">
            <v>0</v>
          </cell>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0</v>
          </cell>
          <cell r="AM358">
            <v>0</v>
          </cell>
        </row>
        <row r="359">
          <cell r="AK359">
            <v>0</v>
          </cell>
          <cell r="AM359">
            <v>0</v>
          </cell>
        </row>
        <row r="360">
          <cell r="AJ360">
            <v>-2491</v>
          </cell>
          <cell r="AK360">
            <v>5229.0333333333338</v>
          </cell>
          <cell r="AM360" t="e">
            <v>#REF!</v>
          </cell>
        </row>
        <row r="361">
          <cell r="AJ361">
            <v>-2491</v>
          </cell>
          <cell r="AK361">
            <v>441.66666666666663</v>
          </cell>
          <cell r="AM361" t="e">
            <v>#REF!</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АППАРАТ</v>
          </cell>
          <cell r="G386">
            <v>0</v>
          </cell>
          <cell r="P386" t="str">
            <v>ККМ</v>
          </cell>
          <cell r="X386" t="str">
            <v>ТЕЦ5</v>
          </cell>
          <cell r="Y386">
            <v>104</v>
          </cell>
          <cell r="AC386" t="str">
            <v>ТЕЦ6</v>
          </cell>
          <cell r="AD386">
            <v>147</v>
          </cell>
          <cell r="AI386">
            <v>428</v>
          </cell>
          <cell r="AJ386">
            <v>251.66666666666669</v>
          </cell>
          <cell r="AK386" t="str">
            <v>АК "КЕ"</v>
          </cell>
          <cell r="AL386" t="str">
            <v>Е/Е</v>
          </cell>
        </row>
        <row r="387">
          <cell r="F387" t="str">
            <v>ПЛАН</v>
          </cell>
          <cell r="G387">
            <v>0</v>
          </cell>
          <cell r="P387" t="str">
            <v>ПЛАН</v>
          </cell>
          <cell r="X387" t="str">
            <v>ПЛАН</v>
          </cell>
          <cell r="Y387">
            <v>0</v>
          </cell>
          <cell r="AC387" t="str">
            <v>ПЛАН</v>
          </cell>
          <cell r="AD387">
            <v>13</v>
          </cell>
          <cell r="AI387">
            <v>33.666666666666671</v>
          </cell>
          <cell r="AJ387">
            <v>18</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I388">
            <v>26</v>
          </cell>
          <cell r="AJ388">
            <v>18</v>
          </cell>
          <cell r="AK388">
            <v>735.30000000000018</v>
          </cell>
          <cell r="AL388">
            <v>469.33333333333337</v>
          </cell>
          <cell r="AM388">
            <v>312.33333333333331</v>
          </cell>
        </row>
        <row r="389">
          <cell r="F389">
            <v>29</v>
          </cell>
          <cell r="G389">
            <v>10</v>
          </cell>
          <cell r="H389">
            <v>51</v>
          </cell>
          <cell r="P389">
            <v>0</v>
          </cell>
          <cell r="S389">
            <v>14.333333333333332</v>
          </cell>
          <cell r="X389">
            <v>0</v>
          </cell>
          <cell r="Y389">
            <v>0</v>
          </cell>
          <cell r="Z389">
            <v>76</v>
          </cell>
          <cell r="AC389">
            <v>3.6666666666666665</v>
          </cell>
          <cell r="AD389">
            <v>1</v>
          </cell>
          <cell r="AE389">
            <v>147</v>
          </cell>
          <cell r="AI389">
            <v>120.63333333333333</v>
          </cell>
          <cell r="AJ389">
            <v>73</v>
          </cell>
          <cell r="AK389">
            <v>46</v>
          </cell>
          <cell r="AL389">
            <v>14</v>
          </cell>
          <cell r="AM389">
            <v>303.33333333333326</v>
          </cell>
        </row>
        <row r="390">
          <cell r="F390">
            <v>0</v>
          </cell>
          <cell r="G390">
            <v>0</v>
          </cell>
          <cell r="P390">
            <v>0.66666666666666663</v>
          </cell>
          <cell r="X390">
            <v>146.66666666666666</v>
          </cell>
          <cell r="Y390">
            <v>78</v>
          </cell>
          <cell r="AC390">
            <v>280.66666666666669</v>
          </cell>
          <cell r="AD390">
            <v>113</v>
          </cell>
          <cell r="AI390">
            <v>8.6666666666666661</v>
          </cell>
          <cell r="AJ390">
            <v>0</v>
          </cell>
          <cell r="AK390">
            <v>428</v>
          </cell>
          <cell r="AL390">
            <v>191.66666666666669</v>
          </cell>
        </row>
        <row r="391">
          <cell r="F391">
            <v>0</v>
          </cell>
          <cell r="G391">
            <v>0</v>
          </cell>
          <cell r="P391">
            <v>2</v>
          </cell>
          <cell r="X391">
            <v>0</v>
          </cell>
          <cell r="Y391">
            <v>0</v>
          </cell>
          <cell r="AC391">
            <v>25</v>
          </cell>
          <cell r="AD391">
            <v>10</v>
          </cell>
          <cell r="AI391">
            <v>22</v>
          </cell>
          <cell r="AJ391">
            <v>15.333333333333332</v>
          </cell>
          <cell r="AK391">
            <v>33.666666666666671</v>
          </cell>
          <cell r="AL391">
            <v>15</v>
          </cell>
        </row>
        <row r="392">
          <cell r="F392">
            <v>0</v>
          </cell>
          <cell r="G392">
            <v>0</v>
          </cell>
          <cell r="P392">
            <v>0</v>
          </cell>
          <cell r="X392">
            <v>25.333333333333332</v>
          </cell>
          <cell r="Y392">
            <v>14</v>
          </cell>
          <cell r="AC392">
            <v>0.66666666666666663</v>
          </cell>
          <cell r="AD392">
            <v>0</v>
          </cell>
          <cell r="AI392">
            <v>5.333333333333333</v>
          </cell>
          <cell r="AJ392">
            <v>3</v>
          </cell>
          <cell r="AK392">
            <v>26</v>
          </cell>
          <cell r="AL392">
            <v>14</v>
          </cell>
        </row>
        <row r="393">
          <cell r="F393">
            <v>120.63333333333333</v>
          </cell>
          <cell r="G393">
            <v>41</v>
          </cell>
          <cell r="P393">
            <v>0</v>
          </cell>
          <cell r="X393">
            <v>0</v>
          </cell>
          <cell r="Y393">
            <v>0</v>
          </cell>
          <cell r="AC393">
            <v>0</v>
          </cell>
          <cell r="AD393">
            <v>0</v>
          </cell>
          <cell r="AI393">
            <v>4.6666666666666661</v>
          </cell>
          <cell r="AJ393">
            <v>4.333333333333333</v>
          </cell>
          <cell r="AK393">
            <v>120.63333333333333</v>
          </cell>
          <cell r="AL393">
            <v>43</v>
          </cell>
        </row>
        <row r="394">
          <cell r="F394">
            <v>8.6666666666666661</v>
          </cell>
          <cell r="G394">
            <v>3</v>
          </cell>
          <cell r="P394">
            <v>0</v>
          </cell>
          <cell r="X394">
            <v>0</v>
          </cell>
          <cell r="Y394">
            <v>0</v>
          </cell>
          <cell r="AC394">
            <v>0</v>
          </cell>
          <cell r="AD394">
            <v>0</v>
          </cell>
          <cell r="AI394">
            <v>26</v>
          </cell>
          <cell r="AJ394">
            <v>16</v>
          </cell>
          <cell r="AK394">
            <v>8.6666666666666661</v>
          </cell>
          <cell r="AL394">
            <v>0</v>
          </cell>
        </row>
        <row r="395">
          <cell r="F395">
            <v>0</v>
          </cell>
          <cell r="G395">
            <v>0</v>
          </cell>
          <cell r="P395">
            <v>5.333333333333333</v>
          </cell>
          <cell r="X395">
            <v>0</v>
          </cell>
          <cell r="Y395">
            <v>0</v>
          </cell>
          <cell r="AC395">
            <v>0</v>
          </cell>
          <cell r="AD395">
            <v>0</v>
          </cell>
          <cell r="AI395">
            <v>0</v>
          </cell>
          <cell r="AK395">
            <v>22</v>
          </cell>
          <cell r="AL395">
            <v>15.333333333333332</v>
          </cell>
        </row>
        <row r="396">
          <cell r="F396">
            <v>5.333333333333333</v>
          </cell>
          <cell r="G396">
            <v>2</v>
          </cell>
          <cell r="P396">
            <v>0</v>
          </cell>
          <cell r="X396">
            <v>0</v>
          </cell>
          <cell r="Y396">
            <v>0</v>
          </cell>
          <cell r="AC396">
            <v>0</v>
          </cell>
          <cell r="AD396">
            <v>0</v>
          </cell>
          <cell r="AI396">
            <v>587.33333333333337</v>
          </cell>
          <cell r="AJ396">
            <v>414.5</v>
          </cell>
          <cell r="AK396">
            <v>5.333333333333333</v>
          </cell>
          <cell r="AL396">
            <v>2</v>
          </cell>
        </row>
        <row r="397">
          <cell r="F397">
            <v>0.33333333333333331</v>
          </cell>
          <cell r="G397">
            <v>0</v>
          </cell>
          <cell r="P397">
            <v>4.333333333333333</v>
          </cell>
          <cell r="X397">
            <v>0</v>
          </cell>
          <cell r="Y397">
            <v>0</v>
          </cell>
          <cell r="AC397">
            <v>0</v>
          </cell>
          <cell r="AD397">
            <v>0</v>
          </cell>
          <cell r="AI397">
            <v>0</v>
          </cell>
          <cell r="AJ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cell r="AL399">
            <v>12</v>
          </cell>
        </row>
        <row r="400">
          <cell r="F400">
            <v>1.1666666666666667</v>
          </cell>
          <cell r="G400">
            <v>0</v>
          </cell>
          <cell r="P400">
            <v>20.5</v>
          </cell>
          <cell r="X400">
            <v>522.33333333333337</v>
          </cell>
          <cell r="Y400">
            <v>279</v>
          </cell>
          <cell r="AC400">
            <v>43</v>
          </cell>
          <cell r="AD400">
            <v>17</v>
          </cell>
          <cell r="AI400">
            <v>91</v>
          </cell>
          <cell r="AJ400">
            <v>68.833333333333343</v>
          </cell>
          <cell r="AK400">
            <v>587.33333333333337</v>
          </cell>
          <cell r="AL400">
            <v>316.5</v>
          </cell>
          <cell r="AM400">
            <v>316.83333333333331</v>
          </cell>
        </row>
        <row r="401">
          <cell r="F401">
            <v>0</v>
          </cell>
          <cell r="G401">
            <v>0</v>
          </cell>
          <cell r="P401">
            <v>0</v>
          </cell>
          <cell r="X401">
            <v>0</v>
          </cell>
          <cell r="Y401">
            <v>0</v>
          </cell>
          <cell r="AC401">
            <v>0</v>
          </cell>
          <cell r="AD401">
            <v>0</v>
          </cell>
          <cell r="AI401">
            <v>4.666666666666667</v>
          </cell>
          <cell r="AJ401">
            <v>0</v>
          </cell>
          <cell r="AK401">
            <v>0</v>
          </cell>
          <cell r="AL401">
            <v>0</v>
          </cell>
          <cell r="AM401">
            <v>257.83333333333331</v>
          </cell>
        </row>
        <row r="402">
          <cell r="F402">
            <v>0</v>
          </cell>
          <cell r="G402">
            <v>0</v>
          </cell>
          <cell r="P402">
            <v>0</v>
          </cell>
          <cell r="X402">
            <v>480.66666666666669</v>
          </cell>
          <cell r="Y402">
            <v>257</v>
          </cell>
          <cell r="AC402">
            <v>11</v>
          </cell>
          <cell r="AD402">
            <v>4</v>
          </cell>
          <cell r="AI402">
            <v>0</v>
          </cell>
          <cell r="AK402">
            <v>491.66666666666669</v>
          </cell>
          <cell r="AL402">
            <v>261</v>
          </cell>
        </row>
        <row r="403">
          <cell r="F403">
            <v>0</v>
          </cell>
          <cell r="G403">
            <v>0</v>
          </cell>
          <cell r="P403">
            <v>0</v>
          </cell>
          <cell r="X403">
            <v>0</v>
          </cell>
          <cell r="Y403">
            <v>0</v>
          </cell>
          <cell r="AC403">
            <v>0</v>
          </cell>
          <cell r="AD403">
            <v>0</v>
          </cell>
          <cell r="AI403">
            <v>49</v>
          </cell>
          <cell r="AJ403">
            <v>45</v>
          </cell>
          <cell r="AK403">
            <v>0</v>
          </cell>
          <cell r="AL403">
            <v>0</v>
          </cell>
        </row>
        <row r="404">
          <cell r="F404">
            <v>1.1666666666666667</v>
          </cell>
          <cell r="G404">
            <v>0</v>
          </cell>
          <cell r="P404">
            <v>15.833333333333334</v>
          </cell>
          <cell r="X404">
            <v>41.666666666666664</v>
          </cell>
          <cell r="Y404">
            <v>22</v>
          </cell>
          <cell r="AC404">
            <v>32</v>
          </cell>
          <cell r="AD404">
            <v>13</v>
          </cell>
          <cell r="AI404">
            <v>6</v>
          </cell>
          <cell r="AJ404">
            <v>5.3333333333333339</v>
          </cell>
          <cell r="AK404">
            <v>91</v>
          </cell>
          <cell r="AL404">
            <v>55.833333333333336</v>
          </cell>
        </row>
        <row r="405">
          <cell r="F405">
            <v>0</v>
          </cell>
          <cell r="G405">
            <v>0</v>
          </cell>
          <cell r="P405">
            <v>4.666666666666667</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cell r="AL406">
            <v>0</v>
          </cell>
        </row>
        <row r="407">
          <cell r="F407">
            <v>10</v>
          </cell>
          <cell r="G407">
            <v>3</v>
          </cell>
          <cell r="H407">
            <v>122</v>
          </cell>
          <cell r="P407">
            <v>39</v>
          </cell>
          <cell r="S407">
            <v>50.166666666666671</v>
          </cell>
          <cell r="X407">
            <v>0</v>
          </cell>
          <cell r="Y407">
            <v>0</v>
          </cell>
          <cell r="AC407">
            <v>0</v>
          </cell>
          <cell r="AD407">
            <v>0</v>
          </cell>
          <cell r="AI407">
            <v>1965.0000000000002</v>
          </cell>
          <cell r="AJ407">
            <v>471.16666666666663</v>
          </cell>
          <cell r="AK407">
            <v>49</v>
          </cell>
          <cell r="AL407">
            <v>42</v>
          </cell>
          <cell r="AM407">
            <v>43</v>
          </cell>
        </row>
        <row r="408">
          <cell r="F408">
            <v>2.6666666666666665</v>
          </cell>
          <cell r="G408">
            <v>1</v>
          </cell>
          <cell r="P408">
            <v>3.3333333333333335</v>
          </cell>
          <cell r="X408">
            <v>0</v>
          </cell>
          <cell r="Y408">
            <v>0</v>
          </cell>
          <cell r="AC408">
            <v>0</v>
          </cell>
          <cell r="AD408">
            <v>0</v>
          </cell>
          <cell r="AI408">
            <v>1350</v>
          </cell>
          <cell r="AJ408">
            <v>0</v>
          </cell>
          <cell r="AK408">
            <v>6</v>
          </cell>
          <cell r="AL408">
            <v>4.3333333333333339</v>
          </cell>
          <cell r="AM408">
            <v>42</v>
          </cell>
        </row>
        <row r="409">
          <cell r="F409">
            <v>7.333333333333333</v>
          </cell>
          <cell r="G409">
            <v>3</v>
          </cell>
          <cell r="P409">
            <v>35.666666666666664</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cell r="AL410">
            <v>37.666666666666664</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I411">
            <v>12.333333333333334</v>
          </cell>
          <cell r="AJ411">
            <v>12.333333333333334</v>
          </cell>
          <cell r="AK411">
            <v>1965.0000000000002</v>
          </cell>
          <cell r="AL411">
            <v>412.16666666666663</v>
          </cell>
          <cell r="AM411">
            <v>412.16666666666663</v>
          </cell>
        </row>
        <row r="412">
          <cell r="F412">
            <v>0</v>
          </cell>
          <cell r="G412">
            <v>0</v>
          </cell>
          <cell r="H412">
            <v>64</v>
          </cell>
          <cell r="P412">
            <v>0</v>
          </cell>
          <cell r="S412">
            <v>50.166666666666671</v>
          </cell>
          <cell r="X412">
            <v>0</v>
          </cell>
          <cell r="Y412">
            <v>0</v>
          </cell>
          <cell r="AC412">
            <v>0</v>
          </cell>
          <cell r="AD412">
            <v>0</v>
          </cell>
          <cell r="AI412">
            <v>0</v>
          </cell>
          <cell r="AJ412">
            <v>0</v>
          </cell>
          <cell r="AK412">
            <v>1350</v>
          </cell>
          <cell r="AL412">
            <v>0</v>
          </cell>
          <cell r="AM412">
            <v>400.16666666666663</v>
          </cell>
        </row>
        <row r="413">
          <cell r="F413">
            <v>0</v>
          </cell>
          <cell r="G413">
            <v>0</v>
          </cell>
          <cell r="P413">
            <v>0</v>
          </cell>
          <cell r="X413">
            <v>0</v>
          </cell>
          <cell r="Y413">
            <v>0</v>
          </cell>
          <cell r="AC413">
            <v>0</v>
          </cell>
          <cell r="AD413">
            <v>0</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12.333333333333334</v>
          </cell>
          <cell r="X415">
            <v>0</v>
          </cell>
          <cell r="Y415">
            <v>0</v>
          </cell>
          <cell r="AC415">
            <v>0</v>
          </cell>
          <cell r="AD415">
            <v>0</v>
          </cell>
          <cell r="AI415">
            <v>0</v>
          </cell>
          <cell r="AJ415">
            <v>0</v>
          </cell>
          <cell r="AK415">
            <v>12.333333333333334</v>
          </cell>
          <cell r="AL415">
            <v>12.333333333333334</v>
          </cell>
        </row>
        <row r="416">
          <cell r="F416">
            <v>0</v>
          </cell>
          <cell r="G416">
            <v>0</v>
          </cell>
          <cell r="P416">
            <v>0</v>
          </cell>
          <cell r="X416">
            <v>0</v>
          </cell>
          <cell r="Y416">
            <v>0</v>
          </cell>
          <cell r="AC416">
            <v>0</v>
          </cell>
          <cell r="AD416">
            <v>0</v>
          </cell>
          <cell r="AI416">
            <v>28.5</v>
          </cell>
          <cell r="AJ416">
            <v>26.5</v>
          </cell>
          <cell r="AK416">
            <v>0</v>
          </cell>
          <cell r="AL416">
            <v>0</v>
          </cell>
        </row>
        <row r="417">
          <cell r="F417">
            <v>1.6666666666666667</v>
          </cell>
          <cell r="G417">
            <v>1</v>
          </cell>
          <cell r="P417">
            <v>5</v>
          </cell>
          <cell r="X417">
            <v>3</v>
          </cell>
          <cell r="Y417">
            <v>2</v>
          </cell>
          <cell r="AC417">
            <v>3</v>
          </cell>
          <cell r="AD417">
            <v>1</v>
          </cell>
          <cell r="AI417">
            <v>69</v>
          </cell>
          <cell r="AJ417">
            <v>52.333333333333336</v>
          </cell>
          <cell r="AK417">
            <v>57.666666666666664</v>
          </cell>
          <cell r="AL417">
            <v>49</v>
          </cell>
        </row>
        <row r="418">
          <cell r="F418">
            <v>0</v>
          </cell>
          <cell r="G418">
            <v>0</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0</v>
          </cell>
          <cell r="Y419">
            <v>0</v>
          </cell>
          <cell r="AC419">
            <v>0</v>
          </cell>
          <cell r="AD419">
            <v>0</v>
          </cell>
          <cell r="AI419">
            <v>17.666666666666668</v>
          </cell>
          <cell r="AJ419">
            <v>11</v>
          </cell>
          <cell r="AK419">
            <v>0</v>
          </cell>
          <cell r="AL419">
            <v>0</v>
          </cell>
        </row>
        <row r="420">
          <cell r="F420">
            <v>0</v>
          </cell>
          <cell r="G420">
            <v>0</v>
          </cell>
          <cell r="P420">
            <v>18.5</v>
          </cell>
          <cell r="X420">
            <v>4.5</v>
          </cell>
          <cell r="Y420">
            <v>2</v>
          </cell>
          <cell r="AC420">
            <v>1.3333333333333333</v>
          </cell>
          <cell r="AD420">
            <v>1</v>
          </cell>
          <cell r="AI420">
            <v>6</v>
          </cell>
          <cell r="AJ420">
            <v>4</v>
          </cell>
          <cell r="AK420">
            <v>28.5</v>
          </cell>
          <cell r="AL420">
            <v>25.5</v>
          </cell>
        </row>
        <row r="421">
          <cell r="F421">
            <v>0</v>
          </cell>
          <cell r="G421">
            <v>0</v>
          </cell>
          <cell r="P421">
            <v>1.3333333333333333</v>
          </cell>
          <cell r="X421">
            <v>0</v>
          </cell>
          <cell r="Y421">
            <v>0</v>
          </cell>
          <cell r="AC421">
            <v>1.6666666666666667</v>
          </cell>
          <cell r="AD421">
            <v>1</v>
          </cell>
          <cell r="AI421">
            <v>9.3333333333333339</v>
          </cell>
          <cell r="AJ421">
            <v>5.333333333333333</v>
          </cell>
          <cell r="AK421">
            <v>69</v>
          </cell>
          <cell r="AL421">
            <v>52.333333333333336</v>
          </cell>
        </row>
        <row r="422">
          <cell r="F422">
            <v>177</v>
          </cell>
          <cell r="G422">
            <v>61</v>
          </cell>
          <cell r="P422">
            <v>0</v>
          </cell>
          <cell r="X422">
            <v>0</v>
          </cell>
          <cell r="Y422">
            <v>0</v>
          </cell>
          <cell r="AC422">
            <v>0</v>
          </cell>
          <cell r="AD422">
            <v>0</v>
          </cell>
          <cell r="AI422">
            <v>13.333333333333334</v>
          </cell>
          <cell r="AJ422">
            <v>9.3333333333333339</v>
          </cell>
          <cell r="AK422">
            <v>177</v>
          </cell>
          <cell r="AL422">
            <v>61</v>
          </cell>
        </row>
        <row r="423">
          <cell r="F423">
            <v>0</v>
          </cell>
          <cell r="G423">
            <v>0</v>
          </cell>
          <cell r="P423">
            <v>0</v>
          </cell>
          <cell r="X423">
            <v>10</v>
          </cell>
          <cell r="Y423">
            <v>5</v>
          </cell>
          <cell r="AC423">
            <v>7.666666666666667</v>
          </cell>
          <cell r="AD423">
            <v>3</v>
          </cell>
          <cell r="AI423">
            <v>0</v>
          </cell>
          <cell r="AJ423">
            <v>0</v>
          </cell>
          <cell r="AK423">
            <v>17.666666666666668</v>
          </cell>
          <cell r="AL423">
            <v>8</v>
          </cell>
        </row>
        <row r="424">
          <cell r="F424">
            <v>0.66666666666666663</v>
          </cell>
          <cell r="G424">
            <v>0</v>
          </cell>
          <cell r="P424">
            <v>2</v>
          </cell>
          <cell r="X424">
            <v>1.3333333333333333</v>
          </cell>
          <cell r="Y424">
            <v>1</v>
          </cell>
          <cell r="AC424">
            <v>1</v>
          </cell>
          <cell r="AD424">
            <v>0</v>
          </cell>
          <cell r="AI424">
            <v>0</v>
          </cell>
          <cell r="AJ424">
            <v>0</v>
          </cell>
          <cell r="AK424">
            <v>6</v>
          </cell>
          <cell r="AL424">
            <v>3</v>
          </cell>
        </row>
        <row r="425">
          <cell r="F425">
            <v>2.6666666666666665</v>
          </cell>
          <cell r="G425">
            <v>1</v>
          </cell>
          <cell r="P425">
            <v>0.33333333333333331</v>
          </cell>
          <cell r="X425">
            <v>1</v>
          </cell>
          <cell r="Y425">
            <v>1</v>
          </cell>
          <cell r="AC425">
            <v>0.66666666666666663</v>
          </cell>
          <cell r="AD425">
            <v>0</v>
          </cell>
          <cell r="AI425">
            <v>12</v>
          </cell>
          <cell r="AJ425">
            <v>8</v>
          </cell>
          <cell r="AK425">
            <v>9.3333333333333339</v>
          </cell>
          <cell r="AL425">
            <v>4.3333333333333339</v>
          </cell>
        </row>
        <row r="426">
          <cell r="F426">
            <v>0</v>
          </cell>
          <cell r="G426">
            <v>0</v>
          </cell>
          <cell r="P426">
            <v>2.3333333333333335</v>
          </cell>
          <cell r="X426">
            <v>6</v>
          </cell>
          <cell r="Y426">
            <v>3</v>
          </cell>
          <cell r="AC426">
            <v>5</v>
          </cell>
          <cell r="AD426">
            <v>2</v>
          </cell>
          <cell r="AI426">
            <v>0</v>
          </cell>
          <cell r="AJ426">
            <v>0</v>
          </cell>
          <cell r="AK426">
            <v>13.333333333333334</v>
          </cell>
          <cell r="AL426">
            <v>7.3333333333333339</v>
          </cell>
        </row>
        <row r="427">
          <cell r="F427">
            <v>0</v>
          </cell>
          <cell r="G427">
            <v>0</v>
          </cell>
          <cell r="P427">
            <v>0</v>
          </cell>
          <cell r="X427">
            <v>0</v>
          </cell>
          <cell r="Y427">
            <v>0</v>
          </cell>
          <cell r="AC427">
            <v>0</v>
          </cell>
          <cell r="AD427">
            <v>0</v>
          </cell>
          <cell r="AI427">
            <v>4.333333333333333</v>
          </cell>
          <cell r="AJ427">
            <v>1.6666666666666665</v>
          </cell>
          <cell r="AK427">
            <v>0</v>
          </cell>
          <cell r="AL427">
            <v>0</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9.6666666666666661</v>
          </cell>
          <cell r="G429">
            <v>3</v>
          </cell>
          <cell r="P429">
            <v>1</v>
          </cell>
          <cell r="X429">
            <v>0</v>
          </cell>
          <cell r="Y429">
            <v>0</v>
          </cell>
          <cell r="AC429">
            <v>0</v>
          </cell>
          <cell r="AD429">
            <v>0</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I431">
            <v>0</v>
          </cell>
          <cell r="AJ431">
            <v>53</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I432">
            <v>1</v>
          </cell>
          <cell r="AJ432">
            <v>1</v>
          </cell>
          <cell r="AK432">
            <v>3.6666666666666665</v>
          </cell>
          <cell r="AL432">
            <v>1.6666666666666665</v>
          </cell>
        </row>
        <row r="433">
          <cell r="F433">
            <v>6.666666666666667</v>
          </cell>
          <cell r="G433">
            <v>2</v>
          </cell>
          <cell r="P433">
            <v>4.666666666666667</v>
          </cell>
          <cell r="X433">
            <v>3</v>
          </cell>
          <cell r="Y433">
            <v>2</v>
          </cell>
          <cell r="AC433">
            <v>2</v>
          </cell>
          <cell r="AD433">
            <v>1</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0</v>
          </cell>
          <cell r="G435">
            <v>0</v>
          </cell>
          <cell r="P435">
            <v>0</v>
          </cell>
          <cell r="X435">
            <v>0</v>
          </cell>
          <cell r="Y435">
            <v>0</v>
          </cell>
          <cell r="AC435">
            <v>0</v>
          </cell>
          <cell r="AD435">
            <v>0</v>
          </cell>
          <cell r="AI435">
            <v>15.666666666666666</v>
          </cell>
          <cell r="AJ435">
            <v>10</v>
          </cell>
          <cell r="AK435">
            <v>0</v>
          </cell>
          <cell r="AL435">
            <v>53</v>
          </cell>
        </row>
        <row r="436">
          <cell r="F436">
            <v>1</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0</v>
          </cell>
          <cell r="Y437">
            <v>0</v>
          </cell>
          <cell r="AC437">
            <v>0</v>
          </cell>
          <cell r="AD437">
            <v>0</v>
          </cell>
          <cell r="AI437">
            <v>3.3333333333333335</v>
          </cell>
          <cell r="AJ437">
            <v>2</v>
          </cell>
          <cell r="AK437">
            <v>0</v>
          </cell>
          <cell r="AL437">
            <v>0</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2.6666666666666665</v>
          </cell>
          <cell r="G439">
            <v>1</v>
          </cell>
          <cell r="P439">
            <v>1</v>
          </cell>
          <cell r="X439">
            <v>4</v>
          </cell>
          <cell r="Y439">
            <v>2</v>
          </cell>
          <cell r="AC439">
            <v>2</v>
          </cell>
          <cell r="AD439">
            <v>1</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3.3333333333333335</v>
          </cell>
          <cell r="Y441">
            <v>2</v>
          </cell>
          <cell r="AC441">
            <v>0</v>
          </cell>
          <cell r="AD441">
            <v>0</v>
          </cell>
          <cell r="AI441">
            <v>0</v>
          </cell>
          <cell r="AJ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2</v>
          </cell>
        </row>
        <row r="450">
          <cell r="G450">
            <v>0</v>
          </cell>
          <cell r="P450">
            <v>0</v>
          </cell>
          <cell r="X450">
            <v>0</v>
          </cell>
          <cell r="Y450">
            <v>0</v>
          </cell>
          <cell r="AC450">
            <v>0</v>
          </cell>
          <cell r="AD450">
            <v>0</v>
          </cell>
          <cell r="AK450">
            <v>0</v>
          </cell>
          <cell r="AL450">
            <v>0</v>
          </cell>
        </row>
        <row r="451">
          <cell r="P451">
            <v>0</v>
          </cell>
          <cell r="X451">
            <v>0</v>
          </cell>
          <cell r="Y451">
            <v>0</v>
          </cell>
          <cell r="AC451">
            <v>0</v>
          </cell>
          <cell r="AD451">
            <v>0</v>
          </cell>
          <cell r="AK451">
            <v>0</v>
          </cell>
          <cell r="AL451">
            <v>0</v>
          </cell>
        </row>
      </sheetData>
      <sheetData sheetId="20" refreshError="1">
        <row r="1">
          <cell r="AE1" t="str">
            <v>'9 міс.'!</v>
          </cell>
        </row>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1">
          <cell r="P31" t="str">
            <v>+</v>
          </cell>
          <cell r="S31" t="str">
            <v>-</v>
          </cell>
          <cell r="AF31" t="str">
            <v>+</v>
          </cell>
        </row>
        <row r="32">
          <cell r="Q32" t="str">
            <v>КТМ</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AJ37">
            <v>395</v>
          </cell>
          <cell r="AL37">
            <v>0</v>
          </cell>
        </row>
        <row r="38">
          <cell r="AJ38">
            <v>336</v>
          </cell>
        </row>
        <row r="39">
          <cell r="AJ39">
            <v>0</v>
          </cell>
          <cell r="AL39">
            <v>0</v>
          </cell>
        </row>
        <row r="40">
          <cell r="AL40">
            <v>0</v>
          </cell>
        </row>
        <row r="41">
          <cell r="AJ41">
            <v>0</v>
          </cell>
          <cell r="AL41">
            <v>395.6</v>
          </cell>
        </row>
        <row r="42">
          <cell r="P42">
            <v>0</v>
          </cell>
          <cell r="AJ42">
            <v>0</v>
          </cell>
          <cell r="AL42">
            <v>395.6</v>
          </cell>
        </row>
        <row r="43">
          <cell r="AJ43">
            <v>395.6</v>
          </cell>
          <cell r="AM43">
            <v>1580</v>
          </cell>
        </row>
        <row r="44">
          <cell r="P44">
            <v>0</v>
          </cell>
          <cell r="AJ44">
            <v>395.6</v>
          </cell>
          <cell r="AM44">
            <v>0</v>
          </cell>
        </row>
        <row r="45">
          <cell r="AK45">
            <v>1580</v>
          </cell>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cell r="AK46">
            <v>0</v>
          </cell>
        </row>
        <row r="47">
          <cell r="F47">
            <v>0.8</v>
          </cell>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F51">
            <v>712</v>
          </cell>
          <cell r="G51">
            <v>0</v>
          </cell>
          <cell r="H51">
            <v>433</v>
          </cell>
          <cell r="P51">
            <v>0</v>
          </cell>
          <cell r="S51">
            <v>760.26666666666688</v>
          </cell>
          <cell r="T51">
            <v>380.13333333333344</v>
          </cell>
          <cell r="U51">
            <v>380.13333333333344</v>
          </cell>
          <cell r="X51">
            <v>5</v>
          </cell>
          <cell r="Y51">
            <v>2</v>
          </cell>
          <cell r="Z51">
            <v>3</v>
          </cell>
          <cell r="AC51">
            <v>0</v>
          </cell>
          <cell r="AD51">
            <v>0</v>
          </cell>
          <cell r="AE51">
            <v>0</v>
          </cell>
          <cell r="AF51">
            <v>398.13333333333344</v>
          </cell>
          <cell r="AG51">
            <v>300</v>
          </cell>
          <cell r="AH51">
            <v>0</v>
          </cell>
          <cell r="AI51">
            <v>2554.3026666666669</v>
          </cell>
          <cell r="AJ51">
            <v>931.23599999999999</v>
          </cell>
          <cell r="AK51">
            <v>5</v>
          </cell>
          <cell r="AL51">
            <v>2</v>
          </cell>
          <cell r="AM51">
            <v>3</v>
          </cell>
          <cell r="AN51">
            <v>3</v>
          </cell>
          <cell r="AO51">
            <v>738.23599999999999</v>
          </cell>
          <cell r="AP51">
            <v>1257.0666666666671</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I52">
            <v>1279</v>
          </cell>
          <cell r="AJ52">
            <v>511</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I53">
            <v>4</v>
          </cell>
          <cell r="AJ53">
            <v>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P54">
            <v>4</v>
          </cell>
          <cell r="S54">
            <v>13.666666666666666</v>
          </cell>
          <cell r="T54">
            <v>13.666666666666666</v>
          </cell>
          <cell r="U54">
            <v>0</v>
          </cell>
          <cell r="X54">
            <v>400</v>
          </cell>
          <cell r="Y54">
            <v>166</v>
          </cell>
          <cell r="Z54">
            <v>234</v>
          </cell>
          <cell r="AC54">
            <v>13.333333333333334</v>
          </cell>
          <cell r="AD54">
            <v>6</v>
          </cell>
          <cell r="AE54">
            <v>7.3333333333333339</v>
          </cell>
          <cell r="AF54">
            <v>0.3</v>
          </cell>
          <cell r="AG54">
            <v>15</v>
          </cell>
          <cell r="AH54">
            <v>0.3</v>
          </cell>
          <cell r="AI54">
            <v>752</v>
          </cell>
          <cell r="AJ54">
            <v>362</v>
          </cell>
          <cell r="AK54">
            <v>427</v>
          </cell>
          <cell r="AL54">
            <v>172</v>
          </cell>
          <cell r="AM54">
            <v>255</v>
          </cell>
          <cell r="AN54">
            <v>255</v>
          </cell>
          <cell r="AO54">
            <v>172</v>
          </cell>
          <cell r="AP54">
            <v>246</v>
          </cell>
          <cell r="AQ54">
            <v>0</v>
          </cell>
          <cell r="AR54">
            <v>9</v>
          </cell>
        </row>
        <row r="55">
          <cell r="F55">
            <v>0</v>
          </cell>
          <cell r="G55">
            <v>0</v>
          </cell>
          <cell r="H55">
            <v>0</v>
          </cell>
          <cell r="P55">
            <v>40.800000000000004</v>
          </cell>
          <cell r="S55">
            <v>19500</v>
          </cell>
          <cell r="T55">
            <v>19500</v>
          </cell>
          <cell r="U55">
            <v>0</v>
          </cell>
          <cell r="X55">
            <v>24969</v>
          </cell>
          <cell r="Y55">
            <v>11255</v>
          </cell>
          <cell r="Z55">
            <v>13714</v>
          </cell>
          <cell r="AC55">
            <v>24028</v>
          </cell>
          <cell r="AD55">
            <v>11813</v>
          </cell>
          <cell r="AE55">
            <v>12215</v>
          </cell>
          <cell r="AF55">
            <v>157.33333333333334</v>
          </cell>
          <cell r="AG55">
            <v>108</v>
          </cell>
          <cell r="AH55">
            <v>0</v>
          </cell>
          <cell r="AI55">
            <v>1268.4000000000001</v>
          </cell>
          <cell r="AJ55">
            <v>635.79999999999995</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I56">
            <v>735.80000000000007</v>
          </cell>
          <cell r="AJ56">
            <v>509</v>
          </cell>
          <cell r="AK56">
            <v>68497</v>
          </cell>
          <cell r="AL56">
            <v>23068</v>
          </cell>
          <cell r="AM56">
            <v>45429</v>
          </cell>
          <cell r="AN56">
            <v>45429</v>
          </cell>
          <cell r="AO56">
            <v>23068</v>
          </cell>
          <cell r="AP56">
            <v>45429</v>
          </cell>
          <cell r="AQ56">
            <v>0</v>
          </cell>
          <cell r="AR56">
            <v>0</v>
          </cell>
        </row>
        <row r="57">
          <cell r="F57">
            <v>0</v>
          </cell>
          <cell r="G57">
            <v>0</v>
          </cell>
          <cell r="H57">
            <v>0</v>
          </cell>
          <cell r="S57">
            <v>1598</v>
          </cell>
          <cell r="T57">
            <v>0</v>
          </cell>
          <cell r="U57">
            <v>0</v>
          </cell>
          <cell r="X57">
            <v>13610</v>
          </cell>
          <cell r="Y57">
            <v>9645</v>
          </cell>
          <cell r="Z57">
            <v>3965</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I58">
            <v>26797</v>
          </cell>
          <cell r="AJ58">
            <v>15717</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I59">
            <v>0</v>
          </cell>
          <cell r="AJ59">
            <v>0</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I60">
            <v>498.4</v>
          </cell>
          <cell r="AJ60">
            <v>11.200000000000001</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I61">
            <v>3532.6742727272731</v>
          </cell>
          <cell r="AJ61">
            <v>1273.3200000000002</v>
          </cell>
          <cell r="AK61">
            <v>1162</v>
          </cell>
          <cell r="AL61">
            <v>354</v>
          </cell>
          <cell r="AM61">
            <v>808</v>
          </cell>
          <cell r="AN61">
            <v>807</v>
          </cell>
          <cell r="AO61">
            <v>0</v>
          </cell>
          <cell r="AP61">
            <v>0</v>
          </cell>
          <cell r="AQ61">
            <v>0</v>
          </cell>
          <cell r="AR61">
            <v>0</v>
          </cell>
        </row>
        <row r="62">
          <cell r="F62">
            <v>0</v>
          </cell>
          <cell r="G62">
            <v>0</v>
          </cell>
          <cell r="H62">
            <v>13</v>
          </cell>
          <cell r="P62">
            <v>0</v>
          </cell>
          <cell r="S62">
            <v>49</v>
          </cell>
          <cell r="T62">
            <v>24</v>
          </cell>
          <cell r="U62">
            <v>25</v>
          </cell>
          <cell r="X62">
            <v>0</v>
          </cell>
          <cell r="Y62">
            <v>11</v>
          </cell>
          <cell r="Z62">
            <v>5</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I63">
            <v>1131</v>
          </cell>
          <cell r="AJ63">
            <v>407</v>
          </cell>
          <cell r="AK63">
            <v>3046</v>
          </cell>
          <cell r="AL63">
            <v>982</v>
          </cell>
          <cell r="AM63">
            <v>2064</v>
          </cell>
          <cell r="AN63">
            <v>2064</v>
          </cell>
          <cell r="AO63">
            <v>464</v>
          </cell>
          <cell r="AP63">
            <v>940</v>
          </cell>
          <cell r="AQ63">
            <v>518</v>
          </cell>
          <cell r="AR63">
            <v>1124</v>
          </cell>
        </row>
        <row r="64">
          <cell r="F64">
            <v>0</v>
          </cell>
          <cell r="G64">
            <v>0</v>
          </cell>
          <cell r="P64">
            <v>0</v>
          </cell>
          <cell r="T64">
            <v>16</v>
          </cell>
          <cell r="U64">
            <v>84</v>
          </cell>
          <cell r="X64">
            <v>0</v>
          </cell>
          <cell r="AH64">
            <v>0</v>
          </cell>
          <cell r="AI64">
            <v>0</v>
          </cell>
          <cell r="AJ64">
            <v>0</v>
          </cell>
          <cell r="AK64">
            <v>0</v>
          </cell>
          <cell r="AL64">
            <v>0</v>
          </cell>
          <cell r="AN64">
            <v>0</v>
          </cell>
          <cell r="AO64">
            <v>46</v>
          </cell>
          <cell r="AP64">
            <v>94</v>
          </cell>
          <cell r="AQ64">
            <v>52</v>
          </cell>
          <cell r="AR64">
            <v>112</v>
          </cell>
        </row>
        <row r="65">
          <cell r="F65">
            <v>0</v>
          </cell>
          <cell r="G65">
            <v>0</v>
          </cell>
          <cell r="H65">
            <v>0</v>
          </cell>
          <cell r="P65">
            <v>923</v>
          </cell>
          <cell r="S65">
            <v>3416</v>
          </cell>
          <cell r="T65">
            <v>162.88</v>
          </cell>
          <cell r="U65">
            <v>855.12</v>
          </cell>
          <cell r="X65">
            <v>506</v>
          </cell>
          <cell r="Y65">
            <v>404</v>
          </cell>
          <cell r="Z65">
            <v>166</v>
          </cell>
          <cell r="AC65">
            <v>415</v>
          </cell>
          <cell r="AD65">
            <v>336</v>
          </cell>
          <cell r="AE65">
            <v>305</v>
          </cell>
          <cell r="AF65">
            <v>454</v>
          </cell>
          <cell r="AG65">
            <v>454</v>
          </cell>
          <cell r="AH65">
            <v>0</v>
          </cell>
          <cell r="AI65">
            <v>3313</v>
          </cell>
          <cell r="AJ65">
            <v>1298</v>
          </cell>
          <cell r="AK65">
            <v>5737</v>
          </cell>
          <cell r="AL65">
            <v>946</v>
          </cell>
          <cell r="AM65">
            <v>4791</v>
          </cell>
          <cell r="AN65">
            <v>3870</v>
          </cell>
          <cell r="AO65">
            <v>558</v>
          </cell>
          <cell r="AP65">
            <v>939</v>
          </cell>
        </row>
        <row r="66">
          <cell r="F66">
            <v>0</v>
          </cell>
          <cell r="G66">
            <v>0</v>
          </cell>
          <cell r="P66">
            <v>0</v>
          </cell>
          <cell r="S66">
            <v>0</v>
          </cell>
          <cell r="T66">
            <v>16</v>
          </cell>
          <cell r="U66">
            <v>86</v>
          </cell>
          <cell r="X66">
            <v>0</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I67">
            <v>6650</v>
          </cell>
          <cell r="AJ67">
            <v>0</v>
          </cell>
          <cell r="AK67">
            <v>-2779</v>
          </cell>
          <cell r="AL67">
            <v>4951</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I68">
            <v>0</v>
          </cell>
          <cell r="AJ68">
            <v>0</v>
          </cell>
          <cell r="AK68">
            <v>3973.8</v>
          </cell>
          <cell r="AL68">
            <v>1340</v>
          </cell>
          <cell r="AM68">
            <v>2633.8</v>
          </cell>
          <cell r="AN68">
            <v>2633.8</v>
          </cell>
          <cell r="AO68">
            <v>532</v>
          </cell>
          <cell r="AP68">
            <v>1167</v>
          </cell>
          <cell r="AQ68">
            <v>808</v>
          </cell>
          <cell r="AR68">
            <v>1466.8000000000002</v>
          </cell>
        </row>
        <row r="69">
          <cell r="F69">
            <v>0</v>
          </cell>
          <cell r="G69">
            <v>0</v>
          </cell>
          <cell r="H69">
            <v>0</v>
          </cell>
          <cell r="P69">
            <v>50</v>
          </cell>
          <cell r="S69">
            <v>312.72727272727275</v>
          </cell>
          <cell r="T69">
            <v>146.88</v>
          </cell>
          <cell r="U69">
            <v>769.12</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I69">
            <v>-3332</v>
          </cell>
          <cell r="AK69">
            <v>796.18181818181813</v>
          </cell>
          <cell r="AL69">
            <v>188</v>
          </cell>
          <cell r="AM69">
            <v>608.18181818181813</v>
          </cell>
          <cell r="AN69">
            <v>608.18181818181824</v>
          </cell>
          <cell r="AO69">
            <v>502</v>
          </cell>
          <cell r="AP69">
            <v>1078</v>
          </cell>
        </row>
        <row r="70">
          <cell r="F70">
            <v>0</v>
          </cell>
          <cell r="G70">
            <v>0</v>
          </cell>
          <cell r="H70">
            <v>0</v>
          </cell>
          <cell r="P70">
            <v>3</v>
          </cell>
          <cell r="S70">
            <v>17</v>
          </cell>
          <cell r="T70">
            <v>479.6</v>
          </cell>
          <cell r="U70">
            <v>1438.8000000000002</v>
          </cell>
          <cell r="X70">
            <v>10</v>
          </cell>
          <cell r="Y70">
            <v>4</v>
          </cell>
          <cell r="Z70">
            <v>6</v>
          </cell>
          <cell r="AC70">
            <v>8</v>
          </cell>
          <cell r="AD70">
            <v>4</v>
          </cell>
          <cell r="AE70">
            <v>4</v>
          </cell>
          <cell r="AF70">
            <v>6</v>
          </cell>
          <cell r="AG70">
            <v>6</v>
          </cell>
          <cell r="AH70">
            <v>0</v>
          </cell>
          <cell r="AI70">
            <v>6117.4</v>
          </cell>
          <cell r="AJ70">
            <v>1964.4</v>
          </cell>
          <cell r="AK70">
            <v>44</v>
          </cell>
          <cell r="AL70">
            <v>11</v>
          </cell>
          <cell r="AM70">
            <v>33</v>
          </cell>
          <cell r="AN70">
            <v>33</v>
          </cell>
          <cell r="AO70">
            <v>998.40000000000009</v>
          </cell>
          <cell r="AP70">
            <v>2941</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I71">
            <v>1063.2727272727273</v>
          </cell>
          <cell r="AJ71">
            <v>248</v>
          </cell>
          <cell r="AK71">
            <v>255</v>
          </cell>
          <cell r="AL71">
            <v>61</v>
          </cell>
          <cell r="AM71">
            <v>194</v>
          </cell>
          <cell r="AN71">
            <v>194</v>
          </cell>
        </row>
        <row r="72">
          <cell r="F72">
            <v>0</v>
          </cell>
          <cell r="G72">
            <v>0</v>
          </cell>
          <cell r="H72">
            <v>0</v>
          </cell>
          <cell r="P72">
            <v>83</v>
          </cell>
          <cell r="S72">
            <v>27</v>
          </cell>
          <cell r="X72">
            <v>0</v>
          </cell>
          <cell r="Y72">
            <v>6</v>
          </cell>
          <cell r="Z72">
            <v>3</v>
          </cell>
          <cell r="AC72">
            <v>0</v>
          </cell>
          <cell r="AD72">
            <v>3</v>
          </cell>
          <cell r="AE72">
            <v>3</v>
          </cell>
          <cell r="AF72">
            <v>0</v>
          </cell>
          <cell r="AG72">
            <v>0</v>
          </cell>
          <cell r="AH72">
            <v>0</v>
          </cell>
          <cell r="AI72">
            <v>58</v>
          </cell>
          <cell r="AJ72">
            <v>13</v>
          </cell>
          <cell r="AK72">
            <v>83</v>
          </cell>
          <cell r="AL72">
            <v>83</v>
          </cell>
          <cell r="AM72">
            <v>0</v>
          </cell>
          <cell r="AN72">
            <v>0</v>
          </cell>
        </row>
        <row r="73">
          <cell r="F73">
            <v>0</v>
          </cell>
          <cell r="G73">
            <v>0</v>
          </cell>
          <cell r="H73">
            <v>0</v>
          </cell>
          <cell r="P73">
            <v>21</v>
          </cell>
          <cell r="S73">
            <v>1558</v>
          </cell>
          <cell r="X73">
            <v>1785</v>
          </cell>
          <cell r="Y73">
            <v>742</v>
          </cell>
          <cell r="Z73">
            <v>1043</v>
          </cell>
          <cell r="AC73">
            <v>633</v>
          </cell>
          <cell r="AD73">
            <v>289</v>
          </cell>
          <cell r="AE73">
            <v>344</v>
          </cell>
          <cell r="AF73">
            <v>530</v>
          </cell>
          <cell r="AG73">
            <v>530</v>
          </cell>
          <cell r="AH73">
            <v>0</v>
          </cell>
          <cell r="AI73">
            <v>340</v>
          </cell>
          <cell r="AJ73">
            <v>79</v>
          </cell>
          <cell r="AK73">
            <v>4506</v>
          </cell>
          <cell r="AL73">
            <v>1031</v>
          </cell>
          <cell r="AM73">
            <v>3475</v>
          </cell>
          <cell r="AN73">
            <v>3475</v>
          </cell>
        </row>
        <row r="74">
          <cell r="F74">
            <v>0</v>
          </cell>
          <cell r="G74">
            <v>0</v>
          </cell>
          <cell r="P74">
            <v>63</v>
          </cell>
          <cell r="S74">
            <v>0</v>
          </cell>
          <cell r="X74">
            <v>0</v>
          </cell>
          <cell r="Z74">
            <v>0</v>
          </cell>
          <cell r="AC74">
            <v>0</v>
          </cell>
          <cell r="AD74">
            <v>0</v>
          </cell>
          <cell r="AE74">
            <v>0</v>
          </cell>
          <cell r="AF74">
            <v>0</v>
          </cell>
          <cell r="AG74">
            <v>0</v>
          </cell>
          <cell r="AH74">
            <v>0</v>
          </cell>
          <cell r="AI74">
            <v>63</v>
          </cell>
          <cell r="AJ74">
            <v>63</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I75">
            <v>870.40000000000009</v>
          </cell>
          <cell r="AJ75">
            <v>870.40000000000009</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P76">
            <v>935</v>
          </cell>
          <cell r="S76">
            <v>4732.8</v>
          </cell>
          <cell r="T76">
            <v>0</v>
          </cell>
          <cell r="U76">
            <v>0</v>
          </cell>
          <cell r="X76">
            <v>80</v>
          </cell>
          <cell r="Y76">
            <v>0</v>
          </cell>
          <cell r="Z76">
            <v>0</v>
          </cell>
          <cell r="AC76">
            <v>85</v>
          </cell>
          <cell r="AD76">
            <v>45</v>
          </cell>
          <cell r="AE76">
            <v>0</v>
          </cell>
          <cell r="AH76">
            <v>0</v>
          </cell>
          <cell r="AI76">
            <v>5832.8</v>
          </cell>
          <cell r="AJ76">
            <v>980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I77">
            <v>5147.7666666666664</v>
          </cell>
          <cell r="AJ77">
            <v>2074.1999999999998</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I78" t="e">
            <v>#REF!</v>
          </cell>
          <cell r="AJ78">
            <v>115</v>
          </cell>
          <cell r="AK78">
            <v>2600.9333333333329</v>
          </cell>
          <cell r="AL78">
            <v>996.66666666666663</v>
          </cell>
          <cell r="AM78">
            <v>1604.2666666666664</v>
          </cell>
          <cell r="AN78">
            <v>1604.2666666666667</v>
          </cell>
          <cell r="AO78">
            <v>115</v>
          </cell>
          <cell r="AP78" t="e">
            <v>#REF!</v>
          </cell>
          <cell r="AR78">
            <v>1604.2666666666664</v>
          </cell>
        </row>
        <row r="79">
          <cell r="F79">
            <v>3690.5</v>
          </cell>
          <cell r="G79">
            <v>0</v>
          </cell>
          <cell r="H79">
            <v>0</v>
          </cell>
          <cell r="P79">
            <v>0</v>
          </cell>
          <cell r="S79">
            <v>0</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364</v>
          </cell>
          <cell r="AL79">
            <v>164</v>
          </cell>
          <cell r="AM79">
            <v>200</v>
          </cell>
          <cell r="AN79">
            <v>200</v>
          </cell>
          <cell r="AO79">
            <v>1828.2</v>
          </cell>
          <cell r="AP79">
            <v>2735.5666666666666</v>
          </cell>
          <cell r="AR79">
            <v>200</v>
          </cell>
        </row>
        <row r="80">
          <cell r="F80">
            <v>316</v>
          </cell>
          <cell r="G80">
            <v>85</v>
          </cell>
          <cell r="H80">
            <v>231</v>
          </cell>
          <cell r="P80">
            <v>10.333333333333334</v>
          </cell>
          <cell r="S80">
            <v>30.666666666666671</v>
          </cell>
          <cell r="T80">
            <v>80.431999999999974</v>
          </cell>
          <cell r="U80">
            <v>41.434666666666658</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I80">
            <v>1201.8666666666668</v>
          </cell>
          <cell r="AJ80">
            <v>525.20000000000005</v>
          </cell>
          <cell r="AK80">
            <v>475.66666666666663</v>
          </cell>
          <cell r="AL80">
            <v>121.33333333333333</v>
          </cell>
          <cell r="AM80">
            <v>354.33333333333331</v>
          </cell>
          <cell r="AN80">
            <v>354.33333333333331</v>
          </cell>
          <cell r="AP80">
            <v>676.66666666666674</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I81">
            <v>389</v>
          </cell>
          <cell r="AJ81">
            <v>156</v>
          </cell>
          <cell r="AK81">
            <v>1171.8033333333335</v>
          </cell>
          <cell r="AL81">
            <v>354.66666666666669</v>
          </cell>
          <cell r="AM81">
            <v>817.13666666666677</v>
          </cell>
          <cell r="AN81">
            <v>817.13666666666666</v>
          </cell>
          <cell r="AP81">
            <v>233</v>
          </cell>
        </row>
        <row r="82">
          <cell r="F82">
            <v>239</v>
          </cell>
          <cell r="G82">
            <v>0</v>
          </cell>
          <cell r="H82">
            <v>0</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10</v>
          </cell>
          <cell r="X83">
            <v>0</v>
          </cell>
          <cell r="Y83">
            <v>14</v>
          </cell>
          <cell r="Z83">
            <v>5.2000000000000028</v>
          </cell>
          <cell r="AC83">
            <v>2</v>
          </cell>
          <cell r="AD83">
            <v>42</v>
          </cell>
          <cell r="AE83">
            <v>39</v>
          </cell>
          <cell r="AF83">
            <v>43</v>
          </cell>
          <cell r="AG83">
            <v>43</v>
          </cell>
          <cell r="AH83">
            <v>0</v>
          </cell>
          <cell r="AI83" t="e">
            <v>#REF!</v>
          </cell>
          <cell r="AJ83" t="e">
            <v>#REF!</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I84" t="e">
            <v>#REF!</v>
          </cell>
          <cell r="AJ84">
            <v>0</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S85">
            <v>0</v>
          </cell>
          <cell r="T85">
            <v>403.80543636363632</v>
          </cell>
          <cell r="U85">
            <v>420.28729090909087</v>
          </cell>
          <cell r="V85">
            <v>0</v>
          </cell>
          <cell r="W85">
            <v>0</v>
          </cell>
          <cell r="X85">
            <v>0</v>
          </cell>
          <cell r="Y85">
            <v>194</v>
          </cell>
          <cell r="Z85">
            <v>271.95000000000005</v>
          </cell>
          <cell r="AA85">
            <v>0</v>
          </cell>
          <cell r="AB85">
            <v>0</v>
          </cell>
          <cell r="AC85">
            <v>2.4000000000000004</v>
          </cell>
          <cell r="AD85">
            <v>178</v>
          </cell>
          <cell r="AE85">
            <v>210.86</v>
          </cell>
          <cell r="AF85">
            <v>44</v>
          </cell>
          <cell r="AG85">
            <v>44</v>
          </cell>
          <cell r="AH85">
            <v>62.950909090909136</v>
          </cell>
          <cell r="AI85" t="e">
            <v>#REF!</v>
          </cell>
          <cell r="AJ85">
            <v>10.600000000000001</v>
          </cell>
          <cell r="AK85">
            <v>4423.7890909090911</v>
          </cell>
          <cell r="AL85">
            <v>1294.25</v>
          </cell>
          <cell r="AM85">
            <v>3129.5390909090906</v>
          </cell>
          <cell r="AN85">
            <v>877.81000000000006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30225.916666666664</v>
          </cell>
          <cell r="AM86">
            <v>18714</v>
          </cell>
          <cell r="AN86">
            <v>0</v>
          </cell>
          <cell r="AO86">
            <v>5261.1559999999999</v>
          </cell>
          <cell r="AP86">
            <v>10831.787606060607</v>
          </cell>
        </row>
        <row r="87">
          <cell r="F87">
            <v>6264</v>
          </cell>
          <cell r="G87">
            <v>6264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J88">
            <v>24382.156000000006</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I89">
            <v>5607</v>
          </cell>
          <cell r="AJ89">
            <v>5607</v>
          </cell>
          <cell r="AK89">
            <v>0</v>
          </cell>
          <cell r="AL89">
            <v>0</v>
          </cell>
          <cell r="AM89">
            <v>0</v>
          </cell>
          <cell r="AN89">
            <v>0</v>
          </cell>
          <cell r="AO89">
            <v>0</v>
          </cell>
          <cell r="AP89">
            <v>0</v>
          </cell>
          <cell r="AQ89">
            <v>0</v>
          </cell>
          <cell r="AR89">
            <v>-1</v>
          </cell>
        </row>
        <row r="90">
          <cell r="F90">
            <v>1151</v>
          </cell>
          <cell r="G90">
            <v>570</v>
          </cell>
          <cell r="H90">
            <v>581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I92">
            <v>497</v>
          </cell>
          <cell r="AJ92">
            <v>389</v>
          </cell>
          <cell r="AK92">
            <v>-139</v>
          </cell>
          <cell r="AL92">
            <v>-51</v>
          </cell>
          <cell r="AM92">
            <v>-88</v>
          </cell>
          <cell r="AN92">
            <v>-88</v>
          </cell>
          <cell r="AO92">
            <v>0</v>
          </cell>
          <cell r="AP92">
            <v>-25</v>
          </cell>
          <cell r="AQ92">
            <v>-51</v>
          </cell>
          <cell r="AR92">
            <v>-63</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G97">
            <v>8221</v>
          </cell>
          <cell r="H97">
            <v>3572.1970000000001</v>
          </cell>
          <cell r="P97">
            <v>1736</v>
          </cell>
          <cell r="Q97">
            <v>0</v>
          </cell>
          <cell r="R97">
            <v>0</v>
          </cell>
          <cell r="S97">
            <v>3416</v>
          </cell>
          <cell r="T97">
            <v>3771.5508606060603</v>
          </cell>
          <cell r="U97">
            <v>3476.1570181818183</v>
          </cell>
          <cell r="V97">
            <v>0</v>
          </cell>
          <cell r="W97">
            <v>0</v>
          </cell>
          <cell r="X97">
            <v>506</v>
          </cell>
          <cell r="Y97">
            <v>11736</v>
          </cell>
          <cell r="Z97">
            <v>4826.4863636363634</v>
          </cell>
          <cell r="AA97">
            <v>0</v>
          </cell>
          <cell r="AB97">
            <v>0</v>
          </cell>
          <cell r="AC97">
            <v>415</v>
          </cell>
          <cell r="AD97">
            <v>25802.811515151516</v>
          </cell>
          <cell r="AE97">
            <v>6443.1963636363625</v>
          </cell>
          <cell r="AF97">
            <v>454</v>
          </cell>
          <cell r="AG97">
            <v>454</v>
          </cell>
          <cell r="AH97">
            <v>0</v>
          </cell>
          <cell r="AI97">
            <v>56708.943606060609</v>
          </cell>
          <cell r="AJ97">
            <v>0</v>
          </cell>
          <cell r="AK97">
            <v>6977</v>
          </cell>
          <cell r="AL97">
            <v>26314.787606060603</v>
          </cell>
          <cell r="AM97">
            <v>18714</v>
          </cell>
          <cell r="AN97">
            <v>14616</v>
          </cell>
          <cell r="AO97" t="e">
            <v>#REF!</v>
          </cell>
          <cell r="AP97" t="e">
            <v>#REF!</v>
          </cell>
        </row>
        <row r="98">
          <cell r="F98">
            <v>6186.1970000000001</v>
          </cell>
          <cell r="G98">
            <v>2614</v>
          </cell>
          <cell r="H98">
            <v>3572.1970000000001</v>
          </cell>
          <cell r="P98">
            <v>1010</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923</v>
          </cell>
          <cell r="S99">
            <v>3416</v>
          </cell>
          <cell r="X99">
            <v>506</v>
          </cell>
          <cell r="AC99">
            <v>415</v>
          </cell>
          <cell r="AF99">
            <v>454</v>
          </cell>
          <cell r="AG99">
            <v>454</v>
          </cell>
          <cell r="AH99">
            <v>0</v>
          </cell>
          <cell r="AI99" t="e">
            <v>#REF!</v>
          </cell>
          <cell r="AJ99" t="e">
            <v>#REF!</v>
          </cell>
          <cell r="AK99">
            <v>5737</v>
          </cell>
          <cell r="AL99">
            <v>109509.14393939395</v>
          </cell>
          <cell r="AM99">
            <v>46269.90741929959</v>
          </cell>
        </row>
        <row r="100">
          <cell r="F100">
            <v>0</v>
          </cell>
          <cell r="P100">
            <v>967</v>
          </cell>
          <cell r="S100">
            <v>106</v>
          </cell>
          <cell r="X100">
            <v>0</v>
          </cell>
          <cell r="AC100">
            <v>170</v>
          </cell>
          <cell r="AF100">
            <v>861</v>
          </cell>
          <cell r="AG100">
            <v>861</v>
          </cell>
          <cell r="AH100">
            <v>0</v>
          </cell>
          <cell r="AI100" t="e">
            <v>#REF!</v>
          </cell>
          <cell r="AJ100">
            <v>56708.943606060609</v>
          </cell>
          <cell r="AK100">
            <v>0</v>
          </cell>
          <cell r="AL100">
            <v>85097.370909090911</v>
          </cell>
          <cell r="AM100">
            <v>40210.957581756855</v>
          </cell>
        </row>
        <row r="101">
          <cell r="F101">
            <v>427</v>
          </cell>
          <cell r="P101">
            <v>813</v>
          </cell>
          <cell r="S101">
            <v>0</v>
          </cell>
          <cell r="X101">
            <v>0</v>
          </cell>
          <cell r="AC101">
            <v>0</v>
          </cell>
          <cell r="AF101">
            <v>0</v>
          </cell>
          <cell r="AG101">
            <v>0</v>
          </cell>
          <cell r="AH101">
            <v>0</v>
          </cell>
          <cell r="AI101" t="e">
            <v>#REF!</v>
          </cell>
          <cell r="AK101">
            <v>1240</v>
          </cell>
          <cell r="AL101">
            <v>116775.1297878788</v>
          </cell>
          <cell r="AM101">
            <v>43965.116024096387</v>
          </cell>
        </row>
        <row r="102">
          <cell r="F102">
            <v>93</v>
          </cell>
          <cell r="P102">
            <v>3077</v>
          </cell>
          <cell r="S102">
            <v>0</v>
          </cell>
          <cell r="X102">
            <v>0</v>
          </cell>
          <cell r="AC102">
            <v>0</v>
          </cell>
          <cell r="AF102">
            <v>0</v>
          </cell>
          <cell r="AG102">
            <v>0</v>
          </cell>
          <cell r="AH102">
            <v>0</v>
          </cell>
          <cell r="AI102" t="e">
            <v>#REF!</v>
          </cell>
          <cell r="AK102">
            <v>93</v>
          </cell>
        </row>
        <row r="103">
          <cell r="F103">
            <v>0</v>
          </cell>
          <cell r="P103">
            <v>1206</v>
          </cell>
          <cell r="S103">
            <v>0</v>
          </cell>
          <cell r="X103">
            <v>0</v>
          </cell>
          <cell r="AC103">
            <v>0</v>
          </cell>
          <cell r="AF103">
            <v>0</v>
          </cell>
          <cell r="AG103">
            <v>0</v>
          </cell>
          <cell r="AH103">
            <v>0</v>
          </cell>
          <cell r="AK103">
            <v>1291</v>
          </cell>
        </row>
        <row r="104">
          <cell r="F104">
            <v>0</v>
          </cell>
          <cell r="P104">
            <v>800</v>
          </cell>
          <cell r="S104">
            <v>0</v>
          </cell>
          <cell r="X104">
            <v>0</v>
          </cell>
          <cell r="AC104">
            <v>85</v>
          </cell>
        </row>
        <row r="105">
          <cell r="F105">
            <v>0</v>
          </cell>
          <cell r="S105">
            <v>0</v>
          </cell>
          <cell r="X105">
            <v>0</v>
          </cell>
          <cell r="AK105">
            <v>0</v>
          </cell>
        </row>
        <row r="106">
          <cell r="P106">
            <v>935</v>
          </cell>
          <cell r="S106">
            <v>2100</v>
          </cell>
          <cell r="X106">
            <v>80</v>
          </cell>
          <cell r="AC106">
            <v>85</v>
          </cell>
          <cell r="AK106">
            <v>0</v>
          </cell>
        </row>
        <row r="107">
          <cell r="F107">
            <v>0</v>
          </cell>
          <cell r="P107">
            <v>0</v>
          </cell>
          <cell r="S107">
            <v>0</v>
          </cell>
          <cell r="X107">
            <v>0</v>
          </cell>
          <cell r="AC107">
            <v>0</v>
          </cell>
          <cell r="AF107">
            <v>0</v>
          </cell>
          <cell r="AG107">
            <v>0</v>
          </cell>
          <cell r="AH107">
            <v>0</v>
          </cell>
          <cell r="AI107" t="e">
            <v>#REF!</v>
          </cell>
          <cell r="AK107">
            <v>0</v>
          </cell>
        </row>
        <row r="108">
          <cell r="F108">
            <v>0</v>
          </cell>
          <cell r="P108">
            <v>0</v>
          </cell>
          <cell r="S108">
            <v>0</v>
          </cell>
          <cell r="X108">
            <v>0</v>
          </cell>
          <cell r="AC108">
            <v>0</v>
          </cell>
          <cell r="AF108">
            <v>0</v>
          </cell>
          <cell r="AG108">
            <v>0</v>
          </cell>
          <cell r="AH108">
            <v>0</v>
          </cell>
          <cell r="AI108" t="e">
            <v>#REF!</v>
          </cell>
          <cell r="AK108">
            <v>0</v>
          </cell>
        </row>
        <row r="109">
          <cell r="F109">
            <v>0</v>
          </cell>
          <cell r="P109">
            <v>0</v>
          </cell>
          <cell r="S109">
            <v>0</v>
          </cell>
          <cell r="X109">
            <v>0</v>
          </cell>
          <cell r="AC109">
            <v>0</v>
          </cell>
          <cell r="AF109">
            <v>0</v>
          </cell>
          <cell r="AG109">
            <v>0</v>
          </cell>
          <cell r="AH109">
            <v>0</v>
          </cell>
          <cell r="AI109" t="e">
            <v>#REF!</v>
          </cell>
          <cell r="AK109">
            <v>0</v>
          </cell>
        </row>
        <row r="110">
          <cell r="F110">
            <v>0</v>
          </cell>
          <cell r="P110">
            <v>0</v>
          </cell>
          <cell r="S110">
            <v>0</v>
          </cell>
          <cell r="X110">
            <v>0</v>
          </cell>
          <cell r="AC110">
            <v>0</v>
          </cell>
          <cell r="AF110">
            <v>0</v>
          </cell>
          <cell r="AG110">
            <v>0</v>
          </cell>
          <cell r="AH110">
            <v>0</v>
          </cell>
          <cell r="AI110" t="e">
            <v>#REF!</v>
          </cell>
          <cell r="AK110">
            <v>0</v>
          </cell>
        </row>
        <row r="111">
          <cell r="F111">
            <v>0</v>
          </cell>
          <cell r="P111">
            <v>0</v>
          </cell>
          <cell r="S111">
            <v>0</v>
          </cell>
          <cell r="X111">
            <v>0</v>
          </cell>
          <cell r="AC111">
            <v>0</v>
          </cell>
          <cell r="AF111">
            <v>0</v>
          </cell>
          <cell r="AG111">
            <v>0</v>
          </cell>
          <cell r="AH111">
            <v>0</v>
          </cell>
          <cell r="AI111" t="e">
            <v>#REF!</v>
          </cell>
          <cell r="AK111">
            <v>0</v>
          </cell>
        </row>
        <row r="112">
          <cell r="F112">
            <v>0</v>
          </cell>
          <cell r="P112">
            <v>0</v>
          </cell>
          <cell r="S112">
            <v>0</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X114">
            <v>0</v>
          </cell>
          <cell r="AC114">
            <v>0</v>
          </cell>
          <cell r="AF114">
            <v>0</v>
          </cell>
          <cell r="AG114">
            <v>0</v>
          </cell>
          <cell r="AH114">
            <v>0</v>
          </cell>
          <cell r="AI114" t="e">
            <v>#REF!</v>
          </cell>
          <cell r="AK114">
            <v>0</v>
          </cell>
          <cell r="AM114">
            <v>0</v>
          </cell>
        </row>
        <row r="115">
          <cell r="F115">
            <v>0</v>
          </cell>
          <cell r="P115">
            <v>0</v>
          </cell>
          <cell r="S115">
            <v>0</v>
          </cell>
          <cell r="X115">
            <v>0</v>
          </cell>
          <cell r="AC115">
            <v>0</v>
          </cell>
          <cell r="AF115">
            <v>0</v>
          </cell>
          <cell r="AG115">
            <v>0</v>
          </cell>
          <cell r="AH115">
            <v>0</v>
          </cell>
          <cell r="AI115" t="e">
            <v>#REF!</v>
          </cell>
          <cell r="AK115">
            <v>0</v>
          </cell>
          <cell r="AM115">
            <v>0</v>
          </cell>
        </row>
        <row r="116">
          <cell r="F116">
            <v>0</v>
          </cell>
          <cell r="P116">
            <v>0</v>
          </cell>
          <cell r="S116">
            <v>0</v>
          </cell>
          <cell r="AC116">
            <v>0</v>
          </cell>
          <cell r="AG116">
            <v>0</v>
          </cell>
          <cell r="AH116">
            <v>0</v>
          </cell>
          <cell r="AI116" t="e">
            <v>#REF!</v>
          </cell>
          <cell r="AK116">
            <v>0</v>
          </cell>
          <cell r="AL116">
            <v>0</v>
          </cell>
          <cell r="AM116">
            <v>0</v>
          </cell>
        </row>
        <row r="117">
          <cell r="F117">
            <v>0</v>
          </cell>
          <cell r="P117">
            <v>0</v>
          </cell>
          <cell r="S117">
            <v>0</v>
          </cell>
          <cell r="AC117">
            <v>0</v>
          </cell>
          <cell r="AG117">
            <v>0</v>
          </cell>
          <cell r="AH117">
            <v>0</v>
          </cell>
          <cell r="AI117" t="e">
            <v>#REF!</v>
          </cell>
          <cell r="AK117">
            <v>0</v>
          </cell>
          <cell r="AL117">
            <v>0</v>
          </cell>
          <cell r="AM117">
            <v>0</v>
          </cell>
        </row>
        <row r="118">
          <cell r="F118">
            <v>0</v>
          </cell>
          <cell r="P118">
            <v>0</v>
          </cell>
          <cell r="S118">
            <v>0</v>
          </cell>
          <cell r="AC118">
            <v>0</v>
          </cell>
          <cell r="AF118">
            <v>0</v>
          </cell>
          <cell r="AG118">
            <v>0</v>
          </cell>
          <cell r="AH118">
            <v>0</v>
          </cell>
          <cell r="AI118" t="e">
            <v>#REF!</v>
          </cell>
          <cell r="AJ118">
            <v>0</v>
          </cell>
          <cell r="AK118">
            <v>0</v>
          </cell>
          <cell r="AL118">
            <v>0</v>
          </cell>
          <cell r="AM118">
            <v>0</v>
          </cell>
        </row>
        <row r="119">
          <cell r="F119">
            <v>0</v>
          </cell>
          <cell r="P119">
            <v>0</v>
          </cell>
          <cell r="S119">
            <v>0</v>
          </cell>
          <cell r="X119">
            <v>0</v>
          </cell>
          <cell r="AC119">
            <v>0</v>
          </cell>
          <cell r="AF119">
            <v>0</v>
          </cell>
          <cell r="AG119">
            <v>0</v>
          </cell>
          <cell r="AH119">
            <v>0</v>
          </cell>
          <cell r="AI119" t="e">
            <v>#REF!</v>
          </cell>
          <cell r="AK119">
            <v>0</v>
          </cell>
        </row>
        <row r="120">
          <cell r="F120">
            <v>100</v>
          </cell>
          <cell r="P120">
            <v>0</v>
          </cell>
          <cell r="S120">
            <v>0</v>
          </cell>
          <cell r="X120">
            <v>0</v>
          </cell>
          <cell r="AC120">
            <v>0</v>
          </cell>
          <cell r="AF120">
            <v>0</v>
          </cell>
          <cell r="AG120">
            <v>0</v>
          </cell>
          <cell r="AH120">
            <v>0</v>
          </cell>
          <cell r="AI120" t="e">
            <v>#REF!</v>
          </cell>
          <cell r="AK120">
            <v>100</v>
          </cell>
        </row>
        <row r="121">
          <cell r="F121">
            <v>100</v>
          </cell>
          <cell r="P121">
            <v>0</v>
          </cell>
          <cell r="S121">
            <v>0</v>
          </cell>
          <cell r="X121">
            <v>0</v>
          </cell>
          <cell r="AC121">
            <v>0</v>
          </cell>
          <cell r="AF121">
            <v>0</v>
          </cell>
          <cell r="AG121">
            <v>0</v>
          </cell>
          <cell r="AH121">
            <v>0</v>
          </cell>
          <cell r="AI121" t="e">
            <v>#REF!</v>
          </cell>
          <cell r="AK121">
            <v>0</v>
          </cell>
        </row>
        <row r="122">
          <cell r="F122">
            <v>4000</v>
          </cell>
          <cell r="S122">
            <v>0</v>
          </cell>
          <cell r="X122">
            <v>0</v>
          </cell>
          <cell r="AF122">
            <v>0</v>
          </cell>
          <cell r="AI122" t="e">
            <v>#REF!</v>
          </cell>
          <cell r="AK122">
            <v>4000</v>
          </cell>
        </row>
        <row r="123">
          <cell r="F123">
            <v>3480</v>
          </cell>
          <cell r="S123">
            <v>0</v>
          </cell>
          <cell r="X123">
            <v>0</v>
          </cell>
          <cell r="AF123">
            <v>0</v>
          </cell>
          <cell r="AI123" t="e">
            <v>#REF!</v>
          </cell>
          <cell r="AK123">
            <v>0</v>
          </cell>
        </row>
        <row r="124">
          <cell r="F124">
            <v>3480</v>
          </cell>
          <cell r="AI124" t="e">
            <v>#REF!</v>
          </cell>
          <cell r="AK124">
            <v>0</v>
          </cell>
          <cell r="AL124">
            <v>396.87424242423458</v>
          </cell>
        </row>
        <row r="125">
          <cell r="F125">
            <v>0</v>
          </cell>
          <cell r="AI125" t="e">
            <v>#REF!</v>
          </cell>
          <cell r="AK125">
            <v>0</v>
          </cell>
          <cell r="AL125">
            <v>-8132.8846363636376</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4100</v>
          </cell>
          <cell r="AL126">
            <v>13247.384148484838</v>
          </cell>
          <cell r="AO126">
            <v>0</v>
          </cell>
          <cell r="AP126">
            <v>0</v>
          </cell>
          <cell r="AQ126">
            <v>0</v>
          </cell>
          <cell r="AR126">
            <v>0</v>
          </cell>
        </row>
        <row r="127">
          <cell r="F127">
            <v>4527</v>
          </cell>
          <cell r="G127">
            <v>0</v>
          </cell>
          <cell r="H127">
            <v>0</v>
          </cell>
          <cell r="P127">
            <v>813</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4100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4496.8742424242346</v>
          </cell>
          <cell r="AL128">
            <v>5340</v>
          </cell>
          <cell r="AM128">
            <v>0</v>
          </cell>
          <cell r="AN128">
            <v>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I129" t="e">
            <v>#REF!</v>
          </cell>
          <cell r="AJ129">
            <v>0</v>
          </cell>
          <cell r="AK129">
            <v>4496.8742424242346</v>
          </cell>
          <cell r="AL129">
            <v>9106</v>
          </cell>
        </row>
        <row r="130">
          <cell r="AI130" t="e">
            <v>#REF!</v>
          </cell>
          <cell r="AJ130" t="e">
            <v>#REF!</v>
          </cell>
          <cell r="AK130">
            <v>6424.1060606060491</v>
          </cell>
          <cell r="AL130">
            <v>10691.092580700395</v>
          </cell>
          <cell r="AM130">
            <v>-5132.2365200943386</v>
          </cell>
        </row>
        <row r="131">
          <cell r="AI131" t="e">
            <v>#REF!</v>
          </cell>
          <cell r="AK131">
            <v>16827.384148484838</v>
          </cell>
          <cell r="AL131">
            <v>9186.0424182431379</v>
          </cell>
          <cell r="AM131">
            <v>-16555.413327334049</v>
          </cell>
        </row>
        <row r="132">
          <cell r="AI132">
            <v>-11929.693606060609</v>
          </cell>
          <cell r="AJ132">
            <v>2695.8439999999973</v>
          </cell>
          <cell r="AK132">
            <v>1927.2318181818146</v>
          </cell>
          <cell r="AL132">
            <v>13754.883975903613</v>
          </cell>
          <cell r="AM132">
            <v>9418.9862362175918</v>
          </cell>
          <cell r="AO132">
            <v>0</v>
          </cell>
        </row>
        <row r="133">
          <cell r="AK133">
            <v>-1951.236272727273</v>
          </cell>
          <cell r="AO133">
            <v>0</v>
          </cell>
        </row>
        <row r="134">
          <cell r="AI134" t="e">
            <v>#REF!</v>
          </cell>
          <cell r="AK134">
            <v>7211.7360636363592</v>
          </cell>
          <cell r="AM134">
            <v>0</v>
          </cell>
          <cell r="AO134">
            <v>0</v>
          </cell>
        </row>
        <row r="135">
          <cell r="AK135">
            <v>58108</v>
          </cell>
          <cell r="AM135">
            <v>58108</v>
          </cell>
          <cell r="AO135">
            <v>0</v>
          </cell>
          <cell r="AQ135">
            <v>0</v>
          </cell>
        </row>
        <row r="136">
          <cell r="AK136">
            <v>-5132.2365200943386</v>
          </cell>
          <cell r="AM136">
            <v>28333</v>
          </cell>
          <cell r="AO136">
            <v>0</v>
          </cell>
          <cell r="AQ136">
            <v>0</v>
          </cell>
        </row>
        <row r="137">
          <cell r="AI137">
            <v>10816</v>
          </cell>
          <cell r="AK137">
            <v>36.78</v>
          </cell>
          <cell r="AM137">
            <v>82229</v>
          </cell>
          <cell r="AO137" t="e">
            <v>#DIV/0!</v>
          </cell>
          <cell r="AQ137">
            <v>0</v>
          </cell>
        </row>
        <row r="138">
          <cell r="AI138">
            <v>-15490.787606060607</v>
          </cell>
          <cell r="AK138">
            <v>40.03</v>
          </cell>
          <cell r="AM138">
            <v>0</v>
          </cell>
          <cell r="AO138" t="e">
            <v>#DIV/0!</v>
          </cell>
        </row>
        <row r="139">
          <cell r="AI139">
            <v>6.85</v>
          </cell>
          <cell r="AK139">
            <v>0</v>
          </cell>
          <cell r="AM139" t="e">
            <v>#DIV/0!</v>
          </cell>
          <cell r="AO139">
            <v>0</v>
          </cell>
        </row>
        <row r="140">
          <cell r="AI140">
            <v>16.649999999999999</v>
          </cell>
          <cell r="AK140">
            <v>46.08</v>
          </cell>
          <cell r="AM140" t="e">
            <v>#REF!</v>
          </cell>
          <cell r="AO140" t="e">
            <v>#DIV/0!</v>
          </cell>
        </row>
        <row r="141">
          <cell r="AI141">
            <v>0</v>
          </cell>
          <cell r="AK141">
            <v>14.4</v>
          </cell>
          <cell r="AM141">
            <v>0</v>
          </cell>
          <cell r="AO141" t="e">
            <v>#DIV/0!</v>
          </cell>
        </row>
        <row r="142">
          <cell r="AK142">
            <v>12.49</v>
          </cell>
          <cell r="AO142" t="e">
            <v>#DIV/0!</v>
          </cell>
        </row>
        <row r="143">
          <cell r="AI143">
            <v>9.84</v>
          </cell>
          <cell r="AJ143">
            <v>0</v>
          </cell>
          <cell r="AK143">
            <v>11.7</v>
          </cell>
          <cell r="AM143" t="e">
            <v>#DIV/0!</v>
          </cell>
          <cell r="AO143" t="e">
            <v>#DIV/0!</v>
          </cell>
        </row>
        <row r="144">
          <cell r="AJ144">
            <v>0</v>
          </cell>
          <cell r="AK144">
            <v>56960</v>
          </cell>
          <cell r="AL144">
            <v>56960</v>
          </cell>
          <cell r="AO144" t="e">
            <v>#DIV/0!</v>
          </cell>
        </row>
        <row r="145">
          <cell r="AI145">
            <v>7.69</v>
          </cell>
          <cell r="AJ145">
            <v>0</v>
          </cell>
          <cell r="AK145">
            <v>11.11</v>
          </cell>
          <cell r="AL145">
            <v>49395</v>
          </cell>
          <cell r="AM145" t="e">
            <v>#DIV/0!</v>
          </cell>
          <cell r="AO145" t="e">
            <v>#DIV/0!</v>
          </cell>
        </row>
        <row r="146">
          <cell r="AI146">
            <v>38926</v>
          </cell>
          <cell r="AJ146">
            <v>300</v>
          </cell>
          <cell r="AK146">
            <v>57720</v>
          </cell>
          <cell r="AL146">
            <v>57720</v>
          </cell>
        </row>
        <row r="147">
          <cell r="AJ147">
            <v>300</v>
          </cell>
          <cell r="AK147">
            <v>5857.1428571428578</v>
          </cell>
          <cell r="AL147">
            <v>-46268.907419299605</v>
          </cell>
          <cell r="AM147">
            <v>-63240.236520094339</v>
          </cell>
        </row>
        <row r="148">
          <cell r="S148">
            <v>0</v>
          </cell>
          <cell r="AJ148">
            <v>300</v>
          </cell>
          <cell r="AK148">
            <v>865.25</v>
          </cell>
          <cell r="AL148">
            <v>-40208.957581756862</v>
          </cell>
          <cell r="AM148">
            <v>-44888.413327334049</v>
          </cell>
        </row>
        <row r="149">
          <cell r="S149">
            <v>0</v>
          </cell>
          <cell r="AI149" t="e">
            <v>#REF!</v>
          </cell>
          <cell r="AJ149">
            <v>-30402.156000000003</v>
          </cell>
          <cell r="AK149">
            <v>5114.2857142857147</v>
          </cell>
          <cell r="AL149">
            <v>-43965.116024096387</v>
          </cell>
          <cell r="AM149">
            <v>-72810.013763782408</v>
          </cell>
        </row>
        <row r="150">
          <cell r="S150">
            <v>0</v>
          </cell>
          <cell r="AI150">
            <v>865.25</v>
          </cell>
          <cell r="AJ150">
            <v>0</v>
          </cell>
          <cell r="AK150">
            <v>115068</v>
          </cell>
          <cell r="AL150">
            <v>56960</v>
          </cell>
          <cell r="AM150">
            <v>58108</v>
          </cell>
          <cell r="AO150">
            <v>0</v>
          </cell>
        </row>
        <row r="151">
          <cell r="AJ151">
            <v>0</v>
          </cell>
          <cell r="AK151">
            <v>0</v>
          </cell>
          <cell r="AL151">
            <v>49395</v>
          </cell>
          <cell r="AM151">
            <v>28333</v>
          </cell>
          <cell r="AO151">
            <v>0</v>
          </cell>
        </row>
        <row r="152">
          <cell r="AI152">
            <v>49742</v>
          </cell>
          <cell r="AJ152">
            <v>0</v>
          </cell>
          <cell r="AK152">
            <v>115068</v>
          </cell>
          <cell r="AL152">
            <v>56960</v>
          </cell>
          <cell r="AM152">
            <v>58108</v>
          </cell>
          <cell r="AO152">
            <v>0</v>
          </cell>
        </row>
        <row r="153">
          <cell r="AI153">
            <v>0</v>
          </cell>
          <cell r="AK153">
            <v>0</v>
          </cell>
          <cell r="AL153">
            <v>49395</v>
          </cell>
          <cell r="AM153">
            <v>28333</v>
          </cell>
          <cell r="AO153">
            <v>2093</v>
          </cell>
          <cell r="AP153">
            <v>5098</v>
          </cell>
          <cell r="AQ153">
            <v>4891.9653693155615</v>
          </cell>
          <cell r="AR153">
            <v>11328.349456446114</v>
          </cell>
        </row>
        <row r="154">
          <cell r="AI154">
            <v>43914</v>
          </cell>
          <cell r="AJ154">
            <v>33098</v>
          </cell>
          <cell r="AK154">
            <v>5.9</v>
          </cell>
          <cell r="AL154">
            <v>23.1</v>
          </cell>
          <cell r="AM154">
            <v>-8.1</v>
          </cell>
          <cell r="AO154">
            <v>2889</v>
          </cell>
          <cell r="AP154">
            <v>5865</v>
          </cell>
          <cell r="AQ154">
            <v>4320.2514445347797</v>
          </cell>
          <cell r="AR154">
            <v>12672.305468164745</v>
          </cell>
        </row>
        <row r="155">
          <cell r="AI155">
            <v>0</v>
          </cell>
          <cell r="AK155">
            <v>5.348542273679354</v>
          </cell>
          <cell r="AL155">
            <v>-100</v>
          </cell>
          <cell r="AM155">
            <v>-100</v>
          </cell>
          <cell r="AN155">
            <v>3536</v>
          </cell>
          <cell r="AO155">
            <v>2449</v>
          </cell>
          <cell r="AP155">
            <v>6659</v>
          </cell>
          <cell r="AQ155">
            <v>5344.308649356225</v>
          </cell>
          <cell r="AR155">
            <v>14571.544133725103</v>
          </cell>
        </row>
        <row r="156">
          <cell r="AI156">
            <v>-21</v>
          </cell>
          <cell r="AJ156">
            <v>8.9</v>
          </cell>
          <cell r="AK156">
            <v>20.6</v>
          </cell>
          <cell r="AL156">
            <v>0</v>
          </cell>
          <cell r="AM156">
            <v>0</v>
          </cell>
        </row>
        <row r="157">
          <cell r="AI157" t="e">
            <v>#REF!</v>
          </cell>
          <cell r="AJ157">
            <v>-100</v>
          </cell>
          <cell r="AK157">
            <v>4.3796018241005417</v>
          </cell>
          <cell r="AL157">
            <v>-100</v>
          </cell>
          <cell r="AM157">
            <v>-100</v>
          </cell>
        </row>
        <row r="158">
          <cell r="F158">
            <v>0</v>
          </cell>
          <cell r="P158">
            <v>0</v>
          </cell>
          <cell r="S158">
            <v>0</v>
          </cell>
          <cell r="X158">
            <v>0</v>
          </cell>
          <cell r="AC158">
            <v>0</v>
          </cell>
          <cell r="AJ158">
            <v>142</v>
          </cell>
          <cell r="AK158">
            <v>0</v>
          </cell>
          <cell r="AL158">
            <v>0</v>
          </cell>
          <cell r="AM158">
            <v>0</v>
          </cell>
        </row>
        <row r="159">
          <cell r="F159">
            <v>320</v>
          </cell>
          <cell r="P159">
            <v>720</v>
          </cell>
          <cell r="S159">
            <v>1362.8000000000002</v>
          </cell>
          <cell r="X159">
            <v>796.80000000000007</v>
          </cell>
          <cell r="AC159">
            <v>439.20000000000005</v>
          </cell>
          <cell r="AF159">
            <v>312.8</v>
          </cell>
          <cell r="AG159">
            <v>313</v>
          </cell>
          <cell r="AH159">
            <v>-0.19999999999998863</v>
          </cell>
          <cell r="AJ159">
            <v>142</v>
          </cell>
          <cell r="AK159">
            <v>3951.6000000000004</v>
          </cell>
        </row>
        <row r="160">
          <cell r="F160">
            <v>320</v>
          </cell>
          <cell r="P160">
            <v>340</v>
          </cell>
          <cell r="S160">
            <v>416</v>
          </cell>
          <cell r="X160">
            <v>560</v>
          </cell>
          <cell r="AC160">
            <v>260.8</v>
          </cell>
          <cell r="AF160">
            <v>141.6</v>
          </cell>
          <cell r="AG160">
            <v>142</v>
          </cell>
          <cell r="AH160">
            <v>-0.40000000000000568</v>
          </cell>
          <cell r="AI160" t="e">
            <v>#REF!</v>
          </cell>
          <cell r="AJ160">
            <v>142</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I161" t="e">
            <v>#REF!</v>
          </cell>
          <cell r="AK161">
            <v>1017.6</v>
          </cell>
        </row>
        <row r="162">
          <cell r="F162">
            <v>0</v>
          </cell>
          <cell r="P162">
            <v>100</v>
          </cell>
          <cell r="S162">
            <v>101</v>
          </cell>
          <cell r="X162">
            <v>118</v>
          </cell>
          <cell r="AB162">
            <v>9</v>
          </cell>
          <cell r="AC162">
            <v>29</v>
          </cell>
          <cell r="AF162">
            <v>74</v>
          </cell>
          <cell r="AG162">
            <v>74</v>
          </cell>
          <cell r="AH162">
            <v>60</v>
          </cell>
          <cell r="AI162" t="e">
            <v>#REF!</v>
          </cell>
          <cell r="AK162">
            <v>348</v>
          </cell>
        </row>
        <row r="163">
          <cell r="F163">
            <v>0</v>
          </cell>
          <cell r="P163">
            <v>226</v>
          </cell>
          <cell r="S163">
            <v>133</v>
          </cell>
          <cell r="X163">
            <v>226</v>
          </cell>
          <cell r="AB163">
            <v>9</v>
          </cell>
          <cell r="AC163">
            <v>173</v>
          </cell>
          <cell r="AF163">
            <v>90</v>
          </cell>
          <cell r="AG163">
            <v>90</v>
          </cell>
          <cell r="AH163">
            <v>0</v>
          </cell>
          <cell r="AI163" t="e">
            <v>#REF!</v>
          </cell>
          <cell r="AK163">
            <v>0</v>
          </cell>
        </row>
        <row r="164">
          <cell r="F164">
            <v>14.170833333333334</v>
          </cell>
          <cell r="P164">
            <v>120</v>
          </cell>
          <cell r="S164">
            <v>94</v>
          </cell>
          <cell r="X164">
            <v>131</v>
          </cell>
          <cell r="AB164">
            <v>9</v>
          </cell>
          <cell r="AC164">
            <v>83</v>
          </cell>
          <cell r="AF164">
            <v>80</v>
          </cell>
          <cell r="AG164">
            <v>80</v>
          </cell>
          <cell r="AI164" t="e">
            <v>#REF!</v>
          </cell>
          <cell r="AK164">
            <v>14.170833333333334</v>
          </cell>
        </row>
        <row r="165">
          <cell r="F165">
            <v>14.170833333333334</v>
          </cell>
          <cell r="P165">
            <v>152</v>
          </cell>
          <cell r="S165">
            <v>428.72727272727275</v>
          </cell>
          <cell r="X165">
            <v>248.36363636363637</v>
          </cell>
          <cell r="AC165">
            <v>191.18181818181819</v>
          </cell>
          <cell r="AF165">
            <v>157.90909090909091</v>
          </cell>
          <cell r="AG165">
            <v>157.90909090909091</v>
          </cell>
          <cell r="AI165" t="e">
            <v>#REF!</v>
          </cell>
          <cell r="AK165">
            <v>1020.2727272727273</v>
          </cell>
        </row>
        <row r="166">
          <cell r="F166">
            <v>260</v>
          </cell>
          <cell r="P166">
            <v>180</v>
          </cell>
          <cell r="S166">
            <v>934.07272727272743</v>
          </cell>
          <cell r="X166">
            <v>548.43636363636369</v>
          </cell>
          <cell r="AC166">
            <v>248.01818181818186</v>
          </cell>
          <cell r="AF166">
            <v>157.90909090909091</v>
          </cell>
          <cell r="AG166">
            <v>157.90909090909091</v>
          </cell>
          <cell r="AI166" t="e">
            <v>#REF!</v>
          </cell>
          <cell r="AK166">
            <v>1990.5272727272729</v>
          </cell>
        </row>
        <row r="167">
          <cell r="F167">
            <v>260</v>
          </cell>
          <cell r="P167">
            <v>450</v>
          </cell>
          <cell r="S167">
            <v>1362.8000000000002</v>
          </cell>
          <cell r="X167">
            <v>796.80000000000007</v>
          </cell>
          <cell r="AC167">
            <v>439.20000000000005</v>
          </cell>
          <cell r="AF167">
            <v>157.90909090909091</v>
          </cell>
          <cell r="AG167">
            <v>157.90909090909091</v>
          </cell>
          <cell r="AI167" t="e">
            <v>#REF!</v>
          </cell>
          <cell r="AK167">
            <v>1734.9545454545455</v>
          </cell>
        </row>
        <row r="168">
          <cell r="F168">
            <v>60</v>
          </cell>
          <cell r="P168">
            <v>0</v>
          </cell>
          <cell r="S168">
            <v>0</v>
          </cell>
          <cell r="X168">
            <v>0</v>
          </cell>
          <cell r="AC168">
            <v>0</v>
          </cell>
          <cell r="AI168" t="e">
            <v>#REF!</v>
          </cell>
          <cell r="AK168">
            <v>60</v>
          </cell>
        </row>
        <row r="169">
          <cell r="F169">
            <v>60</v>
          </cell>
          <cell r="P169">
            <v>0</v>
          </cell>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I170" t="e">
            <v>#REF!</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I171" t="e">
            <v>#REF!</v>
          </cell>
          <cell r="AJ171">
            <v>0</v>
          </cell>
          <cell r="AK171">
            <v>6977</v>
          </cell>
        </row>
        <row r="172">
          <cell r="F172">
            <v>0</v>
          </cell>
          <cell r="G172">
            <v>0</v>
          </cell>
          <cell r="H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t="e">
            <v>#REF!</v>
          </cell>
          <cell r="AJ172">
            <v>0</v>
          </cell>
          <cell r="AK172">
            <v>0</v>
          </cell>
        </row>
        <row r="173">
          <cell r="F173">
            <v>0</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J174">
            <v>0</v>
          </cell>
          <cell r="AK174">
            <v>0</v>
          </cell>
        </row>
        <row r="175">
          <cell r="F175">
            <v>4000</v>
          </cell>
          <cell r="AG175">
            <v>0</v>
          </cell>
          <cell r="AI175" t="e">
            <v>#REF!</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I177" t="e">
            <v>#REF!</v>
          </cell>
          <cell r="AJ177">
            <v>0</v>
          </cell>
          <cell r="AK177">
            <v>3480</v>
          </cell>
          <cell r="AO177">
            <v>266</v>
          </cell>
          <cell r="AP177">
            <v>661</v>
          </cell>
          <cell r="AQ177">
            <v>907.25</v>
          </cell>
          <cell r="AR177">
            <v>2372.7209090909091</v>
          </cell>
        </row>
        <row r="178">
          <cell r="F178">
            <v>0</v>
          </cell>
          <cell r="G178">
            <v>0</v>
          </cell>
          <cell r="H178">
            <v>0</v>
          </cell>
          <cell r="P178">
            <v>-51</v>
          </cell>
          <cell r="Q178">
            <v>0</v>
          </cell>
          <cell r="R178">
            <v>0</v>
          </cell>
          <cell r="S178">
            <v>-76.333333333333329</v>
          </cell>
          <cell r="T178">
            <v>13.666666666666666</v>
          </cell>
          <cell r="U178">
            <v>0</v>
          </cell>
          <cell r="V178">
            <v>0</v>
          </cell>
          <cell r="W178">
            <v>0</v>
          </cell>
          <cell r="X178">
            <v>400</v>
          </cell>
          <cell r="Y178">
            <v>138</v>
          </cell>
          <cell r="Z178">
            <v>120.36363636363637</v>
          </cell>
          <cell r="AA178">
            <v>0</v>
          </cell>
          <cell r="AB178">
            <v>0</v>
          </cell>
          <cell r="AC178">
            <v>13.333333333333334</v>
          </cell>
          <cell r="AD178">
            <v>73</v>
          </cell>
          <cell r="AE178">
            <v>107.90909090909091</v>
          </cell>
          <cell r="AF178">
            <v>-0.7</v>
          </cell>
          <cell r="AG178">
            <v>2</v>
          </cell>
          <cell r="AH178">
            <v>-2.7</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315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I180" t="e">
            <v>#REF!</v>
          </cell>
          <cell r="AJ180">
            <v>0</v>
          </cell>
          <cell r="AK180">
            <v>7665.7360636363592</v>
          </cell>
          <cell r="AM180">
            <v>509</v>
          </cell>
          <cell r="AN180">
            <v>218</v>
          </cell>
          <cell r="AO180">
            <v>267</v>
          </cell>
          <cell r="AP180">
            <v>349</v>
          </cell>
          <cell r="AQ180">
            <v>-107</v>
          </cell>
          <cell r="AR180">
            <v>-55</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1507.2</v>
          </cell>
        </row>
        <row r="183">
          <cell r="F183">
            <v>8205</v>
          </cell>
          <cell r="P183">
            <v>848.19999999999959</v>
          </cell>
          <cell r="S183">
            <v>5161.6000000000004</v>
          </cell>
          <cell r="X183">
            <v>904.30000000000064</v>
          </cell>
          <cell r="AC183">
            <v>505.53333333333126</v>
          </cell>
          <cell r="AF183">
            <v>1767.9999999999995</v>
          </cell>
          <cell r="AG183">
            <v>1862</v>
          </cell>
          <cell r="AH183">
            <v>-289</v>
          </cell>
          <cell r="AN183">
            <v>1507.2</v>
          </cell>
          <cell r="AO183" t="str">
            <v>ОЧИК.18.02.</v>
          </cell>
          <cell r="AP183">
            <v>1507.2</v>
          </cell>
        </row>
        <row r="184">
          <cell r="AM184" t="str">
            <v>ОЧИК.18.02.</v>
          </cell>
          <cell r="AO184"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ДОП.ВИР. СТ.ОРГ.</v>
          </cell>
          <cell r="AK187" t="str">
            <v>АК КЕ ВСЬОГО</v>
          </cell>
          <cell r="AL187" t="str">
            <v>Е/Е</v>
          </cell>
          <cell r="AM187" t="str">
            <v xml:space="preserve"> Т/Е</v>
          </cell>
          <cell r="AN187" t="str">
            <v>СТАНЦІІ ТЕПЛОВІ</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I190">
            <v>139.20000000000002</v>
          </cell>
          <cell r="AK190">
            <v>362.5</v>
          </cell>
          <cell r="AM190">
            <v>221.49122807017542</v>
          </cell>
          <cell r="AO190">
            <v>66</v>
          </cell>
        </row>
        <row r="191">
          <cell r="P191">
            <v>0</v>
          </cell>
          <cell r="S191">
            <v>192.5</v>
          </cell>
          <cell r="X191">
            <v>192.5</v>
          </cell>
          <cell r="AC191">
            <v>192.5</v>
          </cell>
          <cell r="AI191">
            <v>159.4</v>
          </cell>
          <cell r="AK191">
            <v>192.5</v>
          </cell>
          <cell r="AM191">
            <v>252.49999999999997</v>
          </cell>
          <cell r="AO191">
            <v>0</v>
          </cell>
        </row>
        <row r="192">
          <cell r="P192">
            <v>0</v>
          </cell>
          <cell r="S192">
            <v>19500</v>
          </cell>
          <cell r="X192">
            <v>22503</v>
          </cell>
          <cell r="AC192">
            <v>21502</v>
          </cell>
          <cell r="AK192">
            <v>63506</v>
          </cell>
          <cell r="AM192">
            <v>66</v>
          </cell>
          <cell r="AO192">
            <v>0</v>
          </cell>
        </row>
        <row r="193">
          <cell r="P193">
            <v>0</v>
          </cell>
          <cell r="S193">
            <v>192.5</v>
          </cell>
          <cell r="X193">
            <v>192.5</v>
          </cell>
          <cell r="AC193">
            <v>192.5</v>
          </cell>
          <cell r="AI193">
            <v>192.5</v>
          </cell>
          <cell r="AK193">
            <v>63505</v>
          </cell>
          <cell r="AM193">
            <v>0</v>
          </cell>
          <cell r="AO193">
            <v>0</v>
          </cell>
        </row>
        <row r="194">
          <cell r="S194">
            <v>21522</v>
          </cell>
          <cell r="X194">
            <v>0</v>
          </cell>
          <cell r="AC194">
            <v>0</v>
          </cell>
          <cell r="AI194">
            <v>26797</v>
          </cell>
          <cell r="AK194">
            <v>0</v>
          </cell>
          <cell r="AM194">
            <v>0</v>
          </cell>
          <cell r="AO194">
            <v>0</v>
          </cell>
        </row>
        <row r="195">
          <cell r="X195">
            <v>0</v>
          </cell>
          <cell r="AC195">
            <v>0</v>
          </cell>
          <cell r="AI195">
            <v>26797</v>
          </cell>
          <cell r="AK195">
            <v>0</v>
          </cell>
        </row>
        <row r="196">
          <cell r="X196">
            <v>82.5</v>
          </cell>
          <cell r="AC196">
            <v>82.5</v>
          </cell>
          <cell r="AI196">
            <v>0</v>
          </cell>
          <cell r="AK196">
            <v>0</v>
          </cell>
        </row>
        <row r="197">
          <cell r="X197">
            <v>0</v>
          </cell>
          <cell r="AC197">
            <v>0</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5.7</v>
          </cell>
          <cell r="AC201">
            <v>5.9</v>
          </cell>
          <cell r="AD201">
            <v>5</v>
          </cell>
          <cell r="AE201">
            <v>7</v>
          </cell>
          <cell r="AK201">
            <v>11.600000000000001</v>
          </cell>
          <cell r="AO201">
            <v>103.9</v>
          </cell>
        </row>
        <row r="202">
          <cell r="F202">
            <v>75</v>
          </cell>
          <cell r="X202">
            <v>7</v>
          </cell>
          <cell r="AC202">
            <v>7</v>
          </cell>
          <cell r="AI202">
            <v>0</v>
          </cell>
          <cell r="AJ202">
            <v>0</v>
          </cell>
          <cell r="AK202">
            <v>0</v>
          </cell>
          <cell r="AM202">
            <v>75.839416058394164</v>
          </cell>
          <cell r="AO202" t="e">
            <v>#DIV/0!</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v>195.28</v>
          </cell>
          <cell r="AR203">
            <v>75</v>
          </cell>
        </row>
        <row r="204">
          <cell r="F204">
            <v>75</v>
          </cell>
          <cell r="P204">
            <v>75</v>
          </cell>
          <cell r="S204">
            <v>0</v>
          </cell>
          <cell r="X204">
            <v>2466</v>
          </cell>
          <cell r="AC204">
            <v>2526</v>
          </cell>
          <cell r="AJ204">
            <v>0</v>
          </cell>
          <cell r="AK204">
            <v>4992</v>
          </cell>
          <cell r="AM204" t="e">
            <v>#DIV/0!</v>
          </cell>
          <cell r="AO204">
            <v>14810</v>
          </cell>
          <cell r="AP204">
            <v>75</v>
          </cell>
          <cell r="AR204">
            <v>75</v>
          </cell>
        </row>
        <row r="205">
          <cell r="S205">
            <v>675</v>
          </cell>
          <cell r="X205">
            <v>675</v>
          </cell>
          <cell r="AC205">
            <v>601.41999999999996</v>
          </cell>
          <cell r="AI205">
            <v>385</v>
          </cell>
          <cell r="AK205">
            <v>4992</v>
          </cell>
          <cell r="AM205">
            <v>195.28</v>
          </cell>
          <cell r="AO205">
            <v>195.28</v>
          </cell>
        </row>
        <row r="206">
          <cell r="S206">
            <v>116</v>
          </cell>
          <cell r="X206">
            <v>139.6</v>
          </cell>
          <cell r="Y206">
            <v>58</v>
          </cell>
          <cell r="Z206">
            <v>81.600000000000009</v>
          </cell>
          <cell r="AC206">
            <v>133.69999999999999</v>
          </cell>
          <cell r="AD206">
            <v>61.1</v>
          </cell>
          <cell r="AE206">
            <v>72.599999999999994</v>
          </cell>
          <cell r="AI206">
            <v>0</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I207">
            <v>0</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A208">
            <v>6597</v>
          </cell>
          <cell r="AC208">
            <v>179.72</v>
          </cell>
          <cell r="AD208">
            <v>193.34</v>
          </cell>
          <cell r="AE208">
            <v>168.25</v>
          </cell>
          <cell r="AI208">
            <v>159.4</v>
          </cell>
          <cell r="AJ208" t="str">
            <v/>
          </cell>
          <cell r="AK208">
            <v>175.95</v>
          </cell>
          <cell r="AL208">
            <v>193.69</v>
          </cell>
          <cell r="AM208">
            <v>168.13</v>
          </cell>
          <cell r="AN208">
            <v>74.900000000000006</v>
          </cell>
          <cell r="AO208">
            <v>41.55</v>
          </cell>
          <cell r="AP208">
            <v>41.55</v>
          </cell>
          <cell r="AQ208">
            <v>41.55</v>
          </cell>
          <cell r="AR208" t="str">
            <v/>
          </cell>
        </row>
        <row r="209">
          <cell r="S209">
            <v>21522</v>
          </cell>
          <cell r="X209">
            <v>25680</v>
          </cell>
          <cell r="Y209">
            <v>10797</v>
          </cell>
          <cell r="Z209">
            <v>14883</v>
          </cell>
          <cell r="AA209">
            <v>14883</v>
          </cell>
          <cell r="AC209">
            <v>22580</v>
          </cell>
          <cell r="AD209">
            <v>9180</v>
          </cell>
          <cell r="AE209">
            <v>13400</v>
          </cell>
          <cell r="AI209">
            <v>26797</v>
          </cell>
          <cell r="AJ209" t="str">
            <v/>
          </cell>
          <cell r="AK209">
            <v>69781</v>
          </cell>
          <cell r="AL209">
            <v>19977</v>
          </cell>
          <cell r="AM209">
            <v>0</v>
          </cell>
          <cell r="AN209">
            <v>3112.427048260382</v>
          </cell>
          <cell r="AO209">
            <v>52</v>
          </cell>
          <cell r="AP209">
            <v>52</v>
          </cell>
          <cell r="AQ209">
            <v>11697.572951739618</v>
          </cell>
          <cell r="AR209" t="str">
            <v/>
          </cell>
        </row>
        <row r="210">
          <cell r="S210">
            <v>168.14</v>
          </cell>
          <cell r="X210">
            <v>24969</v>
          </cell>
          <cell r="Y210">
            <v>168.18</v>
          </cell>
          <cell r="Z210">
            <v>168.17</v>
          </cell>
          <cell r="AC210">
            <v>24028</v>
          </cell>
          <cell r="AD210">
            <v>168.13</v>
          </cell>
          <cell r="AE210">
            <v>168.13</v>
          </cell>
          <cell r="AI210">
            <v>168.11</v>
          </cell>
          <cell r="AJ210" t="str">
            <v/>
          </cell>
          <cell r="AK210">
            <v>68498</v>
          </cell>
          <cell r="AL210">
            <v>23068</v>
          </cell>
          <cell r="AM210">
            <v>45430</v>
          </cell>
          <cell r="AN210">
            <v>41.55</v>
          </cell>
          <cell r="AO210">
            <v>14862</v>
          </cell>
          <cell r="AP210">
            <v>3164.427048260382</v>
          </cell>
          <cell r="AQ210">
            <v>11697.572951739618</v>
          </cell>
          <cell r="AR210" t="str">
            <v/>
          </cell>
        </row>
        <row r="211">
          <cell r="X211">
            <v>15982</v>
          </cell>
          <cell r="AC211">
            <v>15481</v>
          </cell>
          <cell r="AK211">
            <v>41877</v>
          </cell>
          <cell r="AL211">
            <v>16729</v>
          </cell>
          <cell r="AM211">
            <v>0</v>
          </cell>
          <cell r="AN211">
            <v>52</v>
          </cell>
          <cell r="AO211">
            <v>52</v>
          </cell>
          <cell r="AP211">
            <v>52</v>
          </cell>
          <cell r="AQ211">
            <v>11697.572951739618</v>
          </cell>
        </row>
        <row r="212">
          <cell r="X212">
            <v>25680</v>
          </cell>
          <cell r="AC212">
            <v>22580</v>
          </cell>
          <cell r="AI212">
            <v>26797</v>
          </cell>
          <cell r="AJ212">
            <v>15717</v>
          </cell>
          <cell r="AK212">
            <v>69781</v>
          </cell>
          <cell r="AL212">
            <v>19977</v>
          </cell>
          <cell r="AM212">
            <v>49804</v>
          </cell>
          <cell r="AN212">
            <v>3164.427048260382</v>
          </cell>
          <cell r="AO212">
            <v>14862</v>
          </cell>
          <cell r="AP212">
            <v>3164.427048260382</v>
          </cell>
          <cell r="AQ212">
            <v>11697.572951739618</v>
          </cell>
        </row>
        <row r="220">
          <cell r="G220" t="str">
            <v>Б.В.ЯЩЕНКО</v>
          </cell>
        </row>
        <row r="221">
          <cell r="G221" t="str">
            <v>Б.В.ЯЩЕНКО</v>
          </cell>
        </row>
        <row r="222">
          <cell r="G222" t="str">
            <v>М.В.ТЕРПИЛО</v>
          </cell>
        </row>
        <row r="223">
          <cell r="G223" t="str">
            <v xml:space="preserve">В.І.МИРГОРОДСЬКИЙ                                  </v>
          </cell>
          <cell r="AN223">
            <v>1507.2</v>
          </cell>
        </row>
        <row r="224">
          <cell r="G224" t="str">
            <v xml:space="preserve">М.І.ШЕВЧЕНКО                                 </v>
          </cell>
        </row>
        <row r="225">
          <cell r="G225" t="str">
            <v>В.Ю.МОНТЬЕВ</v>
          </cell>
        </row>
        <row r="226">
          <cell r="G226" t="str">
            <v xml:space="preserve">О.М.НИКОЛЕНКО      </v>
          </cell>
        </row>
        <row r="229">
          <cell r="AP229">
            <v>1507.2</v>
          </cell>
        </row>
        <row r="230">
          <cell r="AP230">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4">
          <cell r="AG244" t="str">
            <v xml:space="preserve">         Затверджую</v>
          </cell>
        </row>
        <row r="245">
          <cell r="F245" t="str">
            <v>РОЗРАХУНОК ФІНАНСОВИХ ПОТОКІВ НА   березень  2000 року</v>
          </cell>
          <cell r="AG245" t="str">
            <v xml:space="preserve">         Затверджую</v>
          </cell>
        </row>
        <row r="246">
          <cell r="F246" t="str">
            <v>ПО ФІЛІАЛАХ АК КИЇВЕНЕРГО</v>
          </cell>
          <cell r="AG246" t="str">
            <v xml:space="preserve"> Голова правління </v>
          </cell>
        </row>
        <row r="247">
          <cell r="AG247" t="str">
            <v xml:space="preserve">                        І.В.Плачков</v>
          </cell>
        </row>
        <row r="248">
          <cell r="AG248" t="str">
            <v xml:space="preserve">   "_____" ________2000 р.</v>
          </cell>
        </row>
        <row r="251">
          <cell r="F251" t="str">
            <v>РОЗРАХУНОК ФІНАНСОВИХ ПОТОКІВ НА   березень  2000 року</v>
          </cell>
          <cell r="AI251" t="str">
            <v>тис.грн.</v>
          </cell>
        </row>
        <row r="252">
          <cell r="F252" t="str">
            <v>РОЗРАХУНОК ФІНАНСОВИХ ПОТОКІВ НА   березень  2000 року</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I259">
            <v>5607</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I262">
            <v>0</v>
          </cell>
          <cell r="AJ262">
            <v>0</v>
          </cell>
          <cell r="AK262">
            <v>116430.57251082252</v>
          </cell>
          <cell r="AM262">
            <v>115933.25</v>
          </cell>
        </row>
        <row r="263">
          <cell r="F263">
            <v>9201.1285714285732</v>
          </cell>
          <cell r="G263">
            <v>1693.9907526329307</v>
          </cell>
          <cell r="H263">
            <v>3557.0092473670693</v>
          </cell>
          <cell r="P263">
            <v>1563</v>
          </cell>
          <cell r="Q263">
            <v>0</v>
          </cell>
          <cell r="R263">
            <v>0</v>
          </cell>
          <cell r="S263">
            <v>3562.133333333335</v>
          </cell>
          <cell r="T263">
            <v>3294.9799999999996</v>
          </cell>
          <cell r="U263">
            <v>761.95333333333315</v>
          </cell>
          <cell r="V263">
            <v>0</v>
          </cell>
          <cell r="W263">
            <v>0</v>
          </cell>
          <cell r="X263">
            <v>1892.0033333333345</v>
          </cell>
          <cell r="Y263">
            <v>746</v>
          </cell>
          <cell r="Z263">
            <v>1049.8033333333306</v>
          </cell>
          <cell r="AA263">
            <v>0</v>
          </cell>
          <cell r="AB263">
            <v>0</v>
          </cell>
          <cell r="AC263">
            <v>692.93333333333385</v>
          </cell>
          <cell r="AD263">
            <v>172</v>
          </cell>
          <cell r="AE263">
            <v>204.13333333333395</v>
          </cell>
          <cell r="AF263">
            <v>957.66666666666663</v>
          </cell>
          <cell r="AG263">
            <v>902.99999999999989</v>
          </cell>
          <cell r="AH263">
            <v>54.53333333333336</v>
          </cell>
          <cell r="AI263" t="e">
            <v>#REF!</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94803.728571428568</v>
          </cell>
        </row>
        <row r="265">
          <cell r="F265">
            <v>68497</v>
          </cell>
          <cell r="AI265">
            <v>0</v>
          </cell>
          <cell r="AK265">
            <v>68497</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6694.7285714285717</v>
          </cell>
        </row>
        <row r="268">
          <cell r="F268">
            <v>413.3</v>
          </cell>
          <cell r="P268">
            <v>0</v>
          </cell>
          <cell r="S268">
            <v>0</v>
          </cell>
          <cell r="X268">
            <v>0</v>
          </cell>
          <cell r="AC268">
            <v>0</v>
          </cell>
          <cell r="AF268">
            <v>0</v>
          </cell>
          <cell r="AG268">
            <v>0</v>
          </cell>
          <cell r="AH268">
            <v>0</v>
          </cell>
          <cell r="AI268">
            <v>295</v>
          </cell>
          <cell r="AK268">
            <v>413.3</v>
          </cell>
        </row>
        <row r="269">
          <cell r="F269">
            <v>0</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0</v>
          </cell>
        </row>
        <row r="270">
          <cell r="F270">
            <v>1581.4285714285716</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1581.4285714285716</v>
          </cell>
        </row>
        <row r="271">
          <cell r="F271">
            <v>3500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3500</v>
          </cell>
        </row>
        <row r="272">
          <cell r="F272">
            <v>0</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0</v>
          </cell>
        </row>
        <row r="273">
          <cell r="F273">
            <v>1200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1200</v>
          </cell>
        </row>
        <row r="274">
          <cell r="F274">
            <v>4100</v>
          </cell>
          <cell r="P274">
            <v>0</v>
          </cell>
          <cell r="S274">
            <v>0</v>
          </cell>
          <cell r="X274">
            <v>0</v>
          </cell>
          <cell r="AC274">
            <v>0</v>
          </cell>
          <cell r="AF274">
            <v>0</v>
          </cell>
          <cell r="AG274">
            <v>0</v>
          </cell>
          <cell r="AH274">
            <v>0</v>
          </cell>
          <cell r="AI274">
            <v>1640</v>
          </cell>
          <cell r="AK274">
            <v>4100</v>
          </cell>
        </row>
        <row r="275">
          <cell r="F275">
            <v>2</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952</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I276">
            <v>1370</v>
          </cell>
          <cell r="AK276">
            <v>123466.05675324675</v>
          </cell>
        </row>
        <row r="277">
          <cell r="F277">
            <v>1796</v>
          </cell>
          <cell r="G277">
            <v>162</v>
          </cell>
          <cell r="H277">
            <v>425</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I277">
            <v>710</v>
          </cell>
          <cell r="AK277">
            <v>15573.473333333333</v>
          </cell>
        </row>
        <row r="278">
          <cell r="F278">
            <v>587</v>
          </cell>
          <cell r="G278">
            <v>158</v>
          </cell>
          <cell r="H278">
            <v>429</v>
          </cell>
          <cell r="P278">
            <v>946.25</v>
          </cell>
          <cell r="Q278">
            <v>0</v>
          </cell>
          <cell r="R278">
            <v>0</v>
          </cell>
          <cell r="S278">
            <v>1561.82</v>
          </cell>
          <cell r="T278">
            <v>554.80543636363632</v>
          </cell>
          <cell r="U278">
            <v>577.28729090909087</v>
          </cell>
          <cell r="V278">
            <v>0</v>
          </cell>
          <cell r="W278">
            <v>0</v>
          </cell>
          <cell r="X278">
            <v>640.95000000000005</v>
          </cell>
          <cell r="Y278">
            <v>164</v>
          </cell>
          <cell r="Z278">
            <v>228.58636363636367</v>
          </cell>
          <cell r="AA278">
            <v>0</v>
          </cell>
          <cell r="AB278">
            <v>0</v>
          </cell>
          <cell r="AC278">
            <v>535.86</v>
          </cell>
          <cell r="AD278">
            <v>158</v>
          </cell>
          <cell r="AE278">
            <v>186.67818181818183</v>
          </cell>
          <cell r="AF278">
            <v>1759.96</v>
          </cell>
          <cell r="AG278">
            <v>1532.909090909091</v>
          </cell>
          <cell r="AH278">
            <v>227.05090909090904</v>
          </cell>
          <cell r="AI278">
            <v>1174.4000000000001</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I279">
            <v>4</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I280">
            <v>814.4</v>
          </cell>
          <cell r="AK280">
            <v>4810</v>
          </cell>
        </row>
        <row r="281">
          <cell r="F281">
            <v>122</v>
          </cell>
          <cell r="P281">
            <v>367</v>
          </cell>
          <cell r="S281">
            <v>688</v>
          </cell>
          <cell r="X281">
            <v>93</v>
          </cell>
          <cell r="AC281">
            <v>90</v>
          </cell>
          <cell r="AF281">
            <v>508</v>
          </cell>
          <cell r="AG281">
            <v>420</v>
          </cell>
          <cell r="AH281">
            <v>88</v>
          </cell>
          <cell r="AI281">
            <v>356</v>
          </cell>
          <cell r="AK281">
            <v>1902</v>
          </cell>
        </row>
        <row r="282">
          <cell r="F282">
            <v>700</v>
          </cell>
          <cell r="P282">
            <v>20</v>
          </cell>
          <cell r="S282">
            <v>21</v>
          </cell>
          <cell r="X282">
            <v>70</v>
          </cell>
          <cell r="AC282">
            <v>25</v>
          </cell>
          <cell r="AF282">
            <v>15</v>
          </cell>
          <cell r="AG282">
            <v>15</v>
          </cell>
          <cell r="AH282">
            <v>0</v>
          </cell>
          <cell r="AI282">
            <v>250</v>
          </cell>
          <cell r="AK282">
            <v>1056</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I283" t="e">
            <v>#REF!</v>
          </cell>
          <cell r="AJ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I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I285">
            <v>14738.47387878788</v>
          </cell>
          <cell r="AK285">
            <v>3705.333333333333</v>
          </cell>
        </row>
        <row r="286">
          <cell r="F286">
            <v>0</v>
          </cell>
          <cell r="P286">
            <v>0</v>
          </cell>
          <cell r="S286">
            <v>0</v>
          </cell>
          <cell r="X286">
            <v>5</v>
          </cell>
          <cell r="AC286">
            <v>0</v>
          </cell>
          <cell r="AF286">
            <v>0</v>
          </cell>
          <cell r="AG286">
            <v>0</v>
          </cell>
          <cell r="AH286">
            <v>0</v>
          </cell>
          <cell r="AI286">
            <v>5357.15</v>
          </cell>
          <cell r="AK286">
            <v>5</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3336.333333333333</v>
          </cell>
        </row>
        <row r="288">
          <cell r="F288">
            <v>0</v>
          </cell>
          <cell r="P288">
            <v>0</v>
          </cell>
          <cell r="S288">
            <v>250</v>
          </cell>
          <cell r="X288">
            <v>0</v>
          </cell>
          <cell r="AC288">
            <v>0</v>
          </cell>
          <cell r="AF288">
            <v>0</v>
          </cell>
          <cell r="AG288">
            <v>0</v>
          </cell>
          <cell r="AH288">
            <v>0</v>
          </cell>
          <cell r="AI288">
            <v>0</v>
          </cell>
          <cell r="AK288">
            <v>364</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I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107892.58341991341</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I292">
            <v>595.26666666666665</v>
          </cell>
          <cell r="AK292">
            <v>14068.188181818183</v>
          </cell>
        </row>
        <row r="293">
          <cell r="F293">
            <v>427</v>
          </cell>
          <cell r="P293">
            <v>1366</v>
          </cell>
          <cell r="Q293">
            <v>0</v>
          </cell>
          <cell r="R293">
            <v>0</v>
          </cell>
          <cell r="S293">
            <v>2686</v>
          </cell>
          <cell r="T293">
            <v>0</v>
          </cell>
          <cell r="U293">
            <v>0</v>
          </cell>
          <cell r="V293">
            <v>0</v>
          </cell>
          <cell r="W293">
            <v>0</v>
          </cell>
          <cell r="X293">
            <v>406</v>
          </cell>
          <cell r="Y293">
            <v>0</v>
          </cell>
          <cell r="Z293">
            <v>0</v>
          </cell>
          <cell r="AA293">
            <v>0</v>
          </cell>
          <cell r="AB293">
            <v>0</v>
          </cell>
          <cell r="AC293">
            <v>315</v>
          </cell>
          <cell r="AD293">
            <v>0</v>
          </cell>
          <cell r="AE293">
            <v>0</v>
          </cell>
          <cell r="AF293">
            <v>454</v>
          </cell>
          <cell r="AG293">
            <v>461</v>
          </cell>
          <cell r="AH293">
            <v>0</v>
          </cell>
          <cell r="AI293">
            <v>4491.7666666666664</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I294">
            <v>0</v>
          </cell>
          <cell r="AK294">
            <v>2434.4181818181823</v>
          </cell>
        </row>
        <row r="295">
          <cell r="F295">
            <v>0</v>
          </cell>
          <cell r="P295">
            <v>0</v>
          </cell>
          <cell r="S295">
            <v>0</v>
          </cell>
          <cell r="X295">
            <v>0</v>
          </cell>
          <cell r="AC295">
            <v>0</v>
          </cell>
          <cell r="AF295">
            <v>0</v>
          </cell>
          <cell r="AG295">
            <v>0</v>
          </cell>
          <cell r="AH295">
            <v>0</v>
          </cell>
          <cell r="AI295">
            <v>12</v>
          </cell>
          <cell r="AK295">
            <v>0</v>
          </cell>
        </row>
        <row r="296">
          <cell r="F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t="e">
            <v>#REF!</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I297">
            <v>0</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G299">
            <v>0</v>
          </cell>
          <cell r="H299">
            <v>0</v>
          </cell>
          <cell r="P299">
            <v>41.333333333333336</v>
          </cell>
          <cell r="Q299">
            <v>0</v>
          </cell>
          <cell r="R299">
            <v>0</v>
          </cell>
          <cell r="S299">
            <v>352.99999999999994</v>
          </cell>
          <cell r="T299">
            <v>-611.67619393939378</v>
          </cell>
          <cell r="U299">
            <v>-622.76501818181805</v>
          </cell>
          <cell r="V299">
            <v>0</v>
          </cell>
          <cell r="W299">
            <v>0</v>
          </cell>
          <cell r="X299">
            <v>561</v>
          </cell>
          <cell r="Y299">
            <v>-790</v>
          </cell>
          <cell r="Z299">
            <v>-326.08636363636373</v>
          </cell>
          <cell r="AA299">
            <v>0</v>
          </cell>
          <cell r="AB299">
            <v>0</v>
          </cell>
          <cell r="AC299">
            <v>264.33333333333331</v>
          </cell>
          <cell r="AF299">
            <v>179.03333333333333</v>
          </cell>
          <cell r="AG299">
            <v>135</v>
          </cell>
          <cell r="AH299">
            <v>44.033333333333346</v>
          </cell>
          <cell r="AI299" t="e">
            <v>#REF!</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I300">
            <v>0</v>
          </cell>
          <cell r="AK300">
            <v>4267.7366666666667</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0</v>
          </cell>
        </row>
        <row r="302">
          <cell r="F302">
            <v>0</v>
          </cell>
          <cell r="P302">
            <v>-51</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2</v>
          </cell>
          <cell r="AH302">
            <v>-3</v>
          </cell>
          <cell r="AI302">
            <v>0</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I303">
            <v>0</v>
          </cell>
          <cell r="AK303">
            <v>107892.58341991341</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107892.58341991341</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107892.58341991341</v>
          </cell>
        </row>
        <row r="312">
          <cell r="P312">
            <v>0</v>
          </cell>
          <cell r="AK312">
            <v>0</v>
          </cell>
        </row>
        <row r="313">
          <cell r="P313">
            <v>0</v>
          </cell>
          <cell r="S313">
            <v>0</v>
          </cell>
          <cell r="AI313">
            <v>0</v>
          </cell>
          <cell r="AK313">
            <v>0</v>
          </cell>
        </row>
        <row r="314">
          <cell r="F314">
            <v>3480</v>
          </cell>
          <cell r="S314">
            <v>0</v>
          </cell>
          <cell r="AK314">
            <v>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I332">
            <v>538</v>
          </cell>
          <cell r="AJ332">
            <v>36</v>
          </cell>
          <cell r="AK332">
            <v>1806</v>
          </cell>
          <cell r="AM332">
            <v>1326</v>
          </cell>
        </row>
        <row r="333">
          <cell r="AI333" t="e">
            <v>#REF!</v>
          </cell>
          <cell r="AJ333">
            <v>36</v>
          </cell>
          <cell r="AK333">
            <v>6694.7285714285717</v>
          </cell>
          <cell r="AM333">
            <v>6694.7285714285717</v>
          </cell>
        </row>
        <row r="334">
          <cell r="AI334">
            <v>0</v>
          </cell>
          <cell r="AJ334">
            <v>36</v>
          </cell>
          <cell r="AK334">
            <v>413.3</v>
          </cell>
          <cell r="AM334">
            <v>413.3</v>
          </cell>
        </row>
        <row r="335">
          <cell r="AI335">
            <v>5357.15</v>
          </cell>
          <cell r="AJ335">
            <v>36</v>
          </cell>
          <cell r="AK335">
            <v>-142</v>
          </cell>
          <cell r="AM335">
            <v>-141</v>
          </cell>
        </row>
        <row r="336">
          <cell r="AI336">
            <v>4025.8545454545456</v>
          </cell>
          <cell r="AK336">
            <v>1581.4285714285716</v>
          </cell>
          <cell r="AM336">
            <v>1581.4285714285716</v>
          </cell>
        </row>
        <row r="337">
          <cell r="AI337">
            <v>0</v>
          </cell>
          <cell r="AK337">
            <v>3500</v>
          </cell>
          <cell r="AM337">
            <v>3500</v>
          </cell>
        </row>
        <row r="338">
          <cell r="AI338">
            <v>0</v>
          </cell>
          <cell r="AK338">
            <v>0</v>
          </cell>
          <cell r="AM338">
            <v>821</v>
          </cell>
        </row>
        <row r="339">
          <cell r="AI339">
            <v>0</v>
          </cell>
          <cell r="AK339">
            <v>1200</v>
          </cell>
          <cell r="AM339">
            <v>1200</v>
          </cell>
        </row>
        <row r="340">
          <cell r="AI340">
            <v>4672</v>
          </cell>
          <cell r="AK340">
            <v>4100</v>
          </cell>
          <cell r="AM340">
            <v>0</v>
          </cell>
        </row>
        <row r="341">
          <cell r="AI341">
            <v>1640</v>
          </cell>
          <cell r="AK341">
            <v>0</v>
          </cell>
          <cell r="AM341">
            <v>0</v>
          </cell>
        </row>
        <row r="342">
          <cell r="AI342">
            <v>952</v>
          </cell>
          <cell r="AK342">
            <v>5677</v>
          </cell>
          <cell r="AM342">
            <v>5223</v>
          </cell>
        </row>
        <row r="343">
          <cell r="AI343">
            <v>1370</v>
          </cell>
          <cell r="AK343">
            <v>2434.4181818181823</v>
          </cell>
          <cell r="AM343">
            <v>2353.5272727272732</v>
          </cell>
        </row>
        <row r="344">
          <cell r="AI344">
            <v>710</v>
          </cell>
          <cell r="AK344">
            <v>0</v>
          </cell>
          <cell r="AM344">
            <v>0</v>
          </cell>
        </row>
        <row r="345">
          <cell r="AI345">
            <v>0</v>
          </cell>
          <cell r="AK345">
            <v>0</v>
          </cell>
          <cell r="AM345">
            <v>0</v>
          </cell>
        </row>
        <row r="346">
          <cell r="AI346">
            <v>4</v>
          </cell>
          <cell r="AK346">
            <v>0</v>
          </cell>
          <cell r="AM346">
            <v>0</v>
          </cell>
        </row>
        <row r="347">
          <cell r="AI347">
            <v>814.4</v>
          </cell>
          <cell r="AK347">
            <v>4810</v>
          </cell>
          <cell r="AM347">
            <v>4213</v>
          </cell>
        </row>
        <row r="348">
          <cell r="P348">
            <v>225</v>
          </cell>
          <cell r="S348">
            <v>296</v>
          </cell>
          <cell r="X348">
            <v>56</v>
          </cell>
          <cell r="AC348">
            <v>-4.9636363636363825</v>
          </cell>
          <cell r="AF348">
            <v>800.72727272727275</v>
          </cell>
          <cell r="AG348">
            <v>801</v>
          </cell>
          <cell r="AH348">
            <v>-0.27272727272728048</v>
          </cell>
          <cell r="AI348">
            <v>1372.7636363636364</v>
          </cell>
          <cell r="AK348">
            <v>1902</v>
          </cell>
          <cell r="AM348">
            <v>1394</v>
          </cell>
        </row>
        <row r="349">
          <cell r="AI349">
            <v>0</v>
          </cell>
          <cell r="AK349">
            <v>1056</v>
          </cell>
          <cell r="AM349">
            <v>1041</v>
          </cell>
        </row>
        <row r="350">
          <cell r="F350">
            <v>33</v>
          </cell>
          <cell r="P350">
            <v>0</v>
          </cell>
          <cell r="S350">
            <v>0</v>
          </cell>
          <cell r="X350">
            <v>0</v>
          </cell>
          <cell r="AC350">
            <v>0</v>
          </cell>
          <cell r="AF350">
            <v>0</v>
          </cell>
          <cell r="AG350">
            <v>0</v>
          </cell>
          <cell r="AH350">
            <v>0</v>
          </cell>
          <cell r="AI350">
            <v>389</v>
          </cell>
          <cell r="AK350">
            <v>1110</v>
          </cell>
        </row>
        <row r="351">
          <cell r="AI351">
            <v>295</v>
          </cell>
          <cell r="AK351">
            <v>742</v>
          </cell>
          <cell r="AM351">
            <v>0</v>
          </cell>
        </row>
        <row r="352">
          <cell r="AI352">
            <v>0</v>
          </cell>
          <cell r="AK352">
            <v>0</v>
          </cell>
          <cell r="AM352">
            <v>0</v>
          </cell>
        </row>
        <row r="353">
          <cell r="AI353">
            <v>0</v>
          </cell>
          <cell r="AK353">
            <v>5</v>
          </cell>
          <cell r="AM353">
            <v>5</v>
          </cell>
        </row>
        <row r="354">
          <cell r="P354">
            <v>225</v>
          </cell>
          <cell r="S354">
            <v>296</v>
          </cell>
          <cell r="X354">
            <v>56</v>
          </cell>
          <cell r="AC354">
            <v>-538.90909090909088</v>
          </cell>
          <cell r="AF354">
            <v>245.09090909090912</v>
          </cell>
          <cell r="AG354">
            <v>-127.90909090909091</v>
          </cell>
          <cell r="AH354">
            <v>373</v>
          </cell>
          <cell r="AI354">
            <v>5343.4693333333335</v>
          </cell>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577.5090909090909</v>
          </cell>
        </row>
        <row r="356">
          <cell r="F356">
            <v>0</v>
          </cell>
          <cell r="P356">
            <v>0</v>
          </cell>
          <cell r="S356">
            <v>0</v>
          </cell>
          <cell r="X356">
            <v>0</v>
          </cell>
          <cell r="AC356">
            <v>0</v>
          </cell>
          <cell r="AF356">
            <v>0</v>
          </cell>
          <cell r="AG356">
            <v>0</v>
          </cell>
          <cell r="AH356">
            <v>0</v>
          </cell>
          <cell r="AI356">
            <v>595.26666666666665</v>
          </cell>
          <cell r="AK356">
            <v>0</v>
          </cell>
          <cell r="AM356">
            <v>358</v>
          </cell>
        </row>
        <row r="357">
          <cell r="F357">
            <v>0</v>
          </cell>
          <cell r="P357">
            <v>0</v>
          </cell>
          <cell r="S357">
            <v>0</v>
          </cell>
          <cell r="X357">
            <v>0</v>
          </cell>
          <cell r="AC357">
            <v>0</v>
          </cell>
          <cell r="AF357">
            <v>0</v>
          </cell>
          <cell r="AG357">
            <v>0</v>
          </cell>
          <cell r="AH357">
            <v>0</v>
          </cell>
          <cell r="AI357">
            <v>4491.7666666666664</v>
          </cell>
          <cell r="AK357">
            <v>364</v>
          </cell>
          <cell r="AM357">
            <v>364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2</v>
          </cell>
          <cell r="AM358">
            <v>2</v>
          </cell>
        </row>
        <row r="359">
          <cell r="AK359">
            <v>0</v>
          </cell>
          <cell r="AM359">
            <v>0</v>
          </cell>
        </row>
        <row r="360">
          <cell r="AJ360">
            <v>-2491</v>
          </cell>
          <cell r="AK360">
            <v>0</v>
          </cell>
          <cell r="AM360">
            <v>0</v>
          </cell>
        </row>
        <row r="361">
          <cell r="AJ361">
            <v>-2491</v>
          </cell>
          <cell r="AK361">
            <v>6098.7699999999995</v>
          </cell>
          <cell r="AM361" t="e">
            <v>#REF!</v>
          </cell>
        </row>
        <row r="362">
          <cell r="AK362">
            <v>431.33333333333331</v>
          </cell>
        </row>
        <row r="363">
          <cell r="AK363">
            <v>1399.6999999999998</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4267.7366666666667</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лютий</v>
          </cell>
          <cell r="G386">
            <v>0</v>
          </cell>
          <cell r="P386" t="str">
            <v>лютий</v>
          </cell>
          <cell r="X386" t="str">
            <v>лютий</v>
          </cell>
          <cell r="Y386">
            <v>104</v>
          </cell>
          <cell r="AC386" t="str">
            <v>лютий</v>
          </cell>
          <cell r="AD386">
            <v>147</v>
          </cell>
          <cell r="AI386">
            <v>428</v>
          </cell>
          <cell r="AJ386">
            <v>251.66666666666669</v>
          </cell>
          <cell r="AK386" t="str">
            <v>АК "КЕ"</v>
          </cell>
          <cell r="AL386" t="str">
            <v>Е/Е</v>
          </cell>
        </row>
        <row r="387">
          <cell r="F387" t="str">
            <v>АППАРАТ</v>
          </cell>
          <cell r="G387">
            <v>0</v>
          </cell>
          <cell r="P387" t="str">
            <v>ККМ</v>
          </cell>
          <cell r="X387" t="str">
            <v>ТЕЦ5</v>
          </cell>
          <cell r="Y387">
            <v>0</v>
          </cell>
          <cell r="AC387" t="str">
            <v>ТЕЦ6</v>
          </cell>
          <cell r="AD387">
            <v>13</v>
          </cell>
          <cell r="AI387">
            <v>33.666666666666671</v>
          </cell>
          <cell r="AJ387">
            <v>18</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I388">
            <v>26</v>
          </cell>
          <cell r="AJ388">
            <v>18</v>
          </cell>
          <cell r="AK388" t="str">
            <v>ПЛАН</v>
          </cell>
          <cell r="AL388" t="str">
            <v>ПЛАН</v>
          </cell>
          <cell r="AM388">
            <v>312.33333333333331</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I389">
            <v>120.63333333333333</v>
          </cell>
          <cell r="AJ389">
            <v>73</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I390">
            <v>8.6666666666666661</v>
          </cell>
          <cell r="AJ390">
            <v>0</v>
          </cell>
          <cell r="AK390">
            <v>46</v>
          </cell>
          <cell r="AL390">
            <v>14</v>
          </cell>
        </row>
        <row r="391">
          <cell r="F391">
            <v>0</v>
          </cell>
          <cell r="G391">
            <v>0</v>
          </cell>
          <cell r="P391">
            <v>0.66666666666666663</v>
          </cell>
          <cell r="X391">
            <v>146.66666666666666</v>
          </cell>
          <cell r="Y391">
            <v>61</v>
          </cell>
          <cell r="AC391">
            <v>280.66666666666669</v>
          </cell>
          <cell r="AD391">
            <v>128</v>
          </cell>
          <cell r="AI391">
            <v>22</v>
          </cell>
          <cell r="AJ391">
            <v>15.333333333333332</v>
          </cell>
          <cell r="AK391">
            <v>428</v>
          </cell>
          <cell r="AL391">
            <v>189.66666666666666</v>
          </cell>
        </row>
        <row r="392">
          <cell r="F392">
            <v>0</v>
          </cell>
          <cell r="G392">
            <v>0</v>
          </cell>
          <cell r="P392">
            <v>2</v>
          </cell>
          <cell r="X392">
            <v>0</v>
          </cell>
          <cell r="Y392">
            <v>0</v>
          </cell>
          <cell r="AC392">
            <v>25</v>
          </cell>
          <cell r="AD392">
            <v>11</v>
          </cell>
          <cell r="AI392">
            <v>5.333333333333333</v>
          </cell>
          <cell r="AJ392">
            <v>3</v>
          </cell>
          <cell r="AK392">
            <v>33.666666666666671</v>
          </cell>
          <cell r="AL392">
            <v>16</v>
          </cell>
        </row>
        <row r="393">
          <cell r="F393">
            <v>0</v>
          </cell>
          <cell r="G393">
            <v>0</v>
          </cell>
          <cell r="P393">
            <v>0</v>
          </cell>
          <cell r="X393">
            <v>25.333333333333332</v>
          </cell>
          <cell r="Y393">
            <v>11</v>
          </cell>
          <cell r="AC393">
            <v>0.66666666666666663</v>
          </cell>
          <cell r="AD393">
            <v>0</v>
          </cell>
          <cell r="AI393">
            <v>4.6666666666666661</v>
          </cell>
          <cell r="AJ393">
            <v>4.333333333333333</v>
          </cell>
          <cell r="AK393">
            <v>26</v>
          </cell>
          <cell r="AL393">
            <v>11</v>
          </cell>
        </row>
        <row r="394">
          <cell r="F394">
            <v>120.63333333333333</v>
          </cell>
          <cell r="G394">
            <v>37</v>
          </cell>
          <cell r="P394">
            <v>0</v>
          </cell>
          <cell r="X394">
            <v>0</v>
          </cell>
          <cell r="Y394">
            <v>0</v>
          </cell>
          <cell r="AC394">
            <v>0</v>
          </cell>
          <cell r="AD394">
            <v>0</v>
          </cell>
          <cell r="AI394">
            <v>26</v>
          </cell>
          <cell r="AJ394">
            <v>16</v>
          </cell>
          <cell r="AK394">
            <v>120.63333333333333</v>
          </cell>
          <cell r="AL394">
            <v>39</v>
          </cell>
        </row>
        <row r="395">
          <cell r="F395">
            <v>8.6666666666666661</v>
          </cell>
          <cell r="G395">
            <v>3</v>
          </cell>
          <cell r="P395">
            <v>0</v>
          </cell>
          <cell r="X395">
            <v>0</v>
          </cell>
          <cell r="Y395">
            <v>0</v>
          </cell>
          <cell r="AC395">
            <v>0</v>
          </cell>
          <cell r="AD395">
            <v>0</v>
          </cell>
          <cell r="AI395">
            <v>0</v>
          </cell>
          <cell r="AK395">
            <v>8.6666666666666661</v>
          </cell>
          <cell r="AL395">
            <v>0</v>
          </cell>
        </row>
        <row r="396">
          <cell r="F396">
            <v>0</v>
          </cell>
          <cell r="G396">
            <v>0</v>
          </cell>
          <cell r="P396">
            <v>5.333333333333333</v>
          </cell>
          <cell r="X396">
            <v>0</v>
          </cell>
          <cell r="Y396">
            <v>0</v>
          </cell>
          <cell r="AC396">
            <v>0</v>
          </cell>
          <cell r="AD396">
            <v>0</v>
          </cell>
          <cell r="AI396">
            <v>587.33333333333337</v>
          </cell>
          <cell r="AJ396">
            <v>414.5</v>
          </cell>
          <cell r="AK396">
            <v>22</v>
          </cell>
          <cell r="AL396">
            <v>15.333333333333332</v>
          </cell>
        </row>
        <row r="397">
          <cell r="F397">
            <v>5.333333333333333</v>
          </cell>
          <cell r="G397">
            <v>2</v>
          </cell>
          <cell r="P397">
            <v>0</v>
          </cell>
          <cell r="X397">
            <v>0</v>
          </cell>
          <cell r="Y397">
            <v>0</v>
          </cell>
          <cell r="AC397">
            <v>0</v>
          </cell>
          <cell r="AD397">
            <v>0</v>
          </cell>
          <cell r="AI397">
            <v>0</v>
          </cell>
          <cell r="AJ397">
            <v>0</v>
          </cell>
          <cell r="AK397">
            <v>5.333333333333333</v>
          </cell>
          <cell r="AL397">
            <v>2</v>
          </cell>
        </row>
        <row r="398">
          <cell r="F398">
            <v>0.33333333333333331</v>
          </cell>
          <cell r="G398">
            <v>0</v>
          </cell>
          <cell r="P398">
            <v>4.333333333333333</v>
          </cell>
          <cell r="X398">
            <v>0</v>
          </cell>
          <cell r="Y398">
            <v>0</v>
          </cell>
          <cell r="AC398">
            <v>0</v>
          </cell>
          <cell r="AD398">
            <v>0</v>
          </cell>
          <cell r="AI398">
            <v>491.66666666666669</v>
          </cell>
          <cell r="AJ398">
            <v>347</v>
          </cell>
          <cell r="AK398">
            <v>4.6666666666666661</v>
          </cell>
          <cell r="AL398">
            <v>4.333333333333333</v>
          </cell>
        </row>
        <row r="399">
          <cell r="F399">
            <v>0.33333333333333331</v>
          </cell>
          <cell r="G399">
            <v>0</v>
          </cell>
          <cell r="P399">
            <v>2</v>
          </cell>
          <cell r="X399">
            <v>10</v>
          </cell>
          <cell r="Y399">
            <v>4</v>
          </cell>
          <cell r="AC399">
            <v>13.666666666666666</v>
          </cell>
          <cell r="AD399">
            <v>6</v>
          </cell>
          <cell r="AI399">
            <v>0</v>
          </cell>
          <cell r="AJ399">
            <v>0</v>
          </cell>
          <cell r="AK399">
            <v>26</v>
          </cell>
          <cell r="AL399">
            <v>12</v>
          </cell>
        </row>
        <row r="400">
          <cell r="F400">
            <v>0</v>
          </cell>
          <cell r="G400">
            <v>0</v>
          </cell>
          <cell r="P400">
            <v>0</v>
          </cell>
          <cell r="X400">
            <v>0</v>
          </cell>
          <cell r="Y400">
            <v>0</v>
          </cell>
          <cell r="AC400">
            <v>0</v>
          </cell>
          <cell r="AD400">
            <v>0</v>
          </cell>
          <cell r="AI400">
            <v>91</v>
          </cell>
          <cell r="AJ400">
            <v>68.833333333333343</v>
          </cell>
          <cell r="AK400">
            <v>0</v>
          </cell>
          <cell r="AL400">
            <v>316.5</v>
          </cell>
          <cell r="AM400">
            <v>316.83333333333331</v>
          </cell>
        </row>
        <row r="401">
          <cell r="F401">
            <v>1.1666666666666667</v>
          </cell>
          <cell r="G401">
            <v>0</v>
          </cell>
          <cell r="P401">
            <v>20.5</v>
          </cell>
          <cell r="X401">
            <v>522.33333333333337</v>
          </cell>
          <cell r="Y401">
            <v>217</v>
          </cell>
          <cell r="AC401">
            <v>43</v>
          </cell>
          <cell r="AD401">
            <v>20</v>
          </cell>
          <cell r="AI401">
            <v>4.666666666666667</v>
          </cell>
          <cell r="AJ401">
            <v>0</v>
          </cell>
          <cell r="AK401">
            <v>587.33333333333337</v>
          </cell>
          <cell r="AL401">
            <v>257.5</v>
          </cell>
          <cell r="AM401">
            <v>257.83333333333331</v>
          </cell>
        </row>
        <row r="402">
          <cell r="F402">
            <v>0</v>
          </cell>
          <cell r="G402">
            <v>0</v>
          </cell>
          <cell r="P402">
            <v>0</v>
          </cell>
          <cell r="X402">
            <v>0</v>
          </cell>
          <cell r="Y402">
            <v>0</v>
          </cell>
          <cell r="AC402">
            <v>0</v>
          </cell>
          <cell r="AD402">
            <v>0</v>
          </cell>
          <cell r="AI402">
            <v>0</v>
          </cell>
          <cell r="AK402">
            <v>0</v>
          </cell>
          <cell r="AL402">
            <v>0</v>
          </cell>
        </row>
        <row r="403">
          <cell r="F403">
            <v>0</v>
          </cell>
          <cell r="G403">
            <v>0</v>
          </cell>
          <cell r="P403">
            <v>0</v>
          </cell>
          <cell r="X403">
            <v>480.66666666666669</v>
          </cell>
          <cell r="Y403">
            <v>200</v>
          </cell>
          <cell r="AC403">
            <v>11</v>
          </cell>
          <cell r="AD403">
            <v>5</v>
          </cell>
          <cell r="AI403">
            <v>49</v>
          </cell>
          <cell r="AJ403">
            <v>45</v>
          </cell>
          <cell r="AK403">
            <v>491.66666666666669</v>
          </cell>
          <cell r="AL403">
            <v>205</v>
          </cell>
        </row>
        <row r="404">
          <cell r="F404">
            <v>0</v>
          </cell>
          <cell r="G404">
            <v>0</v>
          </cell>
          <cell r="P404">
            <v>0</v>
          </cell>
          <cell r="X404">
            <v>0</v>
          </cell>
          <cell r="Y404">
            <v>0</v>
          </cell>
          <cell r="AC404">
            <v>0</v>
          </cell>
          <cell r="AD404">
            <v>0</v>
          </cell>
          <cell r="AI404">
            <v>6</v>
          </cell>
          <cell r="AJ404">
            <v>5.3333333333333339</v>
          </cell>
          <cell r="AK404">
            <v>0</v>
          </cell>
          <cell r="AL404">
            <v>0</v>
          </cell>
        </row>
        <row r="405">
          <cell r="F405">
            <v>1.1666666666666667</v>
          </cell>
          <cell r="G405">
            <v>0</v>
          </cell>
          <cell r="P405">
            <v>15.833333333333334</v>
          </cell>
          <cell r="X405">
            <v>41.666666666666664</v>
          </cell>
          <cell r="Y405">
            <v>17</v>
          </cell>
          <cell r="AC405">
            <v>32</v>
          </cell>
          <cell r="AD405">
            <v>15</v>
          </cell>
          <cell r="AI405">
            <v>43</v>
          </cell>
          <cell r="AJ405">
            <v>39.666666666666664</v>
          </cell>
          <cell r="AK405">
            <v>91</v>
          </cell>
          <cell r="AL405">
            <v>52.833333333333336</v>
          </cell>
        </row>
        <row r="406">
          <cell r="F406">
            <v>0</v>
          </cell>
          <cell r="G406">
            <v>0</v>
          </cell>
          <cell r="P406">
            <v>4.666666666666667</v>
          </cell>
          <cell r="X406">
            <v>0</v>
          </cell>
          <cell r="Y406">
            <v>0</v>
          </cell>
          <cell r="AC406">
            <v>0</v>
          </cell>
          <cell r="AD406">
            <v>0</v>
          </cell>
          <cell r="AI406">
            <v>0</v>
          </cell>
          <cell r="AK406">
            <v>4.666666666666667</v>
          </cell>
          <cell r="AL406">
            <v>0</v>
          </cell>
        </row>
        <row r="407">
          <cell r="F407">
            <v>0</v>
          </cell>
          <cell r="G407">
            <v>0</v>
          </cell>
          <cell r="H407">
            <v>122</v>
          </cell>
          <cell r="P407">
            <v>0</v>
          </cell>
          <cell r="S407">
            <v>50.166666666666671</v>
          </cell>
          <cell r="X407">
            <v>0</v>
          </cell>
          <cell r="Y407">
            <v>0</v>
          </cell>
          <cell r="AC407">
            <v>0</v>
          </cell>
          <cell r="AD407">
            <v>0</v>
          </cell>
          <cell r="AI407">
            <v>1965.0000000000002</v>
          </cell>
          <cell r="AJ407">
            <v>471.16666666666663</v>
          </cell>
          <cell r="AK407">
            <v>0</v>
          </cell>
          <cell r="AL407">
            <v>42</v>
          </cell>
          <cell r="AM407">
            <v>43</v>
          </cell>
        </row>
        <row r="408">
          <cell r="F408">
            <v>10</v>
          </cell>
          <cell r="G408">
            <v>3</v>
          </cell>
          <cell r="P408">
            <v>39</v>
          </cell>
          <cell r="X408">
            <v>0</v>
          </cell>
          <cell r="Y408">
            <v>0</v>
          </cell>
          <cell r="AC408">
            <v>0</v>
          </cell>
          <cell r="AD408">
            <v>0</v>
          </cell>
          <cell r="AI408">
            <v>1350</v>
          </cell>
          <cell r="AJ408">
            <v>0</v>
          </cell>
          <cell r="AK408">
            <v>49</v>
          </cell>
          <cell r="AL408">
            <v>42</v>
          </cell>
          <cell r="AM408">
            <v>42</v>
          </cell>
        </row>
        <row r="409">
          <cell r="F409">
            <v>2.6666666666666665</v>
          </cell>
          <cell r="G409">
            <v>1</v>
          </cell>
          <cell r="P409">
            <v>3.3333333333333335</v>
          </cell>
          <cell r="X409">
            <v>0</v>
          </cell>
          <cell r="Y409">
            <v>0</v>
          </cell>
          <cell r="AC409">
            <v>0</v>
          </cell>
          <cell r="AD409">
            <v>0</v>
          </cell>
          <cell r="AI409">
            <v>95</v>
          </cell>
          <cell r="AJ409">
            <v>95</v>
          </cell>
          <cell r="AK409">
            <v>6</v>
          </cell>
          <cell r="AL409">
            <v>4.3333333333333339</v>
          </cell>
        </row>
        <row r="410">
          <cell r="F410">
            <v>7.333333333333333</v>
          </cell>
          <cell r="G410">
            <v>2</v>
          </cell>
          <cell r="P410">
            <v>35.666666666666664</v>
          </cell>
          <cell r="X410">
            <v>0</v>
          </cell>
          <cell r="Y410">
            <v>0</v>
          </cell>
          <cell r="AC410">
            <v>0</v>
          </cell>
          <cell r="AD410">
            <v>0</v>
          </cell>
          <cell r="AI410">
            <v>0</v>
          </cell>
          <cell r="AJ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I411">
            <v>12.333333333333334</v>
          </cell>
          <cell r="AJ411">
            <v>12.333333333333334</v>
          </cell>
          <cell r="AK411">
            <v>0</v>
          </cell>
          <cell r="AL411">
            <v>412.16666666666663</v>
          </cell>
          <cell r="AM411">
            <v>412.16666666666663</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I412">
            <v>0</v>
          </cell>
          <cell r="AJ412">
            <v>0</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I413">
            <v>57.666666666666664</v>
          </cell>
          <cell r="AJ413">
            <v>50</v>
          </cell>
          <cell r="AK413">
            <v>1350</v>
          </cell>
          <cell r="AL413">
            <v>0</v>
          </cell>
        </row>
        <row r="414">
          <cell r="F414">
            <v>0</v>
          </cell>
          <cell r="G414">
            <v>0</v>
          </cell>
          <cell r="P414">
            <v>0</v>
          </cell>
          <cell r="X414">
            <v>0</v>
          </cell>
          <cell r="Y414">
            <v>0</v>
          </cell>
          <cell r="AC414">
            <v>0</v>
          </cell>
          <cell r="AD414">
            <v>0</v>
          </cell>
          <cell r="AI414">
            <v>4</v>
          </cell>
          <cell r="AJ414">
            <v>0</v>
          </cell>
          <cell r="AK414">
            <v>95</v>
          </cell>
          <cell r="AL414">
            <v>95</v>
          </cell>
        </row>
        <row r="415">
          <cell r="F415">
            <v>0</v>
          </cell>
          <cell r="G415">
            <v>0</v>
          </cell>
          <cell r="P415">
            <v>0</v>
          </cell>
          <cell r="X415">
            <v>0</v>
          </cell>
          <cell r="Y415">
            <v>0</v>
          </cell>
          <cell r="AC415">
            <v>0</v>
          </cell>
          <cell r="AD415">
            <v>0</v>
          </cell>
          <cell r="AI415">
            <v>0</v>
          </cell>
          <cell r="AJ415">
            <v>0</v>
          </cell>
          <cell r="AK415">
            <v>0</v>
          </cell>
          <cell r="AL415">
            <v>0</v>
          </cell>
        </row>
        <row r="416">
          <cell r="F416">
            <v>0</v>
          </cell>
          <cell r="G416">
            <v>0</v>
          </cell>
          <cell r="P416">
            <v>12.333333333333334</v>
          </cell>
          <cell r="X416">
            <v>0</v>
          </cell>
          <cell r="Y416">
            <v>0</v>
          </cell>
          <cell r="AC416">
            <v>0</v>
          </cell>
          <cell r="AD416">
            <v>0</v>
          </cell>
          <cell r="AI416">
            <v>28.5</v>
          </cell>
          <cell r="AJ416">
            <v>26.5</v>
          </cell>
          <cell r="AK416">
            <v>12.333333333333334</v>
          </cell>
          <cell r="AL416">
            <v>12.333333333333334</v>
          </cell>
        </row>
        <row r="417">
          <cell r="F417">
            <v>0</v>
          </cell>
          <cell r="G417">
            <v>0</v>
          </cell>
          <cell r="P417">
            <v>0</v>
          </cell>
          <cell r="X417">
            <v>0</v>
          </cell>
          <cell r="Y417">
            <v>0</v>
          </cell>
          <cell r="AC417">
            <v>0</v>
          </cell>
          <cell r="AD417">
            <v>0</v>
          </cell>
          <cell r="AI417">
            <v>69</v>
          </cell>
          <cell r="AJ417">
            <v>52.333333333333336</v>
          </cell>
          <cell r="AK417">
            <v>0</v>
          </cell>
          <cell r="AL417">
            <v>0</v>
          </cell>
        </row>
        <row r="418">
          <cell r="F418">
            <v>1.6666666666666667</v>
          </cell>
          <cell r="G418">
            <v>1</v>
          </cell>
          <cell r="P418">
            <v>5</v>
          </cell>
          <cell r="X418">
            <v>3</v>
          </cell>
          <cell r="Y418">
            <v>1</v>
          </cell>
          <cell r="AC418">
            <v>3</v>
          </cell>
          <cell r="AD418">
            <v>1</v>
          </cell>
          <cell r="AI418">
            <v>177</v>
          </cell>
          <cell r="AJ418">
            <v>104</v>
          </cell>
          <cell r="AK418">
            <v>57.666666666666664</v>
          </cell>
          <cell r="AL418">
            <v>48</v>
          </cell>
        </row>
        <row r="419">
          <cell r="F419">
            <v>0</v>
          </cell>
          <cell r="G419">
            <v>0</v>
          </cell>
          <cell r="P419">
            <v>0</v>
          </cell>
          <cell r="X419">
            <v>0</v>
          </cell>
          <cell r="Y419">
            <v>0</v>
          </cell>
          <cell r="AC419">
            <v>0</v>
          </cell>
          <cell r="AD419">
            <v>0</v>
          </cell>
          <cell r="AI419">
            <v>17.666666666666668</v>
          </cell>
          <cell r="AJ419">
            <v>11</v>
          </cell>
          <cell r="AK419">
            <v>4</v>
          </cell>
          <cell r="AL419">
            <v>0</v>
          </cell>
        </row>
        <row r="420">
          <cell r="F420">
            <v>0</v>
          </cell>
          <cell r="G420">
            <v>0</v>
          </cell>
          <cell r="P420">
            <v>0</v>
          </cell>
          <cell r="X420">
            <v>0</v>
          </cell>
          <cell r="Y420">
            <v>0</v>
          </cell>
          <cell r="AC420">
            <v>0</v>
          </cell>
          <cell r="AD420">
            <v>0</v>
          </cell>
          <cell r="AI420">
            <v>6</v>
          </cell>
          <cell r="AJ420">
            <v>4</v>
          </cell>
          <cell r="AK420">
            <v>0</v>
          </cell>
          <cell r="AL420">
            <v>0</v>
          </cell>
        </row>
        <row r="421">
          <cell r="F421">
            <v>0</v>
          </cell>
          <cell r="G421">
            <v>0</v>
          </cell>
          <cell r="P421">
            <v>18.5</v>
          </cell>
          <cell r="X421">
            <v>4.5</v>
          </cell>
          <cell r="Y421">
            <v>2</v>
          </cell>
          <cell r="AC421">
            <v>1.3333333333333333</v>
          </cell>
          <cell r="AD421">
            <v>1</v>
          </cell>
          <cell r="AI421">
            <v>9.3333333333333339</v>
          </cell>
          <cell r="AJ421">
            <v>5.333333333333333</v>
          </cell>
          <cell r="AK421">
            <v>28.5</v>
          </cell>
          <cell r="AL421">
            <v>25.5</v>
          </cell>
        </row>
        <row r="422">
          <cell r="F422">
            <v>0</v>
          </cell>
          <cell r="G422">
            <v>0</v>
          </cell>
          <cell r="P422">
            <v>1.3333333333333333</v>
          </cell>
          <cell r="X422">
            <v>0</v>
          </cell>
          <cell r="Y422">
            <v>0</v>
          </cell>
          <cell r="AC422">
            <v>1.6666666666666667</v>
          </cell>
          <cell r="AD422">
            <v>1</v>
          </cell>
          <cell r="AI422">
            <v>13.333333333333334</v>
          </cell>
          <cell r="AJ422">
            <v>9.3333333333333339</v>
          </cell>
          <cell r="AK422">
            <v>69</v>
          </cell>
          <cell r="AL422">
            <v>52.333333333333336</v>
          </cell>
        </row>
        <row r="423">
          <cell r="F423">
            <v>177</v>
          </cell>
          <cell r="G423">
            <v>54</v>
          </cell>
          <cell r="P423">
            <v>0</v>
          </cell>
          <cell r="X423">
            <v>0</v>
          </cell>
          <cell r="Y423">
            <v>0</v>
          </cell>
          <cell r="AC423">
            <v>0</v>
          </cell>
          <cell r="AD423">
            <v>0</v>
          </cell>
          <cell r="AI423">
            <v>0</v>
          </cell>
          <cell r="AJ423">
            <v>0</v>
          </cell>
          <cell r="AK423">
            <v>177</v>
          </cell>
          <cell r="AL423">
            <v>54</v>
          </cell>
        </row>
        <row r="424">
          <cell r="F424">
            <v>0</v>
          </cell>
          <cell r="G424">
            <v>0</v>
          </cell>
          <cell r="P424">
            <v>0</v>
          </cell>
          <cell r="X424">
            <v>10</v>
          </cell>
          <cell r="Y424">
            <v>4</v>
          </cell>
          <cell r="AC424">
            <v>7.666666666666667</v>
          </cell>
          <cell r="AD424">
            <v>4</v>
          </cell>
          <cell r="AI424">
            <v>0</v>
          </cell>
          <cell r="AJ424">
            <v>0</v>
          </cell>
          <cell r="AK424">
            <v>17.666666666666668</v>
          </cell>
          <cell r="AL424">
            <v>8</v>
          </cell>
        </row>
        <row r="425">
          <cell r="F425">
            <v>0.66666666666666663</v>
          </cell>
          <cell r="G425">
            <v>0</v>
          </cell>
          <cell r="P425">
            <v>2</v>
          </cell>
          <cell r="X425">
            <v>1.3333333333333333</v>
          </cell>
          <cell r="Y425">
            <v>1</v>
          </cell>
          <cell r="AC425">
            <v>1</v>
          </cell>
          <cell r="AD425">
            <v>0</v>
          </cell>
          <cell r="AI425">
            <v>12</v>
          </cell>
          <cell r="AJ425">
            <v>8</v>
          </cell>
          <cell r="AK425">
            <v>6</v>
          </cell>
          <cell r="AL425">
            <v>3</v>
          </cell>
        </row>
        <row r="426">
          <cell r="F426">
            <v>2.6666666666666665</v>
          </cell>
          <cell r="G426">
            <v>1</v>
          </cell>
          <cell r="P426">
            <v>0.33333333333333331</v>
          </cell>
          <cell r="X426">
            <v>1</v>
          </cell>
          <cell r="Y426">
            <v>0</v>
          </cell>
          <cell r="AC426">
            <v>0.66666666666666663</v>
          </cell>
          <cell r="AD426">
            <v>0</v>
          </cell>
          <cell r="AI426">
            <v>0</v>
          </cell>
          <cell r="AJ426">
            <v>0</v>
          </cell>
          <cell r="AK426">
            <v>9.3333333333333339</v>
          </cell>
          <cell r="AL426">
            <v>3.3333333333333335</v>
          </cell>
        </row>
        <row r="427">
          <cell r="F427">
            <v>0</v>
          </cell>
          <cell r="G427">
            <v>0</v>
          </cell>
          <cell r="P427">
            <v>2.3333333333333335</v>
          </cell>
          <cell r="X427">
            <v>6</v>
          </cell>
          <cell r="Y427">
            <v>2</v>
          </cell>
          <cell r="AC427">
            <v>5</v>
          </cell>
          <cell r="AD427">
            <v>2</v>
          </cell>
          <cell r="AI427">
            <v>4.333333333333333</v>
          </cell>
          <cell r="AJ427">
            <v>1.6666666666666665</v>
          </cell>
          <cell r="AK427">
            <v>13.333333333333334</v>
          </cell>
          <cell r="AL427">
            <v>6.3333333333333339</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0</v>
          </cell>
          <cell r="G429">
            <v>0</v>
          </cell>
          <cell r="P429">
            <v>0</v>
          </cell>
          <cell r="X429">
            <v>0</v>
          </cell>
          <cell r="Y429">
            <v>0</v>
          </cell>
          <cell r="AC429">
            <v>0</v>
          </cell>
          <cell r="AD429">
            <v>0</v>
          </cell>
          <cell r="AI429">
            <v>33</v>
          </cell>
          <cell r="AJ429">
            <v>21.666666666666668</v>
          </cell>
          <cell r="AK429">
            <v>0</v>
          </cell>
          <cell r="AL429">
            <v>0</v>
          </cell>
        </row>
        <row r="430">
          <cell r="F430">
            <v>9.6666666666666661</v>
          </cell>
          <cell r="G430">
            <v>3</v>
          </cell>
          <cell r="P430">
            <v>1</v>
          </cell>
          <cell r="X430">
            <v>0</v>
          </cell>
          <cell r="Y430">
            <v>0</v>
          </cell>
          <cell r="AC430">
            <v>0</v>
          </cell>
          <cell r="AD430">
            <v>0</v>
          </cell>
          <cell r="AI430">
            <v>0</v>
          </cell>
          <cell r="AJ430">
            <v>0</v>
          </cell>
          <cell r="AK430">
            <v>12</v>
          </cell>
          <cell r="AL430">
            <v>5</v>
          </cell>
        </row>
        <row r="431">
          <cell r="F431">
            <v>0</v>
          </cell>
          <cell r="G431">
            <v>0</v>
          </cell>
          <cell r="P431">
            <v>0</v>
          </cell>
          <cell r="X431">
            <v>0</v>
          </cell>
          <cell r="Y431">
            <v>0</v>
          </cell>
          <cell r="AC431">
            <v>0</v>
          </cell>
          <cell r="AD431">
            <v>0</v>
          </cell>
          <cell r="AI431">
            <v>0</v>
          </cell>
          <cell r="AJ431">
            <v>53</v>
          </cell>
          <cell r="AK431">
            <v>0</v>
          </cell>
          <cell r="AL431">
            <v>0</v>
          </cell>
        </row>
        <row r="432">
          <cell r="F432">
            <v>2.3333333333333335</v>
          </cell>
          <cell r="G432">
            <v>1</v>
          </cell>
          <cell r="P432">
            <v>0.66666666666666663</v>
          </cell>
          <cell r="X432">
            <v>0.66666666666666663</v>
          </cell>
          <cell r="Y432">
            <v>0</v>
          </cell>
          <cell r="AC432">
            <v>0.66666666666666663</v>
          </cell>
          <cell r="AD432">
            <v>0</v>
          </cell>
          <cell r="AI432">
            <v>1</v>
          </cell>
          <cell r="AJ432">
            <v>1</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I433">
            <v>0</v>
          </cell>
          <cell r="AJ433">
            <v>0</v>
          </cell>
          <cell r="AK433">
            <v>3.6666666666666665</v>
          </cell>
          <cell r="AL433">
            <v>1.6666666666666665</v>
          </cell>
        </row>
        <row r="434">
          <cell r="F434">
            <v>6.666666666666667</v>
          </cell>
          <cell r="G434">
            <v>2</v>
          </cell>
          <cell r="P434">
            <v>4.666666666666667</v>
          </cell>
          <cell r="X434">
            <v>3</v>
          </cell>
          <cell r="Y434">
            <v>1</v>
          </cell>
          <cell r="AC434">
            <v>2</v>
          </cell>
          <cell r="AD434">
            <v>1</v>
          </cell>
          <cell r="AI434">
            <v>0</v>
          </cell>
          <cell r="AJ434">
            <v>0</v>
          </cell>
          <cell r="AK434">
            <v>33</v>
          </cell>
          <cell r="AL434">
            <v>18.666666666666668</v>
          </cell>
        </row>
        <row r="435">
          <cell r="F435">
            <v>0</v>
          </cell>
          <cell r="G435">
            <v>0</v>
          </cell>
          <cell r="P435">
            <v>0</v>
          </cell>
          <cell r="X435">
            <v>0</v>
          </cell>
          <cell r="Y435">
            <v>0</v>
          </cell>
          <cell r="AC435">
            <v>0</v>
          </cell>
          <cell r="AD435">
            <v>0</v>
          </cell>
          <cell r="AI435">
            <v>15.666666666666666</v>
          </cell>
          <cell r="AJ435">
            <v>10</v>
          </cell>
          <cell r="AK435">
            <v>0</v>
          </cell>
          <cell r="AL435">
            <v>0</v>
          </cell>
        </row>
        <row r="436">
          <cell r="F436">
            <v>0</v>
          </cell>
          <cell r="G436">
            <v>0</v>
          </cell>
          <cell r="P436">
            <v>0</v>
          </cell>
          <cell r="X436">
            <v>0</v>
          </cell>
          <cell r="Y436">
            <v>0</v>
          </cell>
          <cell r="AC436">
            <v>0</v>
          </cell>
          <cell r="AD436">
            <v>0</v>
          </cell>
          <cell r="AI436">
            <v>0</v>
          </cell>
          <cell r="AJ436">
            <v>0</v>
          </cell>
          <cell r="AK436">
            <v>0</v>
          </cell>
          <cell r="AL436">
            <v>53</v>
          </cell>
        </row>
        <row r="437">
          <cell r="F437">
            <v>1</v>
          </cell>
          <cell r="G437">
            <v>0</v>
          </cell>
          <cell r="P437">
            <v>0</v>
          </cell>
          <cell r="X437">
            <v>0</v>
          </cell>
          <cell r="Y437">
            <v>0</v>
          </cell>
          <cell r="AC437">
            <v>0</v>
          </cell>
          <cell r="AD437">
            <v>0</v>
          </cell>
          <cell r="AI437">
            <v>3.3333333333333335</v>
          </cell>
          <cell r="AJ437">
            <v>2</v>
          </cell>
          <cell r="AK437">
            <v>1</v>
          </cell>
          <cell r="AL437">
            <v>1</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0</v>
          </cell>
          <cell r="AL439">
            <v>0</v>
          </cell>
        </row>
        <row r="440">
          <cell r="F440">
            <v>2.6666666666666665</v>
          </cell>
          <cell r="G440">
            <v>1</v>
          </cell>
          <cell r="P440">
            <v>1</v>
          </cell>
          <cell r="X440">
            <v>4</v>
          </cell>
          <cell r="Y440">
            <v>2</v>
          </cell>
          <cell r="AC440">
            <v>2</v>
          </cell>
          <cell r="AD440">
            <v>1</v>
          </cell>
          <cell r="AI440">
            <v>0</v>
          </cell>
          <cell r="AJ440">
            <v>0</v>
          </cell>
          <cell r="AK440">
            <v>15.666666666666666</v>
          </cell>
          <cell r="AL440">
            <v>8</v>
          </cell>
        </row>
        <row r="441">
          <cell r="F441">
            <v>0</v>
          </cell>
          <cell r="G441">
            <v>0</v>
          </cell>
          <cell r="P441">
            <v>0</v>
          </cell>
          <cell r="X441">
            <v>0</v>
          </cell>
          <cell r="Y441">
            <v>0</v>
          </cell>
          <cell r="AC441">
            <v>0</v>
          </cell>
          <cell r="AD441">
            <v>0</v>
          </cell>
          <cell r="AI441">
            <v>0</v>
          </cell>
          <cell r="AJ441">
            <v>0</v>
          </cell>
          <cell r="AK441">
            <v>0</v>
          </cell>
          <cell r="AL441">
            <v>0</v>
          </cell>
        </row>
        <row r="442">
          <cell r="F442">
            <v>0</v>
          </cell>
          <cell r="G442">
            <v>0</v>
          </cell>
          <cell r="P442">
            <v>0</v>
          </cell>
          <cell r="X442">
            <v>3.3333333333333335</v>
          </cell>
          <cell r="Y442">
            <v>1</v>
          </cell>
          <cell r="AC442">
            <v>0</v>
          </cell>
          <cell r="AD442">
            <v>0</v>
          </cell>
          <cell r="AI442">
            <v>0</v>
          </cell>
          <cell r="AJ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I443">
            <v>0</v>
          </cell>
          <cell r="AJ443">
            <v>0</v>
          </cell>
          <cell r="AK443">
            <v>1.9999999999999998</v>
          </cell>
          <cell r="AL443">
            <v>0.33333333333333331</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AP17" t="str">
            <v>ГОЛОВА ПРАЛІННЯ АК КЕ</v>
          </cell>
        </row>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0">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cell r="AQ35">
            <v>32</v>
          </cell>
        </row>
        <row r="36">
          <cell r="AL36">
            <v>336</v>
          </cell>
          <cell r="AQ36">
            <v>0</v>
          </cell>
        </row>
        <row r="37">
          <cell r="AL37">
            <v>0</v>
          </cell>
          <cell r="AQ37">
            <v>500</v>
          </cell>
        </row>
        <row r="38">
          <cell r="AQ38">
            <v>468</v>
          </cell>
        </row>
        <row r="39">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AL40">
            <v>0</v>
          </cell>
        </row>
        <row r="41">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F46">
            <v>9772.2999999999993</v>
          </cell>
          <cell r="P46">
            <v>4488.6499999999996</v>
          </cell>
          <cell r="Q46">
            <v>1683.0160000000001</v>
          </cell>
          <cell r="R46">
            <v>2125</v>
          </cell>
          <cell r="S46">
            <v>7346.4866666666676</v>
          </cell>
          <cell r="T46">
            <v>5021.7877999999982</v>
          </cell>
          <cell r="U46">
            <v>2888.6988666666671</v>
          </cell>
          <cell r="V46">
            <v>264.488</v>
          </cell>
          <cell r="W46">
            <v>431</v>
          </cell>
          <cell r="X46">
            <v>4384.8755454545462</v>
          </cell>
          <cell r="Y46">
            <v>522.74400000000003</v>
          </cell>
          <cell r="Z46">
            <v>197</v>
          </cell>
          <cell r="AA46">
            <v>325.74400000000003</v>
          </cell>
          <cell r="AB46">
            <v>400</v>
          </cell>
          <cell r="AC46">
            <v>1635.8175757575736</v>
          </cell>
          <cell r="AD46">
            <v>998.3413333333333</v>
          </cell>
          <cell r="AE46">
            <v>844.68000000000006</v>
          </cell>
          <cell r="AF46">
            <v>4864.9509090909087</v>
          </cell>
          <cell r="AG46">
            <v>4394</v>
          </cell>
          <cell r="AH46">
            <v>470.95090909090914</v>
          </cell>
          <cell r="AI46">
            <v>134</v>
          </cell>
          <cell r="AJ46">
            <v>88.658666666666704</v>
          </cell>
          <cell r="AN46">
            <v>0</v>
          </cell>
          <cell r="AP46">
            <v>6000.3919999999998</v>
          </cell>
          <cell r="AQ46">
            <v>2219.1680000000001</v>
          </cell>
          <cell r="AR46">
            <v>3781.2239999999997</v>
          </cell>
        </row>
        <row r="47">
          <cell r="F47">
            <v>0.8</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F49">
            <v>783</v>
          </cell>
          <cell r="G49">
            <v>183</v>
          </cell>
          <cell r="H49">
            <v>600</v>
          </cell>
          <cell r="P49">
            <v>304</v>
          </cell>
          <cell r="Q49">
            <v>113.33333333333334</v>
          </cell>
          <cell r="S49">
            <v>1332</v>
          </cell>
          <cell r="T49">
            <v>666</v>
          </cell>
          <cell r="U49">
            <v>666</v>
          </cell>
          <cell r="V49">
            <v>26.626666666666665</v>
          </cell>
          <cell r="X49">
            <v>543</v>
          </cell>
          <cell r="Y49">
            <v>228</v>
          </cell>
          <cell r="Z49">
            <v>315</v>
          </cell>
          <cell r="AA49">
            <v>40.784000000000006</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Q50">
            <v>1194.9680000000001</v>
          </cell>
          <cell r="R50">
            <v>1386</v>
          </cell>
          <cell r="S50">
            <v>730</v>
          </cell>
          <cell r="T50">
            <v>2642.7440000000001</v>
          </cell>
          <cell r="U50">
            <v>1031</v>
          </cell>
          <cell r="V50">
            <v>1611.7440000000001</v>
          </cell>
          <cell r="W50">
            <v>2636</v>
          </cell>
          <cell r="X50">
            <v>55</v>
          </cell>
          <cell r="Y50">
            <v>23</v>
          </cell>
          <cell r="Z50">
            <v>32</v>
          </cell>
          <cell r="AA50">
            <v>148.624</v>
          </cell>
          <cell r="AB50">
            <v>292</v>
          </cell>
          <cell r="AC50">
            <v>90</v>
          </cell>
          <cell r="AD50">
            <v>37</v>
          </cell>
          <cell r="AE50">
            <v>53</v>
          </cell>
          <cell r="AF50">
            <v>495</v>
          </cell>
          <cell r="AG50">
            <v>460</v>
          </cell>
          <cell r="AH50">
            <v>35</v>
          </cell>
          <cell r="AI50">
            <v>56</v>
          </cell>
          <cell r="AJ50">
            <v>-158.35733333333337</v>
          </cell>
          <cell r="AK50">
            <v>1812</v>
          </cell>
          <cell r="AL50">
            <v>352</v>
          </cell>
          <cell r="AM50">
            <v>1460</v>
          </cell>
          <cell r="AN50">
            <v>1460</v>
          </cell>
          <cell r="AP50">
            <v>4507.7466666666669</v>
          </cell>
          <cell r="AQ50">
            <v>1218.424</v>
          </cell>
          <cell r="AR50">
            <v>3289.3226666666669</v>
          </cell>
        </row>
        <row r="51">
          <cell r="G51">
            <v>0</v>
          </cell>
          <cell r="P51">
            <v>0</v>
          </cell>
          <cell r="Q51">
            <v>60.8</v>
          </cell>
          <cell r="R51">
            <v>54</v>
          </cell>
          <cell r="S51">
            <v>-6.7999999999999972</v>
          </cell>
          <cell r="T51">
            <v>2406.6</v>
          </cell>
          <cell r="U51">
            <v>943</v>
          </cell>
          <cell r="V51">
            <v>1463.6</v>
          </cell>
          <cell r="W51">
            <v>2407</v>
          </cell>
          <cell r="X51">
            <v>142</v>
          </cell>
          <cell r="Y51">
            <v>60</v>
          </cell>
          <cell r="Z51">
            <v>82</v>
          </cell>
          <cell r="AA51">
            <v>23.200000000000003</v>
          </cell>
          <cell r="AB51">
            <v>20</v>
          </cell>
          <cell r="AC51">
            <v>0</v>
          </cell>
          <cell r="AD51">
            <v>0</v>
          </cell>
          <cell r="AE51">
            <v>0</v>
          </cell>
          <cell r="AF51">
            <v>0</v>
          </cell>
          <cell r="AH51">
            <v>0</v>
          </cell>
          <cell r="AI51">
            <v>0</v>
          </cell>
          <cell r="AJ51">
            <v>0</v>
          </cell>
          <cell r="AK51">
            <v>142</v>
          </cell>
          <cell r="AL51">
            <v>60</v>
          </cell>
          <cell r="AM51">
            <v>82</v>
          </cell>
          <cell r="AN51">
            <v>82</v>
          </cell>
          <cell r="AP51">
            <v>2505.6</v>
          </cell>
          <cell r="AQ51">
            <v>958</v>
          </cell>
          <cell r="AR51">
            <v>1547.6</v>
          </cell>
        </row>
        <row r="52">
          <cell r="F52">
            <v>565</v>
          </cell>
          <cell r="G52">
            <v>132</v>
          </cell>
          <cell r="H52">
            <v>433</v>
          </cell>
          <cell r="P52">
            <v>64</v>
          </cell>
          <cell r="Q52">
            <v>54080</v>
          </cell>
          <cell r="R52">
            <v>61402</v>
          </cell>
          <cell r="S52">
            <v>21</v>
          </cell>
          <cell r="T52">
            <v>109560</v>
          </cell>
          <cell r="U52">
            <v>66108.347560975613</v>
          </cell>
          <cell r="V52">
            <v>43451.652439024387</v>
          </cell>
          <cell r="W52">
            <v>93632</v>
          </cell>
          <cell r="X52">
            <v>50</v>
          </cell>
          <cell r="Y52">
            <v>21</v>
          </cell>
          <cell r="Z52">
            <v>29</v>
          </cell>
          <cell r="AA52">
            <v>38582.249838047945</v>
          </cell>
          <cell r="AB52">
            <v>76301</v>
          </cell>
          <cell r="AC52">
            <v>66</v>
          </cell>
          <cell r="AD52">
            <v>27</v>
          </cell>
          <cell r="AE52">
            <v>39</v>
          </cell>
          <cell r="AF52">
            <v>38</v>
          </cell>
          <cell r="AG52">
            <v>38</v>
          </cell>
          <cell r="AH52">
            <v>0</v>
          </cell>
          <cell r="AI52">
            <v>0</v>
          </cell>
          <cell r="AJ52">
            <v>0</v>
          </cell>
          <cell r="AK52">
            <v>927</v>
          </cell>
          <cell r="AL52">
            <v>367</v>
          </cell>
          <cell r="AM52">
            <v>560</v>
          </cell>
          <cell r="AN52">
            <v>560</v>
          </cell>
          <cell r="AP52">
            <v>253968</v>
          </cell>
          <cell r="AQ52">
            <v>117854.09772292766</v>
          </cell>
          <cell r="AR52">
            <v>136113.90227707234</v>
          </cell>
        </row>
        <row r="53">
          <cell r="F53">
            <v>1</v>
          </cell>
          <cell r="G53">
            <v>0</v>
          </cell>
          <cell r="H53">
            <v>1</v>
          </cell>
          <cell r="P53">
            <v>56.333333333333336</v>
          </cell>
          <cell r="Q53">
            <v>54080</v>
          </cell>
          <cell r="R53">
            <v>61402</v>
          </cell>
          <cell r="S53">
            <v>929</v>
          </cell>
          <cell r="T53">
            <v>724.62</v>
          </cell>
          <cell r="U53">
            <v>204.38</v>
          </cell>
          <cell r="V53">
            <v>43451.652439024387</v>
          </cell>
          <cell r="W53">
            <v>93632</v>
          </cell>
          <cell r="X53">
            <v>783</v>
          </cell>
          <cell r="Y53">
            <v>329</v>
          </cell>
          <cell r="Z53">
            <v>454</v>
          </cell>
          <cell r="AA53">
            <v>38582.249838047945</v>
          </cell>
          <cell r="AB53">
            <v>46301</v>
          </cell>
          <cell r="AC53">
            <v>187.33333333333331</v>
          </cell>
          <cell r="AD53">
            <v>76</v>
          </cell>
          <cell r="AE53">
            <v>111.33333333333331</v>
          </cell>
          <cell r="AF53">
            <v>449</v>
          </cell>
          <cell r="AG53">
            <v>400</v>
          </cell>
          <cell r="AH53">
            <v>49</v>
          </cell>
          <cell r="AI53">
            <v>0</v>
          </cell>
          <cell r="AJ53">
            <v>0</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P54">
            <v>0</v>
          </cell>
          <cell r="Q54">
            <v>0</v>
          </cell>
          <cell r="S54">
            <v>13.666666666666666</v>
          </cell>
          <cell r="T54">
            <v>13.666666666666666</v>
          </cell>
          <cell r="U54">
            <v>0</v>
          </cell>
          <cell r="X54">
            <v>623</v>
          </cell>
          <cell r="Y54">
            <v>262</v>
          </cell>
          <cell r="Z54">
            <v>361</v>
          </cell>
          <cell r="AA54">
            <v>0</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P55">
            <v>-17.336000000000013</v>
          </cell>
          <cell r="Q55">
            <v>9035.0240000000013</v>
          </cell>
          <cell r="R55">
            <v>8493</v>
          </cell>
          <cell r="S55">
            <v>21522</v>
          </cell>
          <cell r="T55">
            <v>21522</v>
          </cell>
          <cell r="U55">
            <v>0</v>
          </cell>
          <cell r="V55">
            <v>0</v>
          </cell>
          <cell r="X55">
            <v>25680</v>
          </cell>
          <cell r="Y55">
            <v>10797</v>
          </cell>
          <cell r="Z55">
            <v>14883</v>
          </cell>
          <cell r="AA55">
            <v>0</v>
          </cell>
          <cell r="AB55">
            <v>0</v>
          </cell>
          <cell r="AC55">
            <v>22580</v>
          </cell>
          <cell r="AD55">
            <v>9180</v>
          </cell>
          <cell r="AE55">
            <v>13400</v>
          </cell>
          <cell r="AF55">
            <v>1242.3679999999999</v>
          </cell>
          <cell r="AG55">
            <v>809</v>
          </cell>
          <cell r="AH55">
            <v>0</v>
          </cell>
          <cell r="AI55">
            <v>1225</v>
          </cell>
          <cell r="AJ55">
            <v>-1430.04</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Q56">
            <v>3026</v>
          </cell>
          <cell r="R56">
            <v>2369</v>
          </cell>
          <cell r="S56">
            <v>21522</v>
          </cell>
          <cell r="T56">
            <v>21522</v>
          </cell>
          <cell r="U56">
            <v>0</v>
          </cell>
          <cell r="V56">
            <v>582.72727272727275</v>
          </cell>
          <cell r="W56">
            <v>745</v>
          </cell>
          <cell r="X56">
            <v>25680</v>
          </cell>
          <cell r="Y56">
            <v>10797</v>
          </cell>
          <cell r="Z56">
            <v>14883</v>
          </cell>
          <cell r="AA56">
            <v>517.72727272727275</v>
          </cell>
          <cell r="AB56">
            <v>662</v>
          </cell>
          <cell r="AC56">
            <v>22580</v>
          </cell>
          <cell r="AD56">
            <v>9180</v>
          </cell>
          <cell r="AE56">
            <v>13400</v>
          </cell>
          <cell r="AF56">
            <v>0</v>
          </cell>
          <cell r="AG56">
            <v>0</v>
          </cell>
          <cell r="AH56">
            <v>0</v>
          </cell>
          <cell r="AI56">
            <v>306</v>
          </cell>
          <cell r="AJ56">
            <v>-704.5454545454545</v>
          </cell>
          <cell r="AK56">
            <v>69782</v>
          </cell>
          <cell r="AL56">
            <v>19977</v>
          </cell>
          <cell r="AM56">
            <v>49805</v>
          </cell>
          <cell r="AN56">
            <v>49805</v>
          </cell>
          <cell r="AO56">
            <v>19977</v>
          </cell>
          <cell r="AP56">
            <v>49805</v>
          </cell>
          <cell r="AQ56">
            <v>0</v>
          </cell>
          <cell r="AR56">
            <v>0</v>
          </cell>
        </row>
        <row r="57">
          <cell r="F57">
            <v>0</v>
          </cell>
          <cell r="G57">
            <v>0</v>
          </cell>
          <cell r="H57">
            <v>0</v>
          </cell>
          <cell r="P57">
            <v>-16</v>
          </cell>
          <cell r="Q57">
            <v>166</v>
          </cell>
          <cell r="R57">
            <v>129</v>
          </cell>
          <cell r="S57">
            <v>-37</v>
          </cell>
          <cell r="T57">
            <v>0</v>
          </cell>
          <cell r="U57">
            <v>0</v>
          </cell>
          <cell r="V57">
            <v>31</v>
          </cell>
          <cell r="W57">
            <v>39</v>
          </cell>
          <cell r="X57">
            <v>-14</v>
          </cell>
          <cell r="Y57">
            <v>45</v>
          </cell>
          <cell r="Z57">
            <v>17</v>
          </cell>
          <cell r="AA57">
            <v>28</v>
          </cell>
          <cell r="AB57">
            <v>35</v>
          </cell>
          <cell r="AC57">
            <v>-10</v>
          </cell>
          <cell r="AD57">
            <v>180</v>
          </cell>
          <cell r="AE57">
            <v>165</v>
          </cell>
          <cell r="AF57">
            <v>0</v>
          </cell>
          <cell r="AG57">
            <v>136</v>
          </cell>
          <cell r="AH57">
            <v>0</v>
          </cell>
          <cell r="AI57">
            <v>18</v>
          </cell>
          <cell r="AJ57">
            <v>-44</v>
          </cell>
          <cell r="AK57">
            <v>0</v>
          </cell>
          <cell r="AL57">
            <v>0</v>
          </cell>
          <cell r="AM57">
            <v>0</v>
          </cell>
          <cell r="AN57">
            <v>0</v>
          </cell>
          <cell r="AP57">
            <v>0</v>
          </cell>
          <cell r="AQ57">
            <v>169</v>
          </cell>
          <cell r="AR57">
            <v>438</v>
          </cell>
        </row>
        <row r="58">
          <cell r="F58">
            <v>7</v>
          </cell>
          <cell r="G58">
            <v>0</v>
          </cell>
          <cell r="H58">
            <v>0</v>
          </cell>
          <cell r="P58">
            <v>62.666666666666664</v>
          </cell>
          <cell r="Q58">
            <v>968</v>
          </cell>
          <cell r="R58">
            <v>610</v>
          </cell>
          <cell r="S58">
            <v>2524</v>
          </cell>
          <cell r="T58">
            <v>2524</v>
          </cell>
          <cell r="U58">
            <v>0</v>
          </cell>
          <cell r="V58">
            <v>186</v>
          </cell>
          <cell r="W58">
            <v>229</v>
          </cell>
          <cell r="X58">
            <v>0</v>
          </cell>
          <cell r="Y58">
            <v>0</v>
          </cell>
          <cell r="Z58">
            <v>0</v>
          </cell>
          <cell r="AA58">
            <v>165</v>
          </cell>
          <cell r="AB58">
            <v>205</v>
          </cell>
          <cell r="AC58">
            <v>0</v>
          </cell>
          <cell r="AD58">
            <v>0</v>
          </cell>
          <cell r="AE58">
            <v>0</v>
          </cell>
          <cell r="AF58">
            <v>306</v>
          </cell>
          <cell r="AG58">
            <v>106</v>
          </cell>
          <cell r="AH58">
            <v>200</v>
          </cell>
          <cell r="AI58">
            <v>103</v>
          </cell>
          <cell r="AJ58">
            <v>-253</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Q59">
            <v>0</v>
          </cell>
          <cell r="S59">
            <v>979.22</v>
          </cell>
          <cell r="T59">
            <v>479.81779999999998</v>
          </cell>
          <cell r="U59">
            <v>499.40220000000005</v>
          </cell>
          <cell r="V59">
            <v>0</v>
          </cell>
          <cell r="X59">
            <v>300.57554545454542</v>
          </cell>
          <cell r="Y59">
            <v>126</v>
          </cell>
          <cell r="Z59">
            <v>174.57554545454542</v>
          </cell>
          <cell r="AA59">
            <v>0</v>
          </cell>
          <cell r="AC59">
            <v>370.95090909090908</v>
          </cell>
          <cell r="AD59">
            <v>151</v>
          </cell>
          <cell r="AE59">
            <v>219.95090909090908</v>
          </cell>
          <cell r="AF59">
            <v>1182.9509090909091</v>
          </cell>
          <cell r="AG59">
            <v>1120</v>
          </cell>
          <cell r="AH59">
            <v>62.950909090909136</v>
          </cell>
          <cell r="AI59">
            <v>0</v>
          </cell>
          <cell r="AJ59">
            <v>0</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Q60">
            <v>4149</v>
          </cell>
          <cell r="R60">
            <v>3886</v>
          </cell>
          <cell r="S60">
            <v>54</v>
          </cell>
          <cell r="T60">
            <v>26</v>
          </cell>
          <cell r="U60">
            <v>27</v>
          </cell>
          <cell r="V60">
            <v>1299</v>
          </cell>
          <cell r="W60">
            <v>2064</v>
          </cell>
          <cell r="X60">
            <v>17</v>
          </cell>
          <cell r="Y60">
            <v>7</v>
          </cell>
          <cell r="Z60">
            <v>10</v>
          </cell>
          <cell r="AA60">
            <v>1383</v>
          </cell>
          <cell r="AB60">
            <v>2209</v>
          </cell>
          <cell r="AC60">
            <v>20</v>
          </cell>
          <cell r="AD60">
            <v>8</v>
          </cell>
          <cell r="AE60">
            <v>12</v>
          </cell>
          <cell r="AF60">
            <v>65</v>
          </cell>
          <cell r="AG60">
            <v>62</v>
          </cell>
          <cell r="AH60">
            <v>3</v>
          </cell>
          <cell r="AI60">
            <v>155</v>
          </cell>
          <cell r="AJ60">
            <v>-84.666666666666742</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Q61">
            <v>0</v>
          </cell>
          <cell r="S61">
            <v>313</v>
          </cell>
          <cell r="T61">
            <v>154</v>
          </cell>
          <cell r="U61">
            <v>160</v>
          </cell>
          <cell r="X61">
            <v>96</v>
          </cell>
          <cell r="Y61">
            <v>40</v>
          </cell>
          <cell r="Z61">
            <v>56</v>
          </cell>
          <cell r="AA61">
            <v>0</v>
          </cell>
          <cell r="AC61">
            <v>119</v>
          </cell>
          <cell r="AD61">
            <v>48</v>
          </cell>
          <cell r="AE61">
            <v>71</v>
          </cell>
          <cell r="AF61">
            <v>379</v>
          </cell>
          <cell r="AG61">
            <v>358</v>
          </cell>
          <cell r="AH61">
            <v>21</v>
          </cell>
          <cell r="AI61">
            <v>0</v>
          </cell>
          <cell r="AJ61">
            <v>0</v>
          </cell>
          <cell r="AK61">
            <v>1380</v>
          </cell>
          <cell r="AL61">
            <v>413</v>
          </cell>
          <cell r="AM61">
            <v>967</v>
          </cell>
          <cell r="AN61">
            <v>967</v>
          </cell>
          <cell r="AO61">
            <v>0</v>
          </cell>
          <cell r="AP61">
            <v>0</v>
          </cell>
          <cell r="AQ61">
            <v>0</v>
          </cell>
          <cell r="AR61">
            <v>0</v>
          </cell>
        </row>
        <row r="62">
          <cell r="F62">
            <v>0</v>
          </cell>
          <cell r="G62">
            <v>0</v>
          </cell>
          <cell r="P62">
            <v>0</v>
          </cell>
          <cell r="Q62">
            <v>2962.8939999999998</v>
          </cell>
          <cell r="S62">
            <v>-2962.8939999999998</v>
          </cell>
          <cell r="T62">
            <v>176.47000000000003</v>
          </cell>
          <cell r="U62">
            <v>53</v>
          </cell>
          <cell r="X62">
            <v>0</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row>
        <row r="63">
          <cell r="F63">
            <v>93</v>
          </cell>
          <cell r="G63">
            <v>22</v>
          </cell>
          <cell r="H63">
            <v>71</v>
          </cell>
          <cell r="P63">
            <v>847</v>
          </cell>
          <cell r="Q63">
            <v>0</v>
          </cell>
          <cell r="S63">
            <v>1928</v>
          </cell>
          <cell r="T63">
            <v>308.48</v>
          </cell>
          <cell r="U63">
            <v>1619.52</v>
          </cell>
          <cell r="X63">
            <v>480</v>
          </cell>
          <cell r="Y63">
            <v>202</v>
          </cell>
          <cell r="Z63">
            <v>278</v>
          </cell>
          <cell r="AA63">
            <v>0</v>
          </cell>
          <cell r="AC63">
            <v>527</v>
          </cell>
          <cell r="AD63">
            <v>214</v>
          </cell>
          <cell r="AE63">
            <v>313</v>
          </cell>
          <cell r="AF63">
            <v>653</v>
          </cell>
          <cell r="AG63">
            <v>653</v>
          </cell>
          <cell r="AH63">
            <v>0</v>
          </cell>
          <cell r="AI63">
            <v>0</v>
          </cell>
          <cell r="AJ63">
            <v>0</v>
          </cell>
          <cell r="AK63">
            <v>4552</v>
          </cell>
          <cell r="AL63">
            <v>1305</v>
          </cell>
          <cell r="AM63">
            <v>3247</v>
          </cell>
          <cell r="AN63">
            <v>3247</v>
          </cell>
          <cell r="AO63">
            <v>416</v>
          </cell>
          <cell r="AP63">
            <v>1247</v>
          </cell>
          <cell r="AQ63">
            <v>889</v>
          </cell>
          <cell r="AR63">
            <v>2000</v>
          </cell>
        </row>
        <row r="64">
          <cell r="G64">
            <v>0</v>
          </cell>
          <cell r="P64">
            <v>-167.84999999999991</v>
          </cell>
          <cell r="Q64">
            <v>1186.1060000000002</v>
          </cell>
          <cell r="S64">
            <v>-1186.1060000000002</v>
          </cell>
          <cell r="T64">
            <v>31</v>
          </cell>
          <cell r="U64">
            <v>162</v>
          </cell>
          <cell r="X64">
            <v>-1945.53</v>
          </cell>
          <cell r="Y64">
            <v>1975.24</v>
          </cell>
          <cell r="Z64">
            <v>790</v>
          </cell>
          <cell r="AA64">
            <v>1185.24</v>
          </cell>
          <cell r="AC64">
            <v>-1975.24</v>
          </cell>
          <cell r="AD64">
            <v>716.2166666666667</v>
          </cell>
          <cell r="AE64">
            <v>641.88333333333344</v>
          </cell>
          <cell r="AF64">
            <v>74.333333333333258</v>
          </cell>
          <cell r="AG64">
            <v>1641</v>
          </cell>
          <cell r="AH64">
            <v>0</v>
          </cell>
          <cell r="AI64">
            <v>155</v>
          </cell>
          <cell r="AJ64">
            <v>0</v>
          </cell>
          <cell r="AK64">
            <v>0</v>
          </cell>
          <cell r="AN64">
            <v>0</v>
          </cell>
          <cell r="AO64">
            <v>42</v>
          </cell>
          <cell r="AP64">
            <v>125</v>
          </cell>
          <cell r="AQ64">
            <v>89</v>
          </cell>
          <cell r="AR64">
            <v>200</v>
          </cell>
        </row>
        <row r="65">
          <cell r="F65">
            <v>0</v>
          </cell>
          <cell r="G65">
            <v>0</v>
          </cell>
          <cell r="H65">
            <v>0</v>
          </cell>
          <cell r="P65">
            <v>810</v>
          </cell>
          <cell r="Q65">
            <v>2567.7454545454548</v>
          </cell>
          <cell r="R65">
            <v>2254</v>
          </cell>
          <cell r="S65">
            <v>-474</v>
          </cell>
          <cell r="T65">
            <v>1558.3090909090909</v>
          </cell>
          <cell r="U65">
            <v>591</v>
          </cell>
          <cell r="V65">
            <v>967.30909090909086</v>
          </cell>
          <cell r="W65">
            <v>1557</v>
          </cell>
          <cell r="X65">
            <v>1029</v>
          </cell>
          <cell r="Y65">
            <v>1196.7</v>
          </cell>
          <cell r="Z65">
            <v>400</v>
          </cell>
          <cell r="AA65">
            <v>796.7</v>
          </cell>
          <cell r="AB65">
            <v>1201</v>
          </cell>
          <cell r="AC65">
            <v>-117</v>
          </cell>
          <cell r="AD65">
            <v>1791.7636363636364</v>
          </cell>
          <cell r="AE65">
            <v>1791.7636363636364</v>
          </cell>
          <cell r="AF65">
            <v>266</v>
          </cell>
          <cell r="AG65">
            <v>266</v>
          </cell>
          <cell r="AH65">
            <v>0</v>
          </cell>
          <cell r="AI65">
            <v>0</v>
          </cell>
          <cell r="AJ65">
            <v>154.23636363636365</v>
          </cell>
          <cell r="AK65">
            <v>1538</v>
          </cell>
          <cell r="AL65">
            <v>830</v>
          </cell>
          <cell r="AM65">
            <v>708</v>
          </cell>
          <cell r="AN65">
            <v>-204</v>
          </cell>
          <cell r="AP65">
            <v>-130</v>
          </cell>
          <cell r="AQ65">
            <v>2319.5</v>
          </cell>
          <cell r="AR65">
            <v>6326.7601818181811</v>
          </cell>
        </row>
        <row r="66">
          <cell r="F66">
            <v>0</v>
          </cell>
          <cell r="G66">
            <v>0</v>
          </cell>
          <cell r="P66">
            <v>0</v>
          </cell>
          <cell r="Q66">
            <v>927.72727272727275</v>
          </cell>
          <cell r="R66">
            <v>1097</v>
          </cell>
          <cell r="S66">
            <v>0</v>
          </cell>
          <cell r="T66">
            <v>592</v>
          </cell>
          <cell r="U66">
            <v>231</v>
          </cell>
          <cell r="V66">
            <v>361</v>
          </cell>
          <cell r="W66">
            <v>608</v>
          </cell>
          <cell r="X66">
            <v>0</v>
          </cell>
          <cell r="Y66">
            <v>435</v>
          </cell>
          <cell r="Z66">
            <v>162</v>
          </cell>
          <cell r="AA66">
            <v>273</v>
          </cell>
          <cell r="AB66">
            <v>435</v>
          </cell>
          <cell r="AC66">
            <v>0</v>
          </cell>
          <cell r="AD66">
            <v>0</v>
          </cell>
          <cell r="AE66">
            <v>261.09090909090912</v>
          </cell>
          <cell r="AF66">
            <v>0</v>
          </cell>
          <cell r="AG66">
            <v>318</v>
          </cell>
          <cell r="AH66">
            <v>0</v>
          </cell>
          <cell r="AI66">
            <v>0</v>
          </cell>
          <cell r="AJ66">
            <v>56.909090909090878</v>
          </cell>
          <cell r="AK66">
            <v>0</v>
          </cell>
          <cell r="AL66">
            <v>0</v>
          </cell>
          <cell r="AM66">
            <v>0</v>
          </cell>
          <cell r="AN66">
            <v>0</v>
          </cell>
          <cell r="AP66">
            <v>0</v>
          </cell>
          <cell r="AQ66">
            <v>549</v>
          </cell>
          <cell r="AR66">
            <v>1822.818181818182</v>
          </cell>
        </row>
        <row r="67">
          <cell r="G67">
            <v>0</v>
          </cell>
          <cell r="H67">
            <v>71</v>
          </cell>
          <cell r="P67">
            <v>37</v>
          </cell>
          <cell r="Q67">
            <v>51</v>
          </cell>
          <cell r="R67">
            <v>60</v>
          </cell>
          <cell r="S67">
            <v>2402</v>
          </cell>
          <cell r="T67">
            <v>277.48</v>
          </cell>
          <cell r="U67">
            <v>1457.52</v>
          </cell>
          <cell r="V67">
            <v>20</v>
          </cell>
          <cell r="W67">
            <v>33</v>
          </cell>
          <cell r="X67">
            <v>-549</v>
          </cell>
          <cell r="Y67">
            <v>202</v>
          </cell>
          <cell r="Z67">
            <v>278</v>
          </cell>
          <cell r="AA67">
            <v>15</v>
          </cell>
          <cell r="AB67">
            <v>24</v>
          </cell>
          <cell r="AC67">
            <v>644</v>
          </cell>
          <cell r="AD67">
            <v>214</v>
          </cell>
          <cell r="AE67">
            <v>313</v>
          </cell>
          <cell r="AF67">
            <v>387</v>
          </cell>
          <cell r="AG67">
            <v>387</v>
          </cell>
          <cell r="AH67">
            <v>0</v>
          </cell>
          <cell r="AI67">
            <v>0</v>
          </cell>
          <cell r="AJ67">
            <v>0</v>
          </cell>
          <cell r="AK67">
            <v>2921</v>
          </cell>
          <cell r="AN67">
            <v>3451</v>
          </cell>
          <cell r="AO67">
            <v>374</v>
          </cell>
          <cell r="AP67">
            <v>1252</v>
          </cell>
          <cell r="AQ67">
            <v>800</v>
          </cell>
          <cell r="AR67">
            <v>1800</v>
          </cell>
        </row>
        <row r="68">
          <cell r="F68">
            <v>255</v>
          </cell>
          <cell r="G68">
            <v>60</v>
          </cell>
          <cell r="H68">
            <v>195</v>
          </cell>
          <cell r="P68">
            <v>859</v>
          </cell>
          <cell r="Q68">
            <v>297</v>
          </cell>
          <cell r="R68">
            <v>330</v>
          </cell>
          <cell r="S68">
            <v>1389</v>
          </cell>
          <cell r="T68">
            <v>347.25</v>
          </cell>
          <cell r="U68">
            <v>1041.75</v>
          </cell>
          <cell r="V68">
            <v>116</v>
          </cell>
          <cell r="W68">
            <v>190</v>
          </cell>
          <cell r="X68">
            <v>1415</v>
          </cell>
          <cell r="Y68">
            <v>595</v>
          </cell>
          <cell r="Z68">
            <v>820</v>
          </cell>
          <cell r="AA68">
            <v>87</v>
          </cell>
          <cell r="AB68">
            <v>137</v>
          </cell>
          <cell r="AC68">
            <v>724</v>
          </cell>
          <cell r="AD68">
            <v>294</v>
          </cell>
          <cell r="AE68">
            <v>430</v>
          </cell>
          <cell r="AF68">
            <v>1203</v>
          </cell>
          <cell r="AG68">
            <v>1203</v>
          </cell>
          <cell r="AH68">
            <v>0</v>
          </cell>
          <cell r="AI68">
            <v>0</v>
          </cell>
          <cell r="AJ68">
            <v>19</v>
          </cell>
          <cell r="AK68">
            <v>5845</v>
          </cell>
          <cell r="AL68">
            <v>1808</v>
          </cell>
          <cell r="AM68">
            <v>4037</v>
          </cell>
          <cell r="AN68">
            <v>4037</v>
          </cell>
          <cell r="AO68">
            <v>889</v>
          </cell>
          <cell r="AP68">
            <v>1722</v>
          </cell>
          <cell r="AQ68">
            <v>919</v>
          </cell>
          <cell r="AR68">
            <v>2315</v>
          </cell>
        </row>
        <row r="69">
          <cell r="G69">
            <v>0</v>
          </cell>
          <cell r="H69">
            <v>0</v>
          </cell>
          <cell r="P69">
            <v>65</v>
          </cell>
          <cell r="Q69">
            <v>0</v>
          </cell>
          <cell r="S69">
            <v>500.5</v>
          </cell>
          <cell r="T69">
            <v>0</v>
          </cell>
          <cell r="U69">
            <v>0</v>
          </cell>
          <cell r="V69">
            <v>0</v>
          </cell>
          <cell r="X69">
            <v>302.54545454545456</v>
          </cell>
          <cell r="Y69">
            <v>127</v>
          </cell>
          <cell r="Z69">
            <v>175.54545454545456</v>
          </cell>
          <cell r="AA69">
            <v>0</v>
          </cell>
          <cell r="AC69">
            <v>130.90909090909091</v>
          </cell>
          <cell r="AD69">
            <v>53</v>
          </cell>
          <cell r="AE69">
            <v>77.909090909090907</v>
          </cell>
          <cell r="AF69">
            <v>114.90909090909091</v>
          </cell>
          <cell r="AG69">
            <v>114.90909090909091</v>
          </cell>
          <cell r="AH69">
            <v>0</v>
          </cell>
          <cell r="AI69">
            <v>0</v>
          </cell>
          <cell r="AJ69">
            <v>0</v>
          </cell>
          <cell r="AK69">
            <v>1113.8636363636363</v>
          </cell>
          <cell r="AL69">
            <v>245</v>
          </cell>
          <cell r="AM69">
            <v>868.86363636363626</v>
          </cell>
          <cell r="AN69">
            <v>868.86363636363626</v>
          </cell>
          <cell r="AP69">
            <v>0</v>
          </cell>
          <cell r="AQ69">
            <v>0</v>
          </cell>
          <cell r="AR69">
            <v>0</v>
          </cell>
        </row>
        <row r="70">
          <cell r="F70">
            <v>0</v>
          </cell>
          <cell r="G70">
            <v>0</v>
          </cell>
          <cell r="H70">
            <v>0</v>
          </cell>
          <cell r="P70">
            <v>4</v>
          </cell>
          <cell r="Q70" t="e">
            <v>#REF!</v>
          </cell>
          <cell r="S70">
            <v>28</v>
          </cell>
          <cell r="T70">
            <v>897.27272727272725</v>
          </cell>
          <cell r="U70">
            <v>386</v>
          </cell>
          <cell r="V70">
            <v>511.27272727272725</v>
          </cell>
          <cell r="X70">
            <v>17</v>
          </cell>
          <cell r="Y70">
            <v>7</v>
          </cell>
          <cell r="Z70">
            <v>10</v>
          </cell>
          <cell r="AA70">
            <v>430.9</v>
          </cell>
          <cell r="AC70">
            <v>7</v>
          </cell>
          <cell r="AD70">
            <v>3</v>
          </cell>
          <cell r="AE70">
            <v>4</v>
          </cell>
          <cell r="AF70">
            <v>6</v>
          </cell>
          <cell r="AG70">
            <v>6</v>
          </cell>
          <cell r="AH70">
            <v>0</v>
          </cell>
          <cell r="AI70">
            <v>0</v>
          </cell>
          <cell r="AJ70">
            <v>-1285.7636363636364</v>
          </cell>
          <cell r="AK70">
            <v>62</v>
          </cell>
          <cell r="AL70">
            <v>14</v>
          </cell>
          <cell r="AM70">
            <v>48</v>
          </cell>
          <cell r="AN70">
            <v>48</v>
          </cell>
          <cell r="AP70" t="e">
            <v>#REF!</v>
          </cell>
          <cell r="AQ70" t="e">
            <v>#REF!</v>
          </cell>
        </row>
        <row r="71">
          <cell r="F71">
            <v>0</v>
          </cell>
          <cell r="G71">
            <v>0</v>
          </cell>
          <cell r="H71">
            <v>0</v>
          </cell>
          <cell r="P71">
            <v>21</v>
          </cell>
          <cell r="Q71" t="e">
            <v>#REF!</v>
          </cell>
          <cell r="S71">
            <v>160</v>
          </cell>
          <cell r="T71">
            <v>0</v>
          </cell>
          <cell r="U71">
            <v>0</v>
          </cell>
          <cell r="V71">
            <v>0</v>
          </cell>
          <cell r="X71">
            <v>97</v>
          </cell>
          <cell r="Y71">
            <v>41</v>
          </cell>
          <cell r="Z71">
            <v>56</v>
          </cell>
          <cell r="AA71">
            <v>0</v>
          </cell>
          <cell r="AC71">
            <v>42</v>
          </cell>
          <cell r="AD71">
            <v>17</v>
          </cell>
          <cell r="AE71">
            <v>25</v>
          </cell>
          <cell r="AF71">
            <v>37</v>
          </cell>
          <cell r="AG71">
            <v>37</v>
          </cell>
          <cell r="AH71">
            <v>0</v>
          </cell>
          <cell r="AI71">
            <v>0</v>
          </cell>
          <cell r="AJ71">
            <v>0</v>
          </cell>
          <cell r="AK71">
            <v>357</v>
          </cell>
          <cell r="AL71">
            <v>79</v>
          </cell>
          <cell r="AM71">
            <v>278</v>
          </cell>
          <cell r="AN71">
            <v>278</v>
          </cell>
          <cell r="AP71" t="e">
            <v>#REF!</v>
          </cell>
          <cell r="AQ71" t="e">
            <v>#REF!</v>
          </cell>
        </row>
        <row r="72">
          <cell r="F72">
            <v>0</v>
          </cell>
          <cell r="G72">
            <v>0</v>
          </cell>
          <cell r="P72">
            <v>360</v>
          </cell>
          <cell r="Q72">
            <v>483.76</v>
          </cell>
          <cell r="R72">
            <v>403</v>
          </cell>
          <cell r="S72">
            <v>-80.759999999999991</v>
          </cell>
          <cell r="T72">
            <v>221.00800000000004</v>
          </cell>
          <cell r="U72">
            <v>84</v>
          </cell>
          <cell r="V72">
            <v>137.00800000000004</v>
          </cell>
          <cell r="W72">
            <v>175</v>
          </cell>
          <cell r="X72">
            <v>0</v>
          </cell>
          <cell r="Y72">
            <v>192.512</v>
          </cell>
          <cell r="Z72">
            <v>72</v>
          </cell>
          <cell r="AA72">
            <v>120.512</v>
          </cell>
          <cell r="AB72">
            <v>94</v>
          </cell>
          <cell r="AC72">
            <v>0</v>
          </cell>
          <cell r="AD72">
            <v>423.85066666666671</v>
          </cell>
          <cell r="AE72">
            <v>380.04</v>
          </cell>
          <cell r="AF72">
            <v>0</v>
          </cell>
          <cell r="AG72">
            <v>0</v>
          </cell>
          <cell r="AH72">
            <v>0</v>
          </cell>
          <cell r="AI72">
            <v>35</v>
          </cell>
          <cell r="AJ72">
            <v>-44.850666666666712</v>
          </cell>
          <cell r="AK72">
            <v>360</v>
          </cell>
          <cell r="AL72">
            <v>360</v>
          </cell>
          <cell r="AM72">
            <v>0</v>
          </cell>
          <cell r="AN72">
            <v>0</v>
          </cell>
          <cell r="AP72">
            <v>6676.0333333333338</v>
          </cell>
          <cell r="AQ72" t="e">
            <v>#REF!</v>
          </cell>
          <cell r="AR72" t="e">
            <v>#REF!</v>
          </cell>
        </row>
        <row r="73">
          <cell r="G73">
            <v>0</v>
          </cell>
          <cell r="P73">
            <v>0</v>
          </cell>
          <cell r="Q73">
            <v>0</v>
          </cell>
          <cell r="S73">
            <v>1558</v>
          </cell>
          <cell r="T73">
            <v>0</v>
          </cell>
          <cell r="U73">
            <v>0</v>
          </cell>
          <cell r="V73">
            <v>0</v>
          </cell>
          <cell r="X73">
            <v>1785</v>
          </cell>
          <cell r="Y73">
            <v>750</v>
          </cell>
          <cell r="Z73">
            <v>1035</v>
          </cell>
          <cell r="AA73">
            <v>0</v>
          </cell>
          <cell r="AC73">
            <v>633</v>
          </cell>
          <cell r="AD73">
            <v>257</v>
          </cell>
          <cell r="AE73">
            <v>376</v>
          </cell>
          <cell r="AF73">
            <v>530</v>
          </cell>
          <cell r="AG73">
            <v>530</v>
          </cell>
          <cell r="AI73">
            <v>0</v>
          </cell>
          <cell r="AJ73">
            <v>0</v>
          </cell>
          <cell r="AK73">
            <v>4506</v>
          </cell>
          <cell r="AL73">
            <v>1007</v>
          </cell>
          <cell r="AM73">
            <v>3499</v>
          </cell>
          <cell r="AN73">
            <v>3499</v>
          </cell>
          <cell r="AP73">
            <v>228.66666666666669</v>
          </cell>
          <cell r="AQ73">
            <v>70</v>
          </cell>
          <cell r="AR73">
            <v>158.66666666666669</v>
          </cell>
        </row>
        <row r="74">
          <cell r="G74">
            <v>0</v>
          </cell>
          <cell r="P74">
            <v>-189.52</v>
          </cell>
          <cell r="Q74">
            <v>483.76</v>
          </cell>
          <cell r="S74">
            <v>0</v>
          </cell>
          <cell r="T74">
            <v>221.00800000000004</v>
          </cell>
          <cell r="U74">
            <v>84</v>
          </cell>
          <cell r="V74">
            <v>137.00800000000004</v>
          </cell>
          <cell r="X74">
            <v>0</v>
          </cell>
          <cell r="Y74">
            <v>192.512</v>
          </cell>
          <cell r="Z74">
            <v>0</v>
          </cell>
          <cell r="AA74">
            <v>120.512</v>
          </cell>
          <cell r="AC74">
            <v>0</v>
          </cell>
          <cell r="AD74">
            <v>0</v>
          </cell>
          <cell r="AE74">
            <v>0</v>
          </cell>
          <cell r="AF74">
            <v>43.810666666666691</v>
          </cell>
          <cell r="AG74">
            <v>379</v>
          </cell>
          <cell r="AH74">
            <v>0</v>
          </cell>
          <cell r="AI74">
            <v>35</v>
          </cell>
          <cell r="AJ74">
            <v>-44.850666666666712</v>
          </cell>
          <cell r="AK74">
            <v>0</v>
          </cell>
          <cell r="AL74">
            <v>0</v>
          </cell>
          <cell r="AM74">
            <v>0</v>
          </cell>
          <cell r="AN74">
            <v>0</v>
          </cell>
          <cell r="AP74">
            <v>6447.3666666666668</v>
          </cell>
          <cell r="AQ74">
            <v>2090.12</v>
          </cell>
          <cell r="AR74">
            <v>4357.2466666666669</v>
          </cell>
        </row>
        <row r="75">
          <cell r="F75">
            <v>2851</v>
          </cell>
          <cell r="G75">
            <v>667</v>
          </cell>
          <cell r="H75">
            <v>2184</v>
          </cell>
          <cell r="P75">
            <v>425.2</v>
          </cell>
          <cell r="Q75">
            <v>304.76</v>
          </cell>
          <cell r="S75">
            <v>390.26666666666665</v>
          </cell>
          <cell r="T75">
            <v>100.1</v>
          </cell>
          <cell r="U75">
            <v>290.16666666666663</v>
          </cell>
          <cell r="V75">
            <v>74.808000000000021</v>
          </cell>
          <cell r="X75">
            <v>201.3</v>
          </cell>
          <cell r="Y75">
            <v>85</v>
          </cell>
          <cell r="Z75">
            <v>116.30000000000001</v>
          </cell>
          <cell r="AA75">
            <v>25.711999999999989</v>
          </cell>
          <cell r="AC75">
            <v>131.53333333333333</v>
          </cell>
          <cell r="AD75">
            <v>53</v>
          </cell>
          <cell r="AE75">
            <v>78.533333333333331</v>
          </cell>
          <cell r="AF75">
            <v>477</v>
          </cell>
          <cell r="AG75">
            <v>378</v>
          </cell>
          <cell r="AH75">
            <v>99</v>
          </cell>
          <cell r="AJ75">
            <v>-284.25066666666669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Q77">
            <v>80.800000000000011</v>
          </cell>
          <cell r="S77">
            <v>390.26666666666665</v>
          </cell>
          <cell r="T77">
            <v>100.1</v>
          </cell>
          <cell r="U77">
            <v>290.16666666666663</v>
          </cell>
          <cell r="V77">
            <v>40.400000000000006</v>
          </cell>
          <cell r="X77">
            <v>201.3</v>
          </cell>
          <cell r="Y77">
            <v>85</v>
          </cell>
          <cell r="Z77">
            <v>116.30000000000001</v>
          </cell>
          <cell r="AA77">
            <v>27.200000000000003</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Q78">
            <v>98.2</v>
          </cell>
          <cell r="S78">
            <v>151.66666666666666</v>
          </cell>
          <cell r="T78">
            <v>100.1</v>
          </cell>
          <cell r="U78">
            <v>51.566666666666663</v>
          </cell>
          <cell r="V78">
            <v>37.799999999999997</v>
          </cell>
          <cell r="X78">
            <v>62</v>
          </cell>
          <cell r="Y78">
            <v>26</v>
          </cell>
          <cell r="Z78">
            <v>36</v>
          </cell>
          <cell r="AA78">
            <v>67.599999999999994</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Q79">
            <v>7.5</v>
          </cell>
          <cell r="S79">
            <v>0</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358</v>
          </cell>
          <cell r="AL79">
            <v>158</v>
          </cell>
          <cell r="AM79">
            <v>200</v>
          </cell>
          <cell r="AN79">
            <v>200</v>
          </cell>
          <cell r="AP79">
            <v>372.7</v>
          </cell>
          <cell r="AQ79">
            <v>104.1</v>
          </cell>
          <cell r="AR79">
            <v>200</v>
          </cell>
        </row>
        <row r="80">
          <cell r="F80">
            <v>316</v>
          </cell>
          <cell r="G80">
            <v>74</v>
          </cell>
          <cell r="H80">
            <v>242</v>
          </cell>
          <cell r="P80">
            <v>13</v>
          </cell>
          <cell r="Q80">
            <v>77353.513454545449</v>
          </cell>
          <cell r="R80">
            <v>83057</v>
          </cell>
          <cell r="S80">
            <v>38.333333333333336</v>
          </cell>
          <cell r="T80">
            <v>117852.27636363638</v>
          </cell>
          <cell r="U80">
            <v>69321.347560975613</v>
          </cell>
          <cell r="V80">
            <v>48530.928802660754</v>
          </cell>
          <cell r="W80">
            <v>101508</v>
          </cell>
          <cell r="X80">
            <v>53</v>
          </cell>
          <cell r="Y80">
            <v>22</v>
          </cell>
          <cell r="Z80">
            <v>31</v>
          </cell>
          <cell r="AA80">
            <v>42067.557110775218</v>
          </cell>
          <cell r="AB80">
            <v>81399</v>
          </cell>
          <cell r="AC80">
            <v>7.333333333333333</v>
          </cell>
          <cell r="AD80">
            <v>3</v>
          </cell>
          <cell r="AE80">
            <v>4.333333333333333</v>
          </cell>
          <cell r="AF80">
            <v>73</v>
          </cell>
          <cell r="AG80">
            <v>68</v>
          </cell>
          <cell r="AH80">
            <v>5</v>
          </cell>
          <cell r="AI80">
            <v>2032</v>
          </cell>
          <cell r="AJ80">
            <v>-2476.5650909090909</v>
          </cell>
          <cell r="AK80">
            <v>498.66666666666663</v>
          </cell>
          <cell r="AL80">
            <v>114</v>
          </cell>
          <cell r="AM80">
            <v>384.66666666666663</v>
          </cell>
          <cell r="AN80">
            <v>384.66666666666663</v>
          </cell>
          <cell r="AP80">
            <v>317284.31872727274</v>
          </cell>
          <cell r="AQ80" t="e">
            <v>#REF!</v>
          </cell>
          <cell r="AR80" t="e">
            <v>#REF!</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J81">
            <v>0</v>
          </cell>
          <cell r="AK81">
            <v>1267.7666666666667</v>
          </cell>
          <cell r="AL81">
            <v>451.2</v>
          </cell>
          <cell r="AM81">
            <v>816.56666666666661</v>
          </cell>
          <cell r="AN81">
            <v>816.56666666666661</v>
          </cell>
          <cell r="AP81">
            <v>63316.318727272737</v>
          </cell>
          <cell r="AQ81" t="e">
            <v>#REF!</v>
          </cell>
          <cell r="AR81" t="e">
            <v>#REF!</v>
          </cell>
        </row>
        <row r="82">
          <cell r="G82">
            <v>0</v>
          </cell>
          <cell r="H82">
            <v>0</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row>
        <row r="83">
          <cell r="F83">
            <v>0</v>
          </cell>
          <cell r="G83">
            <v>0</v>
          </cell>
          <cell r="H83">
            <v>0</v>
          </cell>
          <cell r="P83">
            <v>14</v>
          </cell>
          <cell r="S83">
            <v>0</v>
          </cell>
          <cell r="X83">
            <v>0</v>
          </cell>
          <cell r="AC83">
            <v>4</v>
          </cell>
          <cell r="AF83">
            <v>43</v>
          </cell>
          <cell r="AG83">
            <v>43</v>
          </cell>
          <cell r="AH83">
            <v>0</v>
          </cell>
          <cell r="AJ83">
            <v>0</v>
          </cell>
          <cell r="AK83">
            <v>18</v>
          </cell>
          <cell r="AL83">
            <v>14</v>
          </cell>
          <cell r="AM83">
            <v>4</v>
          </cell>
          <cell r="AN83">
            <v>0</v>
          </cell>
          <cell r="AP83">
            <v>11292</v>
          </cell>
          <cell r="AQ83">
            <v>11292</v>
          </cell>
          <cell r="AR83">
            <v>0</v>
          </cell>
        </row>
        <row r="84">
          <cell r="F84">
            <v>4725.3</v>
          </cell>
          <cell r="G84">
            <v>1106</v>
          </cell>
          <cell r="H84">
            <v>3619.3</v>
          </cell>
          <cell r="P84">
            <v>3426.6499999999996</v>
          </cell>
          <cell r="Q84">
            <v>0</v>
          </cell>
          <cell r="R84">
            <v>0</v>
          </cell>
          <cell r="S84">
            <v>31360.486666666668</v>
          </cell>
          <cell r="T84">
            <v>26852.267799999998</v>
          </cell>
          <cell r="U84">
            <v>4508.2188666666671</v>
          </cell>
          <cell r="V84">
            <v>48530.928802660754</v>
          </cell>
          <cell r="W84">
            <v>101508</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I84">
            <v>2032</v>
          </cell>
          <cell r="AJ84">
            <v>-2476.5650909090909</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S85">
            <v>0</v>
          </cell>
          <cell r="T85">
            <v>479.81779999999998</v>
          </cell>
          <cell r="U85">
            <v>499.40220000000005</v>
          </cell>
          <cell r="V85">
            <v>0</v>
          </cell>
          <cell r="W85">
            <v>0</v>
          </cell>
          <cell r="X85">
            <v>0</v>
          </cell>
          <cell r="Y85">
            <v>253</v>
          </cell>
          <cell r="Z85">
            <v>350.12099999999998</v>
          </cell>
          <cell r="AA85">
            <v>0</v>
          </cell>
          <cell r="AB85">
            <v>0</v>
          </cell>
          <cell r="AC85">
            <v>0</v>
          </cell>
          <cell r="AD85">
            <v>204</v>
          </cell>
          <cell r="AE85">
            <v>297.86</v>
          </cell>
          <cell r="AH85">
            <v>62.950909090909136</v>
          </cell>
          <cell r="AI85">
            <v>0</v>
          </cell>
          <cell r="AJ85">
            <v>0</v>
          </cell>
          <cell r="AK85">
            <v>5425.360090909091</v>
          </cell>
          <cell r="AL85">
            <v>1534.45</v>
          </cell>
          <cell r="AM85">
            <v>3890.9100909090912</v>
          </cell>
          <cell r="AN85">
            <v>1176.2809999999999</v>
          </cell>
          <cell r="AP85">
            <v>-1</v>
          </cell>
          <cell r="AQ85">
            <v>0</v>
          </cell>
          <cell r="AR85">
            <v>-1</v>
          </cell>
        </row>
        <row r="86">
          <cell r="P86">
            <v>0</v>
          </cell>
          <cell r="Q86">
            <v>0</v>
          </cell>
          <cell r="S86">
            <v>0</v>
          </cell>
          <cell r="T86">
            <v>0</v>
          </cell>
          <cell r="U86">
            <v>0</v>
          </cell>
          <cell r="V86">
            <v>0</v>
          </cell>
          <cell r="X86">
            <v>0</v>
          </cell>
          <cell r="Y86">
            <v>0</v>
          </cell>
          <cell r="AC86">
            <v>0</v>
          </cell>
          <cell r="AI86">
            <v>0</v>
          </cell>
          <cell r="AJ86">
            <v>0</v>
          </cell>
          <cell r="AL86">
            <v>27965.65</v>
          </cell>
          <cell r="AN86">
            <v>0</v>
          </cell>
          <cell r="AP86">
            <v>3705</v>
          </cell>
          <cell r="AQ86">
            <v>1959</v>
          </cell>
          <cell r="AR86">
            <v>1746</v>
          </cell>
        </row>
        <row r="87">
          <cell r="F87">
            <v>8046</v>
          </cell>
          <cell r="G87">
            <v>8046</v>
          </cell>
          <cell r="P87">
            <v>0</v>
          </cell>
          <cell r="Q87">
            <v>0</v>
          </cell>
          <cell r="S87">
            <v>0</v>
          </cell>
          <cell r="T87">
            <v>0</v>
          </cell>
          <cell r="U87">
            <v>0</v>
          </cell>
          <cell r="V87">
            <v>0</v>
          </cell>
          <cell r="X87">
            <v>0</v>
          </cell>
          <cell r="Y87">
            <v>0</v>
          </cell>
          <cell r="Z87">
            <v>0</v>
          </cell>
          <cell r="AA87">
            <v>0</v>
          </cell>
          <cell r="AC87">
            <v>0</v>
          </cell>
          <cell r="AI87">
            <v>0</v>
          </cell>
          <cell r="AJ87">
            <v>0</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I88">
            <v>29</v>
          </cell>
          <cell r="AJ88">
            <v>7.6666666666666643</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0</v>
          </cell>
          <cell r="AI89">
            <v>2061</v>
          </cell>
          <cell r="AJ89">
            <v>-2468.8984242424249</v>
          </cell>
          <cell r="AK89">
            <v>0</v>
          </cell>
          <cell r="AM89">
            <v>0</v>
          </cell>
          <cell r="AN89">
            <v>0</v>
          </cell>
          <cell r="AO89">
            <v>0</v>
          </cell>
          <cell r="AP89">
            <v>0</v>
          </cell>
          <cell r="AQ89">
            <v>0</v>
          </cell>
          <cell r="AR89">
            <v>-1</v>
          </cell>
        </row>
        <row r="90">
          <cell r="F90">
            <v>1399</v>
          </cell>
          <cell r="G90">
            <v>577</v>
          </cell>
          <cell r="H90">
            <v>822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0</v>
          </cell>
          <cell r="AI90">
            <v>2061</v>
          </cell>
          <cell r="AJ90">
            <v>-2468.8984242424249</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P91">
            <v>-223.27272727272725</v>
          </cell>
          <cell r="Q91">
            <v>3953.727272727273</v>
          </cell>
          <cell r="R91">
            <v>3466</v>
          </cell>
          <cell r="S91">
            <v>0</v>
          </cell>
          <cell r="T91">
            <v>0</v>
          </cell>
          <cell r="U91">
            <v>0</v>
          </cell>
          <cell r="V91">
            <v>943.72727272727275</v>
          </cell>
          <cell r="W91">
            <v>1353</v>
          </cell>
          <cell r="X91">
            <v>0</v>
          </cell>
          <cell r="Y91">
            <v>0</v>
          </cell>
          <cell r="Z91">
            <v>0</v>
          </cell>
          <cell r="AA91">
            <v>0</v>
          </cell>
          <cell r="AB91">
            <v>0</v>
          </cell>
          <cell r="AC91">
            <v>0</v>
          </cell>
          <cell r="AD91">
            <v>0</v>
          </cell>
          <cell r="AE91">
            <v>0</v>
          </cell>
          <cell r="AF91">
            <v>269</v>
          </cell>
          <cell r="AG91">
            <v>2881</v>
          </cell>
          <cell r="AH91">
            <v>0</v>
          </cell>
          <cell r="AI91">
            <v>306</v>
          </cell>
          <cell r="AJ91">
            <v>-647.63636363636351</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H92">
            <v>-3</v>
          </cell>
          <cell r="AJ92">
            <v>0</v>
          </cell>
          <cell r="AK92">
            <v>-196</v>
          </cell>
          <cell r="AL92">
            <v>-107</v>
          </cell>
          <cell r="AM92">
            <v>-89</v>
          </cell>
          <cell r="AN92">
            <v>-89</v>
          </cell>
          <cell r="AO92">
            <v>0</v>
          </cell>
          <cell r="AP92">
            <v>-25</v>
          </cell>
          <cell r="AQ92">
            <v>-107</v>
          </cell>
          <cell r="AR92">
            <v>-64</v>
          </cell>
        </row>
        <row r="93">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v>0</v>
          </cell>
          <cell r="AO93">
            <v>1616</v>
          </cell>
          <cell r="AP93" t="e">
            <v>#REF!</v>
          </cell>
        </row>
        <row r="94">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v>0</v>
          </cell>
          <cell r="AP94" t="e">
            <v>#REF!</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I95">
            <v>0</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I96">
            <v>0</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D97">
            <v>25802.811515151516</v>
          </cell>
          <cell r="AF97">
            <v>266</v>
          </cell>
          <cell r="AG97">
            <v>266</v>
          </cell>
          <cell r="AH97">
            <v>0</v>
          </cell>
          <cell r="AI97">
            <v>0</v>
          </cell>
          <cell r="AJ97">
            <v>0</v>
          </cell>
          <cell r="AK97">
            <v>3695</v>
          </cell>
          <cell r="AN97" t="e">
            <v>#REF!</v>
          </cell>
          <cell r="AP97" t="e">
            <v>#REF!</v>
          </cell>
        </row>
        <row r="98">
          <cell r="P98">
            <v>992</v>
          </cell>
          <cell r="S98">
            <v>106</v>
          </cell>
          <cell r="X98">
            <v>116</v>
          </cell>
          <cell r="AC98">
            <v>0</v>
          </cell>
          <cell r="AF98">
            <v>0</v>
          </cell>
          <cell r="AI98">
            <v>0</v>
          </cell>
          <cell r="AJ98">
            <v>0</v>
          </cell>
          <cell r="AN98" t="e">
            <v>#REF!</v>
          </cell>
          <cell r="AP98" t="e">
            <v>#REF!</v>
          </cell>
        </row>
        <row r="99">
          <cell r="P99">
            <v>976</v>
          </cell>
          <cell r="S99">
            <v>106</v>
          </cell>
          <cell r="X99">
            <v>116</v>
          </cell>
          <cell r="AC99">
            <v>0</v>
          </cell>
          <cell r="AF99">
            <v>0</v>
          </cell>
          <cell r="AG99">
            <v>454</v>
          </cell>
          <cell r="AH99">
            <v>0</v>
          </cell>
          <cell r="AI99">
            <v>0</v>
          </cell>
          <cell r="AJ99">
            <v>0</v>
          </cell>
          <cell r="AK99">
            <v>5737</v>
          </cell>
          <cell r="AL99">
            <v>109509.14393939395</v>
          </cell>
          <cell r="AM99">
            <v>46269.90741929959</v>
          </cell>
          <cell r="AN99" t="e">
            <v>#REF!</v>
          </cell>
          <cell r="AP99" t="e">
            <v>#REF!</v>
          </cell>
        </row>
        <row r="100">
          <cell r="F100">
            <v>0</v>
          </cell>
          <cell r="P100">
            <v>967</v>
          </cell>
          <cell r="S100">
            <v>106</v>
          </cell>
          <cell r="X100">
            <v>116</v>
          </cell>
          <cell r="AC100">
            <v>0</v>
          </cell>
          <cell r="AF100">
            <v>861</v>
          </cell>
          <cell r="AG100">
            <v>861</v>
          </cell>
          <cell r="AH100">
            <v>0</v>
          </cell>
          <cell r="AI100">
            <v>0</v>
          </cell>
          <cell r="AJ100">
            <v>0</v>
          </cell>
          <cell r="AK100">
            <v>0</v>
          </cell>
          <cell r="AL100">
            <v>85097.370909090911</v>
          </cell>
          <cell r="AM100">
            <v>40210.957581756855</v>
          </cell>
          <cell r="AN100" t="e">
            <v>#REF!</v>
          </cell>
          <cell r="AP100" t="e">
            <v>#REF!</v>
          </cell>
        </row>
        <row r="101">
          <cell r="F101">
            <v>93</v>
          </cell>
          <cell r="P101">
            <v>810</v>
          </cell>
          <cell r="Q101">
            <v>-0.32000000000000028</v>
          </cell>
          <cell r="R101">
            <v>31</v>
          </cell>
          <cell r="S101">
            <v>206</v>
          </cell>
          <cell r="T101">
            <v>-0.3360000000000003</v>
          </cell>
          <cell r="W101">
            <v>2</v>
          </cell>
          <cell r="X101">
            <v>459</v>
          </cell>
          <cell r="Y101">
            <v>0.28000000000000114</v>
          </cell>
          <cell r="AB101">
            <v>10</v>
          </cell>
          <cell r="AC101">
            <v>-117</v>
          </cell>
          <cell r="AD101">
            <v>0.35200000000000031</v>
          </cell>
          <cell r="AE101">
            <v>0.35200000000000031</v>
          </cell>
          <cell r="AF101">
            <v>266</v>
          </cell>
          <cell r="AG101">
            <v>266</v>
          </cell>
          <cell r="AH101">
            <v>0</v>
          </cell>
          <cell r="AI101">
            <v>0</v>
          </cell>
          <cell r="AJ101">
            <v>127.648</v>
          </cell>
          <cell r="AK101">
            <v>1741</v>
          </cell>
          <cell r="AL101">
            <v>116775.1297878788</v>
          </cell>
          <cell r="AM101">
            <v>43965.116024096387</v>
          </cell>
          <cell r="AN101" t="e">
            <v>#REF!</v>
          </cell>
          <cell r="AP101" t="e">
            <v>#REF!</v>
          </cell>
        </row>
        <row r="102">
          <cell r="F102">
            <v>93</v>
          </cell>
          <cell r="P102">
            <v>0</v>
          </cell>
          <cell r="Q102">
            <v>0</v>
          </cell>
          <cell r="R102">
            <v>0</v>
          </cell>
          <cell r="S102">
            <v>0</v>
          </cell>
          <cell r="T102">
            <v>0</v>
          </cell>
          <cell r="X102">
            <v>0</v>
          </cell>
          <cell r="Y102">
            <v>0</v>
          </cell>
          <cell r="AC102">
            <v>0</v>
          </cell>
          <cell r="AD102">
            <v>0</v>
          </cell>
          <cell r="AE102">
            <v>0</v>
          </cell>
          <cell r="AF102">
            <v>0</v>
          </cell>
          <cell r="AG102">
            <v>0</v>
          </cell>
          <cell r="AH102">
            <v>0</v>
          </cell>
          <cell r="AI102">
            <v>0</v>
          </cell>
          <cell r="AJ102">
            <v>0</v>
          </cell>
          <cell r="AK102">
            <v>93</v>
          </cell>
          <cell r="AN102" t="e">
            <v>#REF!</v>
          </cell>
          <cell r="AP102" t="e">
            <v>#REF!</v>
          </cell>
        </row>
        <row r="103">
          <cell r="F103">
            <v>639</v>
          </cell>
          <cell r="P103">
            <v>1206</v>
          </cell>
          <cell r="Q103">
            <v>0</v>
          </cell>
          <cell r="S103">
            <v>-680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row>
        <row r="104">
          <cell r="F104">
            <v>0</v>
          </cell>
          <cell r="P104">
            <v>800</v>
          </cell>
          <cell r="Q104">
            <v>-0.32000000000000028</v>
          </cell>
          <cell r="R104">
            <v>31</v>
          </cell>
          <cell r="S104">
            <v>0</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row>
        <row r="105">
          <cell r="F105">
            <v>0</v>
          </cell>
          <cell r="P105">
            <v>-0.20800000000000018</v>
          </cell>
          <cell r="Q105">
            <v>234.404</v>
          </cell>
          <cell r="R105">
            <v>154</v>
          </cell>
          <cell r="S105">
            <v>0</v>
          </cell>
          <cell r="T105">
            <v>-0.42800000000000082</v>
          </cell>
          <cell r="W105">
            <v>79</v>
          </cell>
          <cell r="X105">
            <v>0</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row>
        <row r="106">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K106">
            <v>0</v>
          </cell>
          <cell r="AN106" t="e">
            <v>#REF!</v>
          </cell>
          <cell r="AP106" t="e">
            <v>#REF!</v>
          </cell>
        </row>
        <row r="107">
          <cell r="F107">
            <v>0</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0</v>
          </cell>
          <cell r="AN107" t="e">
            <v>#REF!</v>
          </cell>
          <cell r="AP107" t="e">
            <v>#REF!</v>
          </cell>
        </row>
        <row r="108">
          <cell r="F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0</v>
          </cell>
          <cell r="AN108" t="e">
            <v>#REF!</v>
          </cell>
          <cell r="AP108" t="e">
            <v>#REF!</v>
          </cell>
          <cell r="AQ108" t="e">
            <v>#REF!</v>
          </cell>
          <cell r="AR108" t="e">
            <v>#REF!</v>
          </cell>
        </row>
        <row r="109">
          <cell r="F109">
            <v>0</v>
          </cell>
          <cell r="P109">
            <v>0</v>
          </cell>
          <cell r="Q109">
            <v>526.04999999999995</v>
          </cell>
          <cell r="R109">
            <v>800</v>
          </cell>
          <cell r="S109">
            <v>0</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row>
        <row r="110">
          <cell r="F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0</v>
          </cell>
          <cell r="AN110" t="e">
            <v>#REF!</v>
          </cell>
          <cell r="AP110" t="e">
            <v>#REF!</v>
          </cell>
          <cell r="AQ110">
            <v>0</v>
          </cell>
          <cell r="AR110">
            <v>0</v>
          </cell>
        </row>
        <row r="111">
          <cell r="F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0</v>
          </cell>
          <cell r="AN111" t="e">
            <v>#REF!</v>
          </cell>
          <cell r="AP111" t="e">
            <v>#REF!</v>
          </cell>
        </row>
        <row r="112">
          <cell r="F112">
            <v>0</v>
          </cell>
          <cell r="P112">
            <v>0</v>
          </cell>
          <cell r="Q112">
            <v>0</v>
          </cell>
          <cell r="R112">
            <v>928</v>
          </cell>
          <cell r="S112">
            <v>0</v>
          </cell>
          <cell r="T112">
            <v>0</v>
          </cell>
          <cell r="W112">
            <v>366</v>
          </cell>
          <cell r="X112">
            <v>0</v>
          </cell>
          <cell r="Y112">
            <v>0</v>
          </cell>
          <cell r="AB112">
            <v>251</v>
          </cell>
          <cell r="AC112">
            <v>0</v>
          </cell>
          <cell r="AD112">
            <v>0</v>
          </cell>
          <cell r="AE112">
            <v>0</v>
          </cell>
          <cell r="AF112">
            <v>0</v>
          </cell>
          <cell r="AG112">
            <v>0</v>
          </cell>
          <cell r="AH112">
            <v>0</v>
          </cell>
          <cell r="AI112">
            <v>0</v>
          </cell>
          <cell r="AJ112">
            <v>535</v>
          </cell>
          <cell r="AK112">
            <v>0</v>
          </cell>
          <cell r="AN112" t="e">
            <v>#REF!</v>
          </cell>
          <cell r="AP112" t="e">
            <v>#REF!</v>
          </cell>
        </row>
        <row r="113">
          <cell r="F113">
            <v>0</v>
          </cell>
          <cell r="P113">
            <v>0</v>
          </cell>
          <cell r="Q113">
            <v>0</v>
          </cell>
          <cell r="R113">
            <v>8</v>
          </cell>
          <cell r="S113">
            <v>0</v>
          </cell>
          <cell r="T113">
            <v>0</v>
          </cell>
          <cell r="W113">
            <v>57</v>
          </cell>
          <cell r="X113">
            <v>0</v>
          </cell>
          <cell r="Y113">
            <v>0</v>
          </cell>
          <cell r="AB113">
            <v>7</v>
          </cell>
          <cell r="AC113">
            <v>0</v>
          </cell>
          <cell r="AD113">
            <v>0</v>
          </cell>
          <cell r="AE113">
            <v>0</v>
          </cell>
          <cell r="AF113">
            <v>0</v>
          </cell>
          <cell r="AG113">
            <v>0</v>
          </cell>
          <cell r="AH113">
            <v>0</v>
          </cell>
          <cell r="AI113">
            <v>0</v>
          </cell>
          <cell r="AJ113">
            <v>0</v>
          </cell>
          <cell r="AK113">
            <v>0</v>
          </cell>
          <cell r="AN113">
            <v>19</v>
          </cell>
          <cell r="AP113">
            <v>21</v>
          </cell>
        </row>
        <row r="114">
          <cell r="F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0</v>
          </cell>
          <cell r="AM114">
            <v>0</v>
          </cell>
          <cell r="AN114" t="e">
            <v>#REF!</v>
          </cell>
          <cell r="AP114" t="e">
            <v>#REF!</v>
          </cell>
        </row>
        <row r="115">
          <cell r="F115">
            <v>0</v>
          </cell>
          <cell r="P115">
            <v>0</v>
          </cell>
          <cell r="S115">
            <v>0</v>
          </cell>
          <cell r="X115">
            <v>0</v>
          </cell>
          <cell r="AC115">
            <v>0</v>
          </cell>
          <cell r="AF115">
            <v>0</v>
          </cell>
          <cell r="AG115">
            <v>0</v>
          </cell>
          <cell r="AH115">
            <v>0</v>
          </cell>
          <cell r="AI115">
            <v>0</v>
          </cell>
          <cell r="AJ115">
            <v>0</v>
          </cell>
          <cell r="AK115">
            <v>0</v>
          </cell>
          <cell r="AM115">
            <v>0</v>
          </cell>
          <cell r="AP115">
            <v>0</v>
          </cell>
        </row>
        <row r="116">
          <cell r="F116">
            <v>0</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row>
        <row r="117">
          <cell r="F117">
            <v>0</v>
          </cell>
          <cell r="P117">
            <v>0</v>
          </cell>
          <cell r="S117">
            <v>0</v>
          </cell>
          <cell r="AC117">
            <v>0</v>
          </cell>
          <cell r="AG117">
            <v>0</v>
          </cell>
          <cell r="AH117">
            <v>0</v>
          </cell>
          <cell r="AK117">
            <v>0</v>
          </cell>
          <cell r="AL117">
            <v>0</v>
          </cell>
          <cell r="AM117">
            <v>0</v>
          </cell>
        </row>
        <row r="118">
          <cell r="F118">
            <v>0</v>
          </cell>
          <cell r="P118">
            <v>0</v>
          </cell>
          <cell r="S118">
            <v>0</v>
          </cell>
          <cell r="AC118">
            <v>0</v>
          </cell>
          <cell r="AF118">
            <v>0</v>
          </cell>
          <cell r="AG118">
            <v>0</v>
          </cell>
          <cell r="AH118">
            <v>0</v>
          </cell>
          <cell r="AK118">
            <v>0</v>
          </cell>
          <cell r="AL118">
            <v>0</v>
          </cell>
          <cell r="AM118">
            <v>0</v>
          </cell>
        </row>
        <row r="119">
          <cell r="F119">
            <v>0</v>
          </cell>
          <cell r="P119">
            <v>0</v>
          </cell>
          <cell r="S119">
            <v>0</v>
          </cell>
          <cell r="X119">
            <v>0</v>
          </cell>
          <cell r="AC119">
            <v>0</v>
          </cell>
          <cell r="AF119">
            <v>0</v>
          </cell>
          <cell r="AG119">
            <v>0</v>
          </cell>
          <cell r="AH119">
            <v>0</v>
          </cell>
          <cell r="AK119">
            <v>0</v>
          </cell>
        </row>
        <row r="120">
          <cell r="F120">
            <v>0</v>
          </cell>
          <cell r="P120">
            <v>0</v>
          </cell>
          <cell r="S120">
            <v>0</v>
          </cell>
          <cell r="X120">
            <v>0</v>
          </cell>
          <cell r="AC120">
            <v>0</v>
          </cell>
          <cell r="AE120" t="e">
            <v>#REF!</v>
          </cell>
          <cell r="AF120">
            <v>0</v>
          </cell>
          <cell r="AG120">
            <v>0</v>
          </cell>
          <cell r="AH120">
            <v>0</v>
          </cell>
          <cell r="AI120">
            <v>0</v>
          </cell>
          <cell r="AJ120">
            <v>0</v>
          </cell>
          <cell r="AK120">
            <v>0</v>
          </cell>
          <cell r="AN120" t="e">
            <v>#REF!</v>
          </cell>
          <cell r="AP120">
            <v>36465</v>
          </cell>
          <cell r="AQ120" t="e">
            <v>#REF!</v>
          </cell>
        </row>
        <row r="121">
          <cell r="F121">
            <v>100</v>
          </cell>
          <cell r="P121">
            <v>0</v>
          </cell>
          <cell r="S121">
            <v>0</v>
          </cell>
          <cell r="X121">
            <v>0</v>
          </cell>
          <cell r="AC121">
            <v>0</v>
          </cell>
          <cell r="AF121">
            <v>0</v>
          </cell>
          <cell r="AG121">
            <v>0</v>
          </cell>
          <cell r="AH121">
            <v>0</v>
          </cell>
          <cell r="AJ121">
            <v>0</v>
          </cell>
          <cell r="AK121">
            <v>0</v>
          </cell>
          <cell r="AN121" t="e">
            <v>#REF!</v>
          </cell>
          <cell r="AP121" t="e">
            <v>#REF!</v>
          </cell>
        </row>
        <row r="122">
          <cell r="F122">
            <v>100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100</v>
          </cell>
          <cell r="AN122" t="e">
            <v>#REF!</v>
          </cell>
          <cell r="AP122" t="e">
            <v>#REF!</v>
          </cell>
        </row>
        <row r="123">
          <cell r="F123">
            <v>3480</v>
          </cell>
          <cell r="P123">
            <v>-0.40000000000000036</v>
          </cell>
          <cell r="Q123">
            <v>0</v>
          </cell>
          <cell r="S123">
            <v>0</v>
          </cell>
          <cell r="T123">
            <v>-0.76400000000000112</v>
          </cell>
          <cell r="U123">
            <v>0</v>
          </cell>
          <cell r="V123">
            <v>0</v>
          </cell>
          <cell r="X123">
            <v>0</v>
          </cell>
          <cell r="Y123">
            <v>0.34799999999999898</v>
          </cell>
          <cell r="Z123">
            <v>0</v>
          </cell>
          <cell r="AA123">
            <v>0</v>
          </cell>
          <cell r="AC123">
            <v>-0.34799999999999898</v>
          </cell>
          <cell r="AF123">
            <v>0</v>
          </cell>
          <cell r="AJ123">
            <v>0</v>
          </cell>
          <cell r="AK123">
            <v>0</v>
          </cell>
          <cell r="AN123" t="e">
            <v>#REF!</v>
          </cell>
          <cell r="AP123" t="e">
            <v>#REF!</v>
          </cell>
        </row>
        <row r="124">
          <cell r="F124">
            <v>3480</v>
          </cell>
          <cell r="P124">
            <v>0</v>
          </cell>
          <cell r="X124">
            <v>0</v>
          </cell>
          <cell r="AC124">
            <v>0</v>
          </cell>
          <cell r="AJ124">
            <v>0</v>
          </cell>
          <cell r="AK124">
            <v>3480</v>
          </cell>
          <cell r="AL124">
            <v>396.87424242423458</v>
          </cell>
          <cell r="AP124" t="e">
            <v>#REF!</v>
          </cell>
        </row>
        <row r="125">
          <cell r="F125">
            <v>0</v>
          </cell>
          <cell r="P125">
            <v>0</v>
          </cell>
          <cell r="X125">
            <v>0</v>
          </cell>
          <cell r="AC125">
            <v>0</v>
          </cell>
          <cell r="AJ125">
            <v>0</v>
          </cell>
          <cell r="AK125">
            <v>0</v>
          </cell>
          <cell r="AL125">
            <v>-8132.8846363636376</v>
          </cell>
          <cell r="AP125" t="e">
            <v>#REF!</v>
          </cell>
        </row>
        <row r="126">
          <cell r="F126">
            <v>4527</v>
          </cell>
          <cell r="G126">
            <v>0</v>
          </cell>
          <cell r="H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0</v>
          </cell>
          <cell r="AL126">
            <v>13247.384148484838</v>
          </cell>
          <cell r="AO126">
            <v>0</v>
          </cell>
          <cell r="AP126" t="e">
            <v>#REF!</v>
          </cell>
          <cell r="AQ126" t="e">
            <v>#REF!</v>
          </cell>
          <cell r="AR126" t="e">
            <v>#REF!</v>
          </cell>
        </row>
        <row r="127">
          <cell r="F127">
            <v>0</v>
          </cell>
          <cell r="G127">
            <v>0</v>
          </cell>
          <cell r="H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L128">
            <v>5340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cell r="AL129">
            <v>9106</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16827.384148484838</v>
          </cell>
          <cell r="AL131">
            <v>9186.0424182431379</v>
          </cell>
          <cell r="AM131">
            <v>-16555.413327334049</v>
          </cell>
          <cell r="AP131" t="e">
            <v>#REF!</v>
          </cell>
          <cell r="AR131" t="e">
            <v>#REF!</v>
          </cell>
        </row>
        <row r="132">
          <cell r="P132">
            <v>0</v>
          </cell>
          <cell r="X132">
            <v>0</v>
          </cell>
          <cell r="AC132">
            <v>0</v>
          </cell>
          <cell r="AJ132">
            <v>0</v>
          </cell>
          <cell r="AK132">
            <v>24039.120212121197</v>
          </cell>
          <cell r="AL132">
            <v>13754.883975903613</v>
          </cell>
          <cell r="AM132">
            <v>9418.9862362175918</v>
          </cell>
          <cell r="AO132">
            <v>0</v>
          </cell>
          <cell r="AP132" t="e">
            <v>#REF!</v>
          </cell>
        </row>
        <row r="133">
          <cell r="P133">
            <v>0</v>
          </cell>
          <cell r="X133">
            <v>0</v>
          </cell>
          <cell r="AC133">
            <v>0</v>
          </cell>
          <cell r="AJ133">
            <v>0</v>
          </cell>
          <cell r="AK133">
            <v>-1951.236272727273</v>
          </cell>
          <cell r="AO133">
            <v>0</v>
          </cell>
          <cell r="AP133" t="e">
            <v>#REF!</v>
          </cell>
        </row>
        <row r="134">
          <cell r="P134">
            <v>0</v>
          </cell>
          <cell r="X134">
            <v>0</v>
          </cell>
          <cell r="AC134">
            <v>0</v>
          </cell>
          <cell r="AJ134">
            <v>0</v>
          </cell>
          <cell r="AK134">
            <v>7211.7360636363592</v>
          </cell>
          <cell r="AO134">
            <v>0</v>
          </cell>
          <cell r="AP134" t="e">
            <v>#REF!</v>
          </cell>
        </row>
        <row r="135">
          <cell r="P135">
            <v>0</v>
          </cell>
          <cell r="X135">
            <v>0</v>
          </cell>
          <cell r="AC135">
            <v>0</v>
          </cell>
          <cell r="AJ135">
            <v>0</v>
          </cell>
          <cell r="AK135">
            <v>58108</v>
          </cell>
          <cell r="AM135">
            <v>58108</v>
          </cell>
          <cell r="AO135">
            <v>0</v>
          </cell>
          <cell r="AP135">
            <v>0</v>
          </cell>
          <cell r="AQ135">
            <v>0</v>
          </cell>
        </row>
        <row r="136">
          <cell r="P136">
            <v>0</v>
          </cell>
          <cell r="X136">
            <v>0</v>
          </cell>
          <cell r="AC136">
            <v>0</v>
          </cell>
          <cell r="AJ136">
            <v>0</v>
          </cell>
          <cell r="AK136">
            <v>-5132.2365200943386</v>
          </cell>
          <cell r="AM136">
            <v>28333</v>
          </cell>
          <cell r="AO136">
            <v>0</v>
          </cell>
          <cell r="AQ136">
            <v>0</v>
          </cell>
        </row>
        <row r="137">
          <cell r="P137">
            <v>0</v>
          </cell>
          <cell r="X137">
            <v>0</v>
          </cell>
          <cell r="AC137">
            <v>0</v>
          </cell>
          <cell r="AJ137">
            <v>0</v>
          </cell>
          <cell r="AK137">
            <v>82229</v>
          </cell>
          <cell r="AM137">
            <v>82229</v>
          </cell>
          <cell r="AO137">
            <v>0</v>
          </cell>
          <cell r="AP137">
            <v>36.19</v>
          </cell>
          <cell r="AQ137">
            <v>0</v>
          </cell>
        </row>
        <row r="138">
          <cell r="P138">
            <v>0</v>
          </cell>
          <cell r="X138">
            <v>0</v>
          </cell>
          <cell r="AC138">
            <v>0</v>
          </cell>
          <cell r="AJ138">
            <v>0</v>
          </cell>
          <cell r="AK138">
            <v>9418.9862362175918</v>
          </cell>
          <cell r="AO138">
            <v>0</v>
          </cell>
        </row>
        <row r="139">
          <cell r="P139">
            <v>0</v>
          </cell>
          <cell r="X139">
            <v>0</v>
          </cell>
          <cell r="AC139">
            <v>0</v>
          </cell>
          <cell r="AJ139">
            <v>0</v>
          </cell>
          <cell r="AK139">
            <v>52.04</v>
          </cell>
          <cell r="AN139">
            <v>0</v>
          </cell>
          <cell r="AO139" t="e">
            <v>#DIV/0!</v>
          </cell>
          <cell r="AP139" t="e">
            <v>#REF!</v>
          </cell>
        </row>
        <row r="140">
          <cell r="P140">
            <v>0</v>
          </cell>
          <cell r="X140">
            <v>0</v>
          </cell>
          <cell r="AC140">
            <v>0</v>
          </cell>
          <cell r="AJ140">
            <v>0</v>
          </cell>
          <cell r="AK140">
            <v>46.08</v>
          </cell>
          <cell r="AO140" t="e">
            <v>#DIV/0!</v>
          </cell>
          <cell r="AP140">
            <v>180931</v>
          </cell>
          <cell r="AQ140">
            <v>180931</v>
          </cell>
        </row>
        <row r="141">
          <cell r="P141">
            <v>0</v>
          </cell>
          <cell r="X141">
            <v>0</v>
          </cell>
          <cell r="AC141">
            <v>0</v>
          </cell>
          <cell r="AJ141">
            <v>0</v>
          </cell>
          <cell r="AK141">
            <v>0</v>
          </cell>
          <cell r="AO141">
            <v>0</v>
          </cell>
        </row>
        <row r="142">
          <cell r="P142">
            <v>0</v>
          </cell>
          <cell r="X142">
            <v>0</v>
          </cell>
          <cell r="AC142">
            <v>0</v>
          </cell>
          <cell r="AJ142">
            <v>0</v>
          </cell>
          <cell r="AK142">
            <v>12.49</v>
          </cell>
          <cell r="AN142">
            <v>0</v>
          </cell>
          <cell r="AO142" t="e">
            <v>#DIV/0!</v>
          </cell>
          <cell r="AP142">
            <v>0</v>
          </cell>
        </row>
        <row r="143">
          <cell r="P143">
            <v>0</v>
          </cell>
          <cell r="Q143">
            <v>0</v>
          </cell>
          <cell r="X143">
            <v>0</v>
          </cell>
          <cell r="AC143">
            <v>0</v>
          </cell>
          <cell r="AJ143">
            <v>0</v>
          </cell>
          <cell r="AK143">
            <v>14.59</v>
          </cell>
          <cell r="AO143" t="e">
            <v>#DIV/0!</v>
          </cell>
          <cell r="AP143">
            <v>2601</v>
          </cell>
        </row>
        <row r="144">
          <cell r="P144">
            <v>0</v>
          </cell>
          <cell r="X144">
            <v>0</v>
          </cell>
          <cell r="AC144">
            <v>0</v>
          </cell>
          <cell r="AJ144">
            <v>0</v>
          </cell>
          <cell r="AK144">
            <v>56960</v>
          </cell>
          <cell r="AL144">
            <v>56960</v>
          </cell>
          <cell r="AN144">
            <v>0</v>
          </cell>
          <cell r="AO144" t="e">
            <v>#DIV/0!</v>
          </cell>
          <cell r="AP144" t="e">
            <v>#REF!</v>
          </cell>
          <cell r="AQ144">
            <v>180931</v>
          </cell>
          <cell r="AR144" t="e">
            <v>#REF!</v>
          </cell>
        </row>
        <row r="145">
          <cell r="P145">
            <v>0</v>
          </cell>
          <cell r="X145">
            <v>0</v>
          </cell>
          <cell r="AC145">
            <v>0</v>
          </cell>
          <cell r="AJ145">
            <v>0</v>
          </cell>
          <cell r="AK145">
            <v>11.11</v>
          </cell>
          <cell r="AL145">
            <v>49395</v>
          </cell>
          <cell r="AO145" t="e">
            <v>#DIV/0!</v>
          </cell>
          <cell r="AP145">
            <v>0</v>
          </cell>
        </row>
        <row r="146">
          <cell r="P146">
            <v>0</v>
          </cell>
          <cell r="X146">
            <v>0</v>
          </cell>
          <cell r="AC146">
            <v>0</v>
          </cell>
          <cell r="AJ146">
            <v>0</v>
          </cell>
          <cell r="AK146">
            <v>57720</v>
          </cell>
          <cell r="AL146">
            <v>57720</v>
          </cell>
          <cell r="AP146" t="e">
            <v>#REF!</v>
          </cell>
          <cell r="AQ146">
            <v>180931</v>
          </cell>
          <cell r="AR146" t="e">
            <v>#REF!</v>
          </cell>
        </row>
        <row r="147">
          <cell r="P147">
            <v>0</v>
          </cell>
          <cell r="X147">
            <v>0</v>
          </cell>
          <cell r="AC147">
            <v>0</v>
          </cell>
          <cell r="AJ147">
            <v>0</v>
          </cell>
          <cell r="AK147">
            <v>5857.1428571428578</v>
          </cell>
          <cell r="AL147">
            <v>-46268.907419299605</v>
          </cell>
          <cell r="AM147">
            <v>-63240.236520094339</v>
          </cell>
        </row>
        <row r="148">
          <cell r="P148">
            <v>0</v>
          </cell>
          <cell r="S148">
            <v>0</v>
          </cell>
          <cell r="X148">
            <v>0</v>
          </cell>
          <cell r="AC148">
            <v>0</v>
          </cell>
          <cell r="AJ148">
            <v>300</v>
          </cell>
          <cell r="AK148">
            <v>865.25</v>
          </cell>
          <cell r="AL148">
            <v>-40208.957581756862</v>
          </cell>
          <cell r="AM148">
            <v>-44888.413327334049</v>
          </cell>
          <cell r="AP148" t="e">
            <v>#REF!</v>
          </cell>
          <cell r="AQ148" t="e">
            <v>#REF!</v>
          </cell>
          <cell r="AR148" t="e">
            <v>#REF!</v>
          </cell>
        </row>
        <row r="149">
          <cell r="P149">
            <v>0</v>
          </cell>
          <cell r="S149">
            <v>0</v>
          </cell>
          <cell r="X149">
            <v>0</v>
          </cell>
          <cell r="AC149">
            <v>0</v>
          </cell>
          <cell r="AJ149">
            <v>0</v>
          </cell>
          <cell r="AK149">
            <v>5114.2857142857147</v>
          </cell>
          <cell r="AL149">
            <v>-43965.116024096387</v>
          </cell>
          <cell r="AM149">
            <v>-72810.013763782408</v>
          </cell>
        </row>
        <row r="150">
          <cell r="P150">
            <v>0</v>
          </cell>
          <cell r="Q150">
            <v>0</v>
          </cell>
          <cell r="S150">
            <v>0</v>
          </cell>
          <cell r="T150">
            <v>0</v>
          </cell>
          <cell r="X150">
            <v>0</v>
          </cell>
          <cell r="Y150">
            <v>0</v>
          </cell>
          <cell r="AC150">
            <v>0</v>
          </cell>
          <cell r="AJ150">
            <v>0</v>
          </cell>
          <cell r="AK150">
            <v>865.25</v>
          </cell>
          <cell r="AL150">
            <v>56960</v>
          </cell>
          <cell r="AM150">
            <v>58108</v>
          </cell>
          <cell r="AN150">
            <v>0</v>
          </cell>
          <cell r="AO150">
            <v>0</v>
          </cell>
        </row>
        <row r="151">
          <cell r="AJ151">
            <v>0</v>
          </cell>
          <cell r="AK151">
            <v>0</v>
          </cell>
          <cell r="AL151">
            <v>49395</v>
          </cell>
          <cell r="AM151">
            <v>28333</v>
          </cell>
          <cell r="AO151">
            <v>0</v>
          </cell>
        </row>
        <row r="152">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0</v>
          </cell>
          <cell r="AK152">
            <v>139949</v>
          </cell>
          <cell r="AL152">
            <v>57720</v>
          </cell>
          <cell r="AM152">
            <v>82229</v>
          </cell>
          <cell r="AN152">
            <v>197</v>
          </cell>
          <cell r="AO152">
            <v>0</v>
          </cell>
          <cell r="AP152">
            <v>9542.2601818181811</v>
          </cell>
        </row>
        <row r="153">
          <cell r="AK153">
            <v>0</v>
          </cell>
          <cell r="AL153">
            <v>49395</v>
          </cell>
          <cell r="AM153">
            <v>28333</v>
          </cell>
          <cell r="AO153">
            <v>2093</v>
          </cell>
          <cell r="AP153">
            <v>5098</v>
          </cell>
          <cell r="AQ153">
            <v>4891.9653693155615</v>
          </cell>
          <cell r="AR153">
            <v>11328.349456446114</v>
          </cell>
        </row>
        <row r="154">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139949</v>
          </cell>
          <cell r="AL154">
            <v>57720</v>
          </cell>
          <cell r="AM154">
            <v>82229</v>
          </cell>
          <cell r="AN154">
            <v>0</v>
          </cell>
          <cell r="AO154">
            <v>2889</v>
          </cell>
          <cell r="AP154">
            <v>5865</v>
          </cell>
          <cell r="AQ154">
            <v>4320.2514445347797</v>
          </cell>
          <cell r="AR154">
            <v>12672.305468164745</v>
          </cell>
        </row>
        <row r="155">
          <cell r="P155">
            <v>0</v>
          </cell>
          <cell r="Q155">
            <v>0</v>
          </cell>
          <cell r="S155">
            <v>0</v>
          </cell>
          <cell r="T155">
            <v>70</v>
          </cell>
          <cell r="X155">
            <v>-70</v>
          </cell>
          <cell r="Y155">
            <v>24</v>
          </cell>
          <cell r="AC155">
            <v>-24</v>
          </cell>
          <cell r="AJ155">
            <v>0</v>
          </cell>
          <cell r="AK155">
            <v>0</v>
          </cell>
          <cell r="AL155">
            <v>-100</v>
          </cell>
          <cell r="AM155">
            <v>-100</v>
          </cell>
          <cell r="AO155">
            <v>2449</v>
          </cell>
          <cell r="AP155">
            <v>6659</v>
          </cell>
          <cell r="AQ155">
            <v>5344.308649356225</v>
          </cell>
          <cell r="AR155">
            <v>14571.544133725103</v>
          </cell>
        </row>
        <row r="156">
          <cell r="P156">
            <v>0</v>
          </cell>
          <cell r="Q156">
            <v>0</v>
          </cell>
          <cell r="S156">
            <v>0</v>
          </cell>
          <cell r="T156">
            <v>0</v>
          </cell>
          <cell r="X156">
            <v>0</v>
          </cell>
          <cell r="Y156">
            <v>0</v>
          </cell>
          <cell r="AC156">
            <v>0</v>
          </cell>
          <cell r="AJ156">
            <v>0</v>
          </cell>
          <cell r="AK156">
            <v>20.6</v>
          </cell>
          <cell r="AL156">
            <v>31.3</v>
          </cell>
          <cell r="AM156">
            <v>12.9</v>
          </cell>
          <cell r="AP156" t="e">
            <v>#REF!</v>
          </cell>
        </row>
        <row r="157">
          <cell r="P157">
            <v>-681</v>
          </cell>
          <cell r="Q157">
            <v>1041.8333333333333</v>
          </cell>
          <cell r="S157">
            <v>-1041.8333333333333</v>
          </cell>
          <cell r="T157">
            <v>213</v>
          </cell>
          <cell r="X157">
            <v>-213</v>
          </cell>
          <cell r="Y157">
            <v>1171.0035872727274</v>
          </cell>
          <cell r="AC157">
            <v>-1171.0035872727274</v>
          </cell>
          <cell r="AJ157">
            <v>0</v>
          </cell>
          <cell r="AK157">
            <v>4.3796018241005417</v>
          </cell>
          <cell r="AL157">
            <v>-100</v>
          </cell>
          <cell r="AM157">
            <v>-100</v>
          </cell>
          <cell r="AP157" t="e">
            <v>#REF!</v>
          </cell>
        </row>
        <row r="158">
          <cell r="F158">
            <v>0</v>
          </cell>
          <cell r="P158">
            <v>-47</v>
          </cell>
          <cell r="Q158">
            <v>140</v>
          </cell>
          <cell r="S158">
            <v>-140</v>
          </cell>
          <cell r="T158">
            <v>105</v>
          </cell>
          <cell r="X158">
            <v>-105</v>
          </cell>
          <cell r="Y158">
            <v>190</v>
          </cell>
          <cell r="AC158">
            <v>-190</v>
          </cell>
          <cell r="AJ158">
            <v>0</v>
          </cell>
          <cell r="AK158">
            <v>0</v>
          </cell>
          <cell r="AL158">
            <v>0</v>
          </cell>
          <cell r="AM158">
            <v>0</v>
          </cell>
          <cell r="AP158" t="e">
            <v>#REF!</v>
          </cell>
        </row>
        <row r="159">
          <cell r="F159">
            <v>320</v>
          </cell>
          <cell r="P159">
            <v>-1248.5</v>
          </cell>
          <cell r="Q159">
            <v>140</v>
          </cell>
          <cell r="S159">
            <v>-140</v>
          </cell>
          <cell r="T159" t="str">
            <v xml:space="preserve">                   КОРИГУВАННЯ   ПЛАНУ   НА   СЕРПЕНЬ  1998 р</v>
          </cell>
          <cell r="X159" t="e">
            <v>#VALUE!</v>
          </cell>
          <cell r="Y159">
            <v>1006.7</v>
          </cell>
          <cell r="AC159">
            <v>-1006.7</v>
          </cell>
          <cell r="AF159">
            <v>312.8</v>
          </cell>
          <cell r="AG159">
            <v>313</v>
          </cell>
          <cell r="AH159">
            <v>-0.19999999999998863</v>
          </cell>
          <cell r="AJ159">
            <v>0</v>
          </cell>
          <cell r="AK159">
            <v>3951.6000000000004</v>
          </cell>
          <cell r="AP159" t="e">
            <v>#REF!</v>
          </cell>
        </row>
        <row r="160">
          <cell r="F160">
            <v>0</v>
          </cell>
          <cell r="P160">
            <v>0</v>
          </cell>
          <cell r="Q160">
            <v>280</v>
          </cell>
          <cell r="S160">
            <v>0</v>
          </cell>
          <cell r="X160">
            <v>0</v>
          </cell>
          <cell r="Y160">
            <v>1196.7</v>
          </cell>
          <cell r="AC160">
            <v>0</v>
          </cell>
          <cell r="AF160">
            <v>141.6</v>
          </cell>
          <cell r="AG160">
            <v>142</v>
          </cell>
          <cell r="AH160">
            <v>-0.40000000000000568</v>
          </cell>
          <cell r="AJ160">
            <v>142</v>
          </cell>
          <cell r="AK160">
            <v>0</v>
          </cell>
        </row>
        <row r="161">
          <cell r="F161">
            <v>320</v>
          </cell>
          <cell r="P161">
            <v>859</v>
          </cell>
          <cell r="Q161">
            <v>2287.7454545454548</v>
          </cell>
          <cell r="S161">
            <v>1389</v>
          </cell>
          <cell r="X161">
            <v>1415</v>
          </cell>
          <cell r="Y161">
            <v>0</v>
          </cell>
          <cell r="AC161">
            <v>724</v>
          </cell>
          <cell r="AF161">
            <v>1203</v>
          </cell>
          <cell r="AG161">
            <v>530</v>
          </cell>
          <cell r="AH161">
            <v>673</v>
          </cell>
          <cell r="AJ161">
            <v>0</v>
          </cell>
          <cell r="AK161">
            <v>5590</v>
          </cell>
          <cell r="AP161" t="e">
            <v>#REF!</v>
          </cell>
        </row>
        <row r="162">
          <cell r="F162">
            <v>0</v>
          </cell>
          <cell r="P162">
            <v>390</v>
          </cell>
          <cell r="Q162">
            <v>776</v>
          </cell>
          <cell r="S162">
            <v>512</v>
          </cell>
          <cell r="X162">
            <v>2374</v>
          </cell>
          <cell r="Y162" t="e">
            <v>#REF!</v>
          </cell>
          <cell r="AB162">
            <v>9</v>
          </cell>
          <cell r="AC162">
            <v>1081</v>
          </cell>
          <cell r="AF162">
            <v>560</v>
          </cell>
          <cell r="AG162">
            <v>500</v>
          </cell>
          <cell r="AH162">
            <v>60</v>
          </cell>
          <cell r="AJ162">
            <v>0</v>
          </cell>
          <cell r="AK162">
            <v>4357</v>
          </cell>
          <cell r="AP162" t="e">
            <v>#REF!</v>
          </cell>
        </row>
        <row r="163">
          <cell r="F163">
            <v>0</v>
          </cell>
          <cell r="P163">
            <v>226</v>
          </cell>
          <cell r="Q163">
            <v>1739.5839999999998</v>
          </cell>
          <cell r="R163">
            <v>800</v>
          </cell>
          <cell r="S163">
            <v>133</v>
          </cell>
          <cell r="T163">
            <v>176.47000000000003</v>
          </cell>
          <cell r="U163">
            <v>0</v>
          </cell>
          <cell r="V163">
            <v>0</v>
          </cell>
          <cell r="W163">
            <v>0</v>
          </cell>
          <cell r="X163">
            <v>226</v>
          </cell>
          <cell r="Y163">
            <v>225.76000000000002</v>
          </cell>
          <cell r="Z163">
            <v>0</v>
          </cell>
          <cell r="AA163">
            <v>0</v>
          </cell>
          <cell r="AB163">
            <v>432</v>
          </cell>
          <cell r="AC163">
            <v>173</v>
          </cell>
          <cell r="AD163" t="e">
            <v>#REF!</v>
          </cell>
          <cell r="AE163">
            <v>1009.45</v>
          </cell>
          <cell r="AF163">
            <v>90</v>
          </cell>
          <cell r="AG163">
            <v>90</v>
          </cell>
          <cell r="AH163">
            <v>0</v>
          </cell>
          <cell r="AI163">
            <v>0</v>
          </cell>
          <cell r="AJ163" t="e">
            <v>#REF!</v>
          </cell>
          <cell r="AK163">
            <v>848</v>
          </cell>
          <cell r="AL163">
            <v>0</v>
          </cell>
          <cell r="AM163">
            <v>0</v>
          </cell>
          <cell r="AN163" t="e">
            <v>#REF!</v>
          </cell>
          <cell r="AO163">
            <v>1616</v>
          </cell>
          <cell r="AP163" t="e">
            <v>#REF!</v>
          </cell>
        </row>
        <row r="164">
          <cell r="F164">
            <v>14.170833333333334</v>
          </cell>
          <cell r="P164">
            <v>120</v>
          </cell>
          <cell r="Q164">
            <v>-0.23600000000000065</v>
          </cell>
          <cell r="R164">
            <v>154</v>
          </cell>
          <cell r="S164">
            <v>94</v>
          </cell>
          <cell r="T164">
            <v>-0.42800000000000082</v>
          </cell>
          <cell r="U164">
            <v>0</v>
          </cell>
          <cell r="V164">
            <v>0</v>
          </cell>
          <cell r="W164">
            <v>79</v>
          </cell>
          <cell r="X164">
            <v>131</v>
          </cell>
          <cell r="Y164">
            <v>6.799999999999784E-2</v>
          </cell>
          <cell r="Z164">
            <v>0</v>
          </cell>
          <cell r="AA164">
            <v>0</v>
          </cell>
          <cell r="AB164">
            <v>9</v>
          </cell>
          <cell r="AC164">
            <v>83</v>
          </cell>
          <cell r="AD164">
            <v>0.28399999999999892</v>
          </cell>
          <cell r="AE164">
            <v>0.28399999999999892</v>
          </cell>
          <cell r="AF164">
            <v>80</v>
          </cell>
          <cell r="AG164">
            <v>80</v>
          </cell>
          <cell r="AH164">
            <v>30</v>
          </cell>
          <cell r="AI164">
            <v>0</v>
          </cell>
          <cell r="AJ164">
            <v>29.716000000000001</v>
          </cell>
          <cell r="AK164">
            <v>428</v>
          </cell>
          <cell r="AL164">
            <v>0</v>
          </cell>
          <cell r="AM164">
            <v>0</v>
          </cell>
          <cell r="AN164" t="e">
            <v>#REF!</v>
          </cell>
          <cell r="AO164">
            <v>0</v>
          </cell>
          <cell r="AP164" t="e">
            <v>#REF!</v>
          </cell>
        </row>
        <row r="165">
          <cell r="F165">
            <v>14.170833333333334</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row>
        <row r="166">
          <cell r="F166">
            <v>14.170833333333334</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14.170833333333334</v>
          </cell>
          <cell r="AL166">
            <v>0</v>
          </cell>
          <cell r="AM166">
            <v>0</v>
          </cell>
          <cell r="AN166">
            <v>19</v>
          </cell>
          <cell r="AO166">
            <v>0</v>
          </cell>
          <cell r="AP166">
            <v>2846.5333333333333</v>
          </cell>
        </row>
        <row r="167">
          <cell r="F167">
            <v>260</v>
          </cell>
          <cell r="P167">
            <v>450</v>
          </cell>
          <cell r="Q167">
            <v>13559.514000000001</v>
          </cell>
          <cell r="S167">
            <v>688.5</v>
          </cell>
          <cell r="T167">
            <v>876.30400000002464</v>
          </cell>
          <cell r="X167">
            <v>416.54545454545456</v>
          </cell>
          <cell r="Y167">
            <v>912.96000000001436</v>
          </cell>
          <cell r="AC167">
            <v>179.90909090909091</v>
          </cell>
          <cell r="AE167">
            <v>-6947.0430909090901</v>
          </cell>
          <cell r="AF167">
            <v>157.90909090909091</v>
          </cell>
          <cell r="AG167">
            <v>157.90909090909091</v>
          </cell>
          <cell r="AH167">
            <v>2561</v>
          </cell>
          <cell r="AK167">
            <v>1734.9545454545455</v>
          </cell>
          <cell r="AN167" t="e">
            <v>#REF!</v>
          </cell>
          <cell r="AP167" t="e">
            <v>#REF!</v>
          </cell>
        </row>
        <row r="168">
          <cell r="F168">
            <v>-60</v>
          </cell>
          <cell r="P168">
            <v>0</v>
          </cell>
          <cell r="S168">
            <v>700.5</v>
          </cell>
          <cell r="X168">
            <v>998.4545454545455</v>
          </cell>
          <cell r="AC168">
            <v>544.09090909090912</v>
          </cell>
          <cell r="AK168">
            <v>2183.0454545454545</v>
          </cell>
        </row>
        <row r="169">
          <cell r="F169">
            <v>60</v>
          </cell>
          <cell r="P169">
            <v>0</v>
          </cell>
          <cell r="S169">
            <v>1389</v>
          </cell>
          <cell r="X169">
            <v>1415</v>
          </cell>
          <cell r="AC169">
            <v>724</v>
          </cell>
          <cell r="AF169">
            <v>0</v>
          </cell>
          <cell r="AG169">
            <v>0</v>
          </cell>
          <cell r="AH169">
            <v>0</v>
          </cell>
          <cell r="AK169">
            <v>0</v>
          </cell>
        </row>
        <row r="170">
          <cell r="F170">
            <v>60</v>
          </cell>
          <cell r="G170">
            <v>0</v>
          </cell>
          <cell r="H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454</v>
          </cell>
          <cell r="AG170">
            <v>461</v>
          </cell>
          <cell r="AH170">
            <v>0</v>
          </cell>
          <cell r="AJ170">
            <v>0</v>
          </cell>
          <cell r="AK170">
            <v>60</v>
          </cell>
        </row>
        <row r="171">
          <cell r="F171">
            <v>427</v>
          </cell>
          <cell r="G171">
            <v>0</v>
          </cell>
          <cell r="H171">
            <v>0</v>
          </cell>
          <cell r="P171">
            <v>1736</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J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Q174" t="str">
            <v>КТМ</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cell r="AN174" t="str">
            <v>ДОП.ВИР. СТ.ОРГ.</v>
          </cell>
          <cell r="AP174" t="str">
            <v>АК КЕ ВСЬОГО</v>
          </cell>
          <cell r="AQ174" t="str">
            <v>Е/Е</v>
          </cell>
          <cell r="AR174" t="str">
            <v xml:space="preserve"> Т/Е</v>
          </cell>
        </row>
        <row r="175">
          <cell r="F175">
            <v>0</v>
          </cell>
          <cell r="Q175">
            <v>1.895</v>
          </cell>
          <cell r="U175">
            <v>1.895</v>
          </cell>
          <cell r="V175">
            <v>1.895</v>
          </cell>
          <cell r="Y175">
            <v>1.895</v>
          </cell>
          <cell r="Z175">
            <v>1.895</v>
          </cell>
          <cell r="AA175">
            <v>1.895</v>
          </cell>
          <cell r="AG175">
            <v>0</v>
          </cell>
          <cell r="AK175">
            <v>0</v>
          </cell>
          <cell r="AN175">
            <v>1.895</v>
          </cell>
          <cell r="AP175">
            <v>1.895</v>
          </cell>
          <cell r="AQ175">
            <v>1.895</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0</v>
          </cell>
          <cell r="AO176">
            <v>247</v>
          </cell>
          <cell r="AP176">
            <v>610</v>
          </cell>
          <cell r="AQ176">
            <v>920.25</v>
          </cell>
          <cell r="AR176">
            <v>2050.3572727272726</v>
          </cell>
        </row>
        <row r="177">
          <cell r="F177">
            <v>3480</v>
          </cell>
          <cell r="G177">
            <v>0</v>
          </cell>
          <cell r="H177">
            <v>0</v>
          </cell>
          <cell r="P177">
            <v>152</v>
          </cell>
          <cell r="Q177">
            <v>132.19999999999999</v>
          </cell>
          <cell r="R177">
            <v>0</v>
          </cell>
          <cell r="S177">
            <v>428.72727272727275</v>
          </cell>
          <cell r="T177">
            <v>0</v>
          </cell>
          <cell r="U177">
            <v>0</v>
          </cell>
          <cell r="V177">
            <v>0</v>
          </cell>
          <cell r="W177">
            <v>0</v>
          </cell>
          <cell r="X177">
            <v>248.36363636363637</v>
          </cell>
          <cell r="Y177">
            <v>68.7</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J177">
            <v>0</v>
          </cell>
          <cell r="AK177">
            <v>3480</v>
          </cell>
          <cell r="AO177">
            <v>266</v>
          </cell>
          <cell r="AP177">
            <v>200.89999999999998</v>
          </cell>
          <cell r="AQ177">
            <v>907.25</v>
          </cell>
          <cell r="AR177">
            <v>2372.7209090909091</v>
          </cell>
        </row>
        <row r="178">
          <cell r="F178">
            <v>742.3</v>
          </cell>
          <cell r="G178">
            <v>0</v>
          </cell>
          <cell r="H178">
            <v>0</v>
          </cell>
          <cell r="P178">
            <v>962.45</v>
          </cell>
          <cell r="Q178">
            <v>0</v>
          </cell>
          <cell r="R178">
            <v>0</v>
          </cell>
          <cell r="S178">
            <v>2034.72</v>
          </cell>
          <cell r="T178">
            <v>659.81780000000003</v>
          </cell>
          <cell r="U178">
            <v>686.40219999999999</v>
          </cell>
          <cell r="V178">
            <v>0</v>
          </cell>
          <cell r="W178">
            <v>0</v>
          </cell>
          <cell r="X178">
            <v>830.12099999999998</v>
          </cell>
          <cell r="Y178">
            <v>78.3</v>
          </cell>
          <cell r="Z178">
            <v>120.36363636363637</v>
          </cell>
          <cell r="AA178">
            <v>0</v>
          </cell>
          <cell r="AB178">
            <v>0</v>
          </cell>
          <cell r="AC178">
            <v>689.86</v>
          </cell>
          <cell r="AD178">
            <v>73</v>
          </cell>
          <cell r="AE178">
            <v>107.90909090909091</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82.5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Y180">
            <v>156.34</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1">
          <cell r="F181">
            <v>9095</v>
          </cell>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P181">
            <v>31409</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31409</v>
          </cell>
        </row>
        <row r="183">
          <cell r="F183">
            <v>8205</v>
          </cell>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O183" t="str">
            <v>ОЧИК.18.02.</v>
          </cell>
          <cell r="AP183">
            <v>1507.2</v>
          </cell>
        </row>
        <row r="184">
          <cell r="Q184">
            <v>0</v>
          </cell>
          <cell r="U184">
            <v>0</v>
          </cell>
          <cell r="Y184">
            <v>71.3</v>
          </cell>
          <cell r="AO184" t="str">
            <v>ОЧИК.18.02.</v>
          </cell>
          <cell r="AP184">
            <v>71.3</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187.53</v>
          </cell>
          <cell r="S186" t="str">
            <v>КТМ</v>
          </cell>
          <cell r="U186">
            <v>0</v>
          </cell>
          <cell r="X186" t="str">
            <v>ТЕЦ-5 ВСЬОГО</v>
          </cell>
          <cell r="Y186">
            <v>187.53</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v>187.53</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0</v>
          </cell>
          <cell r="S187" t="str">
            <v>КТМ</v>
          </cell>
          <cell r="T187">
            <v>0</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cell r="AP188">
            <v>9770</v>
          </cell>
        </row>
        <row r="189">
          <cell r="Q189">
            <v>150.5</v>
          </cell>
          <cell r="S189">
            <v>116</v>
          </cell>
          <cell r="T189">
            <v>0</v>
          </cell>
          <cell r="U189">
            <v>51.4</v>
          </cell>
          <cell r="V189">
            <v>-51.4</v>
          </cell>
          <cell r="X189">
            <v>133.9</v>
          </cell>
          <cell r="Y189">
            <v>149.6</v>
          </cell>
          <cell r="Z189">
            <v>52.7</v>
          </cell>
          <cell r="AA189">
            <v>96.899999999999991</v>
          </cell>
          <cell r="AC189">
            <v>127.8</v>
          </cell>
          <cell r="AK189">
            <v>377.7</v>
          </cell>
          <cell r="AO189">
            <v>252.49999999999997</v>
          </cell>
          <cell r="AP189">
            <v>300.10000000000002</v>
          </cell>
          <cell r="AQ189">
            <v>104.1</v>
          </cell>
          <cell r="AR189">
            <v>196</v>
          </cell>
        </row>
        <row r="190">
          <cell r="P190">
            <v>0</v>
          </cell>
          <cell r="Q190">
            <v>20668</v>
          </cell>
          <cell r="S190">
            <v>111.8</v>
          </cell>
          <cell r="T190">
            <v>0</v>
          </cell>
          <cell r="U190" t="e">
            <v>#DIV/0!</v>
          </cell>
          <cell r="V190" t="e">
            <v>#DIV/0!</v>
          </cell>
          <cell r="X190">
            <v>133.4</v>
          </cell>
          <cell r="Y190">
            <v>20511</v>
          </cell>
          <cell r="Z190">
            <v>7225</v>
          </cell>
          <cell r="AA190">
            <v>13286</v>
          </cell>
          <cell r="AC190">
            <v>117.3</v>
          </cell>
          <cell r="AK190">
            <v>362.5</v>
          </cell>
          <cell r="AO190">
            <v>221.49122807017542</v>
          </cell>
          <cell r="AP190" t="e">
            <v>#DIV/0!</v>
          </cell>
          <cell r="AQ190" t="e">
            <v>#DIV/0!</v>
          </cell>
          <cell r="AR190" t="e">
            <v>#DIV/0!</v>
          </cell>
        </row>
        <row r="191">
          <cell r="P191">
            <v>0</v>
          </cell>
          <cell r="Q191">
            <v>137.33000000000001</v>
          </cell>
          <cell r="S191">
            <v>128</v>
          </cell>
          <cell r="T191" t="e">
            <v>#DIV/0!</v>
          </cell>
          <cell r="U191" t="e">
            <v>#DIV/0!</v>
          </cell>
          <cell r="V191" t="e">
            <v>#DIV/0!</v>
          </cell>
          <cell r="X191">
            <v>152.69999999999999</v>
          </cell>
          <cell r="Y191">
            <v>137.11000000000001</v>
          </cell>
          <cell r="Z191">
            <v>137.1</v>
          </cell>
          <cell r="AA191">
            <v>137.11000000000001</v>
          </cell>
          <cell r="AC191">
            <v>134.30000000000001</v>
          </cell>
          <cell r="AK191">
            <v>415</v>
          </cell>
          <cell r="AN191" t="str">
            <v/>
          </cell>
          <cell r="AO191">
            <v>252.49999999999997</v>
          </cell>
          <cell r="AP191" t="e">
            <v>#DIV/0!</v>
          </cell>
          <cell r="AQ191" t="e">
            <v>#DIV/0!</v>
          </cell>
          <cell r="AR191" t="e">
            <v>#DIV/0!</v>
          </cell>
        </row>
        <row r="192">
          <cell r="P192">
            <v>0</v>
          </cell>
          <cell r="S192">
            <v>0</v>
          </cell>
          <cell r="X192">
            <v>0</v>
          </cell>
          <cell r="AC192">
            <v>0</v>
          </cell>
          <cell r="AK192">
            <v>63506</v>
          </cell>
          <cell r="AO192">
            <v>66</v>
          </cell>
          <cell r="AP192">
            <v>0</v>
          </cell>
          <cell r="AQ192">
            <v>0</v>
          </cell>
          <cell r="AR192">
            <v>0</v>
          </cell>
        </row>
        <row r="193">
          <cell r="P193">
            <v>0</v>
          </cell>
          <cell r="S193">
            <v>192.5</v>
          </cell>
          <cell r="T193" t="e">
            <v>#DIV/0!</v>
          </cell>
          <cell r="X193">
            <v>192.5</v>
          </cell>
          <cell r="Y193">
            <v>20511</v>
          </cell>
          <cell r="AC193">
            <v>192.5</v>
          </cell>
          <cell r="AK193">
            <v>192.5</v>
          </cell>
          <cell r="AO193">
            <v>0</v>
          </cell>
          <cell r="AP193" t="e">
            <v>#DIV/0!</v>
          </cell>
          <cell r="AQ193" t="e">
            <v>#DIV/0!</v>
          </cell>
          <cell r="AR193" t="e">
            <v>#DIV/0!</v>
          </cell>
        </row>
        <row r="194">
          <cell r="S194">
            <v>21522</v>
          </cell>
          <cell r="X194">
            <v>25680</v>
          </cell>
          <cell r="AC194">
            <v>22580</v>
          </cell>
          <cell r="AK194">
            <v>69781</v>
          </cell>
          <cell r="AO194">
            <v>0</v>
          </cell>
        </row>
        <row r="195">
          <cell r="X195">
            <v>0</v>
          </cell>
          <cell r="AC195">
            <v>0</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S199">
            <v>0</v>
          </cell>
          <cell r="U199">
            <v>306.60000000000002</v>
          </cell>
          <cell r="V199">
            <v>112.8</v>
          </cell>
          <cell r="X199">
            <v>0</v>
          </cell>
          <cell r="Z199">
            <v>301.89999999999998</v>
          </cell>
          <cell r="AA199">
            <v>116.3</v>
          </cell>
          <cell r="AC199">
            <v>0</v>
          </cell>
          <cell r="AK199">
            <v>0</v>
          </cell>
        </row>
        <row r="200">
          <cell r="S200">
            <v>0</v>
          </cell>
          <cell r="U200">
            <v>130.50000000000003</v>
          </cell>
          <cell r="V200">
            <v>-50.8</v>
          </cell>
          <cell r="X200">
            <v>0</v>
          </cell>
          <cell r="Z200">
            <v>105.39999999999998</v>
          </cell>
          <cell r="AA200">
            <v>-47.899999999999991</v>
          </cell>
          <cell r="AC200">
            <v>0</v>
          </cell>
          <cell r="AK200">
            <v>0</v>
          </cell>
          <cell r="AO200">
            <v>75.839416058394164</v>
          </cell>
        </row>
        <row r="201">
          <cell r="U201" t="e">
            <v>#DIV/0!</v>
          </cell>
          <cell r="V201" t="e">
            <v>#DIV/0!</v>
          </cell>
          <cell r="X201">
            <v>5.7</v>
          </cell>
          <cell r="Z201">
            <v>137.1</v>
          </cell>
          <cell r="AA201">
            <v>137.11000000000001</v>
          </cell>
          <cell r="AC201">
            <v>5.9</v>
          </cell>
          <cell r="AD201">
            <v>5</v>
          </cell>
          <cell r="AE201">
            <v>7</v>
          </cell>
          <cell r="AK201">
            <v>11.600000000000001</v>
          </cell>
          <cell r="AO201">
            <v>103.9</v>
          </cell>
        </row>
        <row r="202">
          <cell r="F202">
            <v>75</v>
          </cell>
          <cell r="U202" t="e">
            <v>#DIV/0!</v>
          </cell>
          <cell r="V202" t="e">
            <v>#DIV/0!</v>
          </cell>
          <cell r="X202">
            <v>7</v>
          </cell>
          <cell r="Z202">
            <v>14.450339999999997</v>
          </cell>
          <cell r="AA202">
            <v>-6.5675689999999998</v>
          </cell>
          <cell r="AC202">
            <v>7</v>
          </cell>
          <cell r="AJ202">
            <v>0</v>
          </cell>
          <cell r="AK202">
            <v>0</v>
          </cell>
          <cell r="AO202">
            <v>75.839416058394164</v>
          </cell>
          <cell r="AR202">
            <v>75</v>
          </cell>
        </row>
        <row r="203">
          <cell r="F203">
            <v>75</v>
          </cell>
          <cell r="S203">
            <v>601.41999999999996</v>
          </cell>
          <cell r="U203" t="e">
            <v>#DIV/0!</v>
          </cell>
          <cell r="V203" t="e">
            <v>#DIV/0!</v>
          </cell>
          <cell r="X203">
            <v>601.41999999999996</v>
          </cell>
          <cell r="Z203">
            <v>3874.858670999999</v>
          </cell>
          <cell r="AA203">
            <v>-3874.86571</v>
          </cell>
          <cell r="AC203">
            <v>601.41999999999996</v>
          </cell>
          <cell r="AJ203">
            <v>0</v>
          </cell>
          <cell r="AK203">
            <v>0</v>
          </cell>
          <cell r="AO203">
            <v>103.9</v>
          </cell>
          <cell r="AQ203" t="e">
            <v>#DIV/0!</v>
          </cell>
          <cell r="AR203" t="e">
            <v>#DIV/0!</v>
          </cell>
        </row>
        <row r="204">
          <cell r="F204">
            <v>75</v>
          </cell>
          <cell r="S204">
            <v>0</v>
          </cell>
          <cell r="X204">
            <v>2466</v>
          </cell>
          <cell r="AC204">
            <v>2526</v>
          </cell>
          <cell r="AJ204">
            <v>0</v>
          </cell>
          <cell r="AK204">
            <v>4992</v>
          </cell>
          <cell r="AO204" t="e">
            <v>#DIV/0!</v>
          </cell>
          <cell r="AR204">
            <v>75</v>
          </cell>
        </row>
        <row r="205">
          <cell r="S205">
            <v>675</v>
          </cell>
          <cell r="X205">
            <v>675</v>
          </cell>
          <cell r="AC205">
            <v>601.41999999999996</v>
          </cell>
          <cell r="AK205">
            <v>601.41999999999996</v>
          </cell>
          <cell r="AO205">
            <v>195.28</v>
          </cell>
        </row>
        <row r="206">
          <cell r="S206">
            <v>0</v>
          </cell>
          <cell r="X206">
            <v>0</v>
          </cell>
          <cell r="Y206">
            <v>58</v>
          </cell>
          <cell r="Z206">
            <v>81.600000000000009</v>
          </cell>
          <cell r="AC206">
            <v>0</v>
          </cell>
          <cell r="AD206">
            <v>61.1</v>
          </cell>
          <cell r="AE206">
            <v>72.599999999999994</v>
          </cell>
          <cell r="AK206">
            <v>0</v>
          </cell>
          <cell r="AL206">
            <v>119.1</v>
          </cell>
          <cell r="AM206">
            <v>270.2</v>
          </cell>
          <cell r="AO206">
            <v>14810</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0</v>
          </cell>
          <cell r="AL207">
            <v>23068</v>
          </cell>
          <cell r="AM207">
            <v>45429</v>
          </cell>
          <cell r="AO207">
            <v>14810</v>
          </cell>
          <cell r="AP207">
            <v>3112.427048260382</v>
          </cell>
          <cell r="AQ207">
            <v>11697.572951739618</v>
          </cell>
        </row>
        <row r="208">
          <cell r="S208">
            <v>128</v>
          </cell>
          <cell r="X208">
            <v>152.69999999999999</v>
          </cell>
          <cell r="Y208">
            <v>64.2</v>
          </cell>
          <cell r="Z208">
            <v>88.5</v>
          </cell>
          <cell r="AA208">
            <v>6597</v>
          </cell>
          <cell r="AC208">
            <v>134.30000000000001</v>
          </cell>
          <cell r="AD208">
            <v>54.6</v>
          </cell>
          <cell r="AE208">
            <v>79.7</v>
          </cell>
          <cell r="AJ208" t="str">
            <v/>
          </cell>
          <cell r="AK208">
            <v>415</v>
          </cell>
          <cell r="AL208">
            <v>118.80000000000001</v>
          </cell>
          <cell r="AM208">
            <v>296.2</v>
          </cell>
          <cell r="AO208">
            <v>356.4</v>
          </cell>
          <cell r="AP208">
            <v>74.900000000000006</v>
          </cell>
          <cell r="AQ208">
            <v>281.5</v>
          </cell>
          <cell r="AR208" t="str">
            <v/>
          </cell>
        </row>
        <row r="209">
          <cell r="S209">
            <v>21522</v>
          </cell>
          <cell r="X209">
            <v>25680</v>
          </cell>
          <cell r="Y209">
            <v>10797</v>
          </cell>
          <cell r="Z209">
            <v>14883</v>
          </cell>
          <cell r="AA209">
            <v>14883</v>
          </cell>
          <cell r="AC209">
            <v>22580</v>
          </cell>
          <cell r="AD209">
            <v>9180</v>
          </cell>
          <cell r="AE209">
            <v>13400</v>
          </cell>
          <cell r="AJ209" t="str">
            <v/>
          </cell>
          <cell r="AK209">
            <v>69781</v>
          </cell>
          <cell r="AL209">
            <v>19977</v>
          </cell>
          <cell r="AM209">
            <v>49805</v>
          </cell>
          <cell r="AO209">
            <v>14810</v>
          </cell>
          <cell r="AP209">
            <v>3112.427048260382</v>
          </cell>
          <cell r="AQ209">
            <v>11697.572951739618</v>
          </cell>
          <cell r="AR209" t="str">
            <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X211">
            <v>15982</v>
          </cell>
          <cell r="AC211">
            <v>15481</v>
          </cell>
          <cell r="AK211">
            <v>41877</v>
          </cell>
          <cell r="AL211">
            <v>16729</v>
          </cell>
          <cell r="AM211">
            <v>0</v>
          </cell>
          <cell r="AO211">
            <v>52</v>
          </cell>
          <cell r="AP211">
            <v>52</v>
          </cell>
          <cell r="AQ211">
            <v>11697.572951739618</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G220" t="str">
            <v>Б.В.ЯЩЕНКО</v>
          </cell>
          <cell r="Y220" t="str">
            <v>ГОЛОВА ПРАЛІННЯ АК КЕ</v>
          </cell>
        </row>
        <row r="221">
          <cell r="G221" t="str">
            <v>Б.В.ЯЩЕНКО</v>
          </cell>
          <cell r="Z221" t="str">
            <v>І.В.ПЛАЧКОВ</v>
          </cell>
        </row>
        <row r="222">
          <cell r="G222" t="str">
            <v>М.В.ТЕРПИЛО</v>
          </cell>
        </row>
        <row r="223">
          <cell r="G223" t="str">
            <v xml:space="preserve">В.І.МИРГОРОДСЬКИЙ                                  </v>
          </cell>
        </row>
        <row r="224">
          <cell r="G224" t="str">
            <v xml:space="preserve">М.І.ШЕВЧЕНКО                                 </v>
          </cell>
        </row>
        <row r="225">
          <cell r="G225" t="str">
            <v>В.Ю.МОНТЬЕВ</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row>
        <row r="226">
          <cell r="G226" t="str">
            <v xml:space="preserve">О.М.НИКОЛЕНКО      </v>
          </cell>
        </row>
        <row r="228">
          <cell r="Q228">
            <v>24070.113454545455</v>
          </cell>
          <cell r="T228">
            <v>8491.1123636363882</v>
          </cell>
          <cell r="Y228" t="e">
            <v>#REF!</v>
          </cell>
          <cell r="AN228" t="e">
            <v>#REF!</v>
          </cell>
          <cell r="AP228" t="e">
            <v>#REF!</v>
          </cell>
          <cell r="AQ228" t="e">
            <v>#REF!</v>
          </cell>
        </row>
        <row r="229">
          <cell r="Q229">
            <v>7411.0435151515139</v>
          </cell>
          <cell r="T229">
            <v>3172.257090909115</v>
          </cell>
          <cell r="Y229" t="e">
            <v>#REF!</v>
          </cell>
          <cell r="AP229" t="e">
            <v>#REF!</v>
          </cell>
          <cell r="AQ229" t="e">
            <v>#REF!</v>
          </cell>
        </row>
        <row r="230">
          <cell r="AP230">
            <v>1507.2</v>
          </cell>
        </row>
        <row r="231">
          <cell r="Q231">
            <v>5435.727272727273</v>
          </cell>
          <cell r="T231">
            <v>2142.727272727273</v>
          </cell>
          <cell r="Y231">
            <v>1732.7272727272727</v>
          </cell>
          <cell r="AN231" t="e">
            <v>#REF!</v>
          </cell>
          <cell r="AP231" t="e">
            <v>#REF!</v>
          </cell>
          <cell r="AQ231" t="e">
            <v>#REF!</v>
          </cell>
        </row>
        <row r="232">
          <cell r="Q232">
            <v>1482</v>
          </cell>
          <cell r="T232">
            <v>584</v>
          </cell>
          <cell r="Y232">
            <v>472</v>
          </cell>
          <cell r="AP232" t="e">
            <v>#REF!</v>
          </cell>
          <cell r="AQ232" t="e">
            <v>#REF!</v>
          </cell>
        </row>
        <row r="233">
          <cell r="AQ233" t="e">
            <v>#REF!</v>
          </cell>
        </row>
        <row r="234">
          <cell r="Q234">
            <v>60.8</v>
          </cell>
          <cell r="T234">
            <v>2406.6</v>
          </cell>
          <cell r="Y234">
            <v>38.200000000000003</v>
          </cell>
          <cell r="AP234">
            <v>2505.6</v>
          </cell>
          <cell r="AQ234" t="e">
            <v>#REF!</v>
          </cell>
        </row>
        <row r="235">
          <cell r="Q235">
            <v>0</v>
          </cell>
          <cell r="T235">
            <v>0</v>
          </cell>
          <cell r="Y235">
            <v>0</v>
          </cell>
          <cell r="AP235">
            <v>21</v>
          </cell>
          <cell r="AQ235" t="e">
            <v>#REF!</v>
          </cell>
        </row>
        <row r="236">
          <cell r="Q236">
            <v>526.04999999999995</v>
          </cell>
          <cell r="T236">
            <v>0</v>
          </cell>
          <cell r="Y236">
            <v>0</v>
          </cell>
          <cell r="AP236" t="e">
            <v>#REF!</v>
          </cell>
          <cell r="AQ236" t="e">
            <v>#REF!</v>
          </cell>
        </row>
        <row r="237">
          <cell r="AQ237" t="e">
            <v>#REF!</v>
          </cell>
        </row>
        <row r="238">
          <cell r="Q238">
            <v>1739.5839999999998</v>
          </cell>
          <cell r="T238">
            <v>176.47000000000003</v>
          </cell>
          <cell r="Y238">
            <v>225.76000000000002</v>
          </cell>
          <cell r="AP238" t="e">
            <v>#REF!</v>
          </cell>
          <cell r="AQ238" t="e">
            <v>#REF!</v>
          </cell>
        </row>
        <row r="239">
          <cell r="Q239">
            <v>0</v>
          </cell>
          <cell r="T239">
            <v>0</v>
          </cell>
          <cell r="Y239">
            <v>0</v>
          </cell>
          <cell r="AP239">
            <v>0</v>
          </cell>
          <cell r="AQ239" t="e">
            <v>#REF!</v>
          </cell>
        </row>
        <row r="240">
          <cell r="AQ240" t="e">
            <v>#REF!</v>
          </cell>
        </row>
        <row r="241">
          <cell r="Q241">
            <v>776</v>
          </cell>
          <cell r="T241">
            <v>0</v>
          </cell>
          <cell r="Y241" t="e">
            <v>#REF!</v>
          </cell>
          <cell r="AP241" t="e">
            <v>#REF!</v>
          </cell>
          <cell r="AQ241" t="e">
            <v>#REF!</v>
          </cell>
        </row>
        <row r="242">
          <cell r="AQ242" t="e">
            <v>#REF!</v>
          </cell>
        </row>
        <row r="243">
          <cell r="AQ243" t="e">
            <v>#REF!</v>
          </cell>
        </row>
        <row r="244">
          <cell r="Q244">
            <v>1473.1853333333333</v>
          </cell>
          <cell r="T244">
            <v>145.25866666666667</v>
          </cell>
          <cell r="Y244">
            <v>100.22533333333334</v>
          </cell>
          <cell r="AG244" t="str">
            <v xml:space="preserve">         Затверджую</v>
          </cell>
          <cell r="AP244">
            <v>2344.551833476</v>
          </cell>
          <cell r="AQ244" t="e">
            <v>#REF!</v>
          </cell>
        </row>
        <row r="245">
          <cell r="Q245">
            <v>113.33333333333334</v>
          </cell>
          <cell r="T245">
            <v>48.626666666666665</v>
          </cell>
          <cell r="Y245">
            <v>65.784000000000006</v>
          </cell>
          <cell r="AG245" t="str">
            <v xml:space="preserve">         Затверджую</v>
          </cell>
          <cell r="AP245">
            <v>276.34120823549074</v>
          </cell>
          <cell r="AQ245" t="e">
            <v>#REF!</v>
          </cell>
        </row>
        <row r="246">
          <cell r="AG246" t="str">
            <v xml:space="preserve"> Голова правління </v>
          </cell>
          <cell r="AQ246" t="e">
            <v>#REF!</v>
          </cell>
        </row>
        <row r="247">
          <cell r="Q247">
            <v>0</v>
          </cell>
          <cell r="T247">
            <v>95.642666666666656</v>
          </cell>
          <cell r="Y247">
            <v>206.52799999999999</v>
          </cell>
          <cell r="AG247" t="str">
            <v xml:space="preserve">                        І.В.Плачков</v>
          </cell>
          <cell r="AP247">
            <v>302.17066666666665</v>
          </cell>
          <cell r="AQ247" t="e">
            <v>#REF!</v>
          </cell>
        </row>
        <row r="248">
          <cell r="Q248">
            <v>9035.0240000000013</v>
          </cell>
          <cell r="T248">
            <v>0</v>
          </cell>
          <cell r="Y248">
            <v>0</v>
          </cell>
          <cell r="AG248" t="str">
            <v xml:space="preserve">   "_____" ________2000 р.</v>
          </cell>
          <cell r="AP248">
            <v>10205.432000000003</v>
          </cell>
          <cell r="AQ248" t="e">
            <v>#REF!</v>
          </cell>
        </row>
        <row r="249">
          <cell r="Q249">
            <v>0</v>
          </cell>
          <cell r="T249">
            <v>0</v>
          </cell>
          <cell r="Y249">
            <v>0</v>
          </cell>
          <cell r="AP249">
            <v>658.33066666666662</v>
          </cell>
          <cell r="AQ249" t="e">
            <v>#REF!</v>
          </cell>
        </row>
        <row r="250">
          <cell r="Q250">
            <v>0</v>
          </cell>
          <cell r="T250">
            <v>0</v>
          </cell>
          <cell r="Y250">
            <v>0</v>
          </cell>
          <cell r="AP250">
            <v>228.66666666666669</v>
          </cell>
          <cell r="AQ250" t="e">
            <v>#REF!</v>
          </cell>
        </row>
        <row r="251">
          <cell r="F251" t="str">
            <v>РОЗРАХУНОК ФІНАНСОВИХ ПОТОКІВ НА   березень  2000 року</v>
          </cell>
          <cell r="Q251">
            <v>0.76399999999998158</v>
          </cell>
          <cell r="T251">
            <v>-0.42800000000000082</v>
          </cell>
          <cell r="Y251">
            <v>6.799999999999784E-2</v>
          </cell>
          <cell r="AP251" t="e">
            <v>#REF!</v>
          </cell>
          <cell r="AQ251" t="e">
            <v>#REF!</v>
          </cell>
        </row>
        <row r="252">
          <cell r="F252" t="str">
            <v>РОЗРАХУНОК ФІНАНСОВИХ ПОТОКІВ НА   березень  2000 року</v>
          </cell>
          <cell r="Q252">
            <v>-0.32000000000000028</v>
          </cell>
          <cell r="T252">
            <v>-0.3360000000000003</v>
          </cell>
          <cell r="Y252">
            <v>0.28000000000000114</v>
          </cell>
          <cell r="AP252" t="e">
            <v>#REF!</v>
          </cell>
          <cell r="AQ252" t="e">
            <v>#REF!</v>
          </cell>
        </row>
        <row r="253">
          <cell r="F253" t="str">
            <v>ПО ФІЛІАЛАХ АК КИЇВЕНЕРГО</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Q263">
            <v>0</v>
          </cell>
          <cell r="R263">
            <v>0</v>
          </cell>
          <cell r="S263">
            <v>950.26666666666756</v>
          </cell>
          <cell r="T263">
            <v>4053.4899999999989</v>
          </cell>
          <cell r="U263">
            <v>582.7766666666671</v>
          </cell>
          <cell r="V263">
            <v>0</v>
          </cell>
          <cell r="W263">
            <v>0</v>
          </cell>
          <cell r="X263">
            <v>2340.3000000000006</v>
          </cell>
          <cell r="Y263">
            <v>1035</v>
          </cell>
          <cell r="Z263">
            <v>1427.2999999999972</v>
          </cell>
          <cell r="AA263">
            <v>0</v>
          </cell>
          <cell r="AB263">
            <v>0</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P272">
            <v>0</v>
          </cell>
          <cell r="S272">
            <v>0</v>
          </cell>
          <cell r="X272">
            <v>0</v>
          </cell>
          <cell r="AC272">
            <v>0</v>
          </cell>
          <cell r="AF272">
            <v>0</v>
          </cell>
          <cell r="AG272">
            <v>0</v>
          </cell>
          <cell r="AH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P274">
            <v>0</v>
          </cell>
          <cell r="S274">
            <v>0</v>
          </cell>
          <cell r="X274">
            <v>0</v>
          </cell>
          <cell r="AC274">
            <v>0</v>
          </cell>
          <cell r="AF274">
            <v>0</v>
          </cell>
          <cell r="AG274">
            <v>0</v>
          </cell>
          <cell r="AH274">
            <v>0</v>
          </cell>
          <cell r="AK274">
            <v>3580</v>
          </cell>
        </row>
        <row r="275">
          <cell r="F275">
            <v>121</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G277">
            <v>162</v>
          </cell>
          <cell r="H277">
            <v>425</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Q278">
            <v>0</v>
          </cell>
          <cell r="R278">
            <v>0</v>
          </cell>
          <cell r="S278">
            <v>2034.72</v>
          </cell>
          <cell r="T278">
            <v>659.81780000000003</v>
          </cell>
          <cell r="U278">
            <v>686.40219999999999</v>
          </cell>
          <cell r="V278">
            <v>0</v>
          </cell>
          <cell r="W278">
            <v>0</v>
          </cell>
          <cell r="X278">
            <v>830.12099999999998</v>
          </cell>
          <cell r="Y278">
            <v>173</v>
          </cell>
          <cell r="Z278">
            <v>240.57554545454542</v>
          </cell>
          <cell r="AA278">
            <v>0</v>
          </cell>
          <cell r="AB278">
            <v>0</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J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S288">
            <v>250</v>
          </cell>
          <cell r="AH288">
            <v>0</v>
          </cell>
          <cell r="AK288">
            <v>358</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Q293">
            <v>0</v>
          </cell>
          <cell r="R293">
            <v>0</v>
          </cell>
          <cell r="S293">
            <v>-1204</v>
          </cell>
          <cell r="T293">
            <v>0</v>
          </cell>
          <cell r="U293">
            <v>0</v>
          </cell>
          <cell r="V293">
            <v>0</v>
          </cell>
          <cell r="W293">
            <v>0</v>
          </cell>
          <cell r="X293">
            <v>929</v>
          </cell>
          <cell r="Y293">
            <v>0</v>
          </cell>
          <cell r="Z293">
            <v>0</v>
          </cell>
          <cell r="AA293">
            <v>0</v>
          </cell>
          <cell r="AB293">
            <v>0</v>
          </cell>
          <cell r="AC293">
            <v>-217</v>
          </cell>
          <cell r="AD293">
            <v>0</v>
          </cell>
          <cell r="AE293">
            <v>0</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V295">
            <v>-25</v>
          </cell>
          <cell r="X295">
            <v>0</v>
          </cell>
          <cell r="AC295">
            <v>0</v>
          </cell>
          <cell r="AF295">
            <v>0</v>
          </cell>
          <cell r="AG295">
            <v>0</v>
          </cell>
          <cell r="AH295">
            <v>0</v>
          </cell>
          <cell r="AK295">
            <v>0</v>
          </cell>
        </row>
        <row r="296">
          <cell r="F296">
            <v>0</v>
          </cell>
          <cell r="P296">
            <v>0</v>
          </cell>
          <cell r="Q296">
            <v>0</v>
          </cell>
          <cell r="R296">
            <v>0</v>
          </cell>
          <cell r="S296">
            <v>0</v>
          </cell>
          <cell r="T296">
            <v>0</v>
          </cell>
          <cell r="U296">
            <v>0</v>
          </cell>
          <cell r="V296">
            <v>-1.375</v>
          </cell>
          <cell r="W296">
            <v>0</v>
          </cell>
          <cell r="X296">
            <v>0</v>
          </cell>
          <cell r="Y296">
            <v>0</v>
          </cell>
          <cell r="Z296">
            <v>0</v>
          </cell>
          <cell r="AA296">
            <v>0</v>
          </cell>
          <cell r="AB296">
            <v>0</v>
          </cell>
          <cell r="AC296">
            <v>0</v>
          </cell>
          <cell r="AD296">
            <v>0</v>
          </cell>
          <cell r="AE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V298">
            <v>-2.1590909090909096</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F301">
            <v>0</v>
          </cell>
          <cell r="P301">
            <v>0</v>
          </cell>
          <cell r="S301">
            <v>0</v>
          </cell>
          <cell r="X301">
            <v>0</v>
          </cell>
          <cell r="AC301">
            <v>0</v>
          </cell>
          <cell r="AF301">
            <v>0</v>
          </cell>
          <cell r="AG301">
            <v>0</v>
          </cell>
          <cell r="AH301">
            <v>0</v>
          </cell>
          <cell r="AK301">
            <v>0</v>
          </cell>
        </row>
        <row r="302">
          <cell r="F302">
            <v>0</v>
          </cell>
          <cell r="P302">
            <v>-107</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T304" t="str">
            <v>ФМЗ ( з відрахуван)</v>
          </cell>
          <cell r="V304">
            <v>25</v>
          </cell>
          <cell r="AH304">
            <v>191</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P312">
            <v>0</v>
          </cell>
          <cell r="AK312">
            <v>0</v>
          </cell>
        </row>
        <row r="313">
          <cell r="P313">
            <v>0</v>
          </cell>
          <cell r="S313">
            <v>0</v>
          </cell>
          <cell r="AK313">
            <v>0</v>
          </cell>
        </row>
        <row r="314">
          <cell r="F314">
            <v>3480</v>
          </cell>
          <cell r="S314">
            <v>0</v>
          </cell>
          <cell r="AK314">
            <v>0</v>
          </cell>
        </row>
        <row r="315">
          <cell r="F315">
            <v>3480</v>
          </cell>
          <cell r="S315">
            <v>0</v>
          </cell>
          <cell r="AK315">
            <v>3480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J332">
            <v>36</v>
          </cell>
          <cell r="AK332">
            <v>2421</v>
          </cell>
          <cell r="AM332">
            <v>1934</v>
          </cell>
        </row>
        <row r="333">
          <cell r="AJ333">
            <v>36</v>
          </cell>
          <cell r="AK333">
            <v>6983.8571428571431</v>
          </cell>
          <cell r="AM333">
            <v>6983.8571428571431</v>
          </cell>
        </row>
        <row r="334">
          <cell r="AJ334">
            <v>36</v>
          </cell>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cell r="AM338">
            <v>821</v>
          </cell>
        </row>
        <row r="339">
          <cell r="AK339">
            <v>1467</v>
          </cell>
          <cell r="AM339">
            <v>1467</v>
          </cell>
        </row>
        <row r="340">
          <cell r="AK340">
            <v>3580</v>
          </cell>
          <cell r="AM340">
            <v>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cell r="AM351">
            <v>0</v>
          </cell>
        </row>
        <row r="352">
          <cell r="AK352">
            <v>0</v>
          </cell>
          <cell r="AM352">
            <v>0</v>
          </cell>
        </row>
        <row r="353">
          <cell r="AK353">
            <v>142</v>
          </cell>
          <cell r="AM353">
            <v>142</v>
          </cell>
        </row>
        <row r="354">
          <cell r="P354">
            <v>225</v>
          </cell>
          <cell r="S354">
            <v>296</v>
          </cell>
          <cell r="X354">
            <v>56</v>
          </cell>
          <cell r="AC354">
            <v>-538.90909090909088</v>
          </cell>
          <cell r="AF354">
            <v>245.09090909090912</v>
          </cell>
          <cell r="AG354">
            <v>-127.90909090909091</v>
          </cell>
          <cell r="AH354">
            <v>373</v>
          </cell>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F356">
            <v>0</v>
          </cell>
          <cell r="P356">
            <v>0</v>
          </cell>
          <cell r="S356">
            <v>0</v>
          </cell>
          <cell r="X356">
            <v>0</v>
          </cell>
          <cell r="AC356">
            <v>0</v>
          </cell>
          <cell r="AF356">
            <v>0</v>
          </cell>
          <cell r="AG356">
            <v>0</v>
          </cell>
          <cell r="AH356">
            <v>0</v>
          </cell>
          <cell r="AK356">
            <v>0</v>
          </cell>
          <cell r="AM356">
            <v>358</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J360">
            <v>-2491</v>
          </cell>
          <cell r="AK360">
            <v>0</v>
          </cell>
          <cell r="AM360">
            <v>0</v>
          </cell>
        </row>
        <row r="361">
          <cell r="AJ361">
            <v>-2491</v>
          </cell>
          <cell r="AK361">
            <v>7345.3</v>
          </cell>
          <cell r="AM361" t="e">
            <v>#REF!</v>
          </cell>
        </row>
        <row r="362">
          <cell r="AK362">
            <v>973</v>
          </cell>
        </row>
        <row r="363">
          <cell r="AK363">
            <v>1769</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4603.3</v>
          </cell>
          <cell r="AM364">
            <v>710</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3">
          <cell r="F373">
            <v>0</v>
          </cell>
        </row>
        <row r="374">
          <cell r="F374">
            <v>0</v>
          </cell>
        </row>
        <row r="385">
          <cell r="F385" t="str">
            <v>лютий</v>
          </cell>
          <cell r="P385" t="str">
            <v>лютий</v>
          </cell>
          <cell r="X385" t="str">
            <v>лютий</v>
          </cell>
          <cell r="AC385" t="str">
            <v>лютий</v>
          </cell>
        </row>
        <row r="386">
          <cell r="F386" t="str">
            <v>лютий</v>
          </cell>
          <cell r="P386" t="str">
            <v>лютий</v>
          </cell>
          <cell r="X386" t="str">
            <v>лютий</v>
          </cell>
          <cell r="AC386" t="str">
            <v>лютий</v>
          </cell>
          <cell r="AK386" t="str">
            <v>АК "КЕ"</v>
          </cell>
          <cell r="AL386" t="str">
            <v>Е/Е</v>
          </cell>
        </row>
        <row r="387">
          <cell r="F387" t="str">
            <v>АППАРАТ</v>
          </cell>
          <cell r="P387" t="str">
            <v>ККМ</v>
          </cell>
          <cell r="X387" t="str">
            <v>ТЕЦ5</v>
          </cell>
          <cell r="AC387" t="str">
            <v>ТЕЦ6</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K388" t="str">
            <v>ПЛАН</v>
          </cell>
          <cell r="AL388" t="str">
            <v>ПЛАН</v>
          </cell>
          <cell r="AM388">
            <v>312.33333333333331</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cell r="AL400">
            <v>316.5</v>
          </cell>
          <cell r="AM400">
            <v>316.83333333333331</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cell r="AL407">
            <v>42</v>
          </cell>
          <cell r="AM407">
            <v>43</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K411">
            <v>0</v>
          </cell>
          <cell r="AL411">
            <v>412.16666666666663</v>
          </cell>
          <cell r="AM411">
            <v>412.16666666666663</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6">
          <cell r="AP16" t="str">
            <v>ЗАТВЕРДЖУЮ</v>
          </cell>
        </row>
        <row r="17">
          <cell r="C17" t="str">
            <v>І.В.ПЛАЧКОВ</v>
          </cell>
          <cell r="AP17" t="str">
            <v>ГОЛОВА ПРАЛІННЯ АК КЕ</v>
          </cell>
        </row>
        <row r="21">
          <cell r="AI21" t="str">
            <v xml:space="preserve">         Затверджую</v>
          </cell>
        </row>
        <row r="22">
          <cell r="AI22" t="str">
            <v xml:space="preserve"> Голова правління -</v>
          </cell>
          <cell r="AV22" t="str">
            <v>І.В.ПЛАЧКОВ</v>
          </cell>
        </row>
        <row r="23">
          <cell r="AI23" t="str">
            <v xml:space="preserve"> генеральний директор</v>
          </cell>
        </row>
        <row r="25">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I25" t="str">
            <v xml:space="preserve">                        І.В.Плачков</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26">
          <cell r="AI26" t="str">
            <v xml:space="preserve">   "_____" ________2000 р.</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v>0</v>
          </cell>
          <cell r="AR34" t="str">
            <v>МЕРЕЖІ ТЕПЛОВІ</v>
          </cell>
        </row>
        <row r="35">
          <cell r="AL35">
            <v>395</v>
          </cell>
          <cell r="AQ35">
            <v>32</v>
          </cell>
        </row>
        <row r="36">
          <cell r="AL36">
            <v>336</v>
          </cell>
          <cell r="AQ36">
            <v>0</v>
          </cell>
        </row>
        <row r="37">
          <cell r="AL37">
            <v>0</v>
          </cell>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C40">
            <v>9058.3461515151503</v>
          </cell>
          <cell r="AL40">
            <v>0</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P47">
            <v>1</v>
          </cell>
          <cell r="Q47">
            <v>1473.1853333333333</v>
          </cell>
          <cell r="S47">
            <v>1</v>
          </cell>
          <cell r="T47">
            <v>145.25866666666667</v>
          </cell>
          <cell r="U47">
            <v>53</v>
          </cell>
          <cell r="V47">
            <v>92.25866666666667</v>
          </cell>
          <cell r="X47">
            <v>1</v>
          </cell>
          <cell r="Y47">
            <v>100.22533333333334</v>
          </cell>
          <cell r="Z47">
            <v>38</v>
          </cell>
          <cell r="AA47">
            <v>62.225333333333339</v>
          </cell>
          <cell r="AC47">
            <v>-100.22533333333334</v>
          </cell>
          <cell r="AD47">
            <v>698.17071999999996</v>
          </cell>
          <cell r="AE47">
            <v>625.88250014266646</v>
          </cell>
          <cell r="AF47">
            <v>1</v>
          </cell>
          <cell r="AG47">
            <v>1</v>
          </cell>
          <cell r="AH47">
            <v>1</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P49">
            <v>502</v>
          </cell>
          <cell r="Q49">
            <v>113.33333333333334</v>
          </cell>
          <cell r="S49">
            <v>413</v>
          </cell>
          <cell r="T49">
            <v>48.626666666666665</v>
          </cell>
          <cell r="U49">
            <v>22</v>
          </cell>
          <cell r="V49">
            <v>26.626666666666665</v>
          </cell>
          <cell r="X49">
            <v>258</v>
          </cell>
          <cell r="Y49">
            <v>65.784000000000006</v>
          </cell>
          <cell r="Z49">
            <v>25</v>
          </cell>
          <cell r="AA49">
            <v>40.784000000000006</v>
          </cell>
          <cell r="AC49">
            <v>-65.784000000000006</v>
          </cell>
          <cell r="AD49">
            <v>50.74026666666667</v>
          </cell>
          <cell r="AE49">
            <v>48.597208235490712</v>
          </cell>
          <cell r="AF49">
            <v>336</v>
          </cell>
          <cell r="AG49">
            <v>300</v>
          </cell>
          <cell r="AH49">
            <v>36</v>
          </cell>
          <cell r="AK49">
            <v>2095</v>
          </cell>
          <cell r="AL49">
            <v>842</v>
          </cell>
          <cell r="AM49">
            <v>1253</v>
          </cell>
          <cell r="AN49">
            <v>151</v>
          </cell>
          <cell r="AO49">
            <v>465</v>
          </cell>
          <cell r="AP49">
            <v>276.34120823549074</v>
          </cell>
          <cell r="AQ49">
            <v>788</v>
          </cell>
          <cell r="AR49">
            <v>1999</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K50">
            <v>1026.8333333333333</v>
          </cell>
          <cell r="AL50">
            <v>167</v>
          </cell>
          <cell r="AM50">
            <v>859.83333333333326</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H51">
            <v>0</v>
          </cell>
          <cell r="AI51">
            <v>0</v>
          </cell>
          <cell r="AJ51">
            <v>0</v>
          </cell>
          <cell r="AK51">
            <v>66</v>
          </cell>
          <cell r="AL51">
            <v>22</v>
          </cell>
          <cell r="AM51">
            <v>44</v>
          </cell>
          <cell r="AN51">
            <v>82</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G52">
            <v>32</v>
          </cell>
          <cell r="AH52">
            <v>0</v>
          </cell>
          <cell r="AI52">
            <v>0</v>
          </cell>
          <cell r="AJ52">
            <v>0</v>
          </cell>
          <cell r="AK52">
            <v>160</v>
          </cell>
          <cell r="AL52">
            <v>44</v>
          </cell>
          <cell r="AM52">
            <v>116</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G53">
            <v>201</v>
          </cell>
          <cell r="AH53">
            <v>4</v>
          </cell>
          <cell r="AI53">
            <v>0</v>
          </cell>
          <cell r="AJ53">
            <v>0</v>
          </cell>
          <cell r="AK53">
            <v>1358.3333333333333</v>
          </cell>
          <cell r="AL53">
            <v>281</v>
          </cell>
          <cell r="AM53">
            <v>1077.3333333333333</v>
          </cell>
          <cell r="AN53">
            <v>219</v>
          </cell>
          <cell r="AO53">
            <v>614</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X54">
            <v>477</v>
          </cell>
          <cell r="Y54">
            <v>0</v>
          </cell>
          <cell r="Z54">
            <v>0</v>
          </cell>
          <cell r="AA54">
            <v>0</v>
          </cell>
          <cell r="AC54">
            <v>14</v>
          </cell>
          <cell r="AD54">
            <v>0</v>
          </cell>
          <cell r="AE54">
            <v>0</v>
          </cell>
          <cell r="AF54">
            <v>0</v>
          </cell>
          <cell r="AH54">
            <v>0</v>
          </cell>
          <cell r="AK54">
            <v>512</v>
          </cell>
          <cell r="AL54">
            <v>153</v>
          </cell>
          <cell r="AM54">
            <v>359</v>
          </cell>
          <cell r="AN54">
            <v>153</v>
          </cell>
          <cell r="AO54">
            <v>345</v>
          </cell>
          <cell r="AP54">
            <v>0</v>
          </cell>
          <cell r="AQ54">
            <v>14</v>
          </cell>
          <cell r="AR54">
            <v>9</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K55">
            <v>69776</v>
          </cell>
          <cell r="AL55">
            <v>24610.574995654941</v>
          </cell>
          <cell r="AM55">
            <v>45165.425004345059</v>
          </cell>
          <cell r="AN55">
            <v>0</v>
          </cell>
          <cell r="AO55">
            <v>45165</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K56">
            <v>69776</v>
          </cell>
          <cell r="AL56">
            <v>24610.574995654941</v>
          </cell>
          <cell r="AM56">
            <v>45165.425004345059</v>
          </cell>
          <cell r="AN56">
            <v>0</v>
          </cell>
          <cell r="AO56">
            <v>45165</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K57">
            <v>0</v>
          </cell>
          <cell r="AL57">
            <v>0</v>
          </cell>
          <cell r="AM57">
            <v>0</v>
          </cell>
          <cell r="AN57">
            <v>0</v>
          </cell>
          <cell r="AO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K58">
            <v>3653.9</v>
          </cell>
          <cell r="AL58">
            <v>92</v>
          </cell>
          <cell r="AM58">
            <v>3561.9</v>
          </cell>
          <cell r="AN58">
            <v>0</v>
          </cell>
          <cell r="AO58">
            <v>1073</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G59">
            <v>844</v>
          </cell>
          <cell r="AH59">
            <v>115</v>
          </cell>
          <cell r="AI59">
            <v>0</v>
          </cell>
          <cell r="AJ59">
            <v>0</v>
          </cell>
          <cell r="AK59">
            <v>3573.090909090909</v>
          </cell>
          <cell r="AL59">
            <v>992.13269689737467</v>
          </cell>
          <cell r="AM59">
            <v>2580.9582121935346</v>
          </cell>
          <cell r="AN59" t="e">
            <v>#REF!</v>
          </cell>
          <cell r="AO59">
            <v>671</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K60">
            <v>181</v>
          </cell>
          <cell r="AL60">
            <v>55</v>
          </cell>
          <cell r="AM60">
            <v>126</v>
          </cell>
          <cell r="AN60">
            <v>0</v>
          </cell>
          <cell r="AO60">
            <v>28</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K61">
            <v>1053</v>
          </cell>
          <cell r="AL61">
            <v>317</v>
          </cell>
          <cell r="AM61">
            <v>736</v>
          </cell>
          <cell r="AN61">
            <v>0</v>
          </cell>
          <cell r="AO61">
            <v>0</v>
          </cell>
          <cell r="AP61">
            <v>0</v>
          </cell>
          <cell r="AQ61">
            <v>0</v>
          </cell>
          <cell r="AR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G63">
            <v>538</v>
          </cell>
          <cell r="AH63">
            <v>15</v>
          </cell>
          <cell r="AI63">
            <v>0</v>
          </cell>
          <cell r="AJ63">
            <v>0</v>
          </cell>
          <cell r="AK63">
            <v>3865.3333333333335</v>
          </cell>
          <cell r="AL63">
            <v>1049</v>
          </cell>
          <cell r="AM63">
            <v>2816.3333333333335</v>
          </cell>
          <cell r="AN63">
            <v>431</v>
          </cell>
          <cell r="AO63">
            <v>1358</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K64">
            <v>0</v>
          </cell>
          <cell r="AN64">
            <v>43</v>
          </cell>
          <cell r="AO64">
            <v>136</v>
          </cell>
          <cell r="AP64">
            <v>5942.9426666666668</v>
          </cell>
          <cell r="AQ64">
            <v>146</v>
          </cell>
          <cell r="AR64">
            <v>200</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K65">
            <v>3783.2</v>
          </cell>
          <cell r="AL65">
            <v>308</v>
          </cell>
          <cell r="AM65">
            <v>3475.2</v>
          </cell>
          <cell r="AN65">
            <v>-204</v>
          </cell>
          <cell r="AO65">
            <v>799</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K66">
            <v>0</v>
          </cell>
          <cell r="AL66">
            <v>0</v>
          </cell>
          <cell r="AM66">
            <v>0</v>
          </cell>
          <cell r="AN66">
            <v>0</v>
          </cell>
          <cell r="AO66">
            <v>0</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K67">
            <v>81.800000000000011</v>
          </cell>
          <cell r="AN67">
            <v>388</v>
          </cell>
          <cell r="AO67">
            <v>423</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K68">
            <v>2665</v>
          </cell>
          <cell r="AL68">
            <v>724</v>
          </cell>
          <cell r="AM68">
            <v>1941</v>
          </cell>
          <cell r="AN68">
            <v>345</v>
          </cell>
          <cell r="AO68">
            <v>1039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G69">
            <v>88</v>
          </cell>
          <cell r="AH69">
            <v>0</v>
          </cell>
          <cell r="AI69">
            <v>0</v>
          </cell>
          <cell r="AJ69">
            <v>0</v>
          </cell>
          <cell r="AK69">
            <v>781.90909090909099</v>
          </cell>
          <cell r="AL69">
            <v>161</v>
          </cell>
          <cell r="AM69">
            <v>620.90909090909099</v>
          </cell>
          <cell r="AN69">
            <v>868.86363636363626</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G70">
            <v>5</v>
          </cell>
          <cell r="AH70">
            <v>0</v>
          </cell>
          <cell r="AI70">
            <v>0</v>
          </cell>
          <cell r="AJ70">
            <v>-1285.7636363636364</v>
          </cell>
          <cell r="AK70">
            <v>44</v>
          </cell>
          <cell r="AL70">
            <v>9</v>
          </cell>
          <cell r="AM70">
            <v>35</v>
          </cell>
          <cell r="AN70">
            <v>48</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G71">
            <v>28</v>
          </cell>
          <cell r="AH71">
            <v>0</v>
          </cell>
          <cell r="AI71">
            <v>0</v>
          </cell>
          <cell r="AJ71">
            <v>0</v>
          </cell>
          <cell r="AK71">
            <v>251</v>
          </cell>
          <cell r="AL71">
            <v>51</v>
          </cell>
          <cell r="AM71">
            <v>200</v>
          </cell>
          <cell r="AN71">
            <v>278</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K72">
            <v>0</v>
          </cell>
          <cell r="AL72">
            <v>0</v>
          </cell>
          <cell r="AM72">
            <v>0</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G73">
            <v>0</v>
          </cell>
          <cell r="AH73">
            <v>0</v>
          </cell>
          <cell r="AI73">
            <v>0</v>
          </cell>
          <cell r="AJ73">
            <v>0</v>
          </cell>
          <cell r="AK73">
            <v>353</v>
          </cell>
          <cell r="AL73">
            <v>353</v>
          </cell>
          <cell r="AM73">
            <v>0</v>
          </cell>
          <cell r="AN73">
            <v>3499</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K74">
            <v>0</v>
          </cell>
          <cell r="AL74">
            <v>0</v>
          </cell>
          <cell r="AM74">
            <v>0</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G75">
            <v>186.2</v>
          </cell>
          <cell r="AH75">
            <v>38.800000000000011</v>
          </cell>
          <cell r="AI75">
            <v>633.66666666666663</v>
          </cell>
          <cell r="AJ75">
            <v>-284.25066666666669</v>
          </cell>
          <cell r="AK75">
            <v>3637.5333333333328</v>
          </cell>
          <cell r="AL75">
            <v>1134.6765314240254</v>
          </cell>
          <cell r="AM75">
            <v>2502.8568019093073</v>
          </cell>
          <cell r="AN75">
            <v>63</v>
          </cell>
          <cell r="AO75">
            <v>232</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105</v>
          </cell>
          <cell r="AL76">
            <v>29</v>
          </cell>
          <cell r="AM76">
            <v>76</v>
          </cell>
          <cell r="AN76">
            <v>0</v>
          </cell>
          <cell r="AO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P77">
            <v>110</v>
          </cell>
          <cell r="Q77">
            <v>80.800000000000011</v>
          </cell>
          <cell r="S77">
            <v>282</v>
          </cell>
          <cell r="T77">
            <v>48.400000000000006</v>
          </cell>
          <cell r="U77">
            <v>8</v>
          </cell>
          <cell r="V77">
            <v>40.400000000000006</v>
          </cell>
          <cell r="X77">
            <v>115</v>
          </cell>
          <cell r="Y77">
            <v>37.200000000000003</v>
          </cell>
          <cell r="Z77">
            <v>10</v>
          </cell>
          <cell r="AA77">
            <v>27.200000000000003</v>
          </cell>
          <cell r="AC77">
            <v>84</v>
          </cell>
          <cell r="AD77">
            <v>58.6</v>
          </cell>
          <cell r="AE77">
            <v>54.76</v>
          </cell>
          <cell r="AF77">
            <v>3.8400000000000034</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cell r="AR77">
            <v>2951.1000000000004</v>
          </cell>
        </row>
        <row r="78">
          <cell r="C78">
            <v>1048.5</v>
          </cell>
          <cell r="D78">
            <v>363</v>
          </cell>
          <cell r="E78">
            <v>685.5</v>
          </cell>
          <cell r="N78">
            <v>38.200000000000003</v>
          </cell>
          <cell r="P78">
            <v>66</v>
          </cell>
          <cell r="Q78">
            <v>98.2</v>
          </cell>
          <cell r="S78">
            <v>177</v>
          </cell>
          <cell r="T78">
            <v>51.8</v>
          </cell>
          <cell r="U78">
            <v>14</v>
          </cell>
          <cell r="V78">
            <v>37.799999999999997</v>
          </cell>
          <cell r="X78">
            <v>56</v>
          </cell>
          <cell r="Y78">
            <v>81.599999999999994</v>
          </cell>
          <cell r="Z78">
            <v>14</v>
          </cell>
          <cell r="AA78">
            <v>67.599999999999994</v>
          </cell>
          <cell r="AC78">
            <v>43</v>
          </cell>
          <cell r="AD78">
            <v>81</v>
          </cell>
          <cell r="AE78">
            <v>65</v>
          </cell>
          <cell r="AF78">
            <v>16</v>
          </cell>
          <cell r="AG78">
            <v>149</v>
          </cell>
          <cell r="AH78">
            <v>14</v>
          </cell>
          <cell r="AK78">
            <v>1182</v>
          </cell>
          <cell r="AL78">
            <v>331</v>
          </cell>
          <cell r="AM78">
            <v>851</v>
          </cell>
          <cell r="AN78">
            <v>653.66666666666663</v>
          </cell>
          <cell r="AQ78">
            <v>851</v>
          </cell>
          <cell r="AR78">
            <v>653.66666666666663</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363.66666666666663</v>
          </cell>
          <cell r="AL79">
            <v>158</v>
          </cell>
          <cell r="AM79">
            <v>205.66666666666663</v>
          </cell>
          <cell r="AN79">
            <v>200</v>
          </cell>
          <cell r="AP79">
            <v>372.7</v>
          </cell>
          <cell r="AQ79">
            <v>104.1</v>
          </cell>
          <cell r="AR79">
            <v>200</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K80">
            <v>615.20000000000005</v>
          </cell>
          <cell r="AL80">
            <v>0</v>
          </cell>
          <cell r="AM80">
            <v>436.5255369928401</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Y81">
            <v>3</v>
          </cell>
          <cell r="Z81">
            <v>8</v>
          </cell>
          <cell r="AC81">
            <v>0</v>
          </cell>
          <cell r="AD81">
            <v>10</v>
          </cell>
          <cell r="AE81">
            <v>22</v>
          </cell>
          <cell r="AF81">
            <v>50</v>
          </cell>
          <cell r="AG81">
            <v>30</v>
          </cell>
          <cell r="AH81">
            <v>20</v>
          </cell>
          <cell r="AI81">
            <v>594.66666666666663</v>
          </cell>
          <cell r="AJ81">
            <v>0</v>
          </cell>
          <cell r="AK81">
            <v>1371.6666666666665</v>
          </cell>
          <cell r="AL81">
            <v>451.00206841686554</v>
          </cell>
          <cell r="AM81">
            <v>920.66459824980097</v>
          </cell>
          <cell r="AN81">
            <v>816.56666666666661</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cell r="AS82">
            <v>9401</v>
          </cell>
          <cell r="AT82">
            <v>-4038.2727272727279</v>
          </cell>
        </row>
        <row r="83">
          <cell r="C83">
            <v>11292</v>
          </cell>
          <cell r="D83">
            <v>11292</v>
          </cell>
          <cell r="E83">
            <v>0</v>
          </cell>
          <cell r="P83">
            <v>0</v>
          </cell>
          <cell r="S83">
            <v>0</v>
          </cell>
          <cell r="X83">
            <v>0</v>
          </cell>
          <cell r="Y83">
            <v>1</v>
          </cell>
          <cell r="Z83">
            <v>2.1</v>
          </cell>
          <cell r="AC83">
            <v>0</v>
          </cell>
          <cell r="AD83">
            <v>1</v>
          </cell>
          <cell r="AE83">
            <v>0.7</v>
          </cell>
          <cell r="AF83">
            <v>4.8</v>
          </cell>
          <cell r="AG83">
            <v>43</v>
          </cell>
          <cell r="AH83">
            <v>4.8</v>
          </cell>
          <cell r="AJ83">
            <v>0</v>
          </cell>
          <cell r="AK83">
            <v>35.800000000000004</v>
          </cell>
          <cell r="AL83">
            <v>6.1</v>
          </cell>
          <cell r="AM83">
            <v>29.700000000000003</v>
          </cell>
          <cell r="AN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K84">
            <v>91858.190909090888</v>
          </cell>
          <cell r="AL84">
            <v>0</v>
          </cell>
          <cell r="AM84">
            <v>61760.806685114578</v>
          </cell>
          <cell r="AN84" t="e">
            <v>#REF!</v>
          </cell>
          <cell r="AO84">
            <v>50645</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R85">
            <v>0</v>
          </cell>
          <cell r="S85">
            <v>0</v>
          </cell>
          <cell r="T85">
            <v>0</v>
          </cell>
          <cell r="U85">
            <v>0</v>
          </cell>
          <cell r="V85">
            <v>0</v>
          </cell>
          <cell r="W85">
            <v>0</v>
          </cell>
          <cell r="X85">
            <v>0</v>
          </cell>
          <cell r="Y85">
            <v>0</v>
          </cell>
          <cell r="Z85">
            <v>327</v>
          </cell>
          <cell r="AA85">
            <v>0</v>
          </cell>
          <cell r="AB85">
            <v>0</v>
          </cell>
          <cell r="AC85">
            <v>0</v>
          </cell>
          <cell r="AD85">
            <v>128</v>
          </cell>
          <cell r="AE85">
            <v>265</v>
          </cell>
          <cell r="AH85">
            <v>115</v>
          </cell>
          <cell r="AI85">
            <v>0</v>
          </cell>
          <cell r="AJ85">
            <v>0</v>
          </cell>
          <cell r="AK85">
            <v>4355</v>
          </cell>
          <cell r="AL85">
            <v>1153.1326968973747</v>
          </cell>
          <cell r="AM85">
            <v>3201.8673031026256</v>
          </cell>
          <cell r="AN85">
            <v>1176.2809999999999</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L86">
            <v>29644.574995654941</v>
          </cell>
          <cell r="AN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K87">
            <v>11292</v>
          </cell>
          <cell r="AL87">
            <v>11292</v>
          </cell>
          <cell r="AM87">
            <v>0</v>
          </cell>
          <cell r="AN87">
            <v>0</v>
          </cell>
          <cell r="AO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R88">
            <v>0</v>
          </cell>
          <cell r="S88">
            <v>-20.6</v>
          </cell>
          <cell r="T88">
            <v>199.6</v>
          </cell>
          <cell r="U88">
            <v>20</v>
          </cell>
          <cell r="V88">
            <v>179.6</v>
          </cell>
          <cell r="W88">
            <v>0</v>
          </cell>
          <cell r="X88">
            <v>-199.6</v>
          </cell>
          <cell r="Y88">
            <v>74.599999999999994</v>
          </cell>
          <cell r="Z88">
            <v>15931.720620842572</v>
          </cell>
          <cell r="AA88">
            <v>0</v>
          </cell>
          <cell r="AB88">
            <v>0</v>
          </cell>
          <cell r="AC88">
            <v>-74.599999999999994</v>
          </cell>
          <cell r="AD88">
            <v>36.333333333333336</v>
          </cell>
          <cell r="AE88">
            <v>22</v>
          </cell>
          <cell r="AF88">
            <v>14.333333333333336</v>
          </cell>
          <cell r="AG88">
            <v>44</v>
          </cell>
          <cell r="AH88">
            <v>15</v>
          </cell>
          <cell r="AI88">
            <v>29</v>
          </cell>
          <cell r="AJ88">
            <v>7.6666666666666643</v>
          </cell>
          <cell r="AK88">
            <v>103150.19090909089</v>
          </cell>
          <cell r="AL88">
            <v>41389.38422397634</v>
          </cell>
          <cell r="AM88">
            <v>61760.806685114578</v>
          </cell>
          <cell r="AN88">
            <v>25995.574995654941</v>
          </cell>
          <cell r="AO88">
            <v>50645</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M89">
            <v>0</v>
          </cell>
          <cell r="AN89" t="e">
            <v>#REF!</v>
          </cell>
          <cell r="AO89">
            <v>0</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K90">
            <v>1390</v>
          </cell>
          <cell r="AL90">
            <v>810</v>
          </cell>
          <cell r="AM90">
            <v>580</v>
          </cell>
          <cell r="AN90" t="e">
            <v>#REF!</v>
          </cell>
          <cell r="AO90">
            <v>0</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K91">
            <v>600</v>
          </cell>
          <cell r="AL91">
            <v>128</v>
          </cell>
          <cell r="AM91">
            <v>472</v>
          </cell>
          <cell r="AN91">
            <v>0</v>
          </cell>
          <cell r="AO91">
            <v>0</v>
          </cell>
          <cell r="AP91">
            <v>13439.272727272728</v>
          </cell>
          <cell r="AQ91">
            <v>334554.25206060609</v>
          </cell>
          <cell r="AR91">
            <v>147538.53663201857</v>
          </cell>
          <cell r="AS91">
            <v>9401</v>
          </cell>
        </row>
        <row r="92">
          <cell r="C92">
            <v>17725.32915151515</v>
          </cell>
          <cell r="P92">
            <v>0</v>
          </cell>
          <cell r="S92">
            <v>0</v>
          </cell>
          <cell r="X92">
            <v>0</v>
          </cell>
          <cell r="Y92">
            <v>5</v>
          </cell>
          <cell r="Z92">
            <v>12</v>
          </cell>
          <cell r="AC92">
            <v>0</v>
          </cell>
          <cell r="AD92">
            <v>14</v>
          </cell>
          <cell r="AE92">
            <v>13</v>
          </cell>
          <cell r="AF92">
            <v>15</v>
          </cell>
          <cell r="AG92">
            <v>14</v>
          </cell>
          <cell r="AH92">
            <v>1</v>
          </cell>
          <cell r="AJ92">
            <v>0</v>
          </cell>
          <cell r="AK92">
            <v>144.66666666666666</v>
          </cell>
          <cell r="AL92">
            <v>84</v>
          </cell>
          <cell r="AM92">
            <v>60.666666666666657</v>
          </cell>
          <cell r="AN92">
            <v>19</v>
          </cell>
          <cell r="AO92">
            <v>27</v>
          </cell>
          <cell r="AP92">
            <v>70484.497636363667</v>
          </cell>
          <cell r="AQ92">
            <v>153</v>
          </cell>
          <cell r="AR92">
            <v>-64</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R95">
            <v>0</v>
          </cell>
          <cell r="S95">
            <v>0</v>
          </cell>
          <cell r="T95">
            <v>0</v>
          </cell>
          <cell r="U95">
            <v>2849.1290909090908</v>
          </cell>
          <cell r="V95">
            <v>0</v>
          </cell>
          <cell r="W95">
            <v>0</v>
          </cell>
          <cell r="X95">
            <v>0</v>
          </cell>
          <cell r="Y95">
            <v>0</v>
          </cell>
          <cell r="Z95">
            <v>15943.720620842572</v>
          </cell>
          <cell r="AA95">
            <v>0</v>
          </cell>
          <cell r="AB95">
            <v>0</v>
          </cell>
          <cell r="AC95">
            <v>0</v>
          </cell>
          <cell r="AD95">
            <v>0</v>
          </cell>
          <cell r="AE95">
            <v>0</v>
          </cell>
          <cell r="AF95">
            <v>0</v>
          </cell>
          <cell r="AG95">
            <v>3063.1</v>
          </cell>
          <cell r="AH95">
            <v>1003.9000000000001</v>
          </cell>
          <cell r="AI95">
            <v>0</v>
          </cell>
          <cell r="AJ95">
            <v>0</v>
          </cell>
          <cell r="AK95">
            <v>105284.85757575756</v>
          </cell>
          <cell r="AL95">
            <v>42411.38422397634</v>
          </cell>
          <cell r="AM95">
            <v>62873.473351781242</v>
          </cell>
          <cell r="AN95" t="e">
            <v>#REF!</v>
          </cell>
          <cell r="AO95">
            <v>50672</v>
          </cell>
          <cell r="AP95" t="e">
            <v>#REF!</v>
          </cell>
          <cell r="AQ95">
            <v>10450.475260369414</v>
          </cell>
          <cell r="AR95">
            <v>14571.544133725103</v>
          </cell>
          <cell r="AS95">
            <v>0</v>
          </cell>
        </row>
        <row r="96">
          <cell r="C96">
            <v>1318.9490000000001</v>
          </cell>
          <cell r="N96">
            <v>0</v>
          </cell>
          <cell r="P96">
            <v>0</v>
          </cell>
          <cell r="Q96">
            <v>0</v>
          </cell>
          <cell r="R96">
            <v>0</v>
          </cell>
          <cell r="S96">
            <v>0</v>
          </cell>
          <cell r="T96">
            <v>4830.1436363636385</v>
          </cell>
          <cell r="U96">
            <v>2849.1290909090908</v>
          </cell>
          <cell r="V96">
            <v>0</v>
          </cell>
          <cell r="W96">
            <v>0</v>
          </cell>
          <cell r="X96">
            <v>0</v>
          </cell>
          <cell r="Y96">
            <v>0</v>
          </cell>
          <cell r="Z96">
            <v>1809.818181818182</v>
          </cell>
          <cell r="AA96">
            <v>0</v>
          </cell>
          <cell r="AB96">
            <v>0</v>
          </cell>
          <cell r="AC96">
            <v>0</v>
          </cell>
          <cell r="AD96">
            <v>0</v>
          </cell>
          <cell r="AE96">
            <v>0</v>
          </cell>
          <cell r="AF96">
            <v>0</v>
          </cell>
          <cell r="AG96">
            <v>3063.1</v>
          </cell>
          <cell r="AH96">
            <v>1003.9000000000001</v>
          </cell>
          <cell r="AI96">
            <v>0</v>
          </cell>
          <cell r="AJ96">
            <v>0</v>
          </cell>
          <cell r="AK96">
            <v>24216.85757575756</v>
          </cell>
          <cell r="AL96">
            <v>6508.8092283213991</v>
          </cell>
          <cell r="AM96">
            <v>17708.048347436183</v>
          </cell>
          <cell r="AN96" t="e">
            <v>#REF!</v>
          </cell>
          <cell r="AO96">
            <v>5507</v>
          </cell>
          <cell r="AP96" t="e">
            <v>#REF!</v>
          </cell>
          <cell r="AQ96">
            <v>10450.050256024355</v>
          </cell>
          <cell r="AR96">
            <v>14571.544133725103</v>
          </cell>
          <cell r="AS96">
            <v>0</v>
          </cell>
        </row>
        <row r="97">
          <cell r="P97">
            <v>0</v>
          </cell>
          <cell r="S97">
            <v>0</v>
          </cell>
          <cell r="X97">
            <v>0</v>
          </cell>
          <cell r="Y97">
            <v>28724.818181818184</v>
          </cell>
          <cell r="AC97">
            <v>0</v>
          </cell>
          <cell r="AD97">
            <v>26701</v>
          </cell>
          <cell r="AF97">
            <v>0</v>
          </cell>
          <cell r="AG97">
            <v>67.2</v>
          </cell>
          <cell r="AH97">
            <v>0</v>
          </cell>
          <cell r="AI97">
            <v>0</v>
          </cell>
          <cell r="AJ97">
            <v>0</v>
          </cell>
          <cell r="AK97">
            <v>4174.5999999999995</v>
          </cell>
          <cell r="AL97">
            <v>105284.85757575759</v>
          </cell>
          <cell r="AN97" t="e">
            <v>#REF!</v>
          </cell>
          <cell r="AP97" t="e">
            <v>#REF!</v>
          </cell>
          <cell r="AS97">
            <v>0</v>
          </cell>
        </row>
        <row r="98">
          <cell r="P98">
            <v>0</v>
          </cell>
          <cell r="S98">
            <v>0</v>
          </cell>
          <cell r="X98">
            <v>0</v>
          </cell>
          <cell r="AC98">
            <v>0</v>
          </cell>
          <cell r="AF98">
            <v>0</v>
          </cell>
          <cell r="AG98">
            <v>67.2</v>
          </cell>
          <cell r="AH98">
            <v>0</v>
          </cell>
          <cell r="AI98">
            <v>0</v>
          </cell>
          <cell r="AJ98">
            <v>0</v>
          </cell>
          <cell r="AK98">
            <v>3837.6</v>
          </cell>
          <cell r="AL98">
            <v>105284.85757575757</v>
          </cell>
          <cell r="AM98">
            <v>42403.574995654941</v>
          </cell>
          <cell r="AN98" t="e">
            <v>#REF!</v>
          </cell>
          <cell r="AP98" t="e">
            <v>#REF!</v>
          </cell>
          <cell r="AS98">
            <v>0</v>
          </cell>
        </row>
        <row r="99">
          <cell r="P99">
            <v>0</v>
          </cell>
          <cell r="S99">
            <v>0</v>
          </cell>
          <cell r="X99">
            <v>0</v>
          </cell>
          <cell r="AC99">
            <v>0</v>
          </cell>
          <cell r="AF99">
            <v>0</v>
          </cell>
          <cell r="AG99">
            <v>454</v>
          </cell>
          <cell r="AH99">
            <v>0</v>
          </cell>
          <cell r="AI99">
            <v>0</v>
          </cell>
          <cell r="AJ99">
            <v>0</v>
          </cell>
          <cell r="AK99">
            <v>0</v>
          </cell>
          <cell r="AL99">
            <v>109509.14393939395</v>
          </cell>
          <cell r="AM99">
            <v>46269.90741929959</v>
          </cell>
          <cell r="AN99" t="e">
            <v>#REF!</v>
          </cell>
          <cell r="AP99" t="e">
            <v>#REF!</v>
          </cell>
          <cell r="AS99">
            <v>0</v>
          </cell>
        </row>
        <row r="100">
          <cell r="P100">
            <v>0</v>
          </cell>
          <cell r="S100">
            <v>0</v>
          </cell>
          <cell r="X100">
            <v>0</v>
          </cell>
          <cell r="AC100">
            <v>0</v>
          </cell>
          <cell r="AF100">
            <v>0</v>
          </cell>
          <cell r="AG100">
            <v>0</v>
          </cell>
          <cell r="AH100">
            <v>0</v>
          </cell>
          <cell r="AI100">
            <v>0</v>
          </cell>
          <cell r="AJ100">
            <v>0</v>
          </cell>
          <cell r="AK100">
            <v>337</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K101">
            <v>1741</v>
          </cell>
          <cell r="AL101">
            <v>116775.1297878788</v>
          </cell>
          <cell r="AM101">
            <v>43965.116024096387</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K102">
            <v>93</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K104">
            <v>0</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G106">
            <v>0</v>
          </cell>
          <cell r="AH106">
            <v>0</v>
          </cell>
          <cell r="AI106">
            <v>0</v>
          </cell>
          <cell r="AJ106">
            <v>0</v>
          </cell>
          <cell r="AK106">
            <v>787</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337</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450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280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280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K112">
            <v>0</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G113">
            <v>0</v>
          </cell>
          <cell r="AH113">
            <v>0</v>
          </cell>
          <cell r="AI113">
            <v>0</v>
          </cell>
          <cell r="AJ113">
            <v>0</v>
          </cell>
          <cell r="AK113">
            <v>331</v>
          </cell>
          <cell r="AM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331</v>
          </cell>
          <cell r="AM114">
            <v>0</v>
          </cell>
          <cell r="AN114" t="e">
            <v>#REF!</v>
          </cell>
          <cell r="AP114" t="e">
            <v>#REF!</v>
          </cell>
          <cell r="AS114">
            <v>0</v>
          </cell>
        </row>
        <row r="115">
          <cell r="C115">
            <v>0</v>
          </cell>
          <cell r="P115">
            <v>0</v>
          </cell>
          <cell r="S115">
            <v>0</v>
          </cell>
          <cell r="X115">
            <v>0</v>
          </cell>
          <cell r="AC115">
            <v>0</v>
          </cell>
          <cell r="AF115">
            <v>0</v>
          </cell>
          <cell r="AG115">
            <v>0</v>
          </cell>
          <cell r="AH115">
            <v>0</v>
          </cell>
          <cell r="AI115">
            <v>0</v>
          </cell>
          <cell r="AJ115">
            <v>0</v>
          </cell>
          <cell r="AK115">
            <v>0</v>
          </cell>
          <cell r="AL115">
            <v>0</v>
          </cell>
          <cell r="AM115">
            <v>0</v>
          </cell>
          <cell r="AP115">
            <v>0</v>
          </cell>
          <cell r="AS115">
            <v>0</v>
          </cell>
        </row>
        <row r="116">
          <cell r="C116">
            <v>17200.466666666667</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cell r="AS116">
            <v>0</v>
          </cell>
        </row>
        <row r="117">
          <cell r="C117">
            <v>0</v>
          </cell>
          <cell r="P117">
            <v>0</v>
          </cell>
          <cell r="S117">
            <v>0</v>
          </cell>
          <cell r="AC117">
            <v>0</v>
          </cell>
          <cell r="AF117">
            <v>0</v>
          </cell>
          <cell r="AG117">
            <v>0</v>
          </cell>
          <cell r="AH117">
            <v>0</v>
          </cell>
          <cell r="AK117">
            <v>0</v>
          </cell>
        </row>
        <row r="118">
          <cell r="P118">
            <v>0</v>
          </cell>
          <cell r="S118">
            <v>0</v>
          </cell>
          <cell r="X118">
            <v>0</v>
          </cell>
          <cell r="AC118">
            <v>0</v>
          </cell>
          <cell r="AF118">
            <v>0</v>
          </cell>
          <cell r="AG118">
            <v>0</v>
          </cell>
          <cell r="AH118">
            <v>0</v>
          </cell>
          <cell r="AK118">
            <v>0</v>
          </cell>
          <cell r="AL118">
            <v>0</v>
          </cell>
          <cell r="AM118">
            <v>0</v>
          </cell>
        </row>
        <row r="119">
          <cell r="P119">
            <v>0</v>
          </cell>
          <cell r="S119">
            <v>0</v>
          </cell>
          <cell r="X119">
            <v>0</v>
          </cell>
          <cell r="AC119">
            <v>0</v>
          </cell>
          <cell r="AG119">
            <v>0</v>
          </cell>
          <cell r="AH119">
            <v>0</v>
          </cell>
          <cell r="AK119">
            <v>250.66666666666666</v>
          </cell>
        </row>
        <row r="120">
          <cell r="P120">
            <v>0</v>
          </cell>
          <cell r="S120">
            <v>0</v>
          </cell>
          <cell r="X120">
            <v>0</v>
          </cell>
          <cell r="AC120">
            <v>0</v>
          </cell>
          <cell r="AE120" t="e">
            <v>#REF!</v>
          </cell>
          <cell r="AF120" t="e">
            <v>#REF!</v>
          </cell>
          <cell r="AG120">
            <v>0</v>
          </cell>
          <cell r="AH120">
            <v>0</v>
          </cell>
          <cell r="AI120">
            <v>0</v>
          </cell>
          <cell r="AJ120">
            <v>0</v>
          </cell>
          <cell r="AK120">
            <v>0</v>
          </cell>
          <cell r="AN120" t="e">
            <v>#REF!</v>
          </cell>
          <cell r="AP120">
            <v>36465</v>
          </cell>
          <cell r="AQ120" t="e">
            <v>#REF!</v>
          </cell>
          <cell r="AS120">
            <v>0</v>
          </cell>
        </row>
        <row r="121">
          <cell r="C121">
            <v>0</v>
          </cell>
          <cell r="P121">
            <v>0</v>
          </cell>
          <cell r="S121">
            <v>0</v>
          </cell>
          <cell r="X121">
            <v>0</v>
          </cell>
          <cell r="AC121">
            <v>0</v>
          </cell>
          <cell r="AF121">
            <v>0</v>
          </cell>
          <cell r="AG121">
            <v>0</v>
          </cell>
          <cell r="AH121">
            <v>0</v>
          </cell>
          <cell r="AJ121">
            <v>0</v>
          </cell>
          <cell r="AK121">
            <v>8992</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0</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S123">
            <v>0</v>
          </cell>
          <cell r="T123">
            <v>-0.76400000000000112</v>
          </cell>
          <cell r="U123">
            <v>0</v>
          </cell>
          <cell r="V123">
            <v>0</v>
          </cell>
          <cell r="X123">
            <v>0.76400000000000112</v>
          </cell>
          <cell r="Y123">
            <v>0.34799999999999898</v>
          </cell>
          <cell r="Z123">
            <v>0</v>
          </cell>
          <cell r="AA123">
            <v>0</v>
          </cell>
          <cell r="AC123">
            <v>-0.34799999999999898</v>
          </cell>
          <cell r="AF123">
            <v>0</v>
          </cell>
          <cell r="AJ123">
            <v>0</v>
          </cell>
          <cell r="AK123">
            <v>-4642</v>
          </cell>
          <cell r="AL123">
            <v>-12062.791969696958</v>
          </cell>
          <cell r="AN123" t="e">
            <v>#REF!</v>
          </cell>
          <cell r="AP123" t="e">
            <v>#REF!</v>
          </cell>
        </row>
        <row r="124">
          <cell r="P124">
            <v>0</v>
          </cell>
          <cell r="X124">
            <v>0</v>
          </cell>
          <cell r="AC124">
            <v>0</v>
          </cell>
          <cell r="AJ124">
            <v>0</v>
          </cell>
          <cell r="AK124">
            <v>3480</v>
          </cell>
          <cell r="AL124">
            <v>396.87424242423458</v>
          </cell>
          <cell r="AP124" t="e">
            <v>#REF!</v>
          </cell>
        </row>
        <row r="125">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t="e">
            <v>#REF!</v>
          </cell>
          <cell r="AQ125">
            <v>0</v>
          </cell>
        </row>
        <row r="126">
          <cell r="P126">
            <v>0</v>
          </cell>
          <cell r="Q126">
            <v>0</v>
          </cell>
          <cell r="R126">
            <v>0</v>
          </cell>
          <cell r="S126">
            <v>547</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64</v>
          </cell>
          <cell r="AJ126">
            <v>0</v>
          </cell>
          <cell r="AK126">
            <v>5998.6666666666661</v>
          </cell>
          <cell r="AL126">
            <v>13247.384148484838</v>
          </cell>
          <cell r="AO126">
            <v>0</v>
          </cell>
          <cell r="AP126" t="e">
            <v>#REF!</v>
          </cell>
          <cell r="AQ126" t="e">
            <v>#REF!</v>
          </cell>
          <cell r="AR126" t="e">
            <v>#REF!</v>
          </cell>
        </row>
        <row r="127">
          <cell r="P127">
            <v>0</v>
          </cell>
          <cell r="S127">
            <v>0</v>
          </cell>
          <cell r="X127">
            <v>0</v>
          </cell>
          <cell r="Y127">
            <v>0</v>
          </cell>
          <cell r="Z127">
            <v>0</v>
          </cell>
          <cell r="AC127">
            <v>0</v>
          </cell>
          <cell r="AD127">
            <v>0</v>
          </cell>
          <cell r="AE127">
            <v>0</v>
          </cell>
          <cell r="AF127">
            <v>0</v>
          </cell>
          <cell r="AG127">
            <v>0</v>
          </cell>
          <cell r="AH127">
            <v>0</v>
          </cell>
          <cell r="AJ127">
            <v>0</v>
          </cell>
          <cell r="AK127">
            <v>-1422.1253030302919</v>
          </cell>
          <cell r="AL127">
            <v>10640.666666666666</v>
          </cell>
        </row>
        <row r="128">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-1422.1253030302919</v>
          </cell>
          <cell r="AL128">
            <v>5340</v>
          </cell>
          <cell r="AO128">
            <v>0</v>
          </cell>
          <cell r="AP128" t="e">
            <v>#REF!</v>
          </cell>
          <cell r="AQ128">
            <v>0</v>
          </cell>
          <cell r="AR128">
            <v>0</v>
          </cell>
          <cell r="AU128">
            <v>0</v>
          </cell>
        </row>
        <row r="129">
          <cell r="P129">
            <v>0</v>
          </cell>
          <cell r="S129">
            <v>-680</v>
          </cell>
          <cell r="X129">
            <v>0</v>
          </cell>
          <cell r="Y129">
            <v>0</v>
          </cell>
          <cell r="Z129">
            <v>0</v>
          </cell>
          <cell r="AC129">
            <v>0</v>
          </cell>
          <cell r="AD129">
            <v>0</v>
          </cell>
          <cell r="AE129">
            <v>0</v>
          </cell>
          <cell r="AF129">
            <v>0</v>
          </cell>
          <cell r="AG129">
            <v>0</v>
          </cell>
          <cell r="AH129">
            <v>0</v>
          </cell>
          <cell r="AJ129">
            <v>0</v>
          </cell>
          <cell r="AK129">
            <v>-2031.60757575756</v>
          </cell>
          <cell r="AL129">
            <v>3974.6157760236601</v>
          </cell>
          <cell r="AM129">
            <v>-6871.4733517812419</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-609.48227272726797</v>
          </cell>
          <cell r="AN131">
            <v>0</v>
          </cell>
          <cell r="AP131" t="e">
            <v>#REF!</v>
          </cell>
          <cell r="AR131" t="e">
            <v>#REF!</v>
          </cell>
          <cell r="AU131">
            <v>0</v>
          </cell>
          <cell r="AW131">
            <v>0</v>
          </cell>
        </row>
        <row r="132">
          <cell r="P132">
            <v>0</v>
          </cell>
          <cell r="X132">
            <v>0</v>
          </cell>
          <cell r="AC132">
            <v>0</v>
          </cell>
          <cell r="AJ132">
            <v>0</v>
          </cell>
          <cell r="AK132">
            <v>24039.120212121197</v>
          </cell>
          <cell r="AL132">
            <v>13754.883975903613</v>
          </cell>
          <cell r="AM132">
            <v>9418.9862362175918</v>
          </cell>
          <cell r="AO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K134">
            <v>56002</v>
          </cell>
          <cell r="AM134">
            <v>56002</v>
          </cell>
          <cell r="AN134">
            <v>0</v>
          </cell>
          <cell r="AO134">
            <v>0</v>
          </cell>
          <cell r="AP134" t="e">
            <v>#REF!</v>
          </cell>
          <cell r="AU134" t="e">
            <v>#DIV/0!</v>
          </cell>
        </row>
        <row r="135">
          <cell r="P135">
            <v>0</v>
          </cell>
          <cell r="X135">
            <v>0</v>
          </cell>
          <cell r="AC135">
            <v>0</v>
          </cell>
          <cell r="AJ135">
            <v>0</v>
          </cell>
          <cell r="AK135">
            <v>-6871.4733517812419</v>
          </cell>
          <cell r="AM135">
            <v>58108</v>
          </cell>
          <cell r="AN135">
            <v>0</v>
          </cell>
          <cell r="AO135">
            <v>0</v>
          </cell>
          <cell r="AP135">
            <v>0</v>
          </cell>
          <cell r="AQ135">
            <v>0</v>
          </cell>
          <cell r="AU135">
            <v>0</v>
          </cell>
        </row>
        <row r="136">
          <cell r="P136">
            <v>0</v>
          </cell>
          <cell r="X136">
            <v>0</v>
          </cell>
          <cell r="AC136">
            <v>0</v>
          </cell>
          <cell r="AJ136">
            <v>0</v>
          </cell>
          <cell r="AK136">
            <v>35.44</v>
          </cell>
          <cell r="AN136" t="e">
            <v>#DIV/0!</v>
          </cell>
          <cell r="AO136">
            <v>0</v>
          </cell>
        </row>
        <row r="137">
          <cell r="P137">
            <v>0</v>
          </cell>
          <cell r="X137">
            <v>0</v>
          </cell>
          <cell r="AC137">
            <v>0</v>
          </cell>
          <cell r="AJ137">
            <v>0</v>
          </cell>
          <cell r="AK137">
            <v>39.79</v>
          </cell>
          <cell r="AM137">
            <v>82229</v>
          </cell>
          <cell r="AN137" t="e">
            <v>#DIV/0!</v>
          </cell>
          <cell r="AO137">
            <v>0</v>
          </cell>
          <cell r="AP137">
            <v>36.19</v>
          </cell>
          <cell r="AQ137">
            <v>0</v>
          </cell>
          <cell r="AU137" t="e">
            <v>#DIV/0!</v>
          </cell>
        </row>
        <row r="138">
          <cell r="P138">
            <v>0</v>
          </cell>
          <cell r="X138">
            <v>0</v>
          </cell>
          <cell r="AC138">
            <v>0</v>
          </cell>
          <cell r="AJ138">
            <v>0</v>
          </cell>
          <cell r="AK138">
            <v>0</v>
          </cell>
          <cell r="AN138">
            <v>0</v>
          </cell>
          <cell r="AO138">
            <v>0</v>
          </cell>
        </row>
        <row r="139">
          <cell r="P139">
            <v>0</v>
          </cell>
          <cell r="X139">
            <v>0</v>
          </cell>
          <cell r="AC139">
            <v>0</v>
          </cell>
          <cell r="AJ139">
            <v>0</v>
          </cell>
          <cell r="AK139">
            <v>52.04</v>
          </cell>
          <cell r="AN139">
            <v>0</v>
          </cell>
          <cell r="AO139" t="e">
            <v>#DIV/0!</v>
          </cell>
          <cell r="AP139" t="e">
            <v>#REF!</v>
          </cell>
          <cell r="AU139" t="e">
            <v>#DIV/0!</v>
          </cell>
        </row>
        <row r="140">
          <cell r="P140">
            <v>0</v>
          </cell>
          <cell r="X140">
            <v>0</v>
          </cell>
          <cell r="AC140">
            <v>0</v>
          </cell>
          <cell r="AJ140">
            <v>0</v>
          </cell>
          <cell r="AK140">
            <v>10.96</v>
          </cell>
          <cell r="AN140" t="e">
            <v>#DIV/0!</v>
          </cell>
          <cell r="AO140" t="e">
            <v>#DIV/0!</v>
          </cell>
          <cell r="AP140">
            <v>180931</v>
          </cell>
          <cell r="AQ140">
            <v>180931</v>
          </cell>
        </row>
        <row r="141">
          <cell r="C141" t="str">
            <v>коп/кВтг</v>
          </cell>
          <cell r="P141">
            <v>0</v>
          </cell>
          <cell r="X141">
            <v>0</v>
          </cell>
          <cell r="AC141">
            <v>0</v>
          </cell>
          <cell r="AJ141">
            <v>0</v>
          </cell>
          <cell r="AK141">
            <v>0</v>
          </cell>
          <cell r="AO141">
            <v>0</v>
          </cell>
        </row>
        <row r="142">
          <cell r="P142">
            <v>0</v>
          </cell>
          <cell r="X142">
            <v>0</v>
          </cell>
          <cell r="AC142">
            <v>0</v>
          </cell>
          <cell r="AJ142">
            <v>0</v>
          </cell>
          <cell r="AK142">
            <v>10.72</v>
          </cell>
          <cell r="AN142">
            <v>0</v>
          </cell>
          <cell r="AP142">
            <v>0</v>
          </cell>
        </row>
        <row r="143">
          <cell r="P143">
            <v>0</v>
          </cell>
          <cell r="Q143">
            <v>0</v>
          </cell>
          <cell r="X143">
            <v>0</v>
          </cell>
          <cell r="AC143">
            <v>0</v>
          </cell>
          <cell r="AJ143">
            <v>0</v>
          </cell>
          <cell r="AK143">
            <v>43363</v>
          </cell>
          <cell r="AL143">
            <v>43363</v>
          </cell>
          <cell r="AO143" t="e">
            <v>#DIV/0!</v>
          </cell>
          <cell r="AP143">
            <v>2601</v>
          </cell>
        </row>
        <row r="144">
          <cell r="P144">
            <v>0</v>
          </cell>
          <cell r="X144">
            <v>0</v>
          </cell>
          <cell r="AC144">
            <v>0</v>
          </cell>
          <cell r="AJ144">
            <v>0</v>
          </cell>
          <cell r="AK144">
            <v>56960</v>
          </cell>
          <cell r="AL144">
            <v>56960</v>
          </cell>
          <cell r="AN144">
            <v>0</v>
          </cell>
          <cell r="AP144" t="e">
            <v>#REF!</v>
          </cell>
          <cell r="AQ144">
            <v>180931</v>
          </cell>
          <cell r="AR144" t="e">
            <v>#REF!</v>
          </cell>
          <cell r="AU144">
            <v>0</v>
          </cell>
        </row>
        <row r="145">
          <cell r="P145">
            <v>0</v>
          </cell>
          <cell r="X145">
            <v>0</v>
          </cell>
          <cell r="AC145">
            <v>0</v>
          </cell>
          <cell r="AJ145">
            <v>0</v>
          </cell>
          <cell r="AK145">
            <v>11.11</v>
          </cell>
          <cell r="AO145" t="e">
            <v>#DIV/0!</v>
          </cell>
          <cell r="AP145">
            <v>0</v>
          </cell>
        </row>
        <row r="146">
          <cell r="P146">
            <v>0</v>
          </cell>
          <cell r="X146">
            <v>0</v>
          </cell>
          <cell r="AC146">
            <v>0</v>
          </cell>
          <cell r="AJ146">
            <v>0</v>
          </cell>
          <cell r="AK146">
            <v>15200.952380952382</v>
          </cell>
          <cell r="AL146">
            <v>-42411.38422397634</v>
          </cell>
          <cell r="AM146">
            <v>-62873.473351781242</v>
          </cell>
          <cell r="AP146" t="e">
            <v>#REF!</v>
          </cell>
          <cell r="AQ146">
            <v>180931</v>
          </cell>
          <cell r="AR146" t="e">
            <v>#REF!</v>
          </cell>
        </row>
        <row r="147">
          <cell r="P147">
            <v>0</v>
          </cell>
          <cell r="S147">
            <v>0</v>
          </cell>
          <cell r="X147">
            <v>0</v>
          </cell>
          <cell r="AC147">
            <v>0</v>
          </cell>
          <cell r="AJ147">
            <v>0</v>
          </cell>
          <cell r="AK147">
            <v>865.25</v>
          </cell>
          <cell r="AL147">
            <v>-46268.907419299605</v>
          </cell>
          <cell r="AM147">
            <v>-63240.236520094339</v>
          </cell>
          <cell r="AU147">
            <v>5009</v>
          </cell>
          <cell r="AV147">
            <v>15955</v>
          </cell>
          <cell r="AW147">
            <v>12308.438909090908</v>
          </cell>
          <cell r="AX147" t="e">
            <v>#REF!</v>
          </cell>
        </row>
        <row r="148">
          <cell r="P148">
            <v>0</v>
          </cell>
          <cell r="S148">
            <v>0</v>
          </cell>
          <cell r="X148">
            <v>0</v>
          </cell>
          <cell r="AC148">
            <v>0</v>
          </cell>
          <cell r="AJ148">
            <v>0</v>
          </cell>
          <cell r="AK148">
            <v>865.25</v>
          </cell>
          <cell r="AP148" t="e">
            <v>#REF!</v>
          </cell>
          <cell r="AQ148" t="e">
            <v>#REF!</v>
          </cell>
          <cell r="AR148" t="e">
            <v>#REF!</v>
          </cell>
        </row>
        <row r="149">
          <cell r="P149">
            <v>0</v>
          </cell>
          <cell r="X149">
            <v>0</v>
          </cell>
          <cell r="AC149">
            <v>0</v>
          </cell>
          <cell r="AJ149">
            <v>0</v>
          </cell>
          <cell r="AK149">
            <v>99365</v>
          </cell>
          <cell r="AL149">
            <v>43363</v>
          </cell>
          <cell r="AM149">
            <v>56002</v>
          </cell>
          <cell r="AN149">
            <v>0</v>
          </cell>
        </row>
        <row r="150">
          <cell r="C150">
            <v>0</v>
          </cell>
          <cell r="N150">
            <v>0</v>
          </cell>
          <cell r="P150">
            <v>0</v>
          </cell>
          <cell r="Q150">
            <v>0</v>
          </cell>
          <cell r="S150">
            <v>0</v>
          </cell>
          <cell r="T150">
            <v>0</v>
          </cell>
          <cell r="X150">
            <v>0</v>
          </cell>
          <cell r="Y150">
            <v>0</v>
          </cell>
          <cell r="AC150">
            <v>0</v>
          </cell>
          <cell r="AJ150">
            <v>0</v>
          </cell>
          <cell r="AK150">
            <v>0</v>
          </cell>
          <cell r="AL150">
            <v>56960</v>
          </cell>
          <cell r="AM150">
            <v>58108</v>
          </cell>
          <cell r="AN150">
            <v>0</v>
          </cell>
          <cell r="AO150">
            <v>0</v>
          </cell>
        </row>
        <row r="151">
          <cell r="AK151">
            <v>102388</v>
          </cell>
          <cell r="AL151">
            <v>46386</v>
          </cell>
          <cell r="AM151">
            <v>56002</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K152">
            <v>0</v>
          </cell>
          <cell r="AL152">
            <v>57720</v>
          </cell>
          <cell r="AM152">
            <v>82229</v>
          </cell>
          <cell r="AN152">
            <v>197</v>
          </cell>
          <cell r="AO152">
            <v>5507</v>
          </cell>
          <cell r="AP152">
            <v>9542.2601818181811</v>
          </cell>
          <cell r="AQ152">
            <v>10450.050256024355</v>
          </cell>
        </row>
        <row r="153">
          <cell r="C153">
            <v>916.24199999999996</v>
          </cell>
          <cell r="AK153">
            <v>-1.9</v>
          </cell>
          <cell r="AL153">
            <v>9.4</v>
          </cell>
          <cell r="AM153">
            <v>-10.9</v>
          </cell>
          <cell r="AO153">
            <v>2093</v>
          </cell>
          <cell r="AP153">
            <v>5098</v>
          </cell>
          <cell r="AQ153">
            <v>4891.9653693155615</v>
          </cell>
          <cell r="AR153">
            <v>11328.349456446114</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14.437928426710897</v>
          </cell>
          <cell r="AL154">
            <v>-100</v>
          </cell>
          <cell r="AM154">
            <v>-100</v>
          </cell>
          <cell r="AN154">
            <v>0</v>
          </cell>
        </row>
        <row r="155">
          <cell r="N155">
            <v>0</v>
          </cell>
          <cell r="P155">
            <v>0</v>
          </cell>
          <cell r="Q155">
            <v>0</v>
          </cell>
          <cell r="S155">
            <v>0</v>
          </cell>
          <cell r="T155">
            <v>70</v>
          </cell>
          <cell r="X155">
            <v>-70</v>
          </cell>
          <cell r="Y155">
            <v>24</v>
          </cell>
          <cell r="AC155">
            <v>-24</v>
          </cell>
          <cell r="AJ155">
            <v>0</v>
          </cell>
          <cell r="AK155">
            <v>0</v>
          </cell>
          <cell r="AL155">
            <v>0</v>
          </cell>
          <cell r="AM155">
            <v>0</v>
          </cell>
          <cell r="AO155">
            <v>2449</v>
          </cell>
          <cell r="AP155" t="e">
            <v>#REF!</v>
          </cell>
          <cell r="AQ155">
            <v>5344.308649356225</v>
          </cell>
          <cell r="AR155">
            <v>14571.544133725103</v>
          </cell>
        </row>
        <row r="156">
          <cell r="N156">
            <v>0</v>
          </cell>
          <cell r="P156">
            <v>0</v>
          </cell>
          <cell r="Q156">
            <v>0</v>
          </cell>
          <cell r="S156">
            <v>0</v>
          </cell>
          <cell r="T156">
            <v>0</v>
          </cell>
          <cell r="X156">
            <v>0</v>
          </cell>
          <cell r="Y156">
            <v>0</v>
          </cell>
          <cell r="AC156">
            <v>0</v>
          </cell>
          <cell r="AJ156">
            <v>0</v>
          </cell>
          <cell r="AK156">
            <v>20.6</v>
          </cell>
          <cell r="AL156">
            <v>31.3</v>
          </cell>
          <cell r="AM156">
            <v>12.9</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I157">
            <v>0</v>
          </cell>
          <cell r="AJ157">
            <v>0</v>
          </cell>
          <cell r="AK157">
            <v>0</v>
          </cell>
          <cell r="AL157">
            <v>-100</v>
          </cell>
          <cell r="AM157">
            <v>-100</v>
          </cell>
          <cell r="AP157" t="e">
            <v>#REF!</v>
          </cell>
        </row>
        <row r="158">
          <cell r="C158" t="e">
            <v>#REF!</v>
          </cell>
          <cell r="N158">
            <v>47</v>
          </cell>
          <cell r="P158">
            <v>-47</v>
          </cell>
          <cell r="Q158">
            <v>140</v>
          </cell>
          <cell r="S158">
            <v>-140</v>
          </cell>
          <cell r="T158">
            <v>105</v>
          </cell>
          <cell r="X158">
            <v>-105</v>
          </cell>
          <cell r="Y158">
            <v>190</v>
          </cell>
          <cell r="AC158">
            <v>-190</v>
          </cell>
          <cell r="AF158">
            <v>260</v>
          </cell>
          <cell r="AG158">
            <v>260</v>
          </cell>
          <cell r="AH158">
            <v>0</v>
          </cell>
          <cell r="AJ158">
            <v>0</v>
          </cell>
          <cell r="AK158">
            <v>3115</v>
          </cell>
          <cell r="AL158">
            <v>0</v>
          </cell>
          <cell r="AM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F159">
            <v>67.2</v>
          </cell>
          <cell r="AG159">
            <v>67.2</v>
          </cell>
          <cell r="AH159">
            <v>0</v>
          </cell>
          <cell r="AJ159">
            <v>0</v>
          </cell>
          <cell r="AK159">
            <v>1577</v>
          </cell>
          <cell r="AP159" t="e">
            <v>#REF!</v>
          </cell>
        </row>
        <row r="160">
          <cell r="C160" t="e">
            <v>#REF!</v>
          </cell>
          <cell r="N160">
            <v>1295.5</v>
          </cell>
          <cell r="P160">
            <v>-1295.5</v>
          </cell>
          <cell r="Q160">
            <v>280</v>
          </cell>
          <cell r="S160">
            <v>-280</v>
          </cell>
          <cell r="X160">
            <v>0</v>
          </cell>
          <cell r="Y160">
            <v>1196.7</v>
          </cell>
          <cell r="AC160">
            <v>-1196.7</v>
          </cell>
          <cell r="AF160">
            <v>56</v>
          </cell>
          <cell r="AG160">
            <v>56</v>
          </cell>
          <cell r="AH160">
            <v>0</v>
          </cell>
          <cell r="AI160">
            <v>436.44</v>
          </cell>
          <cell r="AJ160">
            <v>0</v>
          </cell>
          <cell r="AK160">
            <v>1455</v>
          </cell>
        </row>
        <row r="161">
          <cell r="N161">
            <v>0</v>
          </cell>
          <cell r="P161">
            <v>0</v>
          </cell>
          <cell r="Q161">
            <v>2287.7454545454548</v>
          </cell>
          <cell r="S161">
            <v>-2287.7454545454548</v>
          </cell>
          <cell r="X161">
            <v>0</v>
          </cell>
          <cell r="Y161">
            <v>0</v>
          </cell>
          <cell r="AC161">
            <v>0</v>
          </cell>
          <cell r="AF161">
            <v>1203</v>
          </cell>
          <cell r="AG161">
            <v>530</v>
          </cell>
          <cell r="AH161">
            <v>673</v>
          </cell>
          <cell r="AJ161">
            <v>0</v>
          </cell>
          <cell r="AK161">
            <v>0</v>
          </cell>
          <cell r="AP161" t="e">
            <v>#REF!</v>
          </cell>
        </row>
        <row r="162">
          <cell r="C162" t="e">
            <v>#REF!</v>
          </cell>
          <cell r="N162" t="e">
            <v>#REF!</v>
          </cell>
          <cell r="P162" t="e">
            <v>#REF!</v>
          </cell>
          <cell r="Q162">
            <v>776</v>
          </cell>
          <cell r="S162">
            <v>-776</v>
          </cell>
          <cell r="X162">
            <v>0</v>
          </cell>
          <cell r="Y162" t="e">
            <v>#REF!</v>
          </cell>
          <cell r="AB162">
            <v>9</v>
          </cell>
          <cell r="AC162" t="e">
            <v>#REF!</v>
          </cell>
          <cell r="AF162">
            <v>560</v>
          </cell>
          <cell r="AG162">
            <v>500</v>
          </cell>
          <cell r="AH162">
            <v>60</v>
          </cell>
          <cell r="AJ162">
            <v>0</v>
          </cell>
          <cell r="AK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P167">
            <v>0</v>
          </cell>
          <cell r="Q167">
            <v>13559.514000000001</v>
          </cell>
          <cell r="S167">
            <v>0</v>
          </cell>
          <cell r="T167">
            <v>876.30400000002464</v>
          </cell>
          <cell r="X167">
            <v>0</v>
          </cell>
          <cell r="Y167">
            <v>912.96000000001436</v>
          </cell>
          <cell r="AC167">
            <v>0</v>
          </cell>
          <cell r="AE167">
            <v>-6947.0430909090901</v>
          </cell>
          <cell r="AF167">
            <v>157.90909090909091</v>
          </cell>
          <cell r="AG167">
            <v>2466</v>
          </cell>
          <cell r="AH167">
            <v>2561</v>
          </cell>
          <cell r="AK167">
            <v>459</v>
          </cell>
          <cell r="AN167" t="e">
            <v>#REF!</v>
          </cell>
          <cell r="AP167" t="e">
            <v>#REF!</v>
          </cell>
        </row>
        <row r="168">
          <cell r="C168" t="e">
            <v>#REF!</v>
          </cell>
          <cell r="N168">
            <v>1614.15</v>
          </cell>
          <cell r="P168">
            <v>0</v>
          </cell>
          <cell r="S168">
            <v>0</v>
          </cell>
          <cell r="X168">
            <v>0</v>
          </cell>
          <cell r="AC168">
            <v>0</v>
          </cell>
          <cell r="AF168">
            <v>0</v>
          </cell>
          <cell r="AG168">
            <v>0</v>
          </cell>
          <cell r="AH168">
            <v>0</v>
          </cell>
          <cell r="AK168">
            <v>0</v>
          </cell>
        </row>
        <row r="169">
          <cell r="C169" t="e">
            <v>#REF!</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C170" t="e">
            <v>#REF!</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P171">
            <v>0</v>
          </cell>
          <cell r="Q171">
            <v>0</v>
          </cell>
          <cell r="R171">
            <v>0</v>
          </cell>
          <cell r="S171">
            <v>331</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I171">
            <v>0</v>
          </cell>
          <cell r="AJ171">
            <v>0</v>
          </cell>
          <cell r="AK171">
            <v>331</v>
          </cell>
          <cell r="AV171">
            <v>1507.2</v>
          </cell>
        </row>
        <row r="172">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0</v>
          </cell>
          <cell r="AH172">
            <v>0</v>
          </cell>
          <cell r="AJ172">
            <v>0</v>
          </cell>
          <cell r="AK172">
            <v>0</v>
          </cell>
        </row>
        <row r="173">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0</v>
          </cell>
        </row>
        <row r="174">
          <cell r="C174" t="str">
            <v>АПАРАТ ВСЬОГО</v>
          </cell>
          <cell r="D174" t="str">
            <v>АПАРАТ ЕЛЕКТРО</v>
          </cell>
          <cell r="E174" t="str">
            <v>АПАРАТ ТЕПЛО</v>
          </cell>
          <cell r="N174" t="str">
            <v>ККМ</v>
          </cell>
          <cell r="P174">
            <v>0</v>
          </cell>
          <cell r="Q174" t="str">
            <v>КТМ</v>
          </cell>
          <cell r="R174">
            <v>0</v>
          </cell>
          <cell r="S174">
            <v>0</v>
          </cell>
          <cell r="T174">
            <v>0</v>
          </cell>
          <cell r="U174">
            <v>250</v>
          </cell>
          <cell r="V174">
            <v>0</v>
          </cell>
          <cell r="W174">
            <v>0</v>
          </cell>
          <cell r="X174">
            <v>0</v>
          </cell>
          <cell r="Y174" t="str">
            <v>ТЕЦ-6 ВСЬОГО</v>
          </cell>
          <cell r="Z174" t="str">
            <v>Е/Е</v>
          </cell>
          <cell r="AA174" t="str">
            <v xml:space="preserve"> Т/Е</v>
          </cell>
          <cell r="AB174">
            <v>0</v>
          </cell>
          <cell r="AC174">
            <v>0</v>
          </cell>
          <cell r="AE174">
            <v>0</v>
          </cell>
          <cell r="AF174">
            <v>0</v>
          </cell>
          <cell r="AG174">
            <v>0</v>
          </cell>
          <cell r="AH174">
            <v>0</v>
          </cell>
          <cell r="AJ174">
            <v>0</v>
          </cell>
          <cell r="AK174">
            <v>8992</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P175">
            <v>726</v>
          </cell>
          <cell r="Q175">
            <v>1.895</v>
          </cell>
          <cell r="R175">
            <v>0</v>
          </cell>
          <cell r="S175">
            <v>1685</v>
          </cell>
          <cell r="T175">
            <v>625.85363636363627</v>
          </cell>
          <cell r="U175">
            <v>1.895</v>
          </cell>
          <cell r="V175">
            <v>1.895</v>
          </cell>
          <cell r="W175">
            <v>0</v>
          </cell>
          <cell r="X175">
            <v>653</v>
          </cell>
          <cell r="Y175">
            <v>1.895</v>
          </cell>
          <cell r="Z175">
            <v>1.895</v>
          </cell>
          <cell r="AA175">
            <v>1.895</v>
          </cell>
          <cell r="AB175">
            <v>0</v>
          </cell>
          <cell r="AC175">
            <v>542</v>
          </cell>
          <cell r="AF175">
            <v>1440</v>
          </cell>
          <cell r="AG175">
            <v>1281</v>
          </cell>
          <cell r="AH175">
            <v>159</v>
          </cell>
          <cell r="AJ175">
            <v>0</v>
          </cell>
          <cell r="AK175">
            <v>5605</v>
          </cell>
          <cell r="AN175">
            <v>1.895</v>
          </cell>
          <cell r="AO175">
            <v>699</v>
          </cell>
          <cell r="AP175">
            <v>1.895</v>
          </cell>
          <cell r="AQ175">
            <v>1.895</v>
          </cell>
          <cell r="AU175">
            <v>1.905</v>
          </cell>
          <cell r="AV175">
            <v>1.895</v>
          </cell>
        </row>
        <row r="176">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cell r="AJ176">
            <v>0</v>
          </cell>
          <cell r="AK176">
            <v>0</v>
          </cell>
          <cell r="AO176">
            <v>247</v>
          </cell>
          <cell r="AP176">
            <v>610</v>
          </cell>
          <cell r="AQ176">
            <v>920.25</v>
          </cell>
          <cell r="AR176">
            <v>2050.3572727272726</v>
          </cell>
        </row>
        <row r="177">
          <cell r="P177">
            <v>61</v>
          </cell>
          <cell r="Q177">
            <v>132.19999999999999</v>
          </cell>
          <cell r="R177">
            <v>0</v>
          </cell>
          <cell r="S177">
            <v>28</v>
          </cell>
          <cell r="T177">
            <v>21</v>
          </cell>
          <cell r="U177">
            <v>0</v>
          </cell>
          <cell r="V177">
            <v>0</v>
          </cell>
          <cell r="W177">
            <v>0</v>
          </cell>
          <cell r="X177">
            <v>494</v>
          </cell>
          <cell r="Y177">
            <v>68.7</v>
          </cell>
          <cell r="Z177">
            <v>145.36363636363637</v>
          </cell>
          <cell r="AA177">
            <v>0</v>
          </cell>
          <cell r="AB177">
            <v>0</v>
          </cell>
          <cell r="AC177">
            <v>41</v>
          </cell>
          <cell r="AD177">
            <v>88</v>
          </cell>
          <cell r="AE177">
            <v>103.18181818181819</v>
          </cell>
          <cell r="AF177">
            <v>15</v>
          </cell>
          <cell r="AG177">
            <v>14</v>
          </cell>
          <cell r="AH177">
            <v>1</v>
          </cell>
          <cell r="AI177">
            <v>0</v>
          </cell>
          <cell r="AJ177">
            <v>0</v>
          </cell>
          <cell r="AK177">
            <v>47.18439393939866</v>
          </cell>
          <cell r="AN177">
            <v>172</v>
          </cell>
          <cell r="AO177">
            <v>372</v>
          </cell>
          <cell r="AP177">
            <v>200.89999999999998</v>
          </cell>
          <cell r="AQ177">
            <v>47.666666666666657</v>
          </cell>
          <cell r="AU177">
            <v>251.12700000000001</v>
          </cell>
        </row>
        <row r="178">
          <cell r="P178">
            <v>962.45</v>
          </cell>
          <cell r="Q178">
            <v>150.5</v>
          </cell>
          <cell r="R178">
            <v>0</v>
          </cell>
          <cell r="S178">
            <v>2034.72</v>
          </cell>
          <cell r="T178">
            <v>659.81780000000003</v>
          </cell>
          <cell r="U178">
            <v>150.5</v>
          </cell>
          <cell r="V178">
            <v>0</v>
          </cell>
          <cell r="W178">
            <v>0</v>
          </cell>
          <cell r="X178">
            <v>830.12099999999998</v>
          </cell>
          <cell r="Y178">
            <v>78.3</v>
          </cell>
          <cell r="AA178">
            <v>0</v>
          </cell>
          <cell r="AB178">
            <v>0</v>
          </cell>
          <cell r="AC178">
            <v>689.86</v>
          </cell>
          <cell r="AF178">
            <v>1784.8600000000001</v>
          </cell>
          <cell r="AG178">
            <v>1697.909090909091</v>
          </cell>
          <cell r="AH178">
            <v>86.950909090909136</v>
          </cell>
          <cell r="AJ178">
            <v>0</v>
          </cell>
          <cell r="AK178">
            <v>7462.360090909091</v>
          </cell>
          <cell r="AO178">
            <v>292</v>
          </cell>
          <cell r="AP178">
            <v>228.8</v>
          </cell>
          <cell r="AQ178">
            <v>1068.45</v>
          </cell>
          <cell r="AR178">
            <v>2428.0464545454552</v>
          </cell>
          <cell r="AU178">
            <v>288.28500000000003</v>
          </cell>
        </row>
        <row r="179">
          <cell r="N179">
            <v>0</v>
          </cell>
          <cell r="P179">
            <v>450</v>
          </cell>
          <cell r="Q179">
            <v>82.5</v>
          </cell>
          <cell r="R179">
            <v>0</v>
          </cell>
          <cell r="S179">
            <v>688.5</v>
          </cell>
          <cell r="T179">
            <v>0</v>
          </cell>
          <cell r="U179">
            <v>82.5</v>
          </cell>
          <cell r="V179">
            <v>0</v>
          </cell>
          <cell r="W179">
            <v>0</v>
          </cell>
          <cell r="X179">
            <v>416.54545454545456</v>
          </cell>
          <cell r="Y179">
            <v>82.5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P179">
            <v>82.5</v>
          </cell>
          <cell r="AU179">
            <v>66</v>
          </cell>
        </row>
        <row r="180">
          <cell r="N180">
            <v>0</v>
          </cell>
          <cell r="P180">
            <v>759</v>
          </cell>
          <cell r="Q180">
            <v>156.34</v>
          </cell>
          <cell r="R180">
            <v>0</v>
          </cell>
          <cell r="S180">
            <v>4214.0000000000009</v>
          </cell>
          <cell r="T180">
            <v>13.666666666666666</v>
          </cell>
          <cell r="U180">
            <v>156.34</v>
          </cell>
          <cell r="V180">
            <v>0</v>
          </cell>
          <cell r="W180">
            <v>0</v>
          </cell>
          <cell r="X180">
            <v>502.99999999999835</v>
          </cell>
          <cell r="Y180">
            <v>156.34</v>
          </cell>
          <cell r="AA180">
            <v>0</v>
          </cell>
          <cell r="AB180">
            <v>0</v>
          </cell>
          <cell r="AC180">
            <v>383</v>
          </cell>
          <cell r="AF180">
            <v>1919</v>
          </cell>
          <cell r="AG180">
            <v>1091.0999999999999</v>
          </cell>
          <cell r="AH180">
            <v>827.90000000000009</v>
          </cell>
          <cell r="AJ180">
            <v>0</v>
          </cell>
          <cell r="AK180">
            <v>7665.7360636363592</v>
          </cell>
          <cell r="AO180">
            <v>1507.2</v>
          </cell>
          <cell r="AP180">
            <v>156.34</v>
          </cell>
          <cell r="AQ180">
            <v>-107</v>
          </cell>
          <cell r="AR180">
            <v>-55</v>
          </cell>
          <cell r="AU180">
            <v>125.73</v>
          </cell>
        </row>
        <row r="181">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N181" t="str">
            <v>ОЧИК.18.02.</v>
          </cell>
          <cell r="AP181">
            <v>31409</v>
          </cell>
          <cell r="AU181">
            <v>31574</v>
          </cell>
        </row>
        <row r="182">
          <cell r="AO182" t="str">
            <v>ОЧИК.18.02.</v>
          </cell>
          <cell r="AP182">
            <v>31409</v>
          </cell>
          <cell r="AU182" t="e">
            <v>#REF!</v>
          </cell>
        </row>
        <row r="183">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P183">
            <v>52.1</v>
          </cell>
          <cell r="AU183">
            <v>67.933000000000007</v>
          </cell>
        </row>
        <row r="184">
          <cell r="P184" t="str">
            <v>ККМ</v>
          </cell>
          <cell r="Q184">
            <v>0</v>
          </cell>
          <cell r="S184" t="str">
            <v>КТМ</v>
          </cell>
          <cell r="U184">
            <v>0</v>
          </cell>
          <cell r="X184" t="str">
            <v>ТЕЦ-5 ВСЬОГО</v>
          </cell>
          <cell r="Y184">
            <v>71.3</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v>71.3</v>
          </cell>
          <cell r="AQ184" t="str">
            <v>МЕРЕЖІ ТЕПЛОВІ</v>
          </cell>
          <cell r="AU184">
            <v>91.201999999999998</v>
          </cell>
        </row>
        <row r="185">
          <cell r="C185">
            <v>75</v>
          </cell>
          <cell r="N185">
            <v>75</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cell r="AU185">
            <v>98.96042216358839</v>
          </cell>
        </row>
        <row r="186">
          <cell r="Q186">
            <v>187.53</v>
          </cell>
          <cell r="U186">
            <v>0</v>
          </cell>
          <cell r="Y186">
            <v>187.53</v>
          </cell>
          <cell r="AP186">
            <v>187.53</v>
          </cell>
          <cell r="AU186">
            <v>187.53</v>
          </cell>
        </row>
        <row r="187">
          <cell r="P187" t="str">
            <v>ККМ</v>
          </cell>
          <cell r="Q187">
            <v>0</v>
          </cell>
          <cell r="S187">
            <v>97.3</v>
          </cell>
          <cell r="T187">
            <v>0</v>
          </cell>
          <cell r="X187">
            <v>89.2</v>
          </cell>
          <cell r="Y187">
            <v>9770</v>
          </cell>
          <cell r="Z187" t="str">
            <v xml:space="preserve"> Т/Е</v>
          </cell>
          <cell r="AC187">
            <v>73.2</v>
          </cell>
          <cell r="AD187" t="str">
            <v>Е/Е</v>
          </cell>
          <cell r="AE187" t="str">
            <v xml:space="preserve"> Т/Е</v>
          </cell>
          <cell r="AF187" t="str">
            <v>Е/Е</v>
          </cell>
          <cell r="AG187" t="str">
            <v xml:space="preserve"> Т/Е</v>
          </cell>
          <cell r="AJ187" t="str">
            <v>ДОП.ВИР. СТ.ОРГ.</v>
          </cell>
          <cell r="AK187">
            <v>259.7</v>
          </cell>
          <cell r="AL187" t="str">
            <v>Е/Е</v>
          </cell>
          <cell r="AM187" t="str">
            <v xml:space="preserve"> Т/Е</v>
          </cell>
          <cell r="AN187">
            <v>221.49122807017542</v>
          </cell>
          <cell r="AO187" t="str">
            <v>СТАНЦІї ЕЛЕКТРО</v>
          </cell>
          <cell r="AP187">
            <v>9770</v>
          </cell>
          <cell r="AQ187" t="str">
            <v>МЕРЕЖІ ЕЛЕКТРО</v>
          </cell>
          <cell r="AR187" t="str">
            <v>МЕРЕЖІ ТЕПЛОВІ</v>
          </cell>
          <cell r="AU187">
            <v>12739</v>
          </cell>
        </row>
        <row r="188">
          <cell r="S188">
            <v>111.9</v>
          </cell>
          <cell r="X188">
            <v>102.5</v>
          </cell>
          <cell r="AC188">
            <v>84.2</v>
          </cell>
          <cell r="AK188">
            <v>298.60000000000002</v>
          </cell>
          <cell r="AN188">
            <v>252.49999999999997</v>
          </cell>
          <cell r="AO188">
            <v>221.49122807017542</v>
          </cell>
          <cell r="AP188">
            <v>9770</v>
          </cell>
          <cell r="AU188" t="e">
            <v>#REF!</v>
          </cell>
        </row>
        <row r="189">
          <cell r="P189">
            <v>0</v>
          </cell>
          <cell r="Q189">
            <v>150.5</v>
          </cell>
          <cell r="S189">
            <v>0</v>
          </cell>
          <cell r="T189">
            <v>0</v>
          </cell>
          <cell r="U189">
            <v>51.4</v>
          </cell>
          <cell r="V189">
            <v>-51.4</v>
          </cell>
          <cell r="X189">
            <v>0</v>
          </cell>
          <cell r="Y189">
            <v>149.6</v>
          </cell>
          <cell r="Z189">
            <v>52.7</v>
          </cell>
          <cell r="AA189">
            <v>96.899999999999991</v>
          </cell>
          <cell r="AC189">
            <v>0</v>
          </cell>
          <cell r="AK189">
            <v>377.7</v>
          </cell>
          <cell r="AN189">
            <v>66</v>
          </cell>
          <cell r="AO189">
            <v>252.49999999999997</v>
          </cell>
          <cell r="AP189">
            <v>300.10000000000002</v>
          </cell>
          <cell r="AQ189">
            <v>104.1</v>
          </cell>
          <cell r="AR189">
            <v>196</v>
          </cell>
          <cell r="AU189">
            <v>379.48700000000002</v>
          </cell>
          <cell r="AV189">
            <v>83.676000000000002</v>
          </cell>
          <cell r="AW189">
            <v>295.81100000000004</v>
          </cell>
        </row>
        <row r="190">
          <cell r="P190">
            <v>0</v>
          </cell>
          <cell r="Q190">
            <v>20668</v>
          </cell>
          <cell r="S190">
            <v>194.5</v>
          </cell>
          <cell r="T190">
            <v>0</v>
          </cell>
          <cell r="U190" t="e">
            <v>#DIV/0!</v>
          </cell>
          <cell r="V190" t="e">
            <v>#DIV/0!</v>
          </cell>
          <cell r="X190">
            <v>194.5</v>
          </cell>
          <cell r="Y190">
            <v>20511</v>
          </cell>
          <cell r="Z190">
            <v>7225</v>
          </cell>
          <cell r="AA190">
            <v>13286</v>
          </cell>
          <cell r="AC190">
            <v>194.5</v>
          </cell>
          <cell r="AK190">
            <v>194.5</v>
          </cell>
          <cell r="AN190">
            <v>0</v>
          </cell>
          <cell r="AO190">
            <v>221.49122807017542</v>
          </cell>
          <cell r="AP190" t="e">
            <v>#DIV/0!</v>
          </cell>
          <cell r="AQ190" t="e">
            <v>#DIV/0!</v>
          </cell>
          <cell r="AR190" t="e">
            <v>#DIV/0!</v>
          </cell>
          <cell r="AU190">
            <v>44313</v>
          </cell>
          <cell r="AV190">
            <v>9770.9133329995493</v>
          </cell>
          <cell r="AW190">
            <v>34542.086667000447</v>
          </cell>
        </row>
        <row r="191">
          <cell r="P191">
            <v>0</v>
          </cell>
          <cell r="Q191">
            <v>137.33000000000001</v>
          </cell>
          <cell r="S191">
            <v>18925</v>
          </cell>
          <cell r="T191" t="e">
            <v>#DIV/0!</v>
          </cell>
          <cell r="U191" t="e">
            <v>#DIV/0!</v>
          </cell>
          <cell r="V191" t="e">
            <v>#DIV/0!</v>
          </cell>
          <cell r="X191">
            <v>17350</v>
          </cell>
          <cell r="Y191">
            <v>137.11000000000001</v>
          </cell>
          <cell r="Z191">
            <v>137.1</v>
          </cell>
          <cell r="AA191">
            <v>137.11000000000001</v>
          </cell>
          <cell r="AC191">
            <v>14237</v>
          </cell>
          <cell r="AK191">
            <v>50512</v>
          </cell>
          <cell r="AN191" t="str">
            <v/>
          </cell>
          <cell r="AO191">
            <v>252.49999999999997</v>
          </cell>
          <cell r="AP191" t="e">
            <v>#DIV/0!</v>
          </cell>
          <cell r="AQ191" t="e">
            <v>#DIV/0!</v>
          </cell>
          <cell r="AR191" t="e">
            <v>#DIV/0!</v>
          </cell>
          <cell r="AU191">
            <v>116.77</v>
          </cell>
          <cell r="AV191">
            <v>116.77</v>
          </cell>
          <cell r="AW191">
            <v>116.77</v>
          </cell>
        </row>
        <row r="192">
          <cell r="P192">
            <v>0</v>
          </cell>
          <cell r="S192">
            <v>0</v>
          </cell>
          <cell r="X192">
            <v>0</v>
          </cell>
          <cell r="AC192">
            <v>0</v>
          </cell>
          <cell r="AK192">
            <v>50512</v>
          </cell>
          <cell r="AO192">
            <v>66</v>
          </cell>
          <cell r="AP192">
            <v>0</v>
          </cell>
          <cell r="AQ192">
            <v>0</v>
          </cell>
          <cell r="AR192">
            <v>0</v>
          </cell>
          <cell r="AU192">
            <v>0</v>
          </cell>
          <cell r="AV192">
            <v>0</v>
          </cell>
          <cell r="AW192">
            <v>0</v>
          </cell>
        </row>
        <row r="193">
          <cell r="P193">
            <v>0</v>
          </cell>
          <cell r="S193">
            <v>192.5</v>
          </cell>
          <cell r="T193" t="e">
            <v>#DIV/0!</v>
          </cell>
          <cell r="X193">
            <v>0</v>
          </cell>
          <cell r="Y193">
            <v>20511</v>
          </cell>
          <cell r="AC193">
            <v>0</v>
          </cell>
          <cell r="AK193">
            <v>0</v>
          </cell>
          <cell r="AO193">
            <v>0</v>
          </cell>
          <cell r="AP193" t="e">
            <v>#DIV/0!</v>
          </cell>
          <cell r="AQ193" t="e">
            <v>#DIV/0!</v>
          </cell>
          <cell r="AR193" t="e">
            <v>#DIV/0!</v>
          </cell>
          <cell r="AU193">
            <v>44313</v>
          </cell>
          <cell r="AV193">
            <v>9770.9133329995493</v>
          </cell>
          <cell r="AW193">
            <v>34542.086667000447</v>
          </cell>
        </row>
        <row r="194">
          <cell r="S194">
            <v>21522</v>
          </cell>
          <cell r="X194">
            <v>0</v>
          </cell>
          <cell r="AC194">
            <v>0</v>
          </cell>
          <cell r="AK194">
            <v>0</v>
          </cell>
          <cell r="AO194">
            <v>0</v>
          </cell>
        </row>
        <row r="195">
          <cell r="X195">
            <v>82.5</v>
          </cell>
          <cell r="AC195">
            <v>82.5</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S197">
            <v>0</v>
          </cell>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U199">
            <v>306.60000000000002</v>
          </cell>
          <cell r="V199">
            <v>112.8</v>
          </cell>
          <cell r="X199">
            <v>13.4</v>
          </cell>
          <cell r="Z199">
            <v>301.89999999999998</v>
          </cell>
          <cell r="AA199">
            <v>116.3</v>
          </cell>
          <cell r="AC199">
            <v>16.100000000000001</v>
          </cell>
          <cell r="AK199">
            <v>29.5</v>
          </cell>
          <cell r="AN199">
            <v>75.839416058394164</v>
          </cell>
        </row>
        <row r="200">
          <cell r="S200">
            <v>0</v>
          </cell>
          <cell r="U200">
            <v>130.50000000000003</v>
          </cell>
          <cell r="V200">
            <v>-50.8</v>
          </cell>
          <cell r="X200">
            <v>18.5</v>
          </cell>
          <cell r="Z200">
            <v>105.39999999999998</v>
          </cell>
          <cell r="AA200">
            <v>-47.899999999999991</v>
          </cell>
          <cell r="AC200">
            <v>22.2</v>
          </cell>
          <cell r="AK200">
            <v>40.700000000000003</v>
          </cell>
          <cell r="AN200">
            <v>103.9</v>
          </cell>
          <cell r="AO200">
            <v>75.839416058394164</v>
          </cell>
        </row>
        <row r="201">
          <cell r="P201">
            <v>75</v>
          </cell>
          <cell r="U201" t="e">
            <v>#DIV/0!</v>
          </cell>
          <cell r="V201" t="e">
            <v>#DIV/0!</v>
          </cell>
          <cell r="X201">
            <v>5.7</v>
          </cell>
          <cell r="Z201">
            <v>137.1</v>
          </cell>
          <cell r="AA201">
            <v>137.11000000000001</v>
          </cell>
          <cell r="AC201">
            <v>5.9</v>
          </cell>
          <cell r="AJ201">
            <v>0</v>
          </cell>
          <cell r="AK201">
            <v>11.600000000000001</v>
          </cell>
          <cell r="AN201" t="e">
            <v>#DIV/0!</v>
          </cell>
          <cell r="AO201">
            <v>103.9</v>
          </cell>
          <cell r="AQ201">
            <v>75</v>
          </cell>
        </row>
        <row r="202">
          <cell r="S202">
            <v>653</v>
          </cell>
          <cell r="U202" t="e">
            <v>#DIV/0!</v>
          </cell>
          <cell r="V202" t="e">
            <v>#DIV/0!</v>
          </cell>
          <cell r="X202">
            <v>653</v>
          </cell>
          <cell r="Z202">
            <v>14.450339999999997</v>
          </cell>
          <cell r="AA202">
            <v>-6.5675689999999998</v>
          </cell>
          <cell r="AC202">
            <v>653</v>
          </cell>
          <cell r="AJ202">
            <v>0</v>
          </cell>
          <cell r="AK202">
            <v>653</v>
          </cell>
          <cell r="AN202">
            <v>195.28</v>
          </cell>
          <cell r="AO202">
            <v>75.839416058394164</v>
          </cell>
          <cell r="AR202">
            <v>75</v>
          </cell>
        </row>
        <row r="203">
          <cell r="S203">
            <v>0</v>
          </cell>
          <cell r="U203" t="e">
            <v>#DIV/0!</v>
          </cell>
          <cell r="V203" t="e">
            <v>#DIV/0!</v>
          </cell>
          <cell r="X203">
            <v>8750</v>
          </cell>
          <cell r="Z203">
            <v>3874.858670999999</v>
          </cell>
          <cell r="AA203">
            <v>-3874.86571</v>
          </cell>
          <cell r="AC203">
            <v>10514</v>
          </cell>
          <cell r="AK203">
            <v>19264</v>
          </cell>
          <cell r="AN203">
            <v>14810</v>
          </cell>
          <cell r="AO203">
            <v>103.9</v>
          </cell>
          <cell r="AQ203" t="e">
            <v>#DIV/0!</v>
          </cell>
          <cell r="AR203" t="e">
            <v>#DIV/0!</v>
          </cell>
        </row>
        <row r="204">
          <cell r="S204">
            <v>0</v>
          </cell>
          <cell r="X204">
            <v>2466</v>
          </cell>
          <cell r="AC204">
            <v>2526</v>
          </cell>
          <cell r="AJ204">
            <v>0</v>
          </cell>
          <cell r="AK204">
            <v>19264</v>
          </cell>
          <cell r="AO204" t="e">
            <v>#DIV/0!</v>
          </cell>
          <cell r="AR204">
            <v>75</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cell r="AV205">
            <v>1507.2</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cell r="AQ206">
            <v>281.5</v>
          </cell>
        </row>
        <row r="207">
          <cell r="S207">
            <v>169.12</v>
          </cell>
          <cell r="X207">
            <v>215.7</v>
          </cell>
          <cell r="Y207">
            <v>319.10000000000002</v>
          </cell>
          <cell r="Z207">
            <v>169.27</v>
          </cell>
          <cell r="AA207">
            <v>13714</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S208">
            <v>128</v>
          </cell>
          <cell r="X208">
            <v>152.69999999999999</v>
          </cell>
          <cell r="Y208">
            <v>64.2</v>
          </cell>
          <cell r="Z208">
            <v>88.5</v>
          </cell>
          <cell r="AC208">
            <v>134.30000000000001</v>
          </cell>
          <cell r="AD208">
            <v>54.6</v>
          </cell>
          <cell r="AE208">
            <v>79.7</v>
          </cell>
          <cell r="AJ208" t="str">
            <v/>
          </cell>
          <cell r="AK208">
            <v>415</v>
          </cell>
          <cell r="AL208">
            <v>118.80000000000001</v>
          </cell>
          <cell r="AM208">
            <v>0</v>
          </cell>
          <cell r="AN208">
            <v>52</v>
          </cell>
          <cell r="AO208">
            <v>52</v>
          </cell>
          <cell r="AP208">
            <v>74.900000000000006</v>
          </cell>
          <cell r="AQ208">
            <v>281.5</v>
          </cell>
          <cell r="AR208" t="str">
            <v/>
          </cell>
        </row>
        <row r="209">
          <cell r="S209">
            <v>21522</v>
          </cell>
          <cell r="X209">
            <v>26100</v>
          </cell>
          <cell r="Y209">
            <v>10797</v>
          </cell>
          <cell r="Z209">
            <v>14883</v>
          </cell>
          <cell r="AA209">
            <v>14883</v>
          </cell>
          <cell r="AC209">
            <v>24751</v>
          </cell>
          <cell r="AD209">
            <v>9180</v>
          </cell>
          <cell r="AE209">
            <v>13400</v>
          </cell>
          <cell r="AK209">
            <v>69776</v>
          </cell>
          <cell r="AL209">
            <v>24610.574995654941</v>
          </cell>
          <cell r="AM209">
            <v>45165.425004345059</v>
          </cell>
          <cell r="AN209">
            <v>14862</v>
          </cell>
          <cell r="AO209">
            <v>3164.427048260382</v>
          </cell>
          <cell r="AP209">
            <v>11697.572951739618</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K211">
            <v>69776</v>
          </cell>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7">
          <cell r="AO227">
            <v>1507.2</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0">
          <cell r="AP230">
            <v>1507.2</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G242" t="str">
            <v xml:space="preserve">         Затверджую</v>
          </cell>
          <cell r="AQ242" t="e">
            <v>#REF!</v>
          </cell>
        </row>
        <row r="243">
          <cell r="AG243" t="str">
            <v xml:space="preserve"> Голова правління </v>
          </cell>
          <cell r="AQ243" t="e">
            <v>#REF!</v>
          </cell>
        </row>
        <row r="244">
          <cell r="C244">
            <v>0</v>
          </cell>
          <cell r="N244">
            <v>0</v>
          </cell>
          <cell r="Q244">
            <v>1473.1853333333333</v>
          </cell>
          <cell r="T244">
            <v>145.25866666666667</v>
          </cell>
          <cell r="Y244">
            <v>100.22533333333334</v>
          </cell>
          <cell r="AG244" t="str">
            <v xml:space="preserve">                        І.В.Плачков</v>
          </cell>
          <cell r="AP244">
            <v>2344.551833476</v>
          </cell>
          <cell r="AQ244" t="e">
            <v>#REF!</v>
          </cell>
        </row>
        <row r="245">
          <cell r="C245">
            <v>0</v>
          </cell>
          <cell r="N245">
            <v>0</v>
          </cell>
          <cell r="Q245">
            <v>113.33333333333334</v>
          </cell>
          <cell r="T245">
            <v>48.626666666666665</v>
          </cell>
          <cell r="Y245">
            <v>65.784000000000006</v>
          </cell>
          <cell r="AG245" t="str">
            <v xml:space="preserve">   "_____" ________2000 р.</v>
          </cell>
          <cell r="AP245">
            <v>276.34120823549074</v>
          </cell>
          <cell r="AQ245" t="e">
            <v>#REF!</v>
          </cell>
        </row>
        <row r="246">
          <cell r="AG246" t="str">
            <v xml:space="preserve"> Голова правління </v>
          </cell>
          <cell r="AQ246" t="e">
            <v>#REF!</v>
          </cell>
        </row>
        <row r="247">
          <cell r="C247">
            <v>0</v>
          </cell>
          <cell r="N247">
            <v>0</v>
          </cell>
          <cell r="Q247">
            <v>0</v>
          </cell>
          <cell r="T247">
            <v>95.642666666666656</v>
          </cell>
          <cell r="Y247">
            <v>206.52799999999999</v>
          </cell>
          <cell r="AG247" t="str">
            <v xml:space="preserve">                        І.В.Плачков</v>
          </cell>
          <cell r="AP247">
            <v>302.17066666666665</v>
          </cell>
          <cell r="AQ247" t="e">
            <v>#REF!</v>
          </cell>
        </row>
        <row r="248">
          <cell r="C248">
            <v>16.399999999999999</v>
          </cell>
          <cell r="N248">
            <v>157.33600000000001</v>
          </cell>
          <cell r="Q248">
            <v>9035.0240000000013</v>
          </cell>
          <cell r="T248">
            <v>0</v>
          </cell>
          <cell r="Y248">
            <v>0</v>
          </cell>
          <cell r="AG248" t="str">
            <v xml:space="preserve">   "_____" ________2000 р.</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5">
          <cell r="AI255" t="str">
            <v>ТИС.ГРН.</v>
          </cell>
          <cell r="AK255" t="str">
            <v>тис.грн.</v>
          </cell>
        </row>
        <row r="256">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8">
          <cell r="AK258" t="str">
            <v>тис.грн.</v>
          </cell>
        </row>
        <row r="259">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L259" t="str">
            <v>АК КЕ ВСЬОГО</v>
          </cell>
          <cell r="AM259">
            <v>100230.25</v>
          </cell>
          <cell r="AO259" t="str">
            <v>СТАНЦІї ЕЛЕКТРО</v>
          </cell>
          <cell r="AP259" t="str">
            <v>СТАНЦІІ ТЕПЛОВІ</v>
          </cell>
          <cell r="AQ259" t="str">
            <v>МЕРЕЖІ ЕЛЕКТРО</v>
          </cell>
          <cell r="AR259" t="str">
            <v>МЕРЕЖІ ТЕПЛОВІ</v>
          </cell>
        </row>
        <row r="260">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69776</v>
          </cell>
          <cell r="AM262">
            <v>140814.25</v>
          </cell>
        </row>
        <row r="263">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11292</v>
          </cell>
          <cell r="AM263">
            <v>14398.82380952381</v>
          </cell>
        </row>
        <row r="264">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AK265">
            <v>498</v>
          </cell>
        </row>
        <row r="266">
          <cell r="AK266">
            <v>0</v>
          </cell>
        </row>
        <row r="267">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4104.2571428571437</v>
          </cell>
        </row>
        <row r="268">
          <cell r="AK268">
            <v>3500</v>
          </cell>
        </row>
        <row r="269">
          <cell r="AK269">
            <v>0</v>
          </cell>
        </row>
        <row r="270">
          <cell r="P270">
            <v>0</v>
          </cell>
          <cell r="S270">
            <v>0</v>
          </cell>
          <cell r="X270">
            <v>0</v>
          </cell>
          <cell r="AC270">
            <v>0</v>
          </cell>
          <cell r="AF270">
            <v>0</v>
          </cell>
          <cell r="AG270">
            <v>0</v>
          </cell>
          <cell r="AH270">
            <v>0</v>
          </cell>
          <cell r="AI270">
            <v>0</v>
          </cell>
          <cell r="AK270">
            <v>1990</v>
          </cell>
        </row>
        <row r="271">
          <cell r="AK271">
            <v>9242.6666666666661</v>
          </cell>
        </row>
        <row r="272">
          <cell r="P272">
            <v>0</v>
          </cell>
          <cell r="S272">
            <v>0</v>
          </cell>
          <cell r="X272">
            <v>0</v>
          </cell>
          <cell r="AC272">
            <v>0</v>
          </cell>
          <cell r="AF272">
            <v>0</v>
          </cell>
          <cell r="AG272">
            <v>0</v>
          </cell>
          <cell r="AH272">
            <v>0</v>
          </cell>
          <cell r="AI272">
            <v>0</v>
          </cell>
          <cell r="AK272">
            <v>105</v>
          </cell>
        </row>
        <row r="273">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P278">
            <v>56</v>
          </cell>
          <cell r="S278">
            <v>400.83333333333331</v>
          </cell>
          <cell r="T278">
            <v>659.81780000000003</v>
          </cell>
          <cell r="U278">
            <v>686.40219999999999</v>
          </cell>
          <cell r="X278">
            <v>75</v>
          </cell>
          <cell r="Y278">
            <v>173</v>
          </cell>
          <cell r="Z278">
            <v>240.57554545454542</v>
          </cell>
          <cell r="AC278">
            <v>40</v>
          </cell>
          <cell r="AD278">
            <v>207</v>
          </cell>
          <cell r="AE278">
            <v>302.95090909090908</v>
          </cell>
          <cell r="AF278">
            <v>295</v>
          </cell>
          <cell r="AG278">
            <v>263</v>
          </cell>
          <cell r="AH278">
            <v>32</v>
          </cell>
          <cell r="AI278">
            <v>0</v>
          </cell>
          <cell r="AK278">
            <v>1058.8333333333333</v>
          </cell>
        </row>
        <row r="279">
          <cell r="P279">
            <v>10</v>
          </cell>
          <cell r="Q279">
            <v>0</v>
          </cell>
          <cell r="R279">
            <v>0</v>
          </cell>
          <cell r="S279">
            <v>0</v>
          </cell>
          <cell r="T279">
            <v>13.666666666666666</v>
          </cell>
          <cell r="U279">
            <v>0</v>
          </cell>
          <cell r="V279">
            <v>0</v>
          </cell>
          <cell r="W279">
            <v>0</v>
          </cell>
          <cell r="X279">
            <v>0</v>
          </cell>
          <cell r="Y279">
            <v>262</v>
          </cell>
          <cell r="Z279">
            <v>361</v>
          </cell>
          <cell r="AA279">
            <v>0</v>
          </cell>
          <cell r="AB279">
            <v>0</v>
          </cell>
          <cell r="AC279">
            <v>20</v>
          </cell>
          <cell r="AD279">
            <v>5</v>
          </cell>
          <cell r="AE279">
            <v>8.3333333333333339</v>
          </cell>
          <cell r="AF279">
            <v>32</v>
          </cell>
          <cell r="AG279">
            <v>32</v>
          </cell>
          <cell r="AH279">
            <v>0</v>
          </cell>
          <cell r="AI279">
            <v>0</v>
          </cell>
          <cell r="AK279">
            <v>360</v>
          </cell>
        </row>
        <row r="280">
          <cell r="P280">
            <v>190</v>
          </cell>
          <cell r="Q280">
            <v>0</v>
          </cell>
          <cell r="R280">
            <v>0</v>
          </cell>
          <cell r="S280">
            <v>690</v>
          </cell>
          <cell r="T280">
            <v>0</v>
          </cell>
          <cell r="U280">
            <v>0</v>
          </cell>
          <cell r="V280">
            <v>0</v>
          </cell>
          <cell r="W280">
            <v>0</v>
          </cell>
          <cell r="X280">
            <v>0</v>
          </cell>
          <cell r="Y280">
            <v>0</v>
          </cell>
          <cell r="Z280">
            <v>0</v>
          </cell>
          <cell r="AA280">
            <v>0</v>
          </cell>
          <cell r="AB280">
            <v>9</v>
          </cell>
          <cell r="AC280">
            <v>60</v>
          </cell>
          <cell r="AD280">
            <v>0</v>
          </cell>
          <cell r="AE280">
            <v>0</v>
          </cell>
          <cell r="AF280">
            <v>67.2</v>
          </cell>
          <cell r="AG280">
            <v>67.2</v>
          </cell>
          <cell r="AH280">
            <v>35</v>
          </cell>
          <cell r="AK280">
            <v>1067.2</v>
          </cell>
        </row>
        <row r="281">
          <cell r="P281">
            <v>65</v>
          </cell>
          <cell r="S281">
            <v>48</v>
          </cell>
          <cell r="X281">
            <v>101</v>
          </cell>
          <cell r="AC281">
            <v>43</v>
          </cell>
          <cell r="AF281">
            <v>56</v>
          </cell>
          <cell r="AG281">
            <v>56</v>
          </cell>
          <cell r="AH281">
            <v>0</v>
          </cell>
          <cell r="AK281">
            <v>855</v>
          </cell>
        </row>
        <row r="282">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P283">
            <v>1</v>
          </cell>
          <cell r="S283">
            <v>0</v>
          </cell>
          <cell r="X283">
            <v>18</v>
          </cell>
          <cell r="AC283">
            <v>47</v>
          </cell>
          <cell r="AF283">
            <v>0</v>
          </cell>
          <cell r="AG283">
            <v>0</v>
          </cell>
          <cell r="AH283">
            <v>0</v>
          </cell>
          <cell r="AI283">
            <v>0</v>
          </cell>
          <cell r="AK283">
            <v>66</v>
          </cell>
        </row>
        <row r="284">
          <cell r="P284">
            <v>91</v>
          </cell>
          <cell r="Q284">
            <v>0</v>
          </cell>
          <cell r="R284">
            <v>0</v>
          </cell>
          <cell r="S284">
            <v>3156</v>
          </cell>
          <cell r="T284">
            <v>0</v>
          </cell>
          <cell r="U284">
            <v>0</v>
          </cell>
          <cell r="V284">
            <v>0</v>
          </cell>
          <cell r="W284">
            <v>0</v>
          </cell>
          <cell r="X284">
            <v>0</v>
          </cell>
          <cell r="Y284">
            <v>0</v>
          </cell>
          <cell r="Z284">
            <v>0</v>
          </cell>
          <cell r="AA284">
            <v>0</v>
          </cell>
          <cell r="AB284">
            <v>9</v>
          </cell>
          <cell r="AC284">
            <v>0</v>
          </cell>
          <cell r="AD284">
            <v>0</v>
          </cell>
          <cell r="AE284">
            <v>0</v>
          </cell>
          <cell r="AF284">
            <v>1154</v>
          </cell>
          <cell r="AG284">
            <v>403.9</v>
          </cell>
          <cell r="AH284">
            <v>750.1</v>
          </cell>
          <cell r="AI284">
            <v>0</v>
          </cell>
          <cell r="AJ284">
            <v>0</v>
          </cell>
          <cell r="AK284">
            <v>4404</v>
          </cell>
        </row>
        <row r="285">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363.66666666666663</v>
          </cell>
        </row>
        <row r="286">
          <cell r="P286">
            <v>0</v>
          </cell>
          <cell r="S286">
            <v>250</v>
          </cell>
          <cell r="X286">
            <v>142</v>
          </cell>
          <cell r="AC286">
            <v>0</v>
          </cell>
          <cell r="AF286">
            <v>0</v>
          </cell>
          <cell r="AG286">
            <v>0</v>
          </cell>
          <cell r="AH286">
            <v>0</v>
          </cell>
          <cell r="AI286">
            <v>0</v>
          </cell>
          <cell r="AK286">
            <v>250</v>
          </cell>
        </row>
        <row r="287">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P290">
            <v>94</v>
          </cell>
          <cell r="Q290">
            <v>0</v>
          </cell>
          <cell r="R290">
            <v>0</v>
          </cell>
          <cell r="S290">
            <v>2512</v>
          </cell>
          <cell r="T290">
            <v>-673.48446666666666</v>
          </cell>
          <cell r="U290">
            <v>-686.40219999999999</v>
          </cell>
          <cell r="V290">
            <v>0</v>
          </cell>
          <cell r="W290">
            <v>0</v>
          </cell>
          <cell r="X290">
            <v>219</v>
          </cell>
          <cell r="Y290">
            <v>-435</v>
          </cell>
          <cell r="Z290">
            <v>-601.57554545454536</v>
          </cell>
          <cell r="AA290">
            <v>0</v>
          </cell>
          <cell r="AB290">
            <v>-9</v>
          </cell>
          <cell r="AC290">
            <v>139</v>
          </cell>
          <cell r="AD290">
            <v>-212</v>
          </cell>
          <cell r="AE290">
            <v>-311.28424242424239</v>
          </cell>
          <cell r="AF290">
            <v>0</v>
          </cell>
          <cell r="AG290">
            <v>0</v>
          </cell>
          <cell r="AH290">
            <v>0</v>
          </cell>
          <cell r="AI290">
            <v>118.4</v>
          </cell>
          <cell r="AK290">
            <v>3410</v>
          </cell>
        </row>
        <row r="291">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P293">
            <v>0</v>
          </cell>
          <cell r="S293">
            <v>0</v>
          </cell>
          <cell r="X293">
            <v>0</v>
          </cell>
          <cell r="AC293">
            <v>0</v>
          </cell>
          <cell r="AF293">
            <v>0</v>
          </cell>
          <cell r="AG293">
            <v>0</v>
          </cell>
          <cell r="AH293">
            <v>0</v>
          </cell>
          <cell r="AI293">
            <v>0</v>
          </cell>
          <cell r="AK293">
            <v>0</v>
          </cell>
        </row>
        <row r="294">
          <cell r="P294">
            <v>601</v>
          </cell>
          <cell r="Q294">
            <v>0</v>
          </cell>
          <cell r="R294">
            <v>0</v>
          </cell>
          <cell r="S294">
            <v>657.16666666666674</v>
          </cell>
          <cell r="T294" t="str">
            <v>Собівартість</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P295">
            <v>435</v>
          </cell>
          <cell r="S295">
            <v>12.166666666666686</v>
          </cell>
          <cell r="V295">
            <v>-25</v>
          </cell>
          <cell r="X295">
            <v>165</v>
          </cell>
          <cell r="AC295">
            <v>111</v>
          </cell>
          <cell r="AF295">
            <v>9</v>
          </cell>
          <cell r="AG295">
            <v>5</v>
          </cell>
          <cell r="AH295">
            <v>4</v>
          </cell>
          <cell r="AI295">
            <v>0</v>
          </cell>
          <cell r="AK295">
            <v>846.16666666666674</v>
          </cell>
        </row>
        <row r="296">
          <cell r="P296">
            <v>56</v>
          </cell>
          <cell r="S296">
            <v>363</v>
          </cell>
          <cell r="V296">
            <v>-1.375</v>
          </cell>
          <cell r="X296">
            <v>130</v>
          </cell>
          <cell r="AC296">
            <v>95</v>
          </cell>
          <cell r="AF296">
            <v>205</v>
          </cell>
          <cell r="AG296">
            <v>201</v>
          </cell>
          <cell r="AH296">
            <v>4</v>
          </cell>
          <cell r="AI296">
            <v>0</v>
          </cell>
          <cell r="AK296">
            <v>864.33333333333326</v>
          </cell>
        </row>
        <row r="297">
          <cell r="P297">
            <v>110</v>
          </cell>
          <cell r="Q297">
            <v>0</v>
          </cell>
          <cell r="R297">
            <v>0</v>
          </cell>
          <cell r="S297">
            <v>282</v>
          </cell>
          <cell r="T297">
            <v>0</v>
          </cell>
          <cell r="U297">
            <v>0</v>
          </cell>
          <cell r="V297">
            <v>-8</v>
          </cell>
          <cell r="W297">
            <v>0</v>
          </cell>
          <cell r="X297">
            <v>115</v>
          </cell>
          <cell r="Y297">
            <v>0</v>
          </cell>
          <cell r="Z297">
            <v>0</v>
          </cell>
          <cell r="AA297">
            <v>0</v>
          </cell>
          <cell r="AB297">
            <v>0</v>
          </cell>
          <cell r="AC297">
            <v>84</v>
          </cell>
          <cell r="AD297">
            <v>0</v>
          </cell>
          <cell r="AE297">
            <v>0</v>
          </cell>
          <cell r="AF297">
            <v>225</v>
          </cell>
          <cell r="AG297">
            <v>186.2</v>
          </cell>
          <cell r="AH297">
            <v>38.800000000000011</v>
          </cell>
          <cell r="AI297">
            <v>633.66666666666663</v>
          </cell>
          <cell r="AK297">
            <v>2574</v>
          </cell>
        </row>
        <row r="298">
          <cell r="P298">
            <v>0</v>
          </cell>
          <cell r="S298">
            <v>581</v>
          </cell>
          <cell r="V298">
            <v>-2.1590909090909096</v>
          </cell>
          <cell r="X298">
            <v>296</v>
          </cell>
          <cell r="AC298">
            <v>44</v>
          </cell>
          <cell r="AF298">
            <v>0</v>
          </cell>
          <cell r="AG298">
            <v>0</v>
          </cell>
          <cell r="AH298">
            <v>0</v>
          </cell>
          <cell r="AI298">
            <v>0</v>
          </cell>
          <cell r="AK298">
            <v>0</v>
          </cell>
        </row>
        <row r="299">
          <cell r="P299">
            <v>61</v>
          </cell>
          <cell r="S299">
            <v>7</v>
          </cell>
          <cell r="X299">
            <v>17</v>
          </cell>
          <cell r="AC299">
            <v>27</v>
          </cell>
          <cell r="AF299">
            <v>15</v>
          </cell>
          <cell r="AG299">
            <v>14</v>
          </cell>
          <cell r="AH299">
            <v>1</v>
          </cell>
          <cell r="AI299">
            <v>0</v>
          </cell>
          <cell r="AK299">
            <v>145.66666666666666</v>
          </cell>
        </row>
        <row r="300">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P301">
            <v>0</v>
          </cell>
          <cell r="AF301">
            <v>0</v>
          </cell>
          <cell r="AG301">
            <v>0</v>
          </cell>
          <cell r="AH301">
            <v>191</v>
          </cell>
          <cell r="AK301">
            <v>0</v>
          </cell>
        </row>
        <row r="302">
          <cell r="P302">
            <v>-107</v>
          </cell>
          <cell r="S302">
            <v>-90</v>
          </cell>
          <cell r="X302">
            <v>0</v>
          </cell>
          <cell r="AC302">
            <v>0</v>
          </cell>
          <cell r="AF302">
            <v>1</v>
          </cell>
          <cell r="AG302">
            <v>1</v>
          </cell>
          <cell r="AH302">
            <v>0</v>
          </cell>
          <cell r="AK302">
            <v>-196</v>
          </cell>
        </row>
        <row r="303">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D303">
            <v>-212</v>
          </cell>
          <cell r="AE303">
            <v>-311.28424242424239</v>
          </cell>
          <cell r="AF303">
            <v>536</v>
          </cell>
          <cell r="AG303">
            <v>297.19999999999993</v>
          </cell>
          <cell r="AH303">
            <v>238.80000000000007</v>
          </cell>
          <cell r="AK303">
            <v>109270.51471861471</v>
          </cell>
        </row>
        <row r="304">
          <cell r="T304" t="str">
            <v>ФМЗ ( з відрахуван)</v>
          </cell>
          <cell r="V304">
            <v>25</v>
          </cell>
          <cell r="AH304">
            <v>191</v>
          </cell>
          <cell r="AK304">
            <v>0</v>
          </cell>
        </row>
        <row r="305">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P306">
            <v>0</v>
          </cell>
          <cell r="Q306">
            <v>0</v>
          </cell>
          <cell r="R306">
            <v>0</v>
          </cell>
          <cell r="S306">
            <v>0</v>
          </cell>
          <cell r="T306">
            <v>-673.48446666666666</v>
          </cell>
          <cell r="U306">
            <v>-686.40219999999999</v>
          </cell>
          <cell r="V306">
            <v>0</v>
          </cell>
          <cell r="W306">
            <v>0</v>
          </cell>
          <cell r="X306">
            <v>0</v>
          </cell>
          <cell r="Y306">
            <v>-435</v>
          </cell>
          <cell r="Z306">
            <v>-601.57554545454536</v>
          </cell>
          <cell r="AA306">
            <v>0</v>
          </cell>
          <cell r="AB306">
            <v>-9</v>
          </cell>
          <cell r="AC306">
            <v>0</v>
          </cell>
          <cell r="AF306">
            <v>0</v>
          </cell>
          <cell r="AG306">
            <v>0</v>
          </cell>
          <cell r="AH306">
            <v>0</v>
          </cell>
          <cell r="AI306">
            <v>0</v>
          </cell>
          <cell r="AK306">
            <v>0</v>
          </cell>
        </row>
        <row r="307">
          <cell r="AK307">
            <v>0</v>
          </cell>
        </row>
        <row r="308">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P309">
            <v>0</v>
          </cell>
          <cell r="S309">
            <v>0</v>
          </cell>
          <cell r="X309">
            <v>0</v>
          </cell>
          <cell r="AC309">
            <v>0</v>
          </cell>
          <cell r="AF309">
            <v>0</v>
          </cell>
          <cell r="AG309">
            <v>0</v>
          </cell>
          <cell r="AH309">
            <v>0</v>
          </cell>
          <cell r="AK309">
            <v>0</v>
          </cell>
        </row>
        <row r="310">
          <cell r="P310">
            <v>0</v>
          </cell>
          <cell r="AK310">
            <v>0</v>
          </cell>
        </row>
        <row r="311">
          <cell r="P311">
            <v>2339.5333333333333</v>
          </cell>
          <cell r="Q311">
            <v>0</v>
          </cell>
          <cell r="R311">
            <v>0</v>
          </cell>
          <cell r="S311">
            <v>0</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0</v>
          </cell>
        </row>
        <row r="312">
          <cell r="AK312">
            <v>8992</v>
          </cell>
        </row>
        <row r="313">
          <cell r="P313">
            <v>0</v>
          </cell>
          <cell r="S313">
            <v>0</v>
          </cell>
          <cell r="AK313">
            <v>0</v>
          </cell>
        </row>
        <row r="314">
          <cell r="S314">
            <v>0</v>
          </cell>
          <cell r="AK314">
            <v>0</v>
          </cell>
        </row>
        <row r="315">
          <cell r="AK315">
            <v>0</v>
          </cell>
        </row>
        <row r="316">
          <cell r="S316">
            <v>0</v>
          </cell>
        </row>
        <row r="317">
          <cell r="AK317">
            <v>0</v>
          </cell>
        </row>
        <row r="318">
          <cell r="S318">
            <v>0</v>
          </cell>
          <cell r="AK318">
            <v>0</v>
          </cell>
        </row>
        <row r="319">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0">
          <cell r="AK320">
            <v>0</v>
          </cell>
        </row>
        <row r="321">
          <cell r="S321">
            <v>0</v>
          </cell>
        </row>
        <row r="322">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28">
          <cell r="AJ328">
            <v>2455</v>
          </cell>
          <cell r="AK328">
            <v>5764</v>
          </cell>
          <cell r="AM328">
            <v>4603</v>
          </cell>
        </row>
        <row r="329">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J331">
            <v>2455</v>
          </cell>
          <cell r="AK331">
            <v>498</v>
          </cell>
          <cell r="AM331">
            <v>498</v>
          </cell>
        </row>
        <row r="332">
          <cell r="P332">
            <v>623</v>
          </cell>
          <cell r="S332">
            <v>555</v>
          </cell>
          <cell r="X332">
            <v>227</v>
          </cell>
          <cell r="AC332">
            <v>188</v>
          </cell>
          <cell r="AF332">
            <v>487</v>
          </cell>
          <cell r="AG332">
            <v>463</v>
          </cell>
          <cell r="AH332">
            <v>24</v>
          </cell>
          <cell r="AJ332">
            <v>36</v>
          </cell>
          <cell r="AK332">
            <v>145.66666666666666</v>
          </cell>
          <cell r="AM332">
            <v>130.66666666666666</v>
          </cell>
        </row>
        <row r="333">
          <cell r="AJ333">
            <v>36</v>
          </cell>
          <cell r="AK333">
            <v>4104.2571428571437</v>
          </cell>
          <cell r="AM333">
            <v>4104.2571428571437</v>
          </cell>
        </row>
        <row r="334">
          <cell r="AK334">
            <v>3500</v>
          </cell>
          <cell r="AM334">
            <v>3500</v>
          </cell>
        </row>
        <row r="335">
          <cell r="AJ335">
            <v>36</v>
          </cell>
          <cell r="AK335">
            <v>0</v>
          </cell>
          <cell r="AM335">
            <v>-197</v>
          </cell>
        </row>
        <row r="336">
          <cell r="AK336">
            <v>1990</v>
          </cell>
          <cell r="AM336">
            <v>1990</v>
          </cell>
        </row>
        <row r="337">
          <cell r="AK337">
            <v>9242.6666666666661</v>
          </cell>
          <cell r="AM337">
            <v>3500</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cell r="AM347">
            <v>3979</v>
          </cell>
        </row>
        <row r="348">
          <cell r="AK348">
            <v>855</v>
          </cell>
          <cell r="AM348">
            <v>1352</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cell r="AM352">
            <v>0</v>
          </cell>
        </row>
        <row r="353">
          <cell r="AK353">
            <v>0</v>
          </cell>
          <cell r="AM353">
            <v>142</v>
          </cell>
        </row>
        <row r="354">
          <cell r="P354">
            <v>0</v>
          </cell>
          <cell r="S354">
            <v>0</v>
          </cell>
          <cell r="X354">
            <v>0</v>
          </cell>
          <cell r="AC354">
            <v>0</v>
          </cell>
          <cell r="AF354">
            <v>0</v>
          </cell>
          <cell r="AG354">
            <v>0</v>
          </cell>
          <cell r="AH354">
            <v>0</v>
          </cell>
          <cell r="AI354">
            <v>0</v>
          </cell>
          <cell r="AK354">
            <v>363.66666666666663</v>
          </cell>
          <cell r="AM354">
            <v>363.66666666666663</v>
          </cell>
        </row>
        <row r="355">
          <cell r="P355">
            <v>225</v>
          </cell>
          <cell r="S355">
            <v>296</v>
          </cell>
          <cell r="X355">
            <v>56</v>
          </cell>
          <cell r="AC355">
            <v>-536.90909090909088</v>
          </cell>
          <cell r="AF355">
            <v>485.09090909090912</v>
          </cell>
          <cell r="AG355">
            <v>-127.90909090909091</v>
          </cell>
          <cell r="AH355">
            <v>613</v>
          </cell>
          <cell r="AK355">
            <v>105</v>
          </cell>
          <cell r="AM355">
            <v>105</v>
          </cell>
        </row>
        <row r="356">
          <cell r="AK356">
            <v>0</v>
          </cell>
          <cell r="AM356">
            <v>0</v>
          </cell>
        </row>
        <row r="357">
          <cell r="P357">
            <v>0</v>
          </cell>
          <cell r="S357">
            <v>0</v>
          </cell>
          <cell r="X357">
            <v>0</v>
          </cell>
          <cell r="AC357">
            <v>0</v>
          </cell>
          <cell r="AF357">
            <v>0</v>
          </cell>
          <cell r="AG357">
            <v>0</v>
          </cell>
          <cell r="AH357">
            <v>0</v>
          </cell>
          <cell r="AK357">
            <v>0</v>
          </cell>
          <cell r="AM357">
            <v>0</v>
          </cell>
        </row>
        <row r="358">
          <cell r="AJ358">
            <v>-2491</v>
          </cell>
          <cell r="AK358">
            <v>4284.5</v>
          </cell>
          <cell r="AM358" t="e">
            <v>#REF!</v>
          </cell>
        </row>
        <row r="359">
          <cell r="AK359">
            <v>846.16666666666674</v>
          </cell>
          <cell r="AM359">
            <v>0</v>
          </cell>
        </row>
        <row r="360">
          <cell r="AK360">
            <v>864.33333333333326</v>
          </cell>
          <cell r="AM360">
            <v>0</v>
          </cell>
        </row>
        <row r="361">
          <cell r="AJ361">
            <v>-2491</v>
          </cell>
          <cell r="AK361">
            <v>2574</v>
          </cell>
          <cell r="AM361" t="e">
            <v>#REF!</v>
          </cell>
        </row>
        <row r="362">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63">
          <cell r="AK363">
            <v>1769</v>
          </cell>
        </row>
        <row r="364">
          <cell r="AK364">
            <v>4603.3</v>
          </cell>
        </row>
        <row r="365">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83">
          <cell r="P383" t="str">
            <v>лютий</v>
          </cell>
          <cell r="X383" t="str">
            <v>лютий</v>
          </cell>
          <cell r="AC383" t="str">
            <v>лютий</v>
          </cell>
        </row>
        <row r="384">
          <cell r="P384" t="str">
            <v>ККМ</v>
          </cell>
          <cell r="X384" t="str">
            <v>ТЕЦ5</v>
          </cell>
          <cell r="AC384" t="str">
            <v>ТЕЦ6</v>
          </cell>
          <cell r="AK384" t="str">
            <v>АК "КЕ"</v>
          </cell>
          <cell r="AL384" t="str">
            <v>Е/Е</v>
          </cell>
        </row>
        <row r="385">
          <cell r="P385" t="str">
            <v>ПЛАН</v>
          </cell>
          <cell r="X385" t="str">
            <v>ПЛАН</v>
          </cell>
          <cell r="AC385" t="str">
            <v>ПЛАН</v>
          </cell>
          <cell r="AK385" t="str">
            <v>ПЛАН</v>
          </cell>
          <cell r="AL385" t="str">
            <v>ПЛАН</v>
          </cell>
        </row>
        <row r="386">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P387">
            <v>0</v>
          </cell>
          <cell r="X387">
            <v>0</v>
          </cell>
          <cell r="Y387">
            <v>0</v>
          </cell>
          <cell r="AC387">
            <v>3.6666666666666665</v>
          </cell>
          <cell r="AD387">
            <v>1</v>
          </cell>
          <cell r="AK387">
            <v>46</v>
          </cell>
          <cell r="AL387">
            <v>10</v>
          </cell>
        </row>
        <row r="388">
          <cell r="P388">
            <v>0.66666666666666663</v>
          </cell>
          <cell r="X388">
            <v>146.66666666666666</v>
          </cell>
          <cell r="Y388">
            <v>45</v>
          </cell>
          <cell r="AC388">
            <v>280.66666666666669</v>
          </cell>
          <cell r="AD388">
            <v>92</v>
          </cell>
          <cell r="AK388">
            <v>428</v>
          </cell>
          <cell r="AL388">
            <v>137.66666666666666</v>
          </cell>
        </row>
        <row r="389">
          <cell r="P389">
            <v>2</v>
          </cell>
          <cell r="S389">
            <v>14.333333333333332</v>
          </cell>
          <cell r="X389">
            <v>0</v>
          </cell>
          <cell r="Y389">
            <v>0</v>
          </cell>
          <cell r="Z389">
            <v>77</v>
          </cell>
          <cell r="AC389">
            <v>25</v>
          </cell>
          <cell r="AD389">
            <v>8</v>
          </cell>
          <cell r="AE389">
            <v>131</v>
          </cell>
          <cell r="AK389">
            <v>33.666666666666671</v>
          </cell>
          <cell r="AL389">
            <v>13</v>
          </cell>
          <cell r="AM389">
            <v>285.33333333333331</v>
          </cell>
        </row>
        <row r="390">
          <cell r="P390">
            <v>0</v>
          </cell>
          <cell r="X390">
            <v>25.333333333333332</v>
          </cell>
          <cell r="Y390">
            <v>8</v>
          </cell>
          <cell r="AC390">
            <v>0.66666666666666663</v>
          </cell>
          <cell r="AD390">
            <v>0</v>
          </cell>
          <cell r="AK390">
            <v>26</v>
          </cell>
          <cell r="AL390">
            <v>8</v>
          </cell>
        </row>
        <row r="391">
          <cell r="P391">
            <v>0</v>
          </cell>
          <cell r="X391">
            <v>0</v>
          </cell>
          <cell r="Y391">
            <v>0</v>
          </cell>
          <cell r="AC391">
            <v>0</v>
          </cell>
          <cell r="AD391">
            <v>0</v>
          </cell>
          <cell r="AK391">
            <v>120.63333333333333</v>
          </cell>
          <cell r="AL391">
            <v>28</v>
          </cell>
        </row>
        <row r="392">
          <cell r="P392">
            <v>0</v>
          </cell>
          <cell r="X392">
            <v>0</v>
          </cell>
          <cell r="Y392">
            <v>0</v>
          </cell>
          <cell r="AC392">
            <v>0</v>
          </cell>
          <cell r="AD392">
            <v>0</v>
          </cell>
          <cell r="AK392">
            <v>8.6666666666666661</v>
          </cell>
          <cell r="AL392">
            <v>0</v>
          </cell>
        </row>
        <row r="393">
          <cell r="P393">
            <v>5.333333333333333</v>
          </cell>
          <cell r="X393">
            <v>0</v>
          </cell>
          <cell r="Y393">
            <v>0</v>
          </cell>
          <cell r="AC393">
            <v>0</v>
          </cell>
          <cell r="AD393">
            <v>0</v>
          </cell>
          <cell r="AK393">
            <v>22</v>
          </cell>
          <cell r="AL393">
            <v>15.333333333333332</v>
          </cell>
        </row>
        <row r="394">
          <cell r="P394">
            <v>0</v>
          </cell>
          <cell r="X394">
            <v>0</v>
          </cell>
          <cell r="Y394">
            <v>0</v>
          </cell>
          <cell r="AC394">
            <v>0</v>
          </cell>
          <cell r="AD394">
            <v>0</v>
          </cell>
          <cell r="AK394">
            <v>5.333333333333333</v>
          </cell>
          <cell r="AL394">
            <v>1</v>
          </cell>
        </row>
        <row r="395">
          <cell r="P395">
            <v>4.333333333333333</v>
          </cell>
          <cell r="X395">
            <v>0</v>
          </cell>
          <cell r="Y395">
            <v>0</v>
          </cell>
          <cell r="AC395">
            <v>0</v>
          </cell>
          <cell r="AD395">
            <v>0</v>
          </cell>
          <cell r="AK395">
            <v>4.6666666666666661</v>
          </cell>
          <cell r="AL395">
            <v>4.333333333333333</v>
          </cell>
        </row>
        <row r="396">
          <cell r="P396">
            <v>2</v>
          </cell>
          <cell r="X396">
            <v>10</v>
          </cell>
          <cell r="Y396">
            <v>3</v>
          </cell>
          <cell r="AC396">
            <v>13.666666666666666</v>
          </cell>
          <cell r="AD396">
            <v>4</v>
          </cell>
          <cell r="AK396">
            <v>26</v>
          </cell>
          <cell r="AL396">
            <v>9</v>
          </cell>
        </row>
        <row r="397">
          <cell r="P397">
            <v>0</v>
          </cell>
          <cell r="X397">
            <v>0</v>
          </cell>
          <cell r="Y397">
            <v>0</v>
          </cell>
          <cell r="AC397">
            <v>0</v>
          </cell>
          <cell r="AD397">
            <v>0</v>
          </cell>
          <cell r="AK397">
            <v>0</v>
          </cell>
          <cell r="AL397">
            <v>2</v>
          </cell>
        </row>
        <row r="398">
          <cell r="P398">
            <v>20.5</v>
          </cell>
          <cell r="X398">
            <v>522.33333333333337</v>
          </cell>
          <cell r="Y398">
            <v>162</v>
          </cell>
          <cell r="AC398">
            <v>43</v>
          </cell>
          <cell r="AD398">
            <v>14</v>
          </cell>
          <cell r="AK398">
            <v>587.33333333333337</v>
          </cell>
          <cell r="AL398">
            <v>196.5</v>
          </cell>
          <cell r="AM398">
            <v>196.83333333333334</v>
          </cell>
        </row>
        <row r="399">
          <cell r="P399">
            <v>0</v>
          </cell>
          <cell r="X399">
            <v>0</v>
          </cell>
          <cell r="Y399">
            <v>0</v>
          </cell>
          <cell r="AC399">
            <v>0</v>
          </cell>
          <cell r="AD399">
            <v>0</v>
          </cell>
          <cell r="AK399">
            <v>0</v>
          </cell>
          <cell r="AL399">
            <v>0</v>
          </cell>
        </row>
        <row r="400">
          <cell r="P400">
            <v>0</v>
          </cell>
          <cell r="X400">
            <v>480.66666666666669</v>
          </cell>
          <cell r="Y400">
            <v>149</v>
          </cell>
          <cell r="AC400">
            <v>11</v>
          </cell>
          <cell r="AD400">
            <v>4</v>
          </cell>
          <cell r="AK400">
            <v>491.66666666666669</v>
          </cell>
          <cell r="AL400">
            <v>153</v>
          </cell>
        </row>
        <row r="401">
          <cell r="P401">
            <v>0</v>
          </cell>
          <cell r="X401">
            <v>0</v>
          </cell>
          <cell r="Y401">
            <v>0</v>
          </cell>
          <cell r="AC401">
            <v>0</v>
          </cell>
          <cell r="AD401">
            <v>0</v>
          </cell>
          <cell r="AK401">
            <v>0</v>
          </cell>
          <cell r="AL401">
            <v>0</v>
          </cell>
          <cell r="AM401">
            <v>257.83333333333331</v>
          </cell>
        </row>
        <row r="402">
          <cell r="P402">
            <v>15.833333333333334</v>
          </cell>
          <cell r="X402">
            <v>41.666666666666664</v>
          </cell>
          <cell r="Y402">
            <v>13</v>
          </cell>
          <cell r="AC402">
            <v>32</v>
          </cell>
          <cell r="AD402">
            <v>10</v>
          </cell>
          <cell r="AK402">
            <v>91</v>
          </cell>
          <cell r="AL402">
            <v>43.833333333333336</v>
          </cell>
        </row>
        <row r="403">
          <cell r="P403">
            <v>4.666666666666667</v>
          </cell>
          <cell r="X403">
            <v>0</v>
          </cell>
          <cell r="Y403">
            <v>0</v>
          </cell>
          <cell r="AC403">
            <v>0</v>
          </cell>
          <cell r="AD403">
            <v>0</v>
          </cell>
          <cell r="AK403">
            <v>4.666666666666667</v>
          </cell>
          <cell r="AL403">
            <v>0</v>
          </cell>
        </row>
        <row r="404">
          <cell r="P404">
            <v>0</v>
          </cell>
          <cell r="X404">
            <v>0</v>
          </cell>
          <cell r="Y404">
            <v>0</v>
          </cell>
          <cell r="AC404">
            <v>0</v>
          </cell>
          <cell r="AD404">
            <v>0</v>
          </cell>
          <cell r="AK404">
            <v>0</v>
          </cell>
          <cell r="AL404">
            <v>0</v>
          </cell>
        </row>
        <row r="405">
          <cell r="P405">
            <v>39</v>
          </cell>
          <cell r="X405">
            <v>0</v>
          </cell>
          <cell r="Y405">
            <v>0</v>
          </cell>
          <cell r="AC405">
            <v>0</v>
          </cell>
          <cell r="AD405">
            <v>0</v>
          </cell>
          <cell r="AK405">
            <v>49</v>
          </cell>
          <cell r="AL405">
            <v>41</v>
          </cell>
          <cell r="AM405">
            <v>42</v>
          </cell>
        </row>
        <row r="406">
          <cell r="P406">
            <v>3.3333333333333335</v>
          </cell>
          <cell r="X406">
            <v>0</v>
          </cell>
          <cell r="Y406">
            <v>0</v>
          </cell>
          <cell r="AC406">
            <v>0</v>
          </cell>
          <cell r="AD406">
            <v>0</v>
          </cell>
          <cell r="AK406">
            <v>6</v>
          </cell>
          <cell r="AL406">
            <v>4.3333333333333339</v>
          </cell>
        </row>
        <row r="407">
          <cell r="P407">
            <v>35.666666666666664</v>
          </cell>
          <cell r="X407">
            <v>0</v>
          </cell>
          <cell r="Y407">
            <v>0</v>
          </cell>
          <cell r="AC407">
            <v>0</v>
          </cell>
          <cell r="AD407">
            <v>0</v>
          </cell>
          <cell r="AK407">
            <v>43</v>
          </cell>
          <cell r="AL407">
            <v>37.666666666666664</v>
          </cell>
        </row>
        <row r="408">
          <cell r="P408">
            <v>0</v>
          </cell>
          <cell r="X408">
            <v>0</v>
          </cell>
          <cell r="Y408">
            <v>0</v>
          </cell>
          <cell r="AC408">
            <v>0</v>
          </cell>
          <cell r="AD408">
            <v>0</v>
          </cell>
          <cell r="AK408">
            <v>0</v>
          </cell>
          <cell r="AL408">
            <v>42</v>
          </cell>
          <cell r="AM408">
            <v>42</v>
          </cell>
        </row>
        <row r="409">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P410">
            <v>0</v>
          </cell>
          <cell r="X410">
            <v>0</v>
          </cell>
          <cell r="Y410">
            <v>0</v>
          </cell>
          <cell r="AC410">
            <v>0</v>
          </cell>
          <cell r="AD410">
            <v>0</v>
          </cell>
          <cell r="AK410">
            <v>1350</v>
          </cell>
          <cell r="AL410">
            <v>0</v>
          </cell>
        </row>
        <row r="411">
          <cell r="P411">
            <v>0</v>
          </cell>
          <cell r="X411">
            <v>0</v>
          </cell>
          <cell r="Y411">
            <v>0</v>
          </cell>
          <cell r="AC411">
            <v>0</v>
          </cell>
          <cell r="AD411">
            <v>0</v>
          </cell>
          <cell r="AK411">
            <v>95</v>
          </cell>
          <cell r="AL411">
            <v>95</v>
          </cell>
        </row>
        <row r="412">
          <cell r="P412">
            <v>0</v>
          </cell>
          <cell r="S412">
            <v>50.166666666666671</v>
          </cell>
          <cell r="X412">
            <v>0</v>
          </cell>
          <cell r="Y412">
            <v>0</v>
          </cell>
          <cell r="AC412">
            <v>0</v>
          </cell>
          <cell r="AD412">
            <v>0</v>
          </cell>
          <cell r="AK412">
            <v>0</v>
          </cell>
          <cell r="AL412">
            <v>0</v>
          </cell>
          <cell r="AM412">
            <v>395.16666666666663</v>
          </cell>
        </row>
        <row r="413">
          <cell r="P413">
            <v>12.333333333333334</v>
          </cell>
          <cell r="X413">
            <v>0</v>
          </cell>
          <cell r="Y413">
            <v>0</v>
          </cell>
          <cell r="AC413">
            <v>0</v>
          </cell>
          <cell r="AD413">
            <v>0</v>
          </cell>
          <cell r="AK413">
            <v>12.333333333333334</v>
          </cell>
          <cell r="AL413">
            <v>12.333333333333334</v>
          </cell>
        </row>
        <row r="414">
          <cell r="P414">
            <v>0</v>
          </cell>
          <cell r="X414">
            <v>0</v>
          </cell>
          <cell r="Y414">
            <v>0</v>
          </cell>
          <cell r="AC414">
            <v>0</v>
          </cell>
          <cell r="AD414">
            <v>0</v>
          </cell>
          <cell r="AK414">
            <v>0</v>
          </cell>
          <cell r="AL414">
            <v>0</v>
          </cell>
        </row>
        <row r="415">
          <cell r="P415">
            <v>5</v>
          </cell>
          <cell r="X415">
            <v>3</v>
          </cell>
          <cell r="Y415">
            <v>1</v>
          </cell>
          <cell r="AC415">
            <v>3</v>
          </cell>
          <cell r="AD415">
            <v>1</v>
          </cell>
          <cell r="AK415">
            <v>57.666666666666664</v>
          </cell>
          <cell r="AL415">
            <v>47</v>
          </cell>
        </row>
        <row r="416">
          <cell r="P416">
            <v>0</v>
          </cell>
          <cell r="X416">
            <v>0</v>
          </cell>
          <cell r="Y416">
            <v>0</v>
          </cell>
          <cell r="AC416">
            <v>0</v>
          </cell>
          <cell r="AD416">
            <v>0</v>
          </cell>
          <cell r="AK416">
            <v>4</v>
          </cell>
          <cell r="AL416">
            <v>0</v>
          </cell>
        </row>
        <row r="417">
          <cell r="P417">
            <v>0</v>
          </cell>
          <cell r="X417">
            <v>0</v>
          </cell>
          <cell r="Y417">
            <v>0</v>
          </cell>
          <cell r="AC417">
            <v>0</v>
          </cell>
          <cell r="AD417">
            <v>0</v>
          </cell>
          <cell r="AK417">
            <v>0</v>
          </cell>
          <cell r="AL417">
            <v>0</v>
          </cell>
        </row>
        <row r="418">
          <cell r="P418">
            <v>18.5</v>
          </cell>
          <cell r="X418">
            <v>4.5</v>
          </cell>
          <cell r="Y418">
            <v>1</v>
          </cell>
          <cell r="AC418">
            <v>1.3333333333333333</v>
          </cell>
          <cell r="AD418">
            <v>0</v>
          </cell>
          <cell r="AK418">
            <v>28.5</v>
          </cell>
          <cell r="AL418">
            <v>23.5</v>
          </cell>
        </row>
        <row r="419">
          <cell r="P419">
            <v>1.3333333333333333</v>
          </cell>
          <cell r="X419">
            <v>0</v>
          </cell>
          <cell r="Y419">
            <v>0</v>
          </cell>
          <cell r="AC419">
            <v>1.6666666666666667</v>
          </cell>
          <cell r="AD419">
            <v>1</v>
          </cell>
          <cell r="AK419">
            <v>69</v>
          </cell>
          <cell r="AL419">
            <v>52.333333333333336</v>
          </cell>
        </row>
        <row r="420">
          <cell r="P420">
            <v>0</v>
          </cell>
          <cell r="X420">
            <v>0</v>
          </cell>
          <cell r="Y420">
            <v>0</v>
          </cell>
          <cell r="AC420">
            <v>0</v>
          </cell>
          <cell r="AD420">
            <v>0</v>
          </cell>
          <cell r="AK420">
            <v>177</v>
          </cell>
          <cell r="AL420">
            <v>38</v>
          </cell>
        </row>
        <row r="421">
          <cell r="P421">
            <v>0</v>
          </cell>
          <cell r="X421">
            <v>10</v>
          </cell>
          <cell r="Y421">
            <v>3</v>
          </cell>
          <cell r="AC421">
            <v>7.666666666666667</v>
          </cell>
          <cell r="AD421">
            <v>3</v>
          </cell>
          <cell r="AK421">
            <v>17.666666666666668</v>
          </cell>
          <cell r="AL421">
            <v>6</v>
          </cell>
        </row>
        <row r="422">
          <cell r="P422">
            <v>2</v>
          </cell>
          <cell r="X422">
            <v>1.3333333333333333</v>
          </cell>
          <cell r="Y422">
            <v>0</v>
          </cell>
          <cell r="AC422">
            <v>1</v>
          </cell>
          <cell r="AD422">
            <v>0</v>
          </cell>
          <cell r="AK422">
            <v>6</v>
          </cell>
          <cell r="AL422">
            <v>2</v>
          </cell>
        </row>
        <row r="423">
          <cell r="P423">
            <v>0.33333333333333331</v>
          </cell>
          <cell r="X423">
            <v>1</v>
          </cell>
          <cell r="Y423">
            <v>0</v>
          </cell>
          <cell r="AC423">
            <v>0.66666666666666663</v>
          </cell>
          <cell r="AD423">
            <v>0</v>
          </cell>
          <cell r="AK423">
            <v>9.3333333333333339</v>
          </cell>
          <cell r="AL423">
            <v>3.3333333333333335</v>
          </cell>
        </row>
        <row r="424">
          <cell r="P424">
            <v>2.3333333333333335</v>
          </cell>
          <cell r="X424">
            <v>6</v>
          </cell>
          <cell r="Y424">
            <v>2</v>
          </cell>
          <cell r="AC424">
            <v>5</v>
          </cell>
          <cell r="AD424">
            <v>2</v>
          </cell>
          <cell r="AK424">
            <v>13.333333333333334</v>
          </cell>
          <cell r="AL424">
            <v>6.3333333333333339</v>
          </cell>
        </row>
        <row r="425">
          <cell r="P425">
            <v>0</v>
          </cell>
          <cell r="X425">
            <v>0</v>
          </cell>
          <cell r="Y425">
            <v>0</v>
          </cell>
          <cell r="AC425">
            <v>0</v>
          </cell>
          <cell r="AD425">
            <v>0</v>
          </cell>
          <cell r="AK425">
            <v>0</v>
          </cell>
          <cell r="AL425">
            <v>0</v>
          </cell>
        </row>
        <row r="426">
          <cell r="P426">
            <v>0</v>
          </cell>
          <cell r="X426">
            <v>0</v>
          </cell>
          <cell r="Y426">
            <v>0</v>
          </cell>
          <cell r="AC426">
            <v>0</v>
          </cell>
          <cell r="AD426">
            <v>0</v>
          </cell>
          <cell r="AK426">
            <v>0</v>
          </cell>
          <cell r="AL426">
            <v>0</v>
          </cell>
        </row>
        <row r="427">
          <cell r="P427">
            <v>1</v>
          </cell>
          <cell r="X427">
            <v>0</v>
          </cell>
          <cell r="Y427">
            <v>0</v>
          </cell>
          <cell r="AC427">
            <v>0</v>
          </cell>
          <cell r="AD427">
            <v>0</v>
          </cell>
          <cell r="AK427">
            <v>12</v>
          </cell>
          <cell r="AL427">
            <v>4</v>
          </cell>
        </row>
        <row r="428">
          <cell r="P428">
            <v>0</v>
          </cell>
          <cell r="X428">
            <v>0</v>
          </cell>
          <cell r="Y428">
            <v>0</v>
          </cell>
          <cell r="AC428">
            <v>0</v>
          </cell>
          <cell r="AD428">
            <v>0</v>
          </cell>
          <cell r="AK428">
            <v>0</v>
          </cell>
          <cell r="AL428">
            <v>0</v>
          </cell>
        </row>
        <row r="429">
          <cell r="P429">
            <v>0.66666666666666663</v>
          </cell>
          <cell r="X429">
            <v>0.66666666666666663</v>
          </cell>
          <cell r="Y429">
            <v>0</v>
          </cell>
          <cell r="AC429">
            <v>0.66666666666666663</v>
          </cell>
          <cell r="AD429">
            <v>0</v>
          </cell>
          <cell r="AK429">
            <v>4.333333333333333</v>
          </cell>
          <cell r="AL429">
            <v>0.66666666666666663</v>
          </cell>
        </row>
        <row r="430">
          <cell r="P430">
            <v>0.66666666666666663</v>
          </cell>
          <cell r="X430">
            <v>0.66666666666666663</v>
          </cell>
          <cell r="Y430">
            <v>0</v>
          </cell>
          <cell r="AC430">
            <v>0.66666666666666663</v>
          </cell>
          <cell r="AD430">
            <v>0</v>
          </cell>
          <cell r="AK430">
            <v>3.6666666666666665</v>
          </cell>
          <cell r="AL430">
            <v>0.66666666666666663</v>
          </cell>
        </row>
        <row r="431">
          <cell r="P431">
            <v>4.666666666666667</v>
          </cell>
          <cell r="X431">
            <v>3</v>
          </cell>
          <cell r="Y431">
            <v>1</v>
          </cell>
          <cell r="AC431">
            <v>2</v>
          </cell>
          <cell r="AD431">
            <v>1</v>
          </cell>
          <cell r="AK431">
            <v>33</v>
          </cell>
          <cell r="AL431">
            <v>17.666666666666668</v>
          </cell>
        </row>
        <row r="432">
          <cell r="P432">
            <v>0</v>
          </cell>
          <cell r="X432">
            <v>0</v>
          </cell>
          <cell r="Y432">
            <v>0</v>
          </cell>
          <cell r="AC432">
            <v>0</v>
          </cell>
          <cell r="AD432">
            <v>0</v>
          </cell>
          <cell r="AK432">
            <v>0</v>
          </cell>
          <cell r="AL432">
            <v>0</v>
          </cell>
        </row>
        <row r="433">
          <cell r="P433">
            <v>0</v>
          </cell>
          <cell r="X433">
            <v>0</v>
          </cell>
          <cell r="Y433">
            <v>0</v>
          </cell>
          <cell r="AC433">
            <v>0</v>
          </cell>
          <cell r="AD433">
            <v>0</v>
          </cell>
          <cell r="AK433">
            <v>0</v>
          </cell>
          <cell r="AL433">
            <v>53</v>
          </cell>
        </row>
        <row r="434">
          <cell r="P434">
            <v>0</v>
          </cell>
          <cell r="X434">
            <v>0</v>
          </cell>
          <cell r="Y434">
            <v>0</v>
          </cell>
          <cell r="AC434">
            <v>0</v>
          </cell>
          <cell r="AD434">
            <v>0</v>
          </cell>
          <cell r="AK434">
            <v>1</v>
          </cell>
          <cell r="AL434">
            <v>1</v>
          </cell>
        </row>
        <row r="435">
          <cell r="P435">
            <v>0</v>
          </cell>
          <cell r="X435">
            <v>0</v>
          </cell>
          <cell r="Y435">
            <v>0</v>
          </cell>
          <cell r="AC435">
            <v>0</v>
          </cell>
          <cell r="AD435">
            <v>0</v>
          </cell>
          <cell r="AK435">
            <v>0</v>
          </cell>
          <cell r="AL435">
            <v>0</v>
          </cell>
        </row>
        <row r="436">
          <cell r="P436">
            <v>0</v>
          </cell>
          <cell r="X436">
            <v>0</v>
          </cell>
          <cell r="Y436">
            <v>0</v>
          </cell>
          <cell r="AC436">
            <v>0</v>
          </cell>
          <cell r="AD436">
            <v>0</v>
          </cell>
          <cell r="AK436">
            <v>0</v>
          </cell>
          <cell r="AL436">
            <v>0</v>
          </cell>
        </row>
        <row r="437">
          <cell r="P437">
            <v>1</v>
          </cell>
          <cell r="X437">
            <v>4</v>
          </cell>
          <cell r="Y437">
            <v>1</v>
          </cell>
          <cell r="AC437">
            <v>2</v>
          </cell>
          <cell r="AD437">
            <v>1</v>
          </cell>
          <cell r="AK437">
            <v>15.666666666666666</v>
          </cell>
          <cell r="AL437">
            <v>7</v>
          </cell>
        </row>
        <row r="438">
          <cell r="P438">
            <v>0</v>
          </cell>
          <cell r="X438">
            <v>0</v>
          </cell>
          <cell r="Y438">
            <v>0</v>
          </cell>
          <cell r="AC438">
            <v>0</v>
          </cell>
          <cell r="AD438">
            <v>0</v>
          </cell>
          <cell r="AK438">
            <v>0</v>
          </cell>
          <cell r="AL438">
            <v>0</v>
          </cell>
        </row>
        <row r="439">
          <cell r="P439">
            <v>0</v>
          </cell>
          <cell r="X439">
            <v>3.3333333333333335</v>
          </cell>
          <cell r="Y439">
            <v>1</v>
          </cell>
          <cell r="AC439">
            <v>0</v>
          </cell>
          <cell r="AD439">
            <v>0</v>
          </cell>
          <cell r="AK439">
            <v>3.3333333333333335</v>
          </cell>
          <cell r="AL439">
            <v>1</v>
          </cell>
        </row>
        <row r="440">
          <cell r="P440">
            <v>0.33333333333333331</v>
          </cell>
          <cell r="X440">
            <v>0.33333333333333331</v>
          </cell>
          <cell r="Y440">
            <v>0</v>
          </cell>
          <cell r="AC440">
            <v>0.33333333333333331</v>
          </cell>
          <cell r="AD440">
            <v>0</v>
          </cell>
          <cell r="AK440">
            <v>1.9999999999999998</v>
          </cell>
          <cell r="AL440">
            <v>0.33333333333333331</v>
          </cell>
        </row>
        <row r="441">
          <cell r="P441">
            <v>0</v>
          </cell>
          <cell r="X441">
            <v>0</v>
          </cell>
          <cell r="Y441">
            <v>0</v>
          </cell>
          <cell r="AC441">
            <v>0</v>
          </cell>
          <cell r="AD441">
            <v>0</v>
          </cell>
          <cell r="AK441">
            <v>0</v>
          </cell>
          <cell r="AL441">
            <v>0</v>
          </cell>
        </row>
        <row r="442">
          <cell r="P442">
            <v>0</v>
          </cell>
          <cell r="X442">
            <v>0</v>
          </cell>
          <cell r="Y442">
            <v>0</v>
          </cell>
          <cell r="AC442">
            <v>0</v>
          </cell>
          <cell r="AD442">
            <v>0</v>
          </cell>
          <cell r="AK442">
            <v>0</v>
          </cell>
          <cell r="AL442">
            <v>0</v>
          </cell>
        </row>
        <row r="443">
          <cell r="P443">
            <v>0</v>
          </cell>
          <cell r="X443">
            <v>0</v>
          </cell>
          <cell r="Y443">
            <v>0</v>
          </cell>
          <cell r="AC443">
            <v>0</v>
          </cell>
          <cell r="AD443">
            <v>0</v>
          </cell>
          <cell r="AK443">
            <v>0</v>
          </cell>
          <cell r="AL443">
            <v>0</v>
          </cell>
        </row>
        <row r="444">
          <cell r="P444">
            <v>0</v>
          </cell>
          <cell r="X444">
            <v>0</v>
          </cell>
          <cell r="Y444">
            <v>0</v>
          </cell>
          <cell r="AC444">
            <v>0</v>
          </cell>
          <cell r="AD444">
            <v>0</v>
          </cell>
          <cell r="AK444">
            <v>0</v>
          </cell>
          <cell r="AL444">
            <v>0</v>
          </cell>
        </row>
        <row r="445">
          <cell r="P445">
            <v>0</v>
          </cell>
          <cell r="X445">
            <v>0</v>
          </cell>
          <cell r="Y445">
            <v>0</v>
          </cell>
          <cell r="AC445">
            <v>0</v>
          </cell>
          <cell r="AD445">
            <v>0</v>
          </cell>
          <cell r="AK445">
            <v>0</v>
          </cell>
          <cell r="AL445">
            <v>0</v>
          </cell>
        </row>
        <row r="446">
          <cell r="P446">
            <v>0</v>
          </cell>
          <cell r="X446">
            <v>0</v>
          </cell>
          <cell r="Y446">
            <v>0</v>
          </cell>
          <cell r="AC446">
            <v>0</v>
          </cell>
          <cell r="AD446">
            <v>0</v>
          </cell>
          <cell r="AK446">
            <v>0</v>
          </cell>
          <cell r="AL446">
            <v>0</v>
          </cell>
        </row>
        <row r="447">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row r="449">
          <cell r="P449">
            <v>0</v>
          </cell>
          <cell r="X449">
            <v>0</v>
          </cell>
          <cell r="Y449">
            <v>0</v>
          </cell>
          <cell r="AC449">
            <v>0</v>
          </cell>
          <cell r="AD449">
            <v>0</v>
          </cell>
          <cell r="AK449">
            <v>0</v>
          </cell>
          <cell r="AL449">
            <v>0</v>
          </cell>
        </row>
        <row r="450">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34" refreshError="1">
        <row r="13">
          <cell r="C13" t="str">
            <v>І.В.ПЛАЧКОВ</v>
          </cell>
        </row>
        <row r="16">
          <cell r="AO16" t="str">
            <v>ЗАТВЕРДЖУЮ</v>
          </cell>
        </row>
        <row r="17">
          <cell r="C17" t="str">
            <v>І.В.ПЛАЧКОВ</v>
          </cell>
          <cell r="AO17" t="str">
            <v>ГОЛОВА ПРАЛІННЯ АК КЕ</v>
          </cell>
        </row>
        <row r="22">
          <cell r="AU22" t="str">
            <v>І.В.ПЛАЧКОВ</v>
          </cell>
        </row>
        <row r="25">
          <cell r="X25" t="str">
            <v>ЗАТВЕРДЖУЮ</v>
          </cell>
        </row>
        <row r="26">
          <cell r="X26" t="str">
            <v>В.О. ГЕНЕРАЛЬНОГО ДИРЕКТОРА  КЕ</v>
          </cell>
        </row>
        <row r="27">
          <cell r="Y27" t="str">
            <v>ЯЩЕНКО Б.В.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C31" t="str">
            <v>ВИКОН.ДИР.</v>
          </cell>
          <cell r="D31" t="str">
            <v>Е/Е</v>
          </cell>
          <cell r="E31" t="str">
            <v xml:space="preserve"> Т/Е</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v>298</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cell r="AP31">
            <v>298</v>
          </cell>
        </row>
        <row r="32">
          <cell r="P32">
            <v>313</v>
          </cell>
          <cell r="T32">
            <v>166</v>
          </cell>
          <cell r="Y32">
            <v>268.14999999999998</v>
          </cell>
          <cell r="AJ32">
            <v>479</v>
          </cell>
          <cell r="AP32">
            <v>268.14999999999998</v>
          </cell>
        </row>
        <row r="33">
          <cell r="P33">
            <v>283.95999999999998</v>
          </cell>
          <cell r="T33">
            <v>143.30000000000001</v>
          </cell>
          <cell r="AJ33">
            <v>427.26</v>
          </cell>
          <cell r="AP33">
            <v>0</v>
          </cell>
        </row>
        <row r="34">
          <cell r="AJ34">
            <v>0</v>
          </cell>
          <cell r="AP34">
            <v>0</v>
          </cell>
        </row>
        <row r="35">
          <cell r="AJ35">
            <v>75</v>
          </cell>
          <cell r="AP35">
            <v>32</v>
          </cell>
        </row>
        <row r="36">
          <cell r="AJ36">
            <v>0</v>
          </cell>
          <cell r="AP36">
            <v>0</v>
          </cell>
        </row>
        <row r="37">
          <cell r="AJ37">
            <v>0</v>
          </cell>
          <cell r="AP37">
            <v>500</v>
          </cell>
        </row>
        <row r="38">
          <cell r="M38">
            <v>0</v>
          </cell>
          <cell r="AJ38">
            <v>451.8</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J39">
            <v>451.8</v>
          </cell>
          <cell r="AM39">
            <v>9793.2999999999993</v>
          </cell>
        </row>
        <row r="40">
          <cell r="C40">
            <v>12795.5</v>
          </cell>
          <cell r="Q40">
            <v>519</v>
          </cell>
          <cell r="U40">
            <v>415</v>
          </cell>
          <cell r="AE40">
            <v>12680.606666666667</v>
          </cell>
          <cell r="AH40">
            <v>2099</v>
          </cell>
          <cell r="AK40">
            <v>1722</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K41">
            <v>0</v>
          </cell>
          <cell r="AM41">
            <v>545</v>
          </cell>
          <cell r="AQ41">
            <v>1535.8899999999999</v>
          </cell>
        </row>
        <row r="42">
          <cell r="P42">
            <v>970</v>
          </cell>
          <cell r="Q42">
            <v>519</v>
          </cell>
          <cell r="U42">
            <v>415</v>
          </cell>
          <cell r="Z42">
            <v>590</v>
          </cell>
          <cell r="AK42">
            <v>1519</v>
          </cell>
          <cell r="AQ42">
            <v>2095</v>
          </cell>
        </row>
        <row r="43">
          <cell r="C43">
            <v>14292.169805900916</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O47">
            <v>258</v>
          </cell>
          <cell r="P47">
            <v>1853.8333333333333</v>
          </cell>
          <cell r="Q47">
            <v>178</v>
          </cell>
          <cell r="S47">
            <v>290</v>
          </cell>
          <cell r="T47">
            <v>187</v>
          </cell>
          <cell r="U47">
            <v>103</v>
          </cell>
          <cell r="W47">
            <v>340</v>
          </cell>
          <cell r="X47">
            <v>226</v>
          </cell>
          <cell r="Y47">
            <v>140</v>
          </cell>
          <cell r="Z47">
            <v>86</v>
          </cell>
          <cell r="AC47">
            <v>1299</v>
          </cell>
          <cell r="AD47">
            <v>1235</v>
          </cell>
          <cell r="AE47">
            <v>64</v>
          </cell>
          <cell r="AG47">
            <v>0</v>
          </cell>
          <cell r="AH47">
            <v>2517</v>
          </cell>
          <cell r="AJ47">
            <v>820</v>
          </cell>
          <cell r="AK47">
            <v>1697</v>
          </cell>
          <cell r="AL47">
            <v>151</v>
          </cell>
          <cell r="AM47">
            <v>589</v>
          </cell>
          <cell r="AN47">
            <v>669</v>
          </cell>
          <cell r="AO47">
            <v>4945.833333333333</v>
          </cell>
        </row>
        <row r="48">
          <cell r="C48">
            <v>0</v>
          </cell>
          <cell r="D48">
            <v>0</v>
          </cell>
          <cell r="E48">
            <v>0</v>
          </cell>
          <cell r="M48">
            <v>1</v>
          </cell>
          <cell r="O48">
            <v>75</v>
          </cell>
          <cell r="P48">
            <v>0</v>
          </cell>
          <cell r="S48">
            <v>18.55</v>
          </cell>
          <cell r="T48">
            <v>9</v>
          </cell>
          <cell r="U48">
            <v>9.5500000000000007</v>
          </cell>
          <cell r="X48">
            <v>47</v>
          </cell>
          <cell r="Y48">
            <v>22</v>
          </cell>
          <cell r="Z48">
            <v>25</v>
          </cell>
          <cell r="AC48">
            <v>0</v>
          </cell>
          <cell r="AD48">
            <v>0</v>
          </cell>
          <cell r="AE48">
            <v>0</v>
          </cell>
          <cell r="AH48">
            <v>942</v>
          </cell>
          <cell r="AO48">
            <v>66.55</v>
          </cell>
        </row>
        <row r="49">
          <cell r="C49">
            <v>1639</v>
          </cell>
          <cell r="D49">
            <v>592</v>
          </cell>
          <cell r="E49">
            <v>595</v>
          </cell>
          <cell r="M49">
            <v>60</v>
          </cell>
          <cell r="O49">
            <v>110</v>
          </cell>
          <cell r="P49">
            <v>167</v>
          </cell>
          <cell r="S49">
            <v>164</v>
          </cell>
          <cell r="T49">
            <v>107</v>
          </cell>
          <cell r="U49">
            <v>57</v>
          </cell>
          <cell r="X49">
            <v>141</v>
          </cell>
          <cell r="Y49">
            <v>87</v>
          </cell>
          <cell r="Z49">
            <v>54</v>
          </cell>
          <cell r="AC49">
            <v>55.6</v>
          </cell>
          <cell r="AD49">
            <v>28.6</v>
          </cell>
          <cell r="AE49">
            <v>26</v>
          </cell>
          <cell r="AH49">
            <v>111</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Q51">
            <v>536</v>
          </cell>
          <cell r="R51">
            <v>0</v>
          </cell>
          <cell r="S51">
            <v>1791</v>
          </cell>
          <cell r="T51">
            <v>1047</v>
          </cell>
          <cell r="U51">
            <v>744</v>
          </cell>
          <cell r="W51">
            <v>251</v>
          </cell>
          <cell r="X51">
            <v>40</v>
          </cell>
          <cell r="Y51">
            <v>23</v>
          </cell>
          <cell r="Z51">
            <v>17</v>
          </cell>
          <cell r="AC51">
            <v>1</v>
          </cell>
          <cell r="AD51">
            <v>0</v>
          </cell>
          <cell r="AE51">
            <v>1</v>
          </cell>
          <cell r="AG51">
            <v>0</v>
          </cell>
          <cell r="AH51">
            <v>0</v>
          </cell>
          <cell r="AI51">
            <v>-1</v>
          </cell>
          <cell r="AJ51">
            <v>337</v>
          </cell>
          <cell r="AK51">
            <v>1461</v>
          </cell>
          <cell r="AL51">
            <v>272</v>
          </cell>
          <cell r="AM51">
            <v>826</v>
          </cell>
          <cell r="AN51">
            <v>65</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Q52">
            <v>446</v>
          </cell>
          <cell r="R52">
            <v>0</v>
          </cell>
          <cell r="S52">
            <v>39538</v>
          </cell>
          <cell r="T52">
            <v>23885</v>
          </cell>
          <cell r="U52">
            <v>15653</v>
          </cell>
          <cell r="X52">
            <v>33899</v>
          </cell>
          <cell r="Y52">
            <v>19743</v>
          </cell>
          <cell r="Z52">
            <v>14156</v>
          </cell>
          <cell r="AC52">
            <v>0</v>
          </cell>
          <cell r="AD52">
            <v>0</v>
          </cell>
          <cell r="AE52">
            <v>0</v>
          </cell>
          <cell r="AH52">
            <v>0</v>
          </cell>
          <cell r="AI52">
            <v>0</v>
          </cell>
          <cell r="AJ52">
            <v>206</v>
          </cell>
          <cell r="AK52">
            <v>477</v>
          </cell>
          <cell r="AL52">
            <v>206</v>
          </cell>
          <cell r="AM52">
            <v>0</v>
          </cell>
          <cell r="AN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Q53">
            <v>14133.087804878049</v>
          </cell>
          <cell r="R53">
            <v>0</v>
          </cell>
          <cell r="S53">
            <v>39538</v>
          </cell>
          <cell r="T53">
            <v>23885</v>
          </cell>
          <cell r="U53">
            <v>15653</v>
          </cell>
          <cell r="X53">
            <v>33899</v>
          </cell>
          <cell r="Y53">
            <v>19743</v>
          </cell>
          <cell r="Z53">
            <v>14156</v>
          </cell>
          <cell r="AC53">
            <v>0</v>
          </cell>
          <cell r="AD53">
            <v>0</v>
          </cell>
          <cell r="AE53">
            <v>0</v>
          </cell>
          <cell r="AG53">
            <v>0</v>
          </cell>
          <cell r="AH53">
            <v>0</v>
          </cell>
          <cell r="AI53">
            <v>0</v>
          </cell>
          <cell r="AJ53">
            <v>16704.389629801284</v>
          </cell>
          <cell r="AK53">
            <v>45165.610370198716</v>
          </cell>
          <cell r="AL53">
            <v>16704.389629801284</v>
          </cell>
          <cell r="AM53">
            <v>45166</v>
          </cell>
          <cell r="AN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Q54">
            <v>14133.087804878049</v>
          </cell>
          <cell r="R54">
            <v>0</v>
          </cell>
          <cell r="S54">
            <v>0</v>
          </cell>
          <cell r="T54">
            <v>0</v>
          </cell>
          <cell r="U54">
            <v>0</v>
          </cell>
          <cell r="W54">
            <v>0</v>
          </cell>
          <cell r="X54">
            <v>0</v>
          </cell>
          <cell r="Y54">
            <v>0</v>
          </cell>
          <cell r="Z54">
            <v>0</v>
          </cell>
          <cell r="AC54">
            <v>0</v>
          </cell>
          <cell r="AD54">
            <v>0</v>
          </cell>
          <cell r="AE54">
            <v>0</v>
          </cell>
          <cell r="AH54">
            <v>61870</v>
          </cell>
          <cell r="AJ54">
            <v>16704.389629801284</v>
          </cell>
          <cell r="AK54">
            <v>45165.610370198716</v>
          </cell>
          <cell r="AL54">
            <v>16704.389629801284</v>
          </cell>
          <cell r="AM54">
            <v>45166</v>
          </cell>
          <cell r="AN54">
            <v>0</v>
          </cell>
          <cell r="AO54">
            <v>-0.38962980128417257</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W55">
            <v>0</v>
          </cell>
          <cell r="X55">
            <v>0</v>
          </cell>
          <cell r="Y55">
            <v>0</v>
          </cell>
          <cell r="Z55">
            <v>0</v>
          </cell>
          <cell r="AC55">
            <v>2052.15</v>
          </cell>
          <cell r="AD55">
            <v>820</v>
          </cell>
          <cell r="AE55">
            <v>1232.1499999999999</v>
          </cell>
          <cell r="AF55">
            <v>1829</v>
          </cell>
          <cell r="AG55">
            <v>810</v>
          </cell>
          <cell r="AH55">
            <v>1019</v>
          </cell>
          <cell r="AI55">
            <v>-223.15000000000009</v>
          </cell>
          <cell r="AJ55">
            <v>0</v>
          </cell>
          <cell r="AK55">
            <v>0</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Q56">
            <v>0</v>
          </cell>
          <cell r="R56">
            <v>-1596.106666666667</v>
          </cell>
          <cell r="S56">
            <v>892.87727272727273</v>
          </cell>
          <cell r="T56">
            <v>551</v>
          </cell>
          <cell r="U56">
            <v>341.87727272727273</v>
          </cell>
          <cell r="W56">
            <v>1374</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J56">
            <v>92</v>
          </cell>
          <cell r="AK56">
            <v>3881</v>
          </cell>
          <cell r="AL56">
            <v>0</v>
          </cell>
          <cell r="AM56">
            <v>0</v>
          </cell>
          <cell r="AN56">
            <v>92</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Q57">
            <v>187.72727272727275</v>
          </cell>
          <cell r="R57">
            <v>-88</v>
          </cell>
          <cell r="S57">
            <v>48</v>
          </cell>
          <cell r="T57">
            <v>29</v>
          </cell>
          <cell r="U57">
            <v>19</v>
          </cell>
          <cell r="W57">
            <v>958.5454545454545</v>
          </cell>
          <cell r="X57">
            <v>45</v>
          </cell>
          <cell r="Y57">
            <v>27</v>
          </cell>
          <cell r="Z57">
            <v>18</v>
          </cell>
          <cell r="AC57">
            <v>164</v>
          </cell>
          <cell r="AD57">
            <v>147</v>
          </cell>
          <cell r="AE57">
            <v>17</v>
          </cell>
          <cell r="AF57">
            <v>117</v>
          </cell>
          <cell r="AG57">
            <v>96</v>
          </cell>
          <cell r="AH57">
            <v>21</v>
          </cell>
          <cell r="AI57">
            <v>-47</v>
          </cell>
          <cell r="AJ57">
            <v>854.72727272727275</v>
          </cell>
          <cell r="AK57">
            <v>2410.3999999999996</v>
          </cell>
          <cell r="AL57">
            <v>166</v>
          </cell>
          <cell r="AM57">
            <v>0</v>
          </cell>
          <cell r="AN57">
            <v>688.72727272727275</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Q58">
            <v>10</v>
          </cell>
          <cell r="R58">
            <v>-511</v>
          </cell>
          <cell r="S58">
            <v>286</v>
          </cell>
          <cell r="T58">
            <v>176</v>
          </cell>
          <cell r="U58">
            <v>110</v>
          </cell>
          <cell r="W58">
            <v>53</v>
          </cell>
          <cell r="X58">
            <v>263</v>
          </cell>
          <cell r="Y58">
            <v>157</v>
          </cell>
          <cell r="Z58">
            <v>106</v>
          </cell>
          <cell r="AC58">
            <v>951</v>
          </cell>
          <cell r="AD58">
            <v>860</v>
          </cell>
          <cell r="AE58">
            <v>91</v>
          </cell>
          <cell r="AF58">
            <v>676</v>
          </cell>
          <cell r="AG58">
            <v>559</v>
          </cell>
          <cell r="AH58">
            <v>117</v>
          </cell>
          <cell r="AI58">
            <v>-275</v>
          </cell>
          <cell r="AJ58">
            <v>47</v>
          </cell>
          <cell r="AK58">
            <v>132</v>
          </cell>
          <cell r="AL58">
            <v>10</v>
          </cell>
          <cell r="AM58">
            <v>0</v>
          </cell>
          <cell r="AN58">
            <v>37</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Q59">
            <v>60</v>
          </cell>
          <cell r="R59">
            <v>0</v>
          </cell>
          <cell r="S59">
            <v>0</v>
          </cell>
          <cell r="T59">
            <v>0</v>
          </cell>
          <cell r="U59">
            <v>0</v>
          </cell>
          <cell r="W59">
            <v>307</v>
          </cell>
          <cell r="X59">
            <v>0</v>
          </cell>
          <cell r="Y59">
            <v>0</v>
          </cell>
          <cell r="Z59">
            <v>0</v>
          </cell>
          <cell r="AC59">
            <v>0</v>
          </cell>
          <cell r="AD59">
            <v>0</v>
          </cell>
          <cell r="AE59">
            <v>0</v>
          </cell>
          <cell r="AG59">
            <v>0</v>
          </cell>
          <cell r="AH59">
            <v>0</v>
          </cell>
          <cell r="AI59">
            <v>0</v>
          </cell>
          <cell r="AJ59">
            <v>253</v>
          </cell>
          <cell r="AK59">
            <v>793</v>
          </cell>
          <cell r="AL59">
            <v>0</v>
          </cell>
          <cell r="AM59">
            <v>37</v>
          </cell>
          <cell r="AN59">
            <v>0</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Q60">
            <v>0</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J60">
            <v>0</v>
          </cell>
          <cell r="AK60">
            <v>0</v>
          </cell>
          <cell r="AL60">
            <v>0</v>
          </cell>
          <cell r="AM60">
            <v>0</v>
          </cell>
          <cell r="AN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Q61">
            <v>475</v>
          </cell>
          <cell r="R61">
            <v>0</v>
          </cell>
          <cell r="S61">
            <v>0</v>
          </cell>
          <cell r="T61">
            <v>0</v>
          </cell>
          <cell r="U61">
            <v>0</v>
          </cell>
          <cell r="W61">
            <v>574</v>
          </cell>
          <cell r="X61">
            <v>0</v>
          </cell>
          <cell r="Y61">
            <v>0</v>
          </cell>
          <cell r="Z61">
            <v>0</v>
          </cell>
          <cell r="AC61">
            <v>0</v>
          </cell>
          <cell r="AD61">
            <v>0</v>
          </cell>
          <cell r="AE61">
            <v>0</v>
          </cell>
          <cell r="AF61">
            <v>174</v>
          </cell>
          <cell r="AG61">
            <v>126</v>
          </cell>
          <cell r="AH61">
            <v>48</v>
          </cell>
          <cell r="AI61">
            <v>174</v>
          </cell>
          <cell r="AJ61">
            <v>1078</v>
          </cell>
          <cell r="AK61">
            <v>2828.3333333333335</v>
          </cell>
          <cell r="AL61">
            <v>453</v>
          </cell>
          <cell r="AM61">
            <v>1409</v>
          </cell>
          <cell r="AN61">
            <v>625</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W62">
            <v>57</v>
          </cell>
          <cell r="X62">
            <v>554.5</v>
          </cell>
          <cell r="Y62">
            <v>0</v>
          </cell>
          <cell r="Z62">
            <v>0</v>
          </cell>
          <cell r="AC62">
            <v>1110</v>
          </cell>
          <cell r="AD62">
            <v>1027</v>
          </cell>
          <cell r="AE62">
            <v>83</v>
          </cell>
          <cell r="AH62">
            <v>0</v>
          </cell>
          <cell r="AI62">
            <v>-1110</v>
          </cell>
          <cell r="AJ62">
            <v>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Q63">
            <v>151</v>
          </cell>
          <cell r="R63">
            <v>0</v>
          </cell>
          <cell r="S63">
            <v>0</v>
          </cell>
          <cell r="T63">
            <v>0</v>
          </cell>
          <cell r="U63">
            <v>0</v>
          </cell>
          <cell r="W63">
            <v>84</v>
          </cell>
          <cell r="X63">
            <v>0</v>
          </cell>
          <cell r="Y63">
            <v>0</v>
          </cell>
          <cell r="Z63">
            <v>0</v>
          </cell>
          <cell r="AC63">
            <v>0</v>
          </cell>
          <cell r="AD63">
            <v>0</v>
          </cell>
          <cell r="AE63">
            <v>0</v>
          </cell>
          <cell r="AH63">
            <v>0</v>
          </cell>
          <cell r="AI63">
            <v>0</v>
          </cell>
          <cell r="AJ63">
            <v>771</v>
          </cell>
          <cell r="AK63">
            <v>2223.3333333333335</v>
          </cell>
          <cell r="AM63">
            <v>765</v>
          </cell>
          <cell r="AO63">
            <v>0</v>
          </cell>
          <cell r="AP63">
            <v>0</v>
          </cell>
          <cell r="AQ63">
            <v>0</v>
          </cell>
          <cell r="AR63" t="e">
            <v>#REF!</v>
          </cell>
          <cell r="AS63" t="e">
            <v>#REF!</v>
          </cell>
          <cell r="AU63">
            <v>0</v>
          </cell>
        </row>
        <row r="64">
          <cell r="C64">
            <v>79</v>
          </cell>
          <cell r="D64">
            <v>31</v>
          </cell>
          <cell r="E64">
            <v>39</v>
          </cell>
          <cell r="M64">
            <v>-288</v>
          </cell>
          <cell r="O64">
            <v>288</v>
          </cell>
          <cell r="P64">
            <v>-1454</v>
          </cell>
          <cell r="Q64">
            <v>0</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J64">
            <v>0</v>
          </cell>
          <cell r="AK64">
            <v>0</v>
          </cell>
          <cell r="AM64">
            <v>0</v>
          </cell>
          <cell r="AO64">
            <v>1191</v>
          </cell>
          <cell r="AR64" t="e">
            <v>#REF!</v>
          </cell>
          <cell r="AS64" t="e">
            <v>#REF!</v>
          </cell>
        </row>
        <row r="65">
          <cell r="C65">
            <v>794</v>
          </cell>
          <cell r="D65">
            <v>289</v>
          </cell>
          <cell r="E65">
            <v>505</v>
          </cell>
          <cell r="M65">
            <v>2031.6</v>
          </cell>
          <cell r="O65">
            <v>-2031.6</v>
          </cell>
          <cell r="P65">
            <v>4808.75</v>
          </cell>
          <cell r="Q65">
            <v>324</v>
          </cell>
          <cell r="R65">
            <v>-2031.6</v>
          </cell>
          <cell r="S65">
            <v>5359.15</v>
          </cell>
          <cell r="T65">
            <v>3460</v>
          </cell>
          <cell r="U65">
            <v>1899.1499999999999</v>
          </cell>
          <cell r="W65">
            <v>433</v>
          </cell>
          <cell r="X65">
            <v>2915.7</v>
          </cell>
          <cell r="Y65">
            <v>1724</v>
          </cell>
          <cell r="Z65">
            <v>1191.7</v>
          </cell>
          <cell r="AC65">
            <v>2724</v>
          </cell>
          <cell r="AD65">
            <v>2651</v>
          </cell>
          <cell r="AE65">
            <v>73</v>
          </cell>
          <cell r="AF65">
            <v>1023</v>
          </cell>
          <cell r="AG65">
            <v>938</v>
          </cell>
          <cell r="AH65">
            <v>85</v>
          </cell>
          <cell r="AI65">
            <v>-1701</v>
          </cell>
          <cell r="AJ65">
            <v>307</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Q66">
            <v>440</v>
          </cell>
          <cell r="R66">
            <v>-244.33333333333331</v>
          </cell>
          <cell r="S66">
            <v>681.27272727272725</v>
          </cell>
          <cell r="T66">
            <v>420</v>
          </cell>
          <cell r="U66">
            <v>261.27272727272725</v>
          </cell>
          <cell r="W66">
            <v>272</v>
          </cell>
          <cell r="X66">
            <v>448</v>
          </cell>
          <cell r="Y66">
            <v>266</v>
          </cell>
          <cell r="Z66">
            <v>182</v>
          </cell>
          <cell r="AC66">
            <v>560</v>
          </cell>
          <cell r="AD66">
            <v>560</v>
          </cell>
          <cell r="AE66">
            <v>0</v>
          </cell>
          <cell r="AF66">
            <v>196.36363636363637</v>
          </cell>
          <cell r="AG66">
            <v>237</v>
          </cell>
          <cell r="AH66">
            <v>-40.636363636363626</v>
          </cell>
          <cell r="AI66">
            <v>-363.63636363636363</v>
          </cell>
          <cell r="AJ66">
            <v>729</v>
          </cell>
          <cell r="AK66">
            <v>1887</v>
          </cell>
          <cell r="AL66">
            <v>345</v>
          </cell>
          <cell r="AM66">
            <v>1039</v>
          </cell>
          <cell r="AN66">
            <v>384</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Q67">
            <v>139.18181818181819</v>
          </cell>
          <cell r="R67">
            <v>-14</v>
          </cell>
          <cell r="S67">
            <v>37</v>
          </cell>
          <cell r="T67">
            <v>23</v>
          </cell>
          <cell r="U67">
            <v>14</v>
          </cell>
          <cell r="W67">
            <v>88</v>
          </cell>
          <cell r="X67">
            <v>24</v>
          </cell>
          <cell r="Y67">
            <v>15</v>
          </cell>
          <cell r="Z67">
            <v>9</v>
          </cell>
          <cell r="AC67">
            <v>30</v>
          </cell>
          <cell r="AD67">
            <v>30</v>
          </cell>
          <cell r="AE67">
            <v>0</v>
          </cell>
          <cell r="AF67">
            <v>11</v>
          </cell>
          <cell r="AG67">
            <v>12</v>
          </cell>
          <cell r="AH67">
            <v>-1</v>
          </cell>
          <cell r="AI67">
            <v>-19</v>
          </cell>
          <cell r="AJ67">
            <v>160</v>
          </cell>
          <cell r="AK67">
            <v>532.90909090909099</v>
          </cell>
          <cell r="AO67">
            <v>175</v>
          </cell>
          <cell r="AP67">
            <v>52</v>
          </cell>
          <cell r="AQ67">
            <v>123</v>
          </cell>
          <cell r="AR67" t="e">
            <v>#REF!</v>
          </cell>
          <cell r="AS67" t="e">
            <v>#REF!</v>
          </cell>
        </row>
        <row r="68">
          <cell r="C68">
            <v>0</v>
          </cell>
          <cell r="D68">
            <v>0</v>
          </cell>
          <cell r="E68">
            <v>0</v>
          </cell>
          <cell r="M68">
            <v>79</v>
          </cell>
          <cell r="O68">
            <v>-79</v>
          </cell>
          <cell r="P68">
            <v>407</v>
          </cell>
          <cell r="Q68">
            <v>8</v>
          </cell>
          <cell r="R68">
            <v>-79</v>
          </cell>
          <cell r="S68">
            <v>219</v>
          </cell>
          <cell r="T68">
            <v>135</v>
          </cell>
          <cell r="U68">
            <v>84</v>
          </cell>
          <cell r="W68">
            <v>5</v>
          </cell>
          <cell r="X68">
            <v>146</v>
          </cell>
          <cell r="Y68">
            <v>87</v>
          </cell>
          <cell r="Z68">
            <v>59</v>
          </cell>
          <cell r="AC68">
            <v>180</v>
          </cell>
          <cell r="AD68">
            <v>180</v>
          </cell>
          <cell r="AE68">
            <v>0</v>
          </cell>
          <cell r="AF68">
            <v>63</v>
          </cell>
          <cell r="AG68">
            <v>16</v>
          </cell>
          <cell r="AH68">
            <v>47</v>
          </cell>
          <cell r="AI68">
            <v>-117</v>
          </cell>
          <cell r="AJ68">
            <v>9</v>
          </cell>
          <cell r="AK68">
            <v>30</v>
          </cell>
          <cell r="AO68">
            <v>1031</v>
          </cell>
          <cell r="AP68">
            <v>301</v>
          </cell>
          <cell r="AQ68">
            <v>730</v>
          </cell>
          <cell r="AR68">
            <v>620</v>
          </cell>
          <cell r="AS68">
            <v>-411</v>
          </cell>
        </row>
        <row r="69">
          <cell r="C69">
            <v>0</v>
          </cell>
          <cell r="D69">
            <v>0</v>
          </cell>
          <cell r="E69">
            <v>0</v>
          </cell>
          <cell r="M69">
            <v>0</v>
          </cell>
          <cell r="O69">
            <v>0</v>
          </cell>
          <cell r="P69">
            <v>0</v>
          </cell>
          <cell r="Q69">
            <v>45</v>
          </cell>
          <cell r="R69">
            <v>0</v>
          </cell>
          <cell r="S69">
            <v>0</v>
          </cell>
          <cell r="T69">
            <v>0</v>
          </cell>
          <cell r="U69">
            <v>0</v>
          </cell>
          <cell r="W69">
            <v>28</v>
          </cell>
          <cell r="X69">
            <v>0</v>
          </cell>
          <cell r="Y69">
            <v>0</v>
          </cell>
          <cell r="Z69">
            <v>0</v>
          </cell>
          <cell r="AC69">
            <v>0</v>
          </cell>
          <cell r="AD69">
            <v>0</v>
          </cell>
          <cell r="AE69">
            <v>0</v>
          </cell>
          <cell r="AH69">
            <v>0</v>
          </cell>
          <cell r="AI69">
            <v>0</v>
          </cell>
          <cell r="AJ69">
            <v>51</v>
          </cell>
          <cell r="AK69">
            <v>172</v>
          </cell>
          <cell r="AO69">
            <v>0</v>
          </cell>
          <cell r="AP69">
            <v>0</v>
          </cell>
          <cell r="AQ69">
            <v>0</v>
          </cell>
          <cell r="AR69" t="e">
            <v>#REF!</v>
          </cell>
          <cell r="AS69" t="e">
            <v>#REF!</v>
          </cell>
        </row>
        <row r="70">
          <cell r="C70">
            <v>0</v>
          </cell>
          <cell r="D70">
            <v>0</v>
          </cell>
          <cell r="E70">
            <v>0</v>
          </cell>
          <cell r="M70">
            <v>654.75</v>
          </cell>
          <cell r="O70">
            <v>-654.75</v>
          </cell>
          <cell r="P70">
            <v>198</v>
          </cell>
          <cell r="Q70">
            <v>0</v>
          </cell>
          <cell r="R70">
            <v>-654.75</v>
          </cell>
          <cell r="S70">
            <v>302</v>
          </cell>
          <cell r="T70">
            <v>0</v>
          </cell>
          <cell r="U70">
            <v>1110</v>
          </cell>
          <cell r="W70">
            <v>0</v>
          </cell>
          <cell r="X70">
            <v>0</v>
          </cell>
          <cell r="Y70">
            <v>0</v>
          </cell>
          <cell r="Z70">
            <v>783</v>
          </cell>
          <cell r="AC70">
            <v>368</v>
          </cell>
          <cell r="AD70">
            <v>415</v>
          </cell>
          <cell r="AE70">
            <v>652</v>
          </cell>
          <cell r="AH70">
            <v>0</v>
          </cell>
          <cell r="AI70">
            <v>-368</v>
          </cell>
          <cell r="AJ70">
            <v>0</v>
          </cell>
          <cell r="AK70">
            <v>0</v>
          </cell>
          <cell r="AO70">
            <v>1569.75</v>
          </cell>
          <cell r="AP70">
            <v>1038.75</v>
          </cell>
          <cell r="AR70" t="e">
            <v>#REF!</v>
          </cell>
          <cell r="AS70" t="e">
            <v>#REF!</v>
          </cell>
        </row>
        <row r="71">
          <cell r="C71">
            <v>0</v>
          </cell>
          <cell r="D71">
            <v>0</v>
          </cell>
          <cell r="E71">
            <v>0</v>
          </cell>
          <cell r="M71">
            <v>0</v>
          </cell>
          <cell r="O71">
            <v>0</v>
          </cell>
          <cell r="P71">
            <v>0</v>
          </cell>
          <cell r="Q71">
            <v>440</v>
          </cell>
          <cell r="R71">
            <v>0</v>
          </cell>
          <cell r="S71">
            <v>0</v>
          </cell>
          <cell r="T71">
            <v>0</v>
          </cell>
          <cell r="U71">
            <v>218</v>
          </cell>
          <cell r="W71">
            <v>272</v>
          </cell>
          <cell r="X71">
            <v>0</v>
          </cell>
          <cell r="Y71">
            <v>0</v>
          </cell>
          <cell r="Z71">
            <v>148.36363636363637</v>
          </cell>
          <cell r="AC71">
            <v>70</v>
          </cell>
          <cell r="AD71">
            <v>78.363636363636374</v>
          </cell>
          <cell r="AE71">
            <v>199.27272727272728</v>
          </cell>
          <cell r="AH71">
            <v>0</v>
          </cell>
          <cell r="AI71">
            <v>-70</v>
          </cell>
          <cell r="AJ71">
            <v>729</v>
          </cell>
          <cell r="AK71">
            <v>1887</v>
          </cell>
          <cell r="AO71">
            <v>78.363636363636374</v>
          </cell>
          <cell r="AP71">
            <v>0</v>
          </cell>
          <cell r="AR71" t="e">
            <v>#REF!</v>
          </cell>
          <cell r="AS71" t="e">
            <v>#REF!</v>
          </cell>
        </row>
        <row r="72">
          <cell r="C72">
            <v>6870.4</v>
          </cell>
          <cell r="D72">
            <v>2955</v>
          </cell>
          <cell r="E72">
            <v>3915.4</v>
          </cell>
          <cell r="M72">
            <v>282.55</v>
          </cell>
          <cell r="O72">
            <v>-282.55</v>
          </cell>
          <cell r="P72">
            <v>922.5916666666667</v>
          </cell>
          <cell r="Q72">
            <v>0</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J72">
            <v>0</v>
          </cell>
          <cell r="AK72">
            <v>0</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Q73">
            <v>80.099999999999994</v>
          </cell>
          <cell r="R73">
            <v>0</v>
          </cell>
          <cell r="S73">
            <v>0</v>
          </cell>
          <cell r="T73">
            <v>0</v>
          </cell>
          <cell r="U73">
            <v>0</v>
          </cell>
          <cell r="W73">
            <v>225</v>
          </cell>
          <cell r="X73">
            <v>0</v>
          </cell>
          <cell r="Y73">
            <v>0</v>
          </cell>
          <cell r="Z73">
            <v>0</v>
          </cell>
          <cell r="AC73">
            <v>0</v>
          </cell>
          <cell r="AD73">
            <v>0</v>
          </cell>
          <cell r="AE73">
            <v>0</v>
          </cell>
          <cell r="AG73">
            <v>0</v>
          </cell>
          <cell r="AH73">
            <v>0</v>
          </cell>
          <cell r="AI73">
            <v>0</v>
          </cell>
          <cell r="AJ73">
            <v>832</v>
          </cell>
          <cell r="AK73">
            <v>2254.8666666666663</v>
          </cell>
          <cell r="AL73">
            <v>65</v>
          </cell>
          <cell r="AM73">
            <v>234</v>
          </cell>
          <cell r="AN73">
            <v>767</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Q74">
            <v>0</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J74">
            <v>22</v>
          </cell>
          <cell r="AK74">
            <v>83</v>
          </cell>
          <cell r="AL74">
            <v>0</v>
          </cell>
          <cell r="AM74">
            <v>0</v>
          </cell>
          <cell r="AN74">
            <v>22</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Q75">
            <v>80.099999999999994</v>
          </cell>
          <cell r="R75">
            <v>-195.75</v>
          </cell>
          <cell r="S75">
            <v>151</v>
          </cell>
          <cell r="T75">
            <v>96</v>
          </cell>
          <cell r="U75">
            <v>55</v>
          </cell>
          <cell r="W75">
            <v>225</v>
          </cell>
          <cell r="X75">
            <v>104.65</v>
          </cell>
          <cell r="Y75">
            <v>105</v>
          </cell>
          <cell r="Z75">
            <v>-0.35000000000000142</v>
          </cell>
          <cell r="AC75">
            <v>401.85</v>
          </cell>
          <cell r="AD75">
            <v>365.2</v>
          </cell>
          <cell r="AE75">
            <v>36.649999999999991</v>
          </cell>
          <cell r="AG75">
            <v>0</v>
          </cell>
          <cell r="AH75">
            <v>2981.8666666666663</v>
          </cell>
          <cell r="AI75">
            <v>-401.85</v>
          </cell>
          <cell r="AJ75">
            <v>810</v>
          </cell>
          <cell r="AK75">
            <v>2171.8666666666663</v>
          </cell>
          <cell r="AL75">
            <v>65</v>
          </cell>
          <cell r="AM75">
            <v>234</v>
          </cell>
          <cell r="AN75">
            <v>745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Q76">
            <v>51</v>
          </cell>
          <cell r="R76">
            <v>0</v>
          </cell>
          <cell r="S76">
            <v>0</v>
          </cell>
          <cell r="T76">
            <v>0</v>
          </cell>
          <cell r="U76">
            <v>0</v>
          </cell>
          <cell r="W76">
            <v>163</v>
          </cell>
          <cell r="X76">
            <v>0</v>
          </cell>
          <cell r="Y76">
            <v>0</v>
          </cell>
          <cell r="Z76">
            <v>0</v>
          </cell>
          <cell r="AC76">
            <v>0</v>
          </cell>
          <cell r="AD76">
            <v>0</v>
          </cell>
          <cell r="AE76">
            <v>0</v>
          </cell>
          <cell r="AH76">
            <v>1230</v>
          </cell>
          <cell r="AI76">
            <v>0</v>
          </cell>
          <cell r="AJ76">
            <v>295</v>
          </cell>
          <cell r="AK76">
            <v>935</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Q77">
            <v>0</v>
          </cell>
          <cell r="S77">
            <v>53.199999999999996</v>
          </cell>
          <cell r="T77">
            <v>0</v>
          </cell>
          <cell r="U77">
            <v>0</v>
          </cell>
          <cell r="X77">
            <v>37.950000000000003</v>
          </cell>
          <cell r="Y77">
            <v>0</v>
          </cell>
          <cell r="Z77">
            <v>0</v>
          </cell>
          <cell r="AC77">
            <v>130.15</v>
          </cell>
          <cell r="AD77">
            <v>78.09</v>
          </cell>
          <cell r="AE77">
            <v>52.06</v>
          </cell>
          <cell r="AH77">
            <v>363.66666666666663</v>
          </cell>
          <cell r="AJ77">
            <v>158</v>
          </cell>
          <cell r="AK77">
            <v>205.66666666666663</v>
          </cell>
          <cell r="AO77">
            <v>205.66666666666663</v>
          </cell>
        </row>
        <row r="78">
          <cell r="C78">
            <v>2086</v>
          </cell>
          <cell r="D78">
            <v>775</v>
          </cell>
          <cell r="E78">
            <v>1311</v>
          </cell>
          <cell r="M78">
            <v>62.05</v>
          </cell>
          <cell r="O78">
            <v>12</v>
          </cell>
          <cell r="P78">
            <v>153.77500000000001</v>
          </cell>
          <cell r="Q78">
            <v>8</v>
          </cell>
          <cell r="S78">
            <v>71.25</v>
          </cell>
          <cell r="T78">
            <v>0</v>
          </cell>
          <cell r="U78">
            <v>0</v>
          </cell>
          <cell r="W78">
            <v>12</v>
          </cell>
          <cell r="X78">
            <v>91.2</v>
          </cell>
          <cell r="Y78">
            <v>0</v>
          </cell>
          <cell r="Z78">
            <v>0</v>
          </cell>
          <cell r="AC78">
            <v>113.05000000000001</v>
          </cell>
          <cell r="AD78">
            <v>78</v>
          </cell>
          <cell r="AE78">
            <v>35.050000000000004</v>
          </cell>
          <cell r="AH78">
            <v>540.20000000000005</v>
          </cell>
          <cell r="AJ78">
            <v>123</v>
          </cell>
          <cell r="AK78">
            <v>417.20000000000005</v>
          </cell>
        </row>
        <row r="79">
          <cell r="C79">
            <v>610</v>
          </cell>
          <cell r="D79">
            <v>130</v>
          </cell>
          <cell r="E79">
            <v>480</v>
          </cell>
          <cell r="O79">
            <v>0</v>
          </cell>
          <cell r="P79">
            <v>9</v>
          </cell>
          <cell r="Q79">
            <v>19</v>
          </cell>
          <cell r="R79">
            <v>0</v>
          </cell>
          <cell r="S79">
            <v>32</v>
          </cell>
          <cell r="T79">
            <v>10</v>
          </cell>
          <cell r="U79">
            <v>22</v>
          </cell>
          <cell r="W79">
            <v>50</v>
          </cell>
          <cell r="X79">
            <v>30</v>
          </cell>
          <cell r="Y79">
            <v>20</v>
          </cell>
          <cell r="AH79">
            <v>848</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Q81">
            <v>2.1</v>
          </cell>
          <cell r="R81">
            <v>-7173.7066666666669</v>
          </cell>
          <cell r="S81">
            <v>51006.210606060602</v>
          </cell>
          <cell r="T81">
            <v>31042</v>
          </cell>
          <cell r="U81">
            <v>19964.210606060606</v>
          </cell>
          <cell r="W81">
            <v>4.8</v>
          </cell>
          <cell r="X81">
            <v>41163.24</v>
          </cell>
          <cell r="Y81">
            <v>24071</v>
          </cell>
          <cell r="Z81">
            <v>17092.240000000002</v>
          </cell>
          <cell r="AC81">
            <v>13065.94</v>
          </cell>
          <cell r="AD81">
            <v>10510.14</v>
          </cell>
          <cell r="AE81">
            <v>2556.8000000000002</v>
          </cell>
          <cell r="AH81">
            <v>35.800000000000004</v>
          </cell>
          <cell r="AI81">
            <v>-13065.94</v>
          </cell>
          <cell r="AJ81">
            <v>10.1</v>
          </cell>
          <cell r="AK81">
            <v>25.700000000000003</v>
          </cell>
          <cell r="AO81">
            <v>69577.194393939397</v>
          </cell>
          <cell r="AP81" t="e">
            <v>#REF!</v>
          </cell>
          <cell r="AQ81" t="e">
            <v>#REF!</v>
          </cell>
          <cell r="AR81" t="e">
            <v>#REF!</v>
          </cell>
          <cell r="AS81" t="e">
            <v>#REF!</v>
          </cell>
          <cell r="AT81">
            <v>11152</v>
          </cell>
          <cell r="AU81">
            <v>12997</v>
          </cell>
          <cell r="AV81">
            <v>12251.206666666669</v>
          </cell>
          <cell r="AW81" t="e">
            <v>#REF!</v>
          </cell>
        </row>
        <row r="82">
          <cell r="C82">
            <v>2717.878787878788</v>
          </cell>
          <cell r="D82">
            <v>558</v>
          </cell>
          <cell r="E82">
            <v>2063.878787878788</v>
          </cell>
          <cell r="M82">
            <v>2987.9609090909089</v>
          </cell>
          <cell r="N82">
            <v>0</v>
          </cell>
          <cell r="O82">
            <v>0</v>
          </cell>
          <cell r="P82">
            <v>9260.9121951219513</v>
          </cell>
          <cell r="Q82">
            <v>0</v>
          </cell>
          <cell r="R82">
            <v>0</v>
          </cell>
          <cell r="S82">
            <v>22358.636363636364</v>
          </cell>
          <cell r="T82">
            <v>8958.4774346793329</v>
          </cell>
          <cell r="U82">
            <v>13401.858928957032</v>
          </cell>
          <cell r="V82">
            <v>0</v>
          </cell>
          <cell r="W82">
            <v>0</v>
          </cell>
          <cell r="X82">
            <v>3165.9636363636364</v>
          </cell>
          <cell r="Y82">
            <v>1188.5818181818181</v>
          </cell>
          <cell r="AA82">
            <v>0</v>
          </cell>
          <cell r="AB82">
            <v>0</v>
          </cell>
          <cell r="AC82">
            <v>0</v>
          </cell>
          <cell r="AF82">
            <v>2287.3636363636365</v>
          </cell>
          <cell r="AG82">
            <v>1984</v>
          </cell>
          <cell r="AH82">
            <v>303.36363636363637</v>
          </cell>
          <cell r="AI82">
            <v>2287.3636363636365</v>
          </cell>
          <cell r="AJ82">
            <v>21747.116902528556</v>
          </cell>
          <cell r="AK82">
            <v>62510.210370198722</v>
          </cell>
          <cell r="AL82">
            <v>18166.389629801284</v>
          </cell>
          <cell r="AM82">
            <v>0</v>
          </cell>
          <cell r="AN82">
            <v>3327.727272727273</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H83">
            <v>22387.327272727271</v>
          </cell>
          <cell r="AI83">
            <v>0</v>
          </cell>
          <cell r="AJ83">
            <v>5042.7272727272721</v>
          </cell>
          <cell r="AK83">
            <v>17344.600000000006</v>
          </cell>
          <cell r="AL83">
            <v>1462</v>
          </cell>
          <cell r="AM83">
            <v>5883</v>
          </cell>
          <cell r="AN83">
            <v>3327.727272727273</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J85">
            <v>11292</v>
          </cell>
          <cell r="AK85">
            <v>0</v>
          </cell>
          <cell r="AL85">
            <v>0</v>
          </cell>
          <cell r="AM85">
            <v>0</v>
          </cell>
          <cell r="AN85">
            <v>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N86">
            <v>0</v>
          </cell>
          <cell r="O86">
            <v>0</v>
          </cell>
          <cell r="P86">
            <v>0</v>
          </cell>
          <cell r="Q86">
            <v>16099.915077605321</v>
          </cell>
          <cell r="R86">
            <v>0</v>
          </cell>
          <cell r="S86">
            <v>0</v>
          </cell>
          <cell r="T86">
            <v>0</v>
          </cell>
          <cell r="U86">
            <v>0</v>
          </cell>
          <cell r="V86">
            <v>0</v>
          </cell>
          <cell r="W86">
            <v>4354.545454545454</v>
          </cell>
          <cell r="X86">
            <v>0</v>
          </cell>
          <cell r="Y86">
            <v>0</v>
          </cell>
          <cell r="Z86">
            <v>0</v>
          </cell>
          <cell r="AA86">
            <v>0</v>
          </cell>
          <cell r="AB86">
            <v>0</v>
          </cell>
          <cell r="AC86">
            <v>0</v>
          </cell>
          <cell r="AD86">
            <v>0</v>
          </cell>
          <cell r="AE86">
            <v>0</v>
          </cell>
          <cell r="AG86">
            <v>0</v>
          </cell>
          <cell r="AH86">
            <v>0</v>
          </cell>
          <cell r="AI86">
            <v>0</v>
          </cell>
          <cell r="AJ86">
            <v>33039.116902528556</v>
          </cell>
          <cell r="AK86">
            <v>62510.210370198722</v>
          </cell>
          <cell r="AL86">
            <v>18166.389629801284</v>
          </cell>
          <cell r="AM86">
            <v>51049</v>
          </cell>
          <cell r="AN86">
            <v>3327.727272727273</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L87">
            <v>0</v>
          </cell>
          <cell r="AM87">
            <v>0</v>
          </cell>
          <cell r="AN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J88">
            <v>462</v>
          </cell>
          <cell r="AK88">
            <v>560</v>
          </cell>
          <cell r="AL88">
            <v>0</v>
          </cell>
          <cell r="AM88">
            <v>0</v>
          </cell>
          <cell r="AN88">
            <v>462</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V89">
            <v>0</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K89">
            <v>474</v>
          </cell>
          <cell r="AL89">
            <v>0</v>
          </cell>
          <cell r="AM89">
            <v>37</v>
          </cell>
          <cell r="AN89">
            <v>126</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V90">
            <v>0</v>
          </cell>
          <cell r="W90">
            <v>0</v>
          </cell>
          <cell r="X90">
            <v>7579.5733333333337</v>
          </cell>
          <cell r="Y90">
            <v>4543</v>
          </cell>
          <cell r="Z90">
            <v>3036.5733333333337</v>
          </cell>
          <cell r="AA90">
            <v>10</v>
          </cell>
          <cell r="AB90">
            <v>4</v>
          </cell>
          <cell r="AC90">
            <v>13148.606666666667</v>
          </cell>
          <cell r="AD90">
            <v>10548.14</v>
          </cell>
          <cell r="AE90">
            <v>2556.8000000000002</v>
          </cell>
          <cell r="AF90">
            <v>9069</v>
          </cell>
          <cell r="AG90">
            <v>6496</v>
          </cell>
          <cell r="AH90">
            <v>2573</v>
          </cell>
          <cell r="AI90">
            <v>-4079.6066666666666</v>
          </cell>
          <cell r="AJ90">
            <v>75</v>
          </cell>
          <cell r="AK90">
            <v>85</v>
          </cell>
          <cell r="AL90">
            <v>11</v>
          </cell>
          <cell r="AM90">
            <v>37</v>
          </cell>
          <cell r="AN90">
            <v>64</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D93">
            <v>12441</v>
          </cell>
          <cell r="E93">
            <v>3107.878787878788</v>
          </cell>
          <cell r="M93">
            <v>1680</v>
          </cell>
          <cell r="N93">
            <v>0</v>
          </cell>
          <cell r="O93">
            <v>-1680</v>
          </cell>
          <cell r="P93">
            <v>4255</v>
          </cell>
          <cell r="Q93">
            <v>16124.915077605321</v>
          </cell>
          <cell r="R93">
            <v>-1680</v>
          </cell>
          <cell r="S93">
            <v>227</v>
          </cell>
          <cell r="T93">
            <v>8958.4774346793329</v>
          </cell>
          <cell r="U93">
            <v>13401.858928957032</v>
          </cell>
          <cell r="V93">
            <v>0</v>
          </cell>
          <cell r="W93">
            <v>0</v>
          </cell>
          <cell r="X93">
            <v>555</v>
          </cell>
          <cell r="Y93">
            <v>1189.5818181818181</v>
          </cell>
          <cell r="AA93">
            <v>10</v>
          </cell>
          <cell r="AB93">
            <v>4</v>
          </cell>
          <cell r="AC93">
            <v>952</v>
          </cell>
          <cell r="AD93">
            <v>519</v>
          </cell>
          <cell r="AE93">
            <v>433</v>
          </cell>
          <cell r="AF93">
            <v>0</v>
          </cell>
          <cell r="AG93">
            <v>0</v>
          </cell>
          <cell r="AH93">
            <v>0</v>
          </cell>
          <cell r="AI93">
            <v>-952</v>
          </cell>
          <cell r="AJ93">
            <v>33702.116902528556</v>
          </cell>
          <cell r="AK93">
            <v>63629.210370198722</v>
          </cell>
          <cell r="AL93">
            <v>18177.389629801284</v>
          </cell>
          <cell r="AM93">
            <v>12</v>
          </cell>
          <cell r="AN93">
            <v>3979.727272727273</v>
          </cell>
          <cell r="AO93">
            <v>7357</v>
          </cell>
          <cell r="AR93" t="e">
            <v>#REF!</v>
          </cell>
        </row>
        <row r="94">
          <cell r="C94">
            <v>0</v>
          </cell>
          <cell r="D94">
            <v>1149</v>
          </cell>
          <cell r="E94">
            <v>3107.878787878788</v>
          </cell>
          <cell r="M94">
            <v>0</v>
          </cell>
          <cell r="N94">
            <v>0</v>
          </cell>
          <cell r="O94">
            <v>0</v>
          </cell>
          <cell r="P94">
            <v>897</v>
          </cell>
          <cell r="Q94">
            <v>1991.8272727272724</v>
          </cell>
          <cell r="R94">
            <v>0</v>
          </cell>
          <cell r="S94">
            <v>9</v>
          </cell>
          <cell r="T94">
            <v>629</v>
          </cell>
          <cell r="U94">
            <v>1295.3363636363647</v>
          </cell>
          <cell r="V94">
            <v>0</v>
          </cell>
          <cell r="W94">
            <v>4371.545454545454</v>
          </cell>
          <cell r="X94">
            <v>0</v>
          </cell>
          <cell r="Y94">
            <v>1189.5818181818181</v>
          </cell>
          <cell r="AA94">
            <v>10</v>
          </cell>
          <cell r="AB94">
            <v>4</v>
          </cell>
          <cell r="AC94">
            <v>0</v>
          </cell>
          <cell r="AD94">
            <v>0</v>
          </cell>
          <cell r="AE94">
            <v>0</v>
          </cell>
          <cell r="AG94">
            <v>0</v>
          </cell>
          <cell r="AH94">
            <v>0</v>
          </cell>
          <cell r="AI94">
            <v>0</v>
          </cell>
          <cell r="AJ94">
            <v>5705.7272727272721</v>
          </cell>
          <cell r="AK94">
            <v>18463.600000000006</v>
          </cell>
          <cell r="AL94">
            <v>1473</v>
          </cell>
          <cell r="AM94">
            <v>0</v>
          </cell>
          <cell r="AN94">
            <v>3979.727272727273</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J95">
            <v>97331.327272727271</v>
          </cell>
          <cell r="AM95">
            <v>0</v>
          </cell>
          <cell r="AO95">
            <v>3502.7</v>
          </cell>
          <cell r="AR95" t="e">
            <v>#REF!</v>
          </cell>
        </row>
        <row r="96">
          <cell r="M96">
            <v>696.19636363636369</v>
          </cell>
          <cell r="N96">
            <v>0</v>
          </cell>
          <cell r="O96">
            <v>0</v>
          </cell>
          <cell r="P96">
            <v>148</v>
          </cell>
          <cell r="Q96">
            <v>326.90909090909093</v>
          </cell>
          <cell r="R96">
            <v>0</v>
          </cell>
          <cell r="S96">
            <v>392.63636363636363</v>
          </cell>
          <cell r="W96">
            <v>1046.5454545454545</v>
          </cell>
          <cell r="X96">
            <v>814.76363636363635</v>
          </cell>
          <cell r="Y96">
            <v>231.78181818181815</v>
          </cell>
          <cell r="AE96">
            <v>0</v>
          </cell>
          <cell r="AH96">
            <v>0</v>
          </cell>
          <cell r="AI96">
            <v>0</v>
          </cell>
          <cell r="AM96" t="e">
            <v>#REF!</v>
          </cell>
          <cell r="AO96" t="e">
            <v>#REF!</v>
          </cell>
          <cell r="AR96" t="e">
            <v>#REF!</v>
          </cell>
        </row>
        <row r="97">
          <cell r="C97">
            <v>474</v>
          </cell>
          <cell r="D97">
            <v>101</v>
          </cell>
          <cell r="N97">
            <v>570</v>
          </cell>
          <cell r="O97">
            <v>0</v>
          </cell>
          <cell r="R97">
            <v>0</v>
          </cell>
          <cell r="S97">
            <v>176</v>
          </cell>
          <cell r="W97">
            <v>84</v>
          </cell>
          <cell r="X97">
            <v>84</v>
          </cell>
          <cell r="Y97">
            <v>0</v>
          </cell>
          <cell r="AA97">
            <v>0</v>
          </cell>
          <cell r="AC97">
            <v>0</v>
          </cell>
          <cell r="AE97">
            <v>0</v>
          </cell>
          <cell r="AG97">
            <v>68</v>
          </cell>
          <cell r="AH97">
            <v>0</v>
          </cell>
          <cell r="AI97">
            <v>0</v>
          </cell>
          <cell r="AM97" t="e">
            <v>#REF!</v>
          </cell>
          <cell r="AO97" t="e">
            <v>#REF!</v>
          </cell>
          <cell r="AR97" t="e">
            <v>#REF!</v>
          </cell>
        </row>
        <row r="98">
          <cell r="C98">
            <v>87.333333333333329</v>
          </cell>
          <cell r="D98">
            <v>19</v>
          </cell>
          <cell r="N98">
            <v>570</v>
          </cell>
          <cell r="O98">
            <v>0</v>
          </cell>
          <cell r="R98">
            <v>0</v>
          </cell>
          <cell r="S98">
            <v>176</v>
          </cell>
          <cell r="W98">
            <v>84</v>
          </cell>
          <cell r="X98">
            <v>84</v>
          </cell>
          <cell r="Y98">
            <v>0</v>
          </cell>
          <cell r="AE98">
            <v>0</v>
          </cell>
          <cell r="AH98">
            <v>0</v>
          </cell>
          <cell r="AI98">
            <v>0</v>
          </cell>
          <cell r="AM98">
            <v>3770.5939393939398</v>
          </cell>
          <cell r="AO98">
            <v>3770.5939393939398</v>
          </cell>
          <cell r="AR98" t="e">
            <v>#REF!</v>
          </cell>
        </row>
        <row r="99">
          <cell r="C99">
            <v>0</v>
          </cell>
          <cell r="D99">
            <v>0</v>
          </cell>
          <cell r="O99">
            <v>0</v>
          </cell>
          <cell r="R99">
            <v>0</v>
          </cell>
          <cell r="W99">
            <v>0</v>
          </cell>
          <cell r="X99">
            <v>0</v>
          </cell>
          <cell r="Y99">
            <v>0</v>
          </cell>
          <cell r="AH99">
            <v>0</v>
          </cell>
          <cell r="AI99">
            <v>0</v>
          </cell>
          <cell r="AM99">
            <v>3770.5939393939398</v>
          </cell>
          <cell r="AO99">
            <v>3770.5939393939398</v>
          </cell>
          <cell r="AR99" t="e">
            <v>#REF!</v>
          </cell>
        </row>
        <row r="100">
          <cell r="C100">
            <v>1313</v>
          </cell>
          <cell r="D100">
            <v>82</v>
          </cell>
          <cell r="M100">
            <v>344.5</v>
          </cell>
          <cell r="O100">
            <v>-344.5</v>
          </cell>
          <cell r="P100">
            <v>1369.2</v>
          </cell>
          <cell r="Q100">
            <v>31</v>
          </cell>
          <cell r="R100">
            <v>-344.5</v>
          </cell>
          <cell r="S100">
            <v>0</v>
          </cell>
          <cell r="W100">
            <v>2</v>
          </cell>
          <cell r="X100">
            <v>-5</v>
          </cell>
          <cell r="Y100">
            <v>0</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D101">
            <v>0</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D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D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D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D105">
            <v>82</v>
          </cell>
          <cell r="M105">
            <v>0</v>
          </cell>
          <cell r="O105">
            <v>0</v>
          </cell>
          <cell r="P105">
            <v>130</v>
          </cell>
          <cell r="Q105">
            <v>0</v>
          </cell>
          <cell r="R105">
            <v>0</v>
          </cell>
          <cell r="S105">
            <v>0</v>
          </cell>
          <cell r="W105">
            <v>0</v>
          </cell>
          <cell r="X105">
            <v>0</v>
          </cell>
          <cell r="Y105">
            <v>0</v>
          </cell>
          <cell r="AA105">
            <v>69</v>
          </cell>
          <cell r="AB105">
            <v>0</v>
          </cell>
          <cell r="AC105">
            <v>0</v>
          </cell>
          <cell r="AD105">
            <v>0</v>
          </cell>
          <cell r="AE105">
            <v>0</v>
          </cell>
          <cell r="AG105">
            <v>0</v>
          </cell>
          <cell r="AH105">
            <v>0</v>
          </cell>
          <cell r="AI105">
            <v>0</v>
          </cell>
          <cell r="AM105">
            <v>80</v>
          </cell>
          <cell r="AO105">
            <v>210</v>
          </cell>
          <cell r="AR105" t="e">
            <v>#REF!</v>
          </cell>
        </row>
        <row r="106">
          <cell r="C106">
            <v>0</v>
          </cell>
          <cell r="D106">
            <v>82</v>
          </cell>
          <cell r="M106">
            <v>0</v>
          </cell>
          <cell r="O106">
            <v>0</v>
          </cell>
          <cell r="P106">
            <v>0</v>
          </cell>
          <cell r="Q106">
            <v>154</v>
          </cell>
          <cell r="R106">
            <v>0</v>
          </cell>
          <cell r="S106">
            <v>0</v>
          </cell>
          <cell r="W106">
            <v>79</v>
          </cell>
          <cell r="X106">
            <v>-49</v>
          </cell>
          <cell r="Y106">
            <v>0</v>
          </cell>
          <cell r="AC106">
            <v>0</v>
          </cell>
          <cell r="AD106">
            <v>0</v>
          </cell>
          <cell r="AE106">
            <v>0</v>
          </cell>
          <cell r="AF106">
            <v>30</v>
          </cell>
          <cell r="AG106">
            <v>30</v>
          </cell>
          <cell r="AH106">
            <v>0</v>
          </cell>
          <cell r="AI106">
            <v>30</v>
          </cell>
          <cell r="AM106">
            <v>822</v>
          </cell>
          <cell r="AO106">
            <v>773</v>
          </cell>
          <cell r="AR106" t="e">
            <v>#REF!</v>
          </cell>
        </row>
        <row r="107">
          <cell r="C107">
            <v>0</v>
          </cell>
          <cell r="D107">
            <v>0</v>
          </cell>
          <cell r="M107">
            <v>0</v>
          </cell>
          <cell r="O107">
            <v>0</v>
          </cell>
          <cell r="P107">
            <v>0</v>
          </cell>
          <cell r="Q107">
            <v>800</v>
          </cell>
          <cell r="R107">
            <v>0</v>
          </cell>
          <cell r="S107">
            <v>0</v>
          </cell>
          <cell r="W107">
            <v>0</v>
          </cell>
          <cell r="X107">
            <v>0</v>
          </cell>
          <cell r="Y107">
            <v>0</v>
          </cell>
          <cell r="AC107">
            <v>0</v>
          </cell>
          <cell r="AD107">
            <v>0</v>
          </cell>
          <cell r="AE107">
            <v>0</v>
          </cell>
          <cell r="AH107">
            <v>0</v>
          </cell>
          <cell r="AI107">
            <v>0</v>
          </cell>
          <cell r="AM107">
            <v>0</v>
          </cell>
          <cell r="AO107">
            <v>0</v>
          </cell>
          <cell r="AP107" t="e">
            <v>#REF!</v>
          </cell>
          <cell r="AQ107" t="e">
            <v>#REF!</v>
          </cell>
          <cell r="AR107" t="e">
            <v>#REF!</v>
          </cell>
        </row>
        <row r="108">
          <cell r="C108">
            <v>0</v>
          </cell>
          <cell r="D108">
            <v>0</v>
          </cell>
          <cell r="M108">
            <v>0</v>
          </cell>
          <cell r="O108">
            <v>0</v>
          </cell>
          <cell r="P108">
            <v>0</v>
          </cell>
          <cell r="Q108">
            <v>800</v>
          </cell>
          <cell r="R108">
            <v>0</v>
          </cell>
          <cell r="S108">
            <v>0</v>
          </cell>
          <cell r="W108">
            <v>0</v>
          </cell>
          <cell r="X108">
            <v>0</v>
          </cell>
          <cell r="Y108">
            <v>0</v>
          </cell>
          <cell r="AA108">
            <v>69</v>
          </cell>
          <cell r="AB108">
            <v>0</v>
          </cell>
          <cell r="AC108">
            <v>0</v>
          </cell>
          <cell r="AD108">
            <v>0</v>
          </cell>
          <cell r="AE108">
            <v>0</v>
          </cell>
          <cell r="AH108">
            <v>0</v>
          </cell>
          <cell r="AI108">
            <v>0</v>
          </cell>
          <cell r="AM108">
            <v>0</v>
          </cell>
          <cell r="AO108">
            <v>0</v>
          </cell>
          <cell r="AR108" t="e">
            <v>#REF!</v>
          </cell>
        </row>
        <row r="109">
          <cell r="C109">
            <v>0</v>
          </cell>
          <cell r="D109">
            <v>0</v>
          </cell>
          <cell r="M109">
            <v>0</v>
          </cell>
          <cell r="O109">
            <v>0</v>
          </cell>
          <cell r="P109">
            <v>0</v>
          </cell>
          <cell r="R109">
            <v>0</v>
          </cell>
          <cell r="S109">
            <v>0</v>
          </cell>
          <cell r="W109">
            <v>0</v>
          </cell>
          <cell r="X109">
            <v>0</v>
          </cell>
          <cell r="Y109">
            <v>0</v>
          </cell>
          <cell r="AA109">
            <v>16</v>
          </cell>
          <cell r="AB109">
            <v>3</v>
          </cell>
          <cell r="AC109">
            <v>0</v>
          </cell>
          <cell r="AD109">
            <v>0</v>
          </cell>
          <cell r="AE109">
            <v>0</v>
          </cell>
          <cell r="AG109">
            <v>875</v>
          </cell>
          <cell r="AH109">
            <v>0</v>
          </cell>
          <cell r="AI109">
            <v>0</v>
          </cell>
          <cell r="AM109">
            <v>0</v>
          </cell>
          <cell r="AO109">
            <v>0</v>
          </cell>
          <cell r="AP109">
            <v>0</v>
          </cell>
          <cell r="AQ109">
            <v>0</v>
          </cell>
          <cell r="AR109" t="e">
            <v>#REF!</v>
          </cell>
        </row>
        <row r="110">
          <cell r="C110">
            <v>0</v>
          </cell>
          <cell r="D110">
            <v>0</v>
          </cell>
          <cell r="M110">
            <v>0</v>
          </cell>
          <cell r="O110">
            <v>0</v>
          </cell>
          <cell r="P110">
            <v>0</v>
          </cell>
          <cell r="R110">
            <v>0</v>
          </cell>
          <cell r="S110">
            <v>0</v>
          </cell>
          <cell r="W110">
            <v>0</v>
          </cell>
          <cell r="X110">
            <v>0</v>
          </cell>
          <cell r="Y110">
            <v>0</v>
          </cell>
          <cell r="AC110">
            <v>0</v>
          </cell>
          <cell r="AD110">
            <v>0</v>
          </cell>
          <cell r="AE110">
            <v>0</v>
          </cell>
          <cell r="AG110">
            <v>80</v>
          </cell>
          <cell r="AH110">
            <v>0</v>
          </cell>
          <cell r="AI110">
            <v>0</v>
          </cell>
          <cell r="AM110">
            <v>0</v>
          </cell>
          <cell r="AO110">
            <v>0</v>
          </cell>
          <cell r="AR110" t="e">
            <v>#REF!</v>
          </cell>
        </row>
        <row r="111">
          <cell r="C111">
            <v>0</v>
          </cell>
          <cell r="D111">
            <v>0</v>
          </cell>
          <cell r="M111">
            <v>0</v>
          </cell>
          <cell r="O111">
            <v>0</v>
          </cell>
          <cell r="P111">
            <v>0</v>
          </cell>
          <cell r="Q111">
            <v>928</v>
          </cell>
          <cell r="R111">
            <v>0</v>
          </cell>
          <cell r="S111">
            <v>0</v>
          </cell>
          <cell r="W111">
            <v>366</v>
          </cell>
          <cell r="X111">
            <v>-38</v>
          </cell>
          <cell r="Y111">
            <v>0</v>
          </cell>
          <cell r="AA111">
            <v>16</v>
          </cell>
          <cell r="AB111">
            <v>3</v>
          </cell>
          <cell r="AC111">
            <v>0</v>
          </cell>
          <cell r="AD111">
            <v>0</v>
          </cell>
          <cell r="AE111">
            <v>0</v>
          </cell>
          <cell r="AF111">
            <v>535</v>
          </cell>
          <cell r="AG111">
            <v>535</v>
          </cell>
          <cell r="AH111">
            <v>0</v>
          </cell>
          <cell r="AI111">
            <v>535</v>
          </cell>
          <cell r="AM111">
            <v>508</v>
          </cell>
          <cell r="AO111">
            <v>470</v>
          </cell>
          <cell r="AR111" t="e">
            <v>#REF!</v>
          </cell>
        </row>
        <row r="112">
          <cell r="C112">
            <v>0</v>
          </cell>
          <cell r="D112">
            <v>53</v>
          </cell>
          <cell r="M112">
            <v>0</v>
          </cell>
          <cell r="O112">
            <v>0</v>
          </cell>
          <cell r="Q112">
            <v>8</v>
          </cell>
          <cell r="R112">
            <v>0</v>
          </cell>
          <cell r="S112">
            <v>-28</v>
          </cell>
          <cell r="W112">
            <v>57</v>
          </cell>
          <cell r="X112">
            <v>0</v>
          </cell>
          <cell r="Y112">
            <v>0</v>
          </cell>
          <cell r="AC112">
            <v>0</v>
          </cell>
          <cell r="AD112">
            <v>0</v>
          </cell>
          <cell r="AE112">
            <v>0</v>
          </cell>
          <cell r="AH112">
            <v>0</v>
          </cell>
          <cell r="AI112">
            <v>0</v>
          </cell>
          <cell r="AM112">
            <v>19</v>
          </cell>
          <cell r="AO112">
            <v>-9</v>
          </cell>
          <cell r="AR112" t="e">
            <v>#REF!</v>
          </cell>
        </row>
        <row r="113">
          <cell r="C113">
            <v>1295</v>
          </cell>
          <cell r="D113">
            <v>0</v>
          </cell>
          <cell r="M113">
            <v>0</v>
          </cell>
          <cell r="O113">
            <v>0</v>
          </cell>
          <cell r="P113">
            <v>0</v>
          </cell>
          <cell r="R113">
            <v>0</v>
          </cell>
          <cell r="S113">
            <v>0</v>
          </cell>
          <cell r="X113">
            <v>0</v>
          </cell>
          <cell r="Y113">
            <v>0</v>
          </cell>
          <cell r="AC113">
            <v>0</v>
          </cell>
          <cell r="AD113">
            <v>0</v>
          </cell>
          <cell r="AE113">
            <v>0</v>
          </cell>
          <cell r="AH113">
            <v>0</v>
          </cell>
          <cell r="AI113">
            <v>0</v>
          </cell>
          <cell r="AM113">
            <v>0</v>
          </cell>
          <cell r="AO113">
            <v>1295</v>
          </cell>
          <cell r="AR113" t="e">
            <v>#REF!</v>
          </cell>
        </row>
        <row r="114">
          <cell r="C114">
            <v>1000</v>
          </cell>
          <cell r="D114">
            <v>0</v>
          </cell>
          <cell r="O114">
            <v>0</v>
          </cell>
          <cell r="R114">
            <v>0</v>
          </cell>
          <cell r="S114">
            <v>0</v>
          </cell>
          <cell r="Y114">
            <v>0</v>
          </cell>
          <cell r="AE114">
            <v>0</v>
          </cell>
          <cell r="AH114">
            <v>0</v>
          </cell>
          <cell r="AI114">
            <v>0</v>
          </cell>
          <cell r="AO114">
            <v>1000</v>
          </cell>
          <cell r="AR114" t="e">
            <v>#REF!</v>
          </cell>
        </row>
        <row r="115">
          <cell r="C115">
            <v>6305</v>
          </cell>
          <cell r="D115">
            <v>0</v>
          </cell>
          <cell r="O115">
            <v>0</v>
          </cell>
          <cell r="R115">
            <v>0</v>
          </cell>
          <cell r="S115">
            <v>0</v>
          </cell>
          <cell r="Y115">
            <v>0</v>
          </cell>
          <cell r="AE115">
            <v>0</v>
          </cell>
          <cell r="AH115">
            <v>0</v>
          </cell>
          <cell r="AI115">
            <v>0</v>
          </cell>
          <cell r="AO115">
            <v>6305</v>
          </cell>
          <cell r="AR115" t="e">
            <v>#REF!</v>
          </cell>
        </row>
        <row r="116">
          <cell r="C116">
            <v>0</v>
          </cell>
          <cell r="D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O119">
            <v>0</v>
          </cell>
          <cell r="R119">
            <v>0</v>
          </cell>
          <cell r="W119">
            <v>0</v>
          </cell>
          <cell r="X119">
            <v>0</v>
          </cell>
          <cell r="Y119">
            <v>0</v>
          </cell>
          <cell r="AD119">
            <v>0</v>
          </cell>
          <cell r="AE119">
            <v>0</v>
          </cell>
          <cell r="AH119">
            <v>0</v>
          </cell>
          <cell r="AI119">
            <v>0</v>
          </cell>
          <cell r="AM119">
            <v>0</v>
          </cell>
          <cell r="AO119">
            <v>36465</v>
          </cell>
          <cell r="AP119">
            <v>5373.440590909071</v>
          </cell>
          <cell r="AR119" t="e">
            <v>#REF!</v>
          </cell>
        </row>
        <row r="120">
          <cell r="C120">
            <v>0</v>
          </cell>
          <cell r="D120">
            <v>1916</v>
          </cell>
          <cell r="O120">
            <v>0</v>
          </cell>
          <cell r="R120">
            <v>0</v>
          </cell>
          <cell r="Y120">
            <v>0</v>
          </cell>
          <cell r="AH120">
            <v>8992</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C123">
            <v>9939.2910180221279</v>
          </cell>
          <cell r="D123">
            <v>2118</v>
          </cell>
          <cell r="E123">
            <v>0</v>
          </cell>
          <cell r="M123">
            <v>0</v>
          </cell>
          <cell r="N123">
            <v>0</v>
          </cell>
          <cell r="O123">
            <v>0</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0</v>
          </cell>
          <cell r="AJ123">
            <v>11288.291018022128</v>
          </cell>
          <cell r="AK123">
            <v>3108</v>
          </cell>
          <cell r="AL123">
            <v>0</v>
          </cell>
          <cell r="AM123">
            <v>0</v>
          </cell>
          <cell r="AN123">
            <v>0</v>
          </cell>
          <cell r="AO123">
            <v>41703.840590909072</v>
          </cell>
        </row>
        <row r="124">
          <cell r="C124">
            <v>9939.2910180221279</v>
          </cell>
          <cell r="D124">
            <v>2118</v>
          </cell>
          <cell r="E124">
            <v>0</v>
          </cell>
          <cell r="M124">
            <v>0</v>
          </cell>
          <cell r="N124">
            <v>0</v>
          </cell>
          <cell r="O124">
            <v>0</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0</v>
          </cell>
          <cell r="AO124">
            <v>41703.840590909072</v>
          </cell>
        </row>
        <row r="125">
          <cell r="O125">
            <v>0</v>
          </cell>
          <cell r="Y125">
            <v>0</v>
          </cell>
          <cell r="AH125">
            <v>4171.9101802212826</v>
          </cell>
          <cell r="AI125">
            <v>0</v>
          </cell>
          <cell r="AO125">
            <v>56718.772272727248</v>
          </cell>
          <cell r="AP125" t="e">
            <v>#REF!</v>
          </cell>
          <cell r="AQ125" t="e">
            <v>#REF!</v>
          </cell>
        </row>
        <row r="126">
          <cell r="O126">
            <v>0</v>
          </cell>
          <cell r="Y126">
            <v>0</v>
          </cell>
          <cell r="AH126">
            <v>4171.9101802212826</v>
          </cell>
          <cell r="AI126">
            <v>0</v>
          </cell>
        </row>
        <row r="127">
          <cell r="O127">
            <v>0</v>
          </cell>
          <cell r="AH127">
            <v>5782.9101802212826</v>
          </cell>
          <cell r="AI127">
            <v>0</v>
          </cell>
          <cell r="AJ127">
            <v>12543.870550420004</v>
          </cell>
          <cell r="AK127">
            <v>-7627.2103701987216</v>
          </cell>
          <cell r="AO127">
            <v>15014.931681818174</v>
          </cell>
          <cell r="AT127">
            <v>0</v>
          </cell>
        </row>
        <row r="128">
          <cell r="O128">
            <v>0</v>
          </cell>
          <cell r="AI128">
            <v>0</v>
          </cell>
        </row>
        <row r="129">
          <cell r="O129">
            <v>0</v>
          </cell>
          <cell r="AH129">
            <v>1611</v>
          </cell>
          <cell r="AI129">
            <v>0</v>
          </cell>
          <cell r="AL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H132">
            <v>56002</v>
          </cell>
          <cell r="AI132">
            <v>0</v>
          </cell>
          <cell r="AK132">
            <v>56002</v>
          </cell>
          <cell r="AL132">
            <v>0</v>
          </cell>
          <cell r="AN132">
            <v>0</v>
          </cell>
          <cell r="AO132">
            <v>26.73</v>
          </cell>
          <cell r="AT132" t="e">
            <v>#DIV/0!</v>
          </cell>
        </row>
        <row r="133">
          <cell r="O133">
            <v>0</v>
          </cell>
          <cell r="AH133">
            <v>-7627.2103701987216</v>
          </cell>
          <cell r="AI133">
            <v>0</v>
          </cell>
          <cell r="AL133">
            <v>0</v>
          </cell>
          <cell r="AO133" t="e">
            <v>#REF!</v>
          </cell>
          <cell r="AT133" t="e">
            <v>#DIV/0!</v>
          </cell>
        </row>
        <row r="134">
          <cell r="O134">
            <v>0</v>
          </cell>
          <cell r="AH134">
            <v>36.869999999999997</v>
          </cell>
          <cell r="AI134">
            <v>0</v>
          </cell>
          <cell r="AL134" t="e">
            <v>#DIV/0!</v>
          </cell>
          <cell r="AO134">
            <v>0</v>
          </cell>
          <cell r="AT134">
            <v>0</v>
          </cell>
        </row>
        <row r="135">
          <cell r="O135">
            <v>0</v>
          </cell>
          <cell r="AH135">
            <v>41.89</v>
          </cell>
          <cell r="AI135">
            <v>0</v>
          </cell>
          <cell r="AL135" t="e">
            <v>#DIV/0!</v>
          </cell>
        </row>
        <row r="136">
          <cell r="O136">
            <v>0</v>
          </cell>
          <cell r="AH136">
            <v>0</v>
          </cell>
          <cell r="AI136">
            <v>0</v>
          </cell>
          <cell r="AL136">
            <v>0</v>
          </cell>
          <cell r="AO136">
            <v>36.19</v>
          </cell>
          <cell r="AT136" t="e">
            <v>#DIV/0!</v>
          </cell>
        </row>
        <row r="137">
          <cell r="O137">
            <v>0</v>
          </cell>
          <cell r="AI137">
            <v>0</v>
          </cell>
        </row>
        <row r="138">
          <cell r="O138">
            <v>0</v>
          </cell>
          <cell r="AH138">
            <v>10.24</v>
          </cell>
          <cell r="AI138">
            <v>0</v>
          </cell>
          <cell r="AL138" t="e">
            <v>#DIV/0!</v>
          </cell>
          <cell r="AM138">
            <v>0</v>
          </cell>
          <cell r="AO138" t="e">
            <v>#REF!</v>
          </cell>
          <cell r="AT138" t="e">
            <v>#DIV/0!</v>
          </cell>
        </row>
        <row r="139">
          <cell r="O139">
            <v>0</v>
          </cell>
          <cell r="AI139">
            <v>0</v>
          </cell>
          <cell r="AO139">
            <v>180931</v>
          </cell>
          <cell r="AP139">
            <v>180931</v>
          </cell>
        </row>
        <row r="140">
          <cell r="C140" t="str">
            <v>коп/кВтг</v>
          </cell>
          <cell r="O140">
            <v>0</v>
          </cell>
          <cell r="AG140">
            <v>0</v>
          </cell>
          <cell r="AH140">
            <v>7.46</v>
          </cell>
          <cell r="AI140">
            <v>0</v>
          </cell>
          <cell r="AL140" t="e">
            <v>#DIV/0!</v>
          </cell>
        </row>
        <row r="141">
          <cell r="O141">
            <v>0</v>
          </cell>
          <cell r="AH141">
            <v>46245.987452948561</v>
          </cell>
          <cell r="AI141">
            <v>0</v>
          </cell>
          <cell r="AJ141">
            <v>46245.987452948561</v>
          </cell>
          <cell r="AM141">
            <v>0</v>
          </cell>
          <cell r="AO141">
            <v>0</v>
          </cell>
        </row>
        <row r="142">
          <cell r="O142">
            <v>0</v>
          </cell>
          <cell r="P142">
            <v>0</v>
          </cell>
          <cell r="AI142">
            <v>0</v>
          </cell>
          <cell r="AO142">
            <v>2601</v>
          </cell>
        </row>
        <row r="143">
          <cell r="O143">
            <v>0</v>
          </cell>
          <cell r="AH143">
            <v>865.25</v>
          </cell>
          <cell r="AI143">
            <v>0</v>
          </cell>
          <cell r="AM143">
            <v>0</v>
          </cell>
          <cell r="AO143">
            <v>236933</v>
          </cell>
          <cell r="AP143">
            <v>180931</v>
          </cell>
          <cell r="AQ143">
            <v>56002</v>
          </cell>
          <cell r="AT143">
            <v>0</v>
          </cell>
        </row>
        <row r="144">
          <cell r="O144">
            <v>0</v>
          </cell>
          <cell r="AH144">
            <v>0</v>
          </cell>
          <cell r="AI144">
            <v>0</v>
          </cell>
          <cell r="AO144">
            <v>0</v>
          </cell>
        </row>
        <row r="145">
          <cell r="O145">
            <v>0</v>
          </cell>
          <cell r="AI145">
            <v>0</v>
          </cell>
          <cell r="AO145">
            <v>236933</v>
          </cell>
          <cell r="AP145">
            <v>180931</v>
          </cell>
          <cell r="AQ145">
            <v>56002</v>
          </cell>
        </row>
        <row r="146">
          <cell r="O146">
            <v>0</v>
          </cell>
          <cell r="AG146">
            <v>0</v>
          </cell>
          <cell r="AH146">
            <v>102247.98745294855</v>
          </cell>
          <cell r="AI146">
            <v>0</v>
          </cell>
          <cell r="AJ146">
            <v>46245.987452948561</v>
          </cell>
          <cell r="AK146">
            <v>56002</v>
          </cell>
          <cell r="AL146">
            <v>0</v>
          </cell>
          <cell r="AT146">
            <v>11523</v>
          </cell>
          <cell r="AU146">
            <v>13192</v>
          </cell>
          <cell r="AV146">
            <v>13687.256271556862</v>
          </cell>
          <cell r="AW146" t="e">
            <v>#REF!</v>
          </cell>
        </row>
        <row r="147">
          <cell r="O147">
            <v>0</v>
          </cell>
          <cell r="AH147">
            <v>0</v>
          </cell>
          <cell r="AI147">
            <v>0</v>
          </cell>
          <cell r="AJ147">
            <v>0</v>
          </cell>
          <cell r="AO147">
            <v>31</v>
          </cell>
          <cell r="AP147" t="e">
            <v>#REF!</v>
          </cell>
          <cell r="AQ147" t="e">
            <v>#REF!</v>
          </cell>
        </row>
        <row r="148">
          <cell r="O148">
            <v>0</v>
          </cell>
          <cell r="AH148">
            <v>102247.98745294855</v>
          </cell>
          <cell r="AI148">
            <v>0</v>
          </cell>
          <cell r="AJ148">
            <v>46245.987452948561</v>
          </cell>
          <cell r="AK148">
            <v>56002</v>
          </cell>
        </row>
        <row r="149">
          <cell r="C149">
            <v>0</v>
          </cell>
          <cell r="M149">
            <v>0</v>
          </cell>
          <cell r="O149">
            <v>0</v>
          </cell>
          <cell r="P149">
            <v>0</v>
          </cell>
          <cell r="S149">
            <v>0</v>
          </cell>
          <cell r="X149">
            <v>0</v>
          </cell>
          <cell r="AI149">
            <v>0</v>
          </cell>
          <cell r="AL149">
            <v>1473</v>
          </cell>
          <cell r="AM149">
            <v>0</v>
          </cell>
          <cell r="AN149">
            <v>3979.727272727273</v>
          </cell>
          <cell r="AO149">
            <v>11760.6</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H156">
            <v>5.9</v>
          </cell>
          <cell r="AI156">
            <v>0</v>
          </cell>
          <cell r="AJ156">
            <v>37.200000000000003</v>
          </cell>
          <cell r="AK156">
            <v>-12</v>
          </cell>
          <cell r="AO156" t="e">
            <v>#REF!</v>
          </cell>
        </row>
        <row r="157">
          <cell r="C157">
            <v>0</v>
          </cell>
          <cell r="M157">
            <v>47</v>
          </cell>
          <cell r="O157">
            <v>-47</v>
          </cell>
          <cell r="P157">
            <v>140</v>
          </cell>
          <cell r="R157">
            <v>-47</v>
          </cell>
          <cell r="S157">
            <v>105</v>
          </cell>
          <cell r="W157">
            <v>0</v>
          </cell>
          <cell r="X157">
            <v>190</v>
          </cell>
          <cell r="Y157">
            <v>0</v>
          </cell>
          <cell r="AG157">
            <v>0</v>
          </cell>
          <cell r="AH157">
            <v>0</v>
          </cell>
          <cell r="AI157">
            <v>0</v>
          </cell>
          <cell r="AO157" t="e">
            <v>#REF!</v>
          </cell>
        </row>
        <row r="158">
          <cell r="C158">
            <v>0</v>
          </cell>
          <cell r="M158">
            <v>1507.6</v>
          </cell>
          <cell r="N158">
            <v>481</v>
          </cell>
          <cell r="O158">
            <v>-1507.6</v>
          </cell>
          <cell r="P158">
            <v>140</v>
          </cell>
          <cell r="R158">
            <v>-1507.6</v>
          </cell>
          <cell r="S158" t="str">
            <v xml:space="preserve">                   КОРИГУВАННЯ   ПЛАНУ   НА   СЕРПЕНЬ  1998 р</v>
          </cell>
          <cell r="V158">
            <v>408</v>
          </cell>
          <cell r="W158">
            <v>272</v>
          </cell>
          <cell r="X158">
            <v>1942.6999999999998</v>
          </cell>
          <cell r="Y158">
            <v>0</v>
          </cell>
          <cell r="AA158">
            <v>98</v>
          </cell>
          <cell r="AB158">
            <v>183</v>
          </cell>
          <cell r="AC158">
            <v>281</v>
          </cell>
          <cell r="AH158">
            <v>2876</v>
          </cell>
          <cell r="AI158">
            <v>0</v>
          </cell>
          <cell r="AO158" t="e">
            <v>#VALUE!</v>
          </cell>
        </row>
        <row r="159">
          <cell r="C159">
            <v>0</v>
          </cell>
          <cell r="M159">
            <v>1554.6</v>
          </cell>
          <cell r="N159">
            <v>0</v>
          </cell>
          <cell r="O159">
            <v>-1554.6</v>
          </cell>
          <cell r="P159">
            <v>280</v>
          </cell>
          <cell r="R159">
            <v>-1554.6</v>
          </cell>
          <cell r="S159">
            <v>231</v>
          </cell>
          <cell r="V159">
            <v>192</v>
          </cell>
          <cell r="W159">
            <v>84</v>
          </cell>
          <cell r="X159">
            <v>2132.6999999999998</v>
          </cell>
          <cell r="Y159">
            <v>0</v>
          </cell>
          <cell r="AH159">
            <v>1130</v>
          </cell>
          <cell r="AI159">
            <v>0</v>
          </cell>
        </row>
        <row r="160">
          <cell r="M160">
            <v>0</v>
          </cell>
          <cell r="N160">
            <v>238</v>
          </cell>
          <cell r="O160">
            <v>0</v>
          </cell>
          <cell r="P160">
            <v>2426.75</v>
          </cell>
          <cell r="R160">
            <v>0</v>
          </cell>
          <cell r="S160">
            <v>91</v>
          </cell>
          <cell r="W160">
            <v>70</v>
          </cell>
          <cell r="X160">
            <v>0</v>
          </cell>
          <cell r="Y160">
            <v>0</v>
          </cell>
          <cell r="AH160">
            <v>595.70000000000005</v>
          </cell>
          <cell r="AI160">
            <v>0</v>
          </cell>
          <cell r="AO160" t="e">
            <v>#REF!</v>
          </cell>
        </row>
        <row r="161">
          <cell r="C161">
            <v>0</v>
          </cell>
          <cell r="M161" t="e">
            <v>#REF!</v>
          </cell>
          <cell r="N161">
            <v>0</v>
          </cell>
          <cell r="O161" t="e">
            <v>#REF!</v>
          </cell>
          <cell r="P161">
            <v>0</v>
          </cell>
          <cell r="R161" t="e">
            <v>#REF!</v>
          </cell>
          <cell r="S161">
            <v>0</v>
          </cell>
          <cell r="X161" t="e">
            <v>#REF!</v>
          </cell>
          <cell r="Y161">
            <v>0</v>
          </cell>
          <cell r="AH161">
            <v>0</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D165">
            <v>0</v>
          </cell>
          <cell r="E165">
            <v>0</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N166">
            <v>873</v>
          </cell>
          <cell r="O166">
            <v>638</v>
          </cell>
          <cell r="P166">
            <v>10458.591666666665</v>
          </cell>
          <cell r="S166">
            <v>2436.1833333333348</v>
          </cell>
          <cell r="W166">
            <v>272</v>
          </cell>
          <cell r="X166">
            <v>2266.8000000000011</v>
          </cell>
          <cell r="Y166">
            <v>0</v>
          </cell>
          <cell r="AD166">
            <v>-6684.3</v>
          </cell>
          <cell r="AF166">
            <v>3530.0000000000005</v>
          </cell>
          <cell r="AG166">
            <v>2004</v>
          </cell>
          <cell r="AH166">
            <v>2232</v>
          </cell>
          <cell r="AI166">
            <v>873</v>
          </cell>
          <cell r="AM166">
            <v>5767.2999999999993</v>
          </cell>
          <cell r="AO166">
            <v>42000.375</v>
          </cell>
        </row>
        <row r="167">
          <cell r="C167">
            <v>0</v>
          </cell>
          <cell r="M167">
            <v>1680</v>
          </cell>
          <cell r="N167">
            <v>0</v>
          </cell>
          <cell r="O167">
            <v>0</v>
          </cell>
          <cell r="S167">
            <v>0</v>
          </cell>
          <cell r="Y167">
            <v>0</v>
          </cell>
          <cell r="AH167">
            <v>0</v>
          </cell>
          <cell r="AI167">
            <v>0</v>
          </cell>
        </row>
        <row r="168">
          <cell r="C168">
            <v>474</v>
          </cell>
          <cell r="N168">
            <v>0</v>
          </cell>
          <cell r="O168">
            <v>1219</v>
          </cell>
          <cell r="S168">
            <v>380</v>
          </cell>
          <cell r="W168">
            <v>302</v>
          </cell>
          <cell r="X168">
            <v>100</v>
          </cell>
          <cell r="Y168">
            <v>202</v>
          </cell>
          <cell r="AA168">
            <v>100</v>
          </cell>
          <cell r="AC168">
            <v>100</v>
          </cell>
          <cell r="AH168">
            <v>1699</v>
          </cell>
          <cell r="AI168">
            <v>100</v>
          </cell>
        </row>
        <row r="169">
          <cell r="C169">
            <v>87.333333333333329</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O170">
            <v>219</v>
          </cell>
          <cell r="S170">
            <v>176</v>
          </cell>
          <cell r="X170">
            <v>84</v>
          </cell>
          <cell r="AH170">
            <v>1192.3333333333335</v>
          </cell>
          <cell r="AU170">
            <v>1507.2</v>
          </cell>
        </row>
        <row r="171">
          <cell r="C171">
            <v>0</v>
          </cell>
          <cell r="AH171">
            <v>115</v>
          </cell>
        </row>
        <row r="172">
          <cell r="C172">
            <v>73</v>
          </cell>
          <cell r="O172">
            <v>0</v>
          </cell>
          <cell r="S172">
            <v>0</v>
          </cell>
          <cell r="X172">
            <v>0</v>
          </cell>
          <cell r="AH172">
            <v>73</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L187" t="str">
            <v>ОЧИК.18.02.</v>
          </cell>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C189" t="str">
            <v>АПАРАТ ВСЬОГО</v>
          </cell>
          <cell r="D189" t="str">
            <v>АПАРАТ ЕЛЕКТРО</v>
          </cell>
          <cell r="E189" t="str">
            <v>АПАРАТ ТЕПЛО</v>
          </cell>
          <cell r="O189" t="str">
            <v>ТЕЦ-5 ВСЬОГО</v>
          </cell>
          <cell r="P189">
            <v>20668</v>
          </cell>
          <cell r="Q189" t="str">
            <v xml:space="preserve"> Т/Е</v>
          </cell>
          <cell r="S189">
            <v>0</v>
          </cell>
          <cell r="T189" t="e">
            <v>#DIV/0!</v>
          </cell>
          <cell r="U189" t="e">
            <v>#DIV/0!</v>
          </cell>
          <cell r="X189">
            <v>20511</v>
          </cell>
          <cell r="Y189">
            <v>7225</v>
          </cell>
          <cell r="Z189">
            <v>13286</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L190">
            <v>1.954</v>
          </cell>
          <cell r="AM190" t="str">
            <v/>
          </cell>
          <cell r="AN190">
            <v>1.954</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O192">
            <v>89.2</v>
          </cell>
          <cell r="S192" t="e">
            <v>#DIV/0!</v>
          </cell>
          <cell r="X192">
            <v>20511</v>
          </cell>
          <cell r="AH192">
            <v>259.7</v>
          </cell>
          <cell r="AL192">
            <v>221.49122807017542</v>
          </cell>
          <cell r="AO192" t="e">
            <v>#DIV/0!</v>
          </cell>
          <cell r="AP192" t="e">
            <v>#DIV/0!</v>
          </cell>
          <cell r="AQ192" t="e">
            <v>#DIV/0!</v>
          </cell>
          <cell r="AT192">
            <v>44313</v>
          </cell>
          <cell r="AU192">
            <v>9770.9133329995493</v>
          </cell>
          <cell r="AV192">
            <v>34542.086667000447</v>
          </cell>
        </row>
        <row r="193">
          <cell r="O193">
            <v>102.5</v>
          </cell>
          <cell r="S193">
            <v>84.2</v>
          </cell>
          <cell r="AH193">
            <v>298.60000000000002</v>
          </cell>
          <cell r="AL193">
            <v>252.49999999999997</v>
          </cell>
        </row>
        <row r="194">
          <cell r="O194">
            <v>0</v>
          </cell>
          <cell r="S194">
            <v>0</v>
          </cell>
          <cell r="AH194">
            <v>0</v>
          </cell>
          <cell r="AL194">
            <v>66</v>
          </cell>
        </row>
        <row r="195">
          <cell r="O195">
            <v>194.5</v>
          </cell>
          <cell r="S195" t="str">
            <v>ТЕЦ-5 ВСЬОГО</v>
          </cell>
          <cell r="T195" t="str">
            <v>Е/Е</v>
          </cell>
          <cell r="U195" t="str">
            <v xml:space="preserve"> Т/Е</v>
          </cell>
          <cell r="X195" t="str">
            <v>ТЕЦ-6 ВСЬОГО</v>
          </cell>
          <cell r="Y195" t="str">
            <v>Е/Е</v>
          </cell>
          <cell r="Z195" t="str">
            <v xml:space="preserve"> Т/Е</v>
          </cell>
          <cell r="AH195">
            <v>194.5</v>
          </cell>
          <cell r="AL195">
            <v>128.964</v>
          </cell>
          <cell r="AO195" t="str">
            <v>АК КЕ ВСЬОГО</v>
          </cell>
          <cell r="AP195" t="str">
            <v>Е/Е</v>
          </cell>
          <cell r="AQ195" t="str">
            <v xml:space="preserve"> Т/Е</v>
          </cell>
        </row>
        <row r="196">
          <cell r="O196">
            <v>17349</v>
          </cell>
          <cell r="S196">
            <v>14237</v>
          </cell>
          <cell r="T196">
            <v>0</v>
          </cell>
          <cell r="U196">
            <v>0</v>
          </cell>
          <cell r="Y196">
            <v>268.14999999999998</v>
          </cell>
          <cell r="Z196">
            <v>590</v>
          </cell>
          <cell r="AH196">
            <v>50512</v>
          </cell>
          <cell r="AL196">
            <v>28564</v>
          </cell>
        </row>
        <row r="197">
          <cell r="T197">
            <v>176.1</v>
          </cell>
          <cell r="U197">
            <v>163.6</v>
          </cell>
          <cell r="Y197">
            <v>196.5</v>
          </cell>
          <cell r="Z197">
            <v>164.2</v>
          </cell>
          <cell r="AH197">
            <v>50512</v>
          </cell>
        </row>
        <row r="198">
          <cell r="O198">
            <v>13.4</v>
          </cell>
          <cell r="S198">
            <v>16.100000000000001</v>
          </cell>
          <cell r="T198">
            <v>306.60000000000002</v>
          </cell>
          <cell r="U198">
            <v>112.8</v>
          </cell>
          <cell r="Y198">
            <v>301.89999999999998</v>
          </cell>
          <cell r="Z198">
            <v>116.3</v>
          </cell>
          <cell r="AH198">
            <v>29.5</v>
          </cell>
          <cell r="AL198">
            <v>75.839416058394164</v>
          </cell>
        </row>
        <row r="199">
          <cell r="O199">
            <v>18.5</v>
          </cell>
          <cell r="S199">
            <v>22.2</v>
          </cell>
          <cell r="T199">
            <v>130.50000000000003</v>
          </cell>
          <cell r="U199">
            <v>-50.8</v>
          </cell>
          <cell r="Y199">
            <v>105.39999999999998</v>
          </cell>
          <cell r="Z199">
            <v>-47.899999999999991</v>
          </cell>
          <cell r="AH199">
            <v>40.700000000000003</v>
          </cell>
          <cell r="AL199">
            <v>103.9</v>
          </cell>
        </row>
        <row r="200">
          <cell r="T200" t="e">
            <v>#DIV/0!</v>
          </cell>
          <cell r="U200" t="e">
            <v>#DIV/0!</v>
          </cell>
          <cell r="Y200">
            <v>137.1</v>
          </cell>
          <cell r="Z200">
            <v>137.11000000000001</v>
          </cell>
          <cell r="AG200">
            <v>0</v>
          </cell>
          <cell r="AH200">
            <v>0</v>
          </cell>
          <cell r="AL200">
            <v>99.938587512794271</v>
          </cell>
          <cell r="AO200">
            <v>75</v>
          </cell>
        </row>
        <row r="201">
          <cell r="O201">
            <v>385</v>
          </cell>
          <cell r="S201">
            <v>385</v>
          </cell>
          <cell r="T201" t="e">
            <v>#DIV/0!</v>
          </cell>
          <cell r="U201" t="e">
            <v>#DIV/0!</v>
          </cell>
          <cell r="Y201">
            <v>14.450339999999997</v>
          </cell>
          <cell r="Z201">
            <v>-6.5675689999999998</v>
          </cell>
          <cell r="AH201">
            <v>385</v>
          </cell>
          <cell r="AL201">
            <v>195.28</v>
          </cell>
        </row>
        <row r="202">
          <cell r="O202">
            <v>5159</v>
          </cell>
          <cell r="S202">
            <v>6199</v>
          </cell>
          <cell r="T202" t="e">
            <v>#DIV/0!</v>
          </cell>
          <cell r="U202" t="e">
            <v>#DIV/0!</v>
          </cell>
          <cell r="Y202">
            <v>3874.858670999999</v>
          </cell>
          <cell r="Z202">
            <v>-3874.86571</v>
          </cell>
          <cell r="AH202">
            <v>11358</v>
          </cell>
          <cell r="AL202">
            <v>14810</v>
          </cell>
          <cell r="AP202" t="e">
            <v>#DIV/0!</v>
          </cell>
          <cell r="AQ202" t="e">
            <v>#DIV/0!</v>
          </cell>
        </row>
        <row r="203">
          <cell r="AH203">
            <v>11358</v>
          </cell>
        </row>
        <row r="204">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cell r="AU204">
            <v>1507.2</v>
          </cell>
        </row>
        <row r="205">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5">
          <cell r="S225" t="str">
            <v>ЗАТВЕРДЖУЮ</v>
          </cell>
        </row>
        <row r="226">
          <cell r="S226" t="str">
            <v>ГОЛОВА ПРАЛІННЯ АК КЕ</v>
          </cell>
        </row>
        <row r="227">
          <cell r="C227">
            <v>37071.5</v>
          </cell>
          <cell r="M227" t="e">
            <v>#REF!</v>
          </cell>
          <cell r="P227">
            <v>20072.597121212119</v>
          </cell>
          <cell r="S227">
            <v>11668.877272727274</v>
          </cell>
          <cell r="T227" t="str">
            <v xml:space="preserve">      І.В.ПЛАЧКОВ</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C239" t="str">
            <v>ВИКОН.ДИР.</v>
          </cell>
          <cell r="D239" t="str">
            <v>АПАРАТ ЕЛЕКТРО</v>
          </cell>
          <cell r="E239" t="str">
            <v>АПАРАТ ТЕПЛО</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cell r="AP239" t="e">
            <v>#REF!</v>
          </cell>
        </row>
        <row r="240">
          <cell r="C240">
            <v>0</v>
          </cell>
          <cell r="M240" t="e">
            <v>#REF!</v>
          </cell>
          <cell r="P240">
            <v>0</v>
          </cell>
          <cell r="S240">
            <v>0</v>
          </cell>
          <cell r="X240" t="e">
            <v>#REF!</v>
          </cell>
          <cell r="AO240" t="e">
            <v>#REF!</v>
          </cell>
          <cell r="AP240" t="e">
            <v>#REF!</v>
          </cell>
        </row>
        <row r="241">
          <cell r="AP241" t="e">
            <v>#REF!</v>
          </cell>
        </row>
        <row r="242">
          <cell r="C242">
            <v>19431.169805900914</v>
          </cell>
          <cell r="D242">
            <v>3267</v>
          </cell>
          <cell r="E242">
            <v>3107.878787878788</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cell r="AP242" t="e">
            <v>#REF!</v>
          </cell>
        </row>
        <row r="243">
          <cell r="C243">
            <v>617</v>
          </cell>
          <cell r="D243">
            <v>2503</v>
          </cell>
          <cell r="E243">
            <v>1824.3333333333335</v>
          </cell>
          <cell r="M243">
            <v>624</v>
          </cell>
          <cell r="N243">
            <v>-619</v>
          </cell>
          <cell r="O243">
            <v>507.81818181818107</v>
          </cell>
          <cell r="P243">
            <v>1853.8333333333333</v>
          </cell>
          <cell r="Q243">
            <v>771.91818181818144</v>
          </cell>
          <cell r="R243">
            <v>-379</v>
          </cell>
          <cell r="S243">
            <v>290</v>
          </cell>
          <cell r="T243">
            <v>265</v>
          </cell>
          <cell r="U243">
            <v>545.70000000000107</v>
          </cell>
          <cell r="V243">
            <v>-379</v>
          </cell>
          <cell r="X243">
            <v>226</v>
          </cell>
          <cell r="Y243">
            <v>98.799999999999955</v>
          </cell>
          <cell r="Z243">
            <v>983.99999999999955</v>
          </cell>
          <cell r="AA243">
            <v>95</v>
          </cell>
          <cell r="AB243">
            <v>7</v>
          </cell>
          <cell r="AC243">
            <v>102</v>
          </cell>
          <cell r="AG243">
            <v>625</v>
          </cell>
          <cell r="AH243">
            <v>18826.624242424241</v>
          </cell>
          <cell r="AJ243">
            <v>18795.624242424237</v>
          </cell>
          <cell r="AO243">
            <v>4945.833333333333</v>
          </cell>
          <cell r="AP243" t="e">
            <v>#REF!</v>
          </cell>
        </row>
        <row r="244">
          <cell r="C244">
            <v>1639</v>
          </cell>
          <cell r="M244">
            <v>60</v>
          </cell>
          <cell r="P244">
            <v>167</v>
          </cell>
          <cell r="S244">
            <v>164</v>
          </cell>
          <cell r="X244">
            <v>141</v>
          </cell>
          <cell r="AJ244">
            <v>0</v>
          </cell>
          <cell r="AO244">
            <v>2356.6</v>
          </cell>
          <cell r="AP244" t="e">
            <v>#REF!</v>
          </cell>
        </row>
        <row r="245">
          <cell r="C245">
            <v>410.54545454545456</v>
          </cell>
          <cell r="D245">
            <v>67</v>
          </cell>
          <cell r="E245">
            <v>247.54545454545456</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cell r="AP245" t="e">
            <v>#REF!</v>
          </cell>
        </row>
        <row r="246">
          <cell r="C246">
            <v>0</v>
          </cell>
          <cell r="D246">
            <v>3</v>
          </cell>
          <cell r="E246">
            <v>13</v>
          </cell>
          <cell r="M246">
            <v>1</v>
          </cell>
          <cell r="N246">
            <v>0</v>
          </cell>
          <cell r="O246">
            <v>178</v>
          </cell>
          <cell r="P246">
            <v>0</v>
          </cell>
          <cell r="Q246">
            <v>123</v>
          </cell>
          <cell r="R246">
            <v>24.81818181818182</v>
          </cell>
          <cell r="S246">
            <v>18.55</v>
          </cell>
          <cell r="T246">
            <v>49</v>
          </cell>
          <cell r="U246">
            <v>100</v>
          </cell>
          <cell r="V246">
            <v>0</v>
          </cell>
          <cell r="X246">
            <v>47</v>
          </cell>
          <cell r="Y246">
            <v>87</v>
          </cell>
          <cell r="Z246">
            <v>393</v>
          </cell>
          <cell r="AA246">
            <v>34.875</v>
          </cell>
          <cell r="AB246">
            <v>17.488636363636363</v>
          </cell>
          <cell r="AC246">
            <v>52.36363636363636</v>
          </cell>
          <cell r="AG246">
            <v>138.54545454545453</v>
          </cell>
          <cell r="AH246">
            <v>1625.5454545454545</v>
          </cell>
          <cell r="AJ246">
            <v>1625.5454545454545</v>
          </cell>
          <cell r="AO246">
            <v>66.55</v>
          </cell>
          <cell r="AP246" t="e">
            <v>#REF!</v>
          </cell>
        </row>
        <row r="247">
          <cell r="C247">
            <v>22</v>
          </cell>
          <cell r="D247">
            <v>644</v>
          </cell>
          <cell r="E247">
            <v>1044</v>
          </cell>
          <cell r="M247">
            <v>61.75</v>
          </cell>
          <cell r="N247">
            <v>0</v>
          </cell>
          <cell r="O247">
            <v>683</v>
          </cell>
          <cell r="P247">
            <v>2078.6666666666665</v>
          </cell>
          <cell r="Q247">
            <v>471</v>
          </cell>
          <cell r="R247">
            <v>0</v>
          </cell>
          <cell r="S247">
            <v>0</v>
          </cell>
          <cell r="T247">
            <v>5</v>
          </cell>
          <cell r="U247">
            <v>9</v>
          </cell>
          <cell r="V247">
            <v>0</v>
          </cell>
          <cell r="X247">
            <v>0</v>
          </cell>
          <cell r="Y247">
            <v>1</v>
          </cell>
          <cell r="Z247">
            <v>17</v>
          </cell>
          <cell r="AA247">
            <v>10</v>
          </cell>
          <cell r="AB247">
            <v>4</v>
          </cell>
          <cell r="AC247">
            <v>14</v>
          </cell>
          <cell r="AG247">
            <v>0</v>
          </cell>
          <cell r="AH247">
            <v>7851.2910180221279</v>
          </cell>
          <cell r="AJ247">
            <v>7851.2910180221279</v>
          </cell>
          <cell r="AO247">
            <v>2982.4166666666665</v>
          </cell>
          <cell r="AP247" t="e">
            <v>#REF!</v>
          </cell>
        </row>
        <row r="248">
          <cell r="C248">
            <v>33</v>
          </cell>
          <cell r="D248">
            <v>0</v>
          </cell>
          <cell r="E248">
            <v>0</v>
          </cell>
          <cell r="M248">
            <v>0</v>
          </cell>
          <cell r="N248">
            <v>0</v>
          </cell>
          <cell r="O248">
            <v>647</v>
          </cell>
          <cell r="P248">
            <v>0</v>
          </cell>
          <cell r="Q248">
            <v>446</v>
          </cell>
          <cell r="R248">
            <v>0</v>
          </cell>
          <cell r="S248">
            <v>0</v>
          </cell>
          <cell r="T248">
            <v>5</v>
          </cell>
          <cell r="U248">
            <v>9</v>
          </cell>
          <cell r="V248">
            <v>0</v>
          </cell>
          <cell r="X248">
            <v>0</v>
          </cell>
          <cell r="Y248">
            <v>0</v>
          </cell>
          <cell r="Z248">
            <v>0</v>
          </cell>
          <cell r="AA248">
            <v>0</v>
          </cell>
          <cell r="AB248">
            <v>0</v>
          </cell>
          <cell r="AC248">
            <v>0</v>
          </cell>
          <cell r="AG248">
            <v>0</v>
          </cell>
          <cell r="AH248">
            <v>683</v>
          </cell>
          <cell r="AJ248">
            <v>683</v>
          </cell>
          <cell r="AO248">
            <v>1051</v>
          </cell>
          <cell r="AP248" t="e">
            <v>#REF!</v>
          </cell>
        </row>
        <row r="249">
          <cell r="C249">
            <v>348</v>
          </cell>
          <cell r="D249">
            <v>3</v>
          </cell>
          <cell r="E249">
            <v>10</v>
          </cell>
          <cell r="M249">
            <v>0</v>
          </cell>
          <cell r="N249">
            <v>0</v>
          </cell>
          <cell r="O249">
            <v>36</v>
          </cell>
          <cell r="P249">
            <v>0</v>
          </cell>
          <cell r="Q249">
            <v>25</v>
          </cell>
          <cell r="R249">
            <v>0</v>
          </cell>
          <cell r="S249">
            <v>0</v>
          </cell>
          <cell r="T249">
            <v>0</v>
          </cell>
          <cell r="U249">
            <v>0</v>
          </cell>
          <cell r="V249">
            <v>0</v>
          </cell>
          <cell r="X249">
            <v>0</v>
          </cell>
          <cell r="Y249">
            <v>1</v>
          </cell>
          <cell r="Z249">
            <v>17</v>
          </cell>
          <cell r="AA249">
            <v>10</v>
          </cell>
          <cell r="AB249">
            <v>4</v>
          </cell>
          <cell r="AC249">
            <v>14</v>
          </cell>
          <cell r="AG249">
            <v>0</v>
          </cell>
          <cell r="AH249">
            <v>160</v>
          </cell>
          <cell r="AJ249">
            <v>160</v>
          </cell>
          <cell r="AO249">
            <v>348</v>
          </cell>
          <cell r="AP249" t="e">
            <v>#REF!</v>
          </cell>
        </row>
        <row r="250">
          <cell r="C250">
            <v>0</v>
          </cell>
          <cell r="M250">
            <v>0</v>
          </cell>
          <cell r="P250">
            <v>0</v>
          </cell>
          <cell r="S250">
            <v>0</v>
          </cell>
          <cell r="X250">
            <v>-49</v>
          </cell>
          <cell r="AH250">
            <v>1611</v>
          </cell>
          <cell r="AJ250">
            <v>1611</v>
          </cell>
          <cell r="AO250">
            <v>746</v>
          </cell>
          <cell r="AP250" t="e">
            <v>#REF!</v>
          </cell>
        </row>
        <row r="251">
          <cell r="C251">
            <v>0</v>
          </cell>
          <cell r="M251">
            <v>0</v>
          </cell>
          <cell r="P251">
            <v>0</v>
          </cell>
          <cell r="S251">
            <v>0</v>
          </cell>
          <cell r="X251">
            <v>-5</v>
          </cell>
          <cell r="AH251">
            <v>3528</v>
          </cell>
          <cell r="AJ251">
            <v>3528</v>
          </cell>
          <cell r="AO251">
            <v>18639.400000000001</v>
          </cell>
          <cell r="AP251" t="e">
            <v>#REF!</v>
          </cell>
        </row>
        <row r="252">
          <cell r="C252">
            <v>28531.4</v>
          </cell>
          <cell r="M252" t="e">
            <v>#REF!</v>
          </cell>
          <cell r="P252">
            <v>5397.0234848484833</v>
          </cell>
          <cell r="S252">
            <v>6562.6772727272737</v>
          </cell>
          <cell r="X252" t="e">
            <v>#REF!</v>
          </cell>
          <cell r="AH252">
            <v>0</v>
          </cell>
          <cell r="AJ252">
            <v>0</v>
          </cell>
          <cell r="AO252" t="e">
            <v>#REF!</v>
          </cell>
          <cell r="AP252" t="e">
            <v>#REF!</v>
          </cell>
        </row>
        <row r="253">
          <cell r="C253">
            <v>1869.2910180221284</v>
          </cell>
          <cell r="D253">
            <v>641</v>
          </cell>
          <cell r="E253">
            <v>1034</v>
          </cell>
          <cell r="M253">
            <v>0</v>
          </cell>
          <cell r="N253">
            <v>0</v>
          </cell>
          <cell r="O253">
            <v>0</v>
          </cell>
          <cell r="P253">
            <v>541</v>
          </cell>
          <cell r="Q253">
            <v>0</v>
          </cell>
          <cell r="R253">
            <v>0</v>
          </cell>
          <cell r="S253">
            <v>480</v>
          </cell>
          <cell r="T253">
            <v>0</v>
          </cell>
          <cell r="U253">
            <v>0</v>
          </cell>
          <cell r="V253">
            <v>0</v>
          </cell>
          <cell r="X253">
            <v>44</v>
          </cell>
          <cell r="Y253">
            <v>0</v>
          </cell>
          <cell r="Z253">
            <v>0</v>
          </cell>
          <cell r="AA253">
            <v>0</v>
          </cell>
          <cell r="AB253">
            <v>0</v>
          </cell>
          <cell r="AC253">
            <v>0</v>
          </cell>
          <cell r="AG253">
            <v>0</v>
          </cell>
          <cell r="AH253">
            <v>1869.2910180221284</v>
          </cell>
          <cell r="AJ253">
            <v>1869.2910180221284</v>
          </cell>
          <cell r="AO253">
            <v>524</v>
          </cell>
          <cell r="AP253" t="e">
            <v>#REF!</v>
          </cell>
        </row>
        <row r="254">
          <cell r="AJ254">
            <v>0</v>
          </cell>
        </row>
        <row r="255">
          <cell r="C255">
            <v>474</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N264">
            <v>580</v>
          </cell>
          <cell r="O264">
            <v>80</v>
          </cell>
          <cell r="R264">
            <v>0</v>
          </cell>
          <cell r="S264">
            <v>70</v>
          </cell>
          <cell r="V264">
            <v>70</v>
          </cell>
          <cell r="AG264">
            <v>250</v>
          </cell>
          <cell r="AH264">
            <v>1480</v>
          </cell>
          <cell r="AJ264">
            <v>1480</v>
          </cell>
        </row>
        <row r="265">
          <cell r="C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O285" t="str">
            <v>лютий</v>
          </cell>
          <cell r="S285" t="str">
            <v>лютий</v>
          </cell>
        </row>
        <row r="286">
          <cell r="C286" t="str">
            <v>АППАРАТ</v>
          </cell>
          <cell r="O286" t="str">
            <v>ТЕЦ5</v>
          </cell>
          <cell r="S286" t="str">
            <v>ТЕЦ6</v>
          </cell>
          <cell r="AH286" t="str">
            <v>АК "КЕ"</v>
          </cell>
          <cell r="AJ286" t="str">
            <v>Е/Е</v>
          </cell>
        </row>
        <row r="287">
          <cell r="C287" t="str">
            <v>ПЛАН</v>
          </cell>
          <cell r="O287" t="str">
            <v>ПЛАН</v>
          </cell>
          <cell r="S287" t="str">
            <v>ПЛАН</v>
          </cell>
          <cell r="AH287" t="str">
            <v>ПЛАН</v>
          </cell>
          <cell r="AJ287" t="str">
            <v>ПЛАН</v>
          </cell>
        </row>
        <row r="288">
          <cell r="C288">
            <v>164.3</v>
          </cell>
          <cell r="D288">
            <v>35</v>
          </cell>
          <cell r="E288">
            <v>35</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O289">
            <v>0</v>
          </cell>
          <cell r="P289">
            <v>0</v>
          </cell>
          <cell r="S289">
            <v>3.6666666666666665</v>
          </cell>
          <cell r="T289">
            <v>1</v>
          </cell>
          <cell r="AH289">
            <v>46</v>
          </cell>
          <cell r="AJ289">
            <v>10</v>
          </cell>
        </row>
        <row r="290">
          <cell r="C290">
            <v>0</v>
          </cell>
          <cell r="D290">
            <v>0</v>
          </cell>
          <cell r="O290">
            <v>146.66666666666666</v>
          </cell>
          <cell r="P290">
            <v>45</v>
          </cell>
          <cell r="S290">
            <v>280.66666666666669</v>
          </cell>
          <cell r="T290">
            <v>92</v>
          </cell>
          <cell r="AH290">
            <v>428</v>
          </cell>
          <cell r="AJ290">
            <v>137.66666666666666</v>
          </cell>
        </row>
        <row r="291">
          <cell r="C291">
            <v>0</v>
          </cell>
          <cell r="D291">
            <v>0</v>
          </cell>
          <cell r="O291">
            <v>0</v>
          </cell>
          <cell r="P291">
            <v>0</v>
          </cell>
          <cell r="S291">
            <v>25</v>
          </cell>
          <cell r="T291">
            <v>8</v>
          </cell>
          <cell r="AH291">
            <v>33.666666666666671</v>
          </cell>
          <cell r="AJ291">
            <v>13</v>
          </cell>
        </row>
        <row r="292">
          <cell r="C292">
            <v>0</v>
          </cell>
          <cell r="D292">
            <v>0</v>
          </cell>
          <cell r="O292">
            <v>25.333333333333332</v>
          </cell>
          <cell r="P292">
            <v>8</v>
          </cell>
          <cell r="S292">
            <v>0.66666666666666663</v>
          </cell>
          <cell r="T292">
            <v>0</v>
          </cell>
          <cell r="AH292">
            <v>26</v>
          </cell>
          <cell r="AJ292">
            <v>8</v>
          </cell>
        </row>
        <row r="293">
          <cell r="C293">
            <v>120.63333333333333</v>
          </cell>
          <cell r="D293">
            <v>26</v>
          </cell>
          <cell r="O293">
            <v>0</v>
          </cell>
          <cell r="P293">
            <v>0</v>
          </cell>
          <cell r="S293" t="str">
            <v>Собівартість</v>
          </cell>
          <cell r="T293">
            <v>0</v>
          </cell>
          <cell r="AH293">
            <v>120.63333333333333</v>
          </cell>
          <cell r="AJ293">
            <v>28</v>
          </cell>
        </row>
        <row r="294">
          <cell r="C294">
            <v>8.6666666666666661</v>
          </cell>
          <cell r="D294">
            <v>2</v>
          </cell>
          <cell r="O294">
            <v>0</v>
          </cell>
          <cell r="P294">
            <v>0</v>
          </cell>
          <cell r="S294">
            <v>0</v>
          </cell>
          <cell r="T294">
            <v>0</v>
          </cell>
          <cell r="U294">
            <v>-25</v>
          </cell>
          <cell r="AH294">
            <v>8.6666666666666661</v>
          </cell>
          <cell r="AJ294">
            <v>0</v>
          </cell>
        </row>
        <row r="295">
          <cell r="C295">
            <v>0</v>
          </cell>
          <cell r="D295">
            <v>0</v>
          </cell>
          <cell r="O295">
            <v>0</v>
          </cell>
          <cell r="P295">
            <v>0</v>
          </cell>
          <cell r="S295">
            <v>0</v>
          </cell>
          <cell r="T295">
            <v>0</v>
          </cell>
          <cell r="U295">
            <v>-1.375</v>
          </cell>
          <cell r="AH295">
            <v>22</v>
          </cell>
          <cell r="AJ295">
            <v>15.333333333333332</v>
          </cell>
        </row>
        <row r="296">
          <cell r="C296">
            <v>5.333333333333333</v>
          </cell>
          <cell r="D296">
            <v>1</v>
          </cell>
          <cell r="O296">
            <v>0</v>
          </cell>
          <cell r="P296">
            <v>0</v>
          </cell>
          <cell r="S296">
            <v>0</v>
          </cell>
          <cell r="T296">
            <v>0</v>
          </cell>
          <cell r="U296">
            <v>-8</v>
          </cell>
          <cell r="AH296">
            <v>5.333333333333333</v>
          </cell>
          <cell r="AJ296">
            <v>1</v>
          </cell>
        </row>
        <row r="297">
          <cell r="C297">
            <v>0.33333333333333331</v>
          </cell>
          <cell r="D297">
            <v>0</v>
          </cell>
          <cell r="O297">
            <v>0</v>
          </cell>
          <cell r="P297">
            <v>0</v>
          </cell>
          <cell r="S297">
            <v>0</v>
          </cell>
          <cell r="T297">
            <v>0</v>
          </cell>
          <cell r="U297">
            <v>-2.1590909090909096</v>
          </cell>
          <cell r="AH297">
            <v>4.6666666666666661</v>
          </cell>
          <cell r="AJ297">
            <v>4.333333333333333</v>
          </cell>
        </row>
        <row r="298">
          <cell r="C298">
            <v>0.33333333333333331</v>
          </cell>
          <cell r="D298">
            <v>0</v>
          </cell>
          <cell r="O298">
            <v>10</v>
          </cell>
          <cell r="P298">
            <v>3</v>
          </cell>
          <cell r="S298">
            <v>13.666666666666666</v>
          </cell>
          <cell r="T298">
            <v>4</v>
          </cell>
          <cell r="AH298">
            <v>26</v>
          </cell>
          <cell r="AJ298">
            <v>9</v>
          </cell>
        </row>
        <row r="299">
          <cell r="C299">
            <v>0</v>
          </cell>
          <cell r="D299">
            <v>0</v>
          </cell>
          <cell r="O299">
            <v>0</v>
          </cell>
          <cell r="P299">
            <v>0</v>
          </cell>
          <cell r="S299">
            <v>0</v>
          </cell>
          <cell r="T299">
            <v>0</v>
          </cell>
          <cell r="AH299">
            <v>0</v>
          </cell>
        </row>
        <row r="300">
          <cell r="C300">
            <v>1.1666666666666667</v>
          </cell>
          <cell r="D300">
            <v>0</v>
          </cell>
          <cell r="O300">
            <v>522.33333333333337</v>
          </cell>
          <cell r="P300">
            <v>162</v>
          </cell>
          <cell r="S300">
            <v>43</v>
          </cell>
          <cell r="T300">
            <v>14</v>
          </cell>
          <cell r="AH300">
            <v>587.33333333333337</v>
          </cell>
          <cell r="AJ300">
            <v>196.5</v>
          </cell>
          <cell r="AK300">
            <v>196.83333333333334</v>
          </cell>
        </row>
        <row r="301">
          <cell r="C301">
            <v>0</v>
          </cell>
          <cell r="D301">
            <v>0</v>
          </cell>
          <cell r="O301">
            <v>0</v>
          </cell>
          <cell r="P301">
            <v>0</v>
          </cell>
          <cell r="S301">
            <v>0</v>
          </cell>
          <cell r="T301">
            <v>0</v>
          </cell>
          <cell r="AH301">
            <v>0</v>
          </cell>
          <cell r="AJ301">
            <v>0</v>
          </cell>
        </row>
        <row r="302">
          <cell r="C302">
            <v>0</v>
          </cell>
          <cell r="D302">
            <v>0</v>
          </cell>
          <cell r="O302">
            <v>480.66666666666669</v>
          </cell>
          <cell r="P302">
            <v>149</v>
          </cell>
          <cell r="S302">
            <v>11</v>
          </cell>
          <cell r="T302">
            <v>4</v>
          </cell>
          <cell r="AH302">
            <v>491.66666666666669</v>
          </cell>
          <cell r="AJ302">
            <v>153</v>
          </cell>
        </row>
        <row r="303">
          <cell r="C303">
            <v>0</v>
          </cell>
          <cell r="D303">
            <v>0</v>
          </cell>
          <cell r="O303">
            <v>0</v>
          </cell>
          <cell r="P303">
            <v>0</v>
          </cell>
          <cell r="S303" t="str">
            <v>ФМЗ ( з відрахуван)</v>
          </cell>
          <cell r="T303">
            <v>0</v>
          </cell>
          <cell r="U303">
            <v>25</v>
          </cell>
          <cell r="AH303">
            <v>0</v>
          </cell>
          <cell r="AJ303">
            <v>0</v>
          </cell>
        </row>
        <row r="304">
          <cell r="C304">
            <v>1.1666666666666667</v>
          </cell>
          <cell r="D304">
            <v>0</v>
          </cell>
          <cell r="O304">
            <v>41.666666666666664</v>
          </cell>
          <cell r="P304">
            <v>13</v>
          </cell>
          <cell r="S304">
            <v>32</v>
          </cell>
          <cell r="T304">
            <v>10</v>
          </cell>
          <cell r="AH304">
            <v>91</v>
          </cell>
          <cell r="AJ304">
            <v>43.833333333333336</v>
          </cell>
        </row>
        <row r="305">
          <cell r="C305">
            <v>0</v>
          </cell>
          <cell r="D305">
            <v>0</v>
          </cell>
          <cell r="O305">
            <v>0</v>
          </cell>
          <cell r="P305">
            <v>0</v>
          </cell>
          <cell r="S305">
            <v>0</v>
          </cell>
          <cell r="T305">
            <v>0</v>
          </cell>
          <cell r="AH305">
            <v>4.666666666666667</v>
          </cell>
          <cell r="AJ305">
            <v>0</v>
          </cell>
        </row>
        <row r="306">
          <cell r="C306">
            <v>0</v>
          </cell>
          <cell r="D306">
            <v>0</v>
          </cell>
          <cell r="O306">
            <v>0</v>
          </cell>
          <cell r="P306">
            <v>0</v>
          </cell>
          <cell r="S306">
            <v>0</v>
          </cell>
          <cell r="T306">
            <v>0</v>
          </cell>
          <cell r="AH306">
            <v>0</v>
          </cell>
        </row>
        <row r="307">
          <cell r="C307">
            <v>10</v>
          </cell>
          <cell r="D307">
            <v>2</v>
          </cell>
          <cell r="O307">
            <v>0</v>
          </cell>
          <cell r="P307">
            <v>0</v>
          </cell>
          <cell r="S307">
            <v>0</v>
          </cell>
          <cell r="T307">
            <v>0</v>
          </cell>
          <cell r="AH307">
            <v>49</v>
          </cell>
          <cell r="AJ307">
            <v>41</v>
          </cell>
          <cell r="AK307">
            <v>42</v>
          </cell>
        </row>
        <row r="308">
          <cell r="C308">
            <v>2.6666666666666665</v>
          </cell>
          <cell r="D308">
            <v>1</v>
          </cell>
          <cell r="O308">
            <v>0</v>
          </cell>
          <cell r="P308">
            <v>0</v>
          </cell>
          <cell r="S308">
            <v>0</v>
          </cell>
          <cell r="T308">
            <v>0</v>
          </cell>
          <cell r="AH308">
            <v>6</v>
          </cell>
          <cell r="AJ308">
            <v>4.3333333333333339</v>
          </cell>
        </row>
        <row r="309">
          <cell r="C309">
            <v>7.333333333333333</v>
          </cell>
          <cell r="D309">
            <v>2</v>
          </cell>
          <cell r="O309">
            <v>0</v>
          </cell>
          <cell r="P309">
            <v>0</v>
          </cell>
          <cell r="S309">
            <v>0</v>
          </cell>
          <cell r="T309">
            <v>0</v>
          </cell>
          <cell r="AH309">
            <v>43</v>
          </cell>
          <cell r="AJ309">
            <v>37.666666666666664</v>
          </cell>
        </row>
        <row r="310">
          <cell r="C310">
            <v>0</v>
          </cell>
          <cell r="D310">
            <v>0</v>
          </cell>
          <cell r="O310">
            <v>0</v>
          </cell>
          <cell r="P310">
            <v>0</v>
          </cell>
          <cell r="S310">
            <v>0</v>
          </cell>
          <cell r="T310">
            <v>0</v>
          </cell>
          <cell r="AH310">
            <v>0</v>
          </cell>
        </row>
        <row r="311">
          <cell r="C311">
            <v>206.33333333333329</v>
          </cell>
          <cell r="D311">
            <v>44</v>
          </cell>
          <cell r="E311">
            <v>43</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O312">
            <v>0</v>
          </cell>
          <cell r="P312">
            <v>0</v>
          </cell>
          <cell r="S312">
            <v>0</v>
          </cell>
          <cell r="T312">
            <v>0</v>
          </cell>
          <cell r="AH312">
            <v>1350</v>
          </cell>
          <cell r="AJ312">
            <v>0</v>
          </cell>
        </row>
        <row r="313">
          <cell r="C313">
            <v>0</v>
          </cell>
          <cell r="D313">
            <v>0</v>
          </cell>
          <cell r="O313">
            <v>0</v>
          </cell>
          <cell r="P313">
            <v>0</v>
          </cell>
          <cell r="S313">
            <v>0</v>
          </cell>
          <cell r="T313">
            <v>0</v>
          </cell>
          <cell r="AH313">
            <v>95</v>
          </cell>
          <cell r="AJ313">
            <v>95</v>
          </cell>
        </row>
        <row r="314">
          <cell r="C314">
            <v>0</v>
          </cell>
          <cell r="D314">
            <v>0</v>
          </cell>
          <cell r="O314">
            <v>0</v>
          </cell>
          <cell r="P314">
            <v>0</v>
          </cell>
          <cell r="S314">
            <v>0</v>
          </cell>
          <cell r="T314">
            <v>0</v>
          </cell>
          <cell r="AH314">
            <v>0</v>
          </cell>
          <cell r="AJ314">
            <v>0</v>
          </cell>
        </row>
        <row r="315">
          <cell r="C315">
            <v>0</v>
          </cell>
          <cell r="D315">
            <v>0</v>
          </cell>
          <cell r="O315">
            <v>0</v>
          </cell>
          <cell r="P315">
            <v>0</v>
          </cell>
          <cell r="S315">
            <v>0</v>
          </cell>
          <cell r="T315">
            <v>0</v>
          </cell>
          <cell r="AH315">
            <v>12.333333333333334</v>
          </cell>
          <cell r="AJ315">
            <v>12.333333333333334</v>
          </cell>
        </row>
        <row r="316">
          <cell r="C316">
            <v>0</v>
          </cell>
          <cell r="D316">
            <v>0</v>
          </cell>
          <cell r="O316">
            <v>0</v>
          </cell>
          <cell r="P316">
            <v>0</v>
          </cell>
          <cell r="S316">
            <v>0</v>
          </cell>
          <cell r="T316">
            <v>0</v>
          </cell>
          <cell r="AH316">
            <v>0</v>
          </cell>
          <cell r="AJ316">
            <v>0</v>
          </cell>
        </row>
        <row r="317">
          <cell r="C317">
            <v>1.6666666666666667</v>
          </cell>
          <cell r="D317">
            <v>0</v>
          </cell>
          <cell r="O317">
            <v>3</v>
          </cell>
          <cell r="P317">
            <v>1</v>
          </cell>
          <cell r="S317">
            <v>3</v>
          </cell>
          <cell r="T317">
            <v>1</v>
          </cell>
          <cell r="AH317">
            <v>57.666666666666664</v>
          </cell>
          <cell r="AJ317">
            <v>47</v>
          </cell>
        </row>
        <row r="318">
          <cell r="C318">
            <v>0</v>
          </cell>
          <cell r="D318">
            <v>0</v>
          </cell>
          <cell r="O318">
            <v>0</v>
          </cell>
          <cell r="P318">
            <v>0</v>
          </cell>
          <cell r="S318">
            <v>0</v>
          </cell>
          <cell r="T318">
            <v>0</v>
          </cell>
          <cell r="AH318">
            <v>4</v>
          </cell>
          <cell r="AJ318">
            <v>0</v>
          </cell>
        </row>
        <row r="319">
          <cell r="C319">
            <v>0</v>
          </cell>
          <cell r="D319">
            <v>0</v>
          </cell>
          <cell r="O319">
            <v>0</v>
          </cell>
          <cell r="P319">
            <v>0</v>
          </cell>
          <cell r="S319">
            <v>0</v>
          </cell>
          <cell r="T319">
            <v>0</v>
          </cell>
          <cell r="AH319">
            <v>0</v>
          </cell>
          <cell r="AJ319">
            <v>0</v>
          </cell>
        </row>
        <row r="320">
          <cell r="C320">
            <v>0</v>
          </cell>
          <cell r="D320">
            <v>0</v>
          </cell>
          <cell r="O320">
            <v>4.5</v>
          </cell>
          <cell r="P320">
            <v>1</v>
          </cell>
          <cell r="S320">
            <v>1.3333333333333333</v>
          </cell>
          <cell r="T320">
            <v>0</v>
          </cell>
          <cell r="AH320">
            <v>28.5</v>
          </cell>
          <cell r="AJ320">
            <v>23.5</v>
          </cell>
        </row>
        <row r="321">
          <cell r="C321">
            <v>0</v>
          </cell>
          <cell r="D321">
            <v>0</v>
          </cell>
          <cell r="O321">
            <v>0</v>
          </cell>
          <cell r="P321">
            <v>0</v>
          </cell>
          <cell r="S321">
            <v>1.6666666666666667</v>
          </cell>
          <cell r="T321">
            <v>1</v>
          </cell>
          <cell r="AH321">
            <v>69</v>
          </cell>
          <cell r="AJ321">
            <v>52.333333333333336</v>
          </cell>
        </row>
        <row r="322">
          <cell r="C322">
            <v>177</v>
          </cell>
          <cell r="D322">
            <v>38</v>
          </cell>
          <cell r="O322">
            <v>0</v>
          </cell>
          <cell r="P322">
            <v>0</v>
          </cell>
          <cell r="S322">
            <v>0</v>
          </cell>
          <cell r="T322">
            <v>0</v>
          </cell>
          <cell r="AH322">
            <v>177</v>
          </cell>
          <cell r="AJ322">
            <v>38</v>
          </cell>
        </row>
        <row r="323">
          <cell r="C323">
            <v>0</v>
          </cell>
          <cell r="D323">
            <v>0</v>
          </cell>
          <cell r="O323">
            <v>10</v>
          </cell>
          <cell r="P323">
            <v>3</v>
          </cell>
          <cell r="S323">
            <v>7.666666666666667</v>
          </cell>
          <cell r="T323">
            <v>3</v>
          </cell>
          <cell r="AH323">
            <v>17.666666666666668</v>
          </cell>
          <cell r="AJ323">
            <v>6</v>
          </cell>
        </row>
        <row r="324">
          <cell r="C324">
            <v>0.66666666666666663</v>
          </cell>
          <cell r="D324">
            <v>0</v>
          </cell>
          <cell r="O324">
            <v>1.3333333333333333</v>
          </cell>
          <cell r="P324">
            <v>0</v>
          </cell>
          <cell r="S324">
            <v>1</v>
          </cell>
          <cell r="T324">
            <v>0</v>
          </cell>
          <cell r="AH324">
            <v>6</v>
          </cell>
          <cell r="AJ324">
            <v>2</v>
          </cell>
        </row>
        <row r="325">
          <cell r="C325">
            <v>2.6666666666666665</v>
          </cell>
          <cell r="D325">
            <v>1</v>
          </cell>
          <cell r="O325">
            <v>1</v>
          </cell>
          <cell r="P325">
            <v>0</v>
          </cell>
          <cell r="S325">
            <v>0.66666666666666663</v>
          </cell>
          <cell r="T325">
            <v>0</v>
          </cell>
          <cell r="AH325">
            <v>9.3333333333333339</v>
          </cell>
          <cell r="AJ325">
            <v>3.3333333333333335</v>
          </cell>
        </row>
        <row r="326">
          <cell r="C326">
            <v>0</v>
          </cell>
          <cell r="D326">
            <v>0</v>
          </cell>
          <cell r="O326">
            <v>6</v>
          </cell>
          <cell r="P326">
            <v>2</v>
          </cell>
          <cell r="S326">
            <v>5</v>
          </cell>
          <cell r="T326">
            <v>2</v>
          </cell>
          <cell r="AH326">
            <v>13.333333333333334</v>
          </cell>
          <cell r="AJ326">
            <v>6.3333333333333339</v>
          </cell>
        </row>
        <row r="327">
          <cell r="C327">
            <v>0</v>
          </cell>
          <cell r="D327">
            <v>0</v>
          </cell>
          <cell r="O327">
            <v>0</v>
          </cell>
          <cell r="P327">
            <v>0</v>
          </cell>
          <cell r="S327">
            <v>0</v>
          </cell>
          <cell r="T327">
            <v>0</v>
          </cell>
          <cell r="AH327">
            <v>0</v>
          </cell>
          <cell r="AJ327">
            <v>0</v>
          </cell>
        </row>
        <row r="328">
          <cell r="C328">
            <v>0</v>
          </cell>
          <cell r="D328">
            <v>0</v>
          </cell>
          <cell r="O328">
            <v>0</v>
          </cell>
          <cell r="P328">
            <v>0</v>
          </cell>
          <cell r="S328">
            <v>0</v>
          </cell>
          <cell r="T328">
            <v>0</v>
          </cell>
          <cell r="AH328">
            <v>0</v>
          </cell>
          <cell r="AJ328">
            <v>0</v>
          </cell>
        </row>
        <row r="329">
          <cell r="C329">
            <v>9.6666666666666661</v>
          </cell>
          <cell r="D329">
            <v>2</v>
          </cell>
          <cell r="O329">
            <v>0</v>
          </cell>
          <cell r="P329">
            <v>0</v>
          </cell>
          <cell r="S329">
            <v>0</v>
          </cell>
          <cell r="T329">
            <v>0</v>
          </cell>
          <cell r="AH329">
            <v>12</v>
          </cell>
          <cell r="AJ329">
            <v>4</v>
          </cell>
        </row>
        <row r="330">
          <cell r="C330">
            <v>0</v>
          </cell>
          <cell r="D330">
            <v>0</v>
          </cell>
          <cell r="O330">
            <v>0</v>
          </cell>
          <cell r="P330">
            <v>0</v>
          </cell>
          <cell r="S330">
            <v>0</v>
          </cell>
          <cell r="T330">
            <v>0</v>
          </cell>
          <cell r="AH330">
            <v>0</v>
          </cell>
          <cell r="AJ330">
            <v>0</v>
          </cell>
        </row>
        <row r="331">
          <cell r="C331">
            <v>2.3333333333333335</v>
          </cell>
          <cell r="D331">
            <v>0</v>
          </cell>
          <cell r="O331">
            <v>0.66666666666666663</v>
          </cell>
          <cell r="P331">
            <v>0</v>
          </cell>
          <cell r="S331">
            <v>0.66666666666666663</v>
          </cell>
          <cell r="T331">
            <v>0</v>
          </cell>
          <cell r="AH331">
            <v>4.333333333333333</v>
          </cell>
          <cell r="AJ331">
            <v>0.66666666666666663</v>
          </cell>
        </row>
        <row r="332">
          <cell r="C332">
            <v>1.6666666666666667</v>
          </cell>
          <cell r="D332">
            <v>0</v>
          </cell>
          <cell r="O332">
            <v>0.66666666666666663</v>
          </cell>
          <cell r="P332">
            <v>0</v>
          </cell>
          <cell r="S332">
            <v>0.66666666666666663</v>
          </cell>
          <cell r="T332">
            <v>0</v>
          </cell>
          <cell r="AH332">
            <v>3.6666666666666665</v>
          </cell>
          <cell r="AJ332">
            <v>0.66666666666666663</v>
          </cell>
        </row>
        <row r="333">
          <cell r="C333">
            <v>6.666666666666667</v>
          </cell>
          <cell r="D333">
            <v>1</v>
          </cell>
          <cell r="O333">
            <v>3</v>
          </cell>
          <cell r="P333">
            <v>1</v>
          </cell>
          <cell r="S333">
            <v>2</v>
          </cell>
          <cell r="T333">
            <v>1</v>
          </cell>
          <cell r="AH333">
            <v>33</v>
          </cell>
          <cell r="AJ333">
            <v>17.666666666666668</v>
          </cell>
        </row>
        <row r="334">
          <cell r="C334">
            <v>0</v>
          </cell>
          <cell r="D334">
            <v>0</v>
          </cell>
          <cell r="O334">
            <v>0</v>
          </cell>
          <cell r="P334">
            <v>0</v>
          </cell>
          <cell r="S334">
            <v>0</v>
          </cell>
          <cell r="T334">
            <v>0</v>
          </cell>
          <cell r="AH334">
            <v>0</v>
          </cell>
          <cell r="AJ334">
            <v>0</v>
          </cell>
        </row>
        <row r="335">
          <cell r="C335">
            <v>0</v>
          </cell>
          <cell r="D335">
            <v>0</v>
          </cell>
          <cell r="O335">
            <v>0</v>
          </cell>
          <cell r="P335">
            <v>0</v>
          </cell>
          <cell r="S335">
            <v>0</v>
          </cell>
          <cell r="T335">
            <v>0</v>
          </cell>
          <cell r="AH335">
            <v>0</v>
          </cell>
          <cell r="AJ335">
            <v>53</v>
          </cell>
        </row>
        <row r="336">
          <cell r="C336">
            <v>1</v>
          </cell>
          <cell r="D336">
            <v>0</v>
          </cell>
          <cell r="O336">
            <v>0</v>
          </cell>
          <cell r="P336">
            <v>0</v>
          </cell>
          <cell r="S336">
            <v>0</v>
          </cell>
          <cell r="T336">
            <v>0</v>
          </cell>
          <cell r="AH336">
            <v>1</v>
          </cell>
          <cell r="AJ336">
            <v>1</v>
          </cell>
        </row>
        <row r="337">
          <cell r="C337">
            <v>0</v>
          </cell>
          <cell r="D337">
            <v>0</v>
          </cell>
          <cell r="O337">
            <v>0</v>
          </cell>
          <cell r="P337">
            <v>0</v>
          </cell>
          <cell r="S337">
            <v>0</v>
          </cell>
          <cell r="T337">
            <v>0</v>
          </cell>
          <cell r="AH337">
            <v>0</v>
          </cell>
          <cell r="AJ337">
            <v>0</v>
          </cell>
        </row>
        <row r="338">
          <cell r="C338">
            <v>0</v>
          </cell>
          <cell r="D338">
            <v>0</v>
          </cell>
          <cell r="O338">
            <v>0</v>
          </cell>
          <cell r="P338">
            <v>0</v>
          </cell>
          <cell r="S338">
            <v>0</v>
          </cell>
          <cell r="T338">
            <v>0</v>
          </cell>
          <cell r="AH338">
            <v>0</v>
          </cell>
          <cell r="AJ338">
            <v>0</v>
          </cell>
        </row>
        <row r="339">
          <cell r="C339">
            <v>2.6666666666666665</v>
          </cell>
          <cell r="D339">
            <v>1</v>
          </cell>
          <cell r="O339">
            <v>4</v>
          </cell>
          <cell r="P339">
            <v>1</v>
          </cell>
          <cell r="S339">
            <v>2</v>
          </cell>
          <cell r="T339">
            <v>1</v>
          </cell>
          <cell r="AH339">
            <v>15.666666666666666</v>
          </cell>
          <cell r="AJ339">
            <v>7</v>
          </cell>
        </row>
        <row r="340">
          <cell r="C340">
            <v>0</v>
          </cell>
          <cell r="D340">
            <v>0</v>
          </cell>
          <cell r="O340">
            <v>0</v>
          </cell>
          <cell r="P340">
            <v>0</v>
          </cell>
          <cell r="S340">
            <v>0</v>
          </cell>
          <cell r="T340">
            <v>0</v>
          </cell>
          <cell r="AH340">
            <v>0</v>
          </cell>
          <cell r="AJ340">
            <v>0</v>
          </cell>
        </row>
        <row r="341">
          <cell r="C341">
            <v>0</v>
          </cell>
          <cell r="D341">
            <v>0</v>
          </cell>
          <cell r="O341">
            <v>3.3333333333333335</v>
          </cell>
          <cell r="P341">
            <v>1</v>
          </cell>
          <cell r="S341">
            <v>0</v>
          </cell>
          <cell r="T341">
            <v>0</v>
          </cell>
          <cell r="AH341">
            <v>3.3333333333333335</v>
          </cell>
          <cell r="AJ341">
            <v>1</v>
          </cell>
        </row>
        <row r="342">
          <cell r="C342">
            <v>0.33333333333333331</v>
          </cell>
          <cell r="D342">
            <v>0</v>
          </cell>
          <cell r="O342">
            <v>0.33333333333333331</v>
          </cell>
          <cell r="P342">
            <v>0</v>
          </cell>
          <cell r="S342">
            <v>0.33333333333333331</v>
          </cell>
          <cell r="T342">
            <v>0</v>
          </cell>
          <cell r="AH342">
            <v>1.9999999999999998</v>
          </cell>
          <cell r="AJ342">
            <v>0.33333333333333331</v>
          </cell>
        </row>
        <row r="343">
          <cell r="C343">
            <v>0</v>
          </cell>
          <cell r="D343">
            <v>0</v>
          </cell>
          <cell r="O343">
            <v>0</v>
          </cell>
          <cell r="P343">
            <v>0</v>
          </cell>
          <cell r="S343">
            <v>0</v>
          </cell>
          <cell r="T343">
            <v>0</v>
          </cell>
          <cell r="AH343">
            <v>0</v>
          </cell>
          <cell r="AJ343">
            <v>0</v>
          </cell>
        </row>
        <row r="344">
          <cell r="C344">
            <v>0</v>
          </cell>
          <cell r="D344">
            <v>0</v>
          </cell>
          <cell r="O344">
            <v>0</v>
          </cell>
          <cell r="P344">
            <v>0</v>
          </cell>
          <cell r="S344">
            <v>0</v>
          </cell>
          <cell r="T344">
            <v>0</v>
          </cell>
          <cell r="AH344">
            <v>0</v>
          </cell>
          <cell r="AJ344">
            <v>0</v>
          </cell>
        </row>
        <row r="345">
          <cell r="C345">
            <v>0</v>
          </cell>
          <cell r="D345">
            <v>0</v>
          </cell>
          <cell r="O345">
            <v>0</v>
          </cell>
          <cell r="P345">
            <v>0</v>
          </cell>
          <cell r="S345">
            <v>0</v>
          </cell>
          <cell r="T345">
            <v>0</v>
          </cell>
          <cell r="AH345">
            <v>0</v>
          </cell>
          <cell r="AJ345">
            <v>0</v>
          </cell>
        </row>
        <row r="346">
          <cell r="C346">
            <v>0</v>
          </cell>
          <cell r="D346">
            <v>0</v>
          </cell>
          <cell r="O346">
            <v>0</v>
          </cell>
          <cell r="P346">
            <v>0</v>
          </cell>
          <cell r="S346">
            <v>0</v>
          </cell>
          <cell r="T346">
            <v>0</v>
          </cell>
          <cell r="AH346">
            <v>0</v>
          </cell>
          <cell r="AJ346">
            <v>0</v>
          </cell>
        </row>
        <row r="347">
          <cell r="C347">
            <v>0</v>
          </cell>
          <cell r="D347">
            <v>0</v>
          </cell>
          <cell r="O347">
            <v>0</v>
          </cell>
          <cell r="P347">
            <v>0</v>
          </cell>
          <cell r="S347">
            <v>0</v>
          </cell>
          <cell r="T347">
            <v>0</v>
          </cell>
          <cell r="AH347">
            <v>0</v>
          </cell>
          <cell r="AJ347">
            <v>0</v>
          </cell>
        </row>
        <row r="348">
          <cell r="C348">
            <v>0</v>
          </cell>
          <cell r="D348">
            <v>0</v>
          </cell>
          <cell r="O348">
            <v>0</v>
          </cell>
          <cell r="P348">
            <v>0</v>
          </cell>
          <cell r="S348">
            <v>0</v>
          </cell>
          <cell r="T348">
            <v>0</v>
          </cell>
          <cell r="AH348">
            <v>0</v>
          </cell>
          <cell r="AJ348">
            <v>0</v>
          </cell>
        </row>
        <row r="349">
          <cell r="D349">
            <v>0</v>
          </cell>
          <cell r="O349">
            <v>0</v>
          </cell>
          <cell r="P349">
            <v>0</v>
          </cell>
          <cell r="S349">
            <v>0</v>
          </cell>
          <cell r="T349">
            <v>0</v>
          </cell>
          <cell r="AH349">
            <v>0</v>
          </cell>
          <cell r="AJ349">
            <v>2</v>
          </cell>
        </row>
        <row r="350">
          <cell r="O350">
            <v>0</v>
          </cell>
          <cell r="P350">
            <v>0</v>
          </cell>
          <cell r="S350">
            <v>0</v>
          </cell>
          <cell r="T350">
            <v>0</v>
          </cell>
          <cell r="AH350">
            <v>0</v>
          </cell>
          <cell r="AJ350">
            <v>0</v>
          </cell>
        </row>
      </sheetData>
      <sheetData sheetId="35"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36" refreshError="1">
        <row r="8">
          <cell r="S8" t="str">
            <v>ЗАТВЕРДЖУЮ</v>
          </cell>
        </row>
        <row r="16">
          <cell r="AP16" t="str">
            <v>ЗАТВЕРДЖУЮ</v>
          </cell>
        </row>
        <row r="17">
          <cell r="C17" t="str">
            <v>І.В.ПЛАЧКОВ</v>
          </cell>
          <cell r="AP17" t="str">
            <v>ГОЛОВА ПРАЛІННЯ АК КЕ</v>
          </cell>
        </row>
        <row r="22">
          <cell r="U22" t="str">
            <v>ЗАТВЕРДЖУЮ</v>
          </cell>
          <cell r="AV22" t="str">
            <v>І.В.ПЛАЧКОВ</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S31" t="str">
            <v>ЗАТВЕРДЖУЮ</v>
          </cell>
          <cell r="U31">
            <v>330</v>
          </cell>
          <cell r="Z31">
            <v>298</v>
          </cell>
          <cell r="AQ31">
            <v>628</v>
          </cell>
        </row>
        <row r="32">
          <cell r="S32" t="str">
            <v>ГОЛОВА ПРАЛІННЯ  КЕ</v>
          </cell>
          <cell r="U32">
            <v>291.85000000000002</v>
          </cell>
          <cell r="Z32">
            <v>268.14999999999998</v>
          </cell>
          <cell r="AQ32">
            <v>560</v>
          </cell>
        </row>
        <row r="33">
          <cell r="AQ33">
            <v>0</v>
          </cell>
        </row>
        <row r="34">
          <cell r="AQ34">
            <v>0</v>
          </cell>
        </row>
        <row r="35">
          <cell r="S35" t="str">
            <v xml:space="preserve">                   ПЛАЧКОВ І.В.</v>
          </cell>
          <cell r="T35" t="str">
            <v>І.В.ПЛАЧКОВ</v>
          </cell>
          <cell r="AQ35">
            <v>32</v>
          </cell>
        </row>
        <row r="36">
          <cell r="AQ36">
            <v>0</v>
          </cell>
        </row>
        <row r="37">
          <cell r="U37" t="str">
            <v xml:space="preserve">                      ПЛАЧКОВ І.В.</v>
          </cell>
          <cell r="AQ37">
            <v>500</v>
          </cell>
        </row>
        <row r="38">
          <cell r="C38" t="str">
            <v>ВИК.ДИР.</v>
          </cell>
          <cell r="D38" t="str">
            <v>Е/Е</v>
          </cell>
          <cell r="E38" t="str">
            <v xml:space="preserve"> Т/Е</v>
          </cell>
          <cell r="N38">
            <v>0</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V39">
            <v>380</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cell r="N40">
            <v>202.3</v>
          </cell>
          <cell r="Q40">
            <v>145</v>
          </cell>
          <cell r="V40">
            <v>347.3</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3">
          <cell r="V43">
            <v>0</v>
          </cell>
        </row>
        <row r="44">
          <cell r="V44">
            <v>0</v>
          </cell>
        </row>
        <row r="45">
          <cell r="V45">
            <v>350</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O47">
            <v>160</v>
          </cell>
          <cell r="Q47">
            <v>3963.0186666666668</v>
          </cell>
          <cell r="R47">
            <v>145</v>
          </cell>
          <cell r="T47">
            <v>567.25866666666661</v>
          </cell>
          <cell r="U47">
            <v>347</v>
          </cell>
          <cell r="V47">
            <v>220.25866666666661</v>
          </cell>
          <cell r="W47">
            <v>385</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W48">
            <v>0</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O49">
            <v>160</v>
          </cell>
          <cell r="Q49">
            <v>345.33333333333337</v>
          </cell>
          <cell r="R49">
            <v>145</v>
          </cell>
          <cell r="T49">
            <v>256.62666666666667</v>
          </cell>
          <cell r="U49">
            <v>165</v>
          </cell>
          <cell r="V49">
            <v>91.626666666666665</v>
          </cell>
          <cell r="W49">
            <v>285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O51">
            <v>46</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O52">
            <v>1</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O53">
            <v>17</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W55">
            <v>532</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-20749</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O61">
            <v>47.175438596491233</v>
          </cell>
          <cell r="P61">
            <v>0</v>
          </cell>
          <cell r="Q61">
            <v>0</v>
          </cell>
          <cell r="R61">
            <v>22.423728813559308</v>
          </cell>
          <cell r="S61">
            <v>0</v>
          </cell>
          <cell r="T61">
            <v>0</v>
          </cell>
          <cell r="U61">
            <v>0</v>
          </cell>
          <cell r="V61">
            <v>748.3098245614035</v>
          </cell>
          <cell r="W61">
            <v>618.1254831995243</v>
          </cell>
          <cell r="X61">
            <v>0</v>
          </cell>
          <cell r="Y61">
            <v>0</v>
          </cell>
          <cell r="Z61">
            <v>0</v>
          </cell>
          <cell r="AA61">
            <v>0</v>
          </cell>
          <cell r="AB61">
            <v>8244.1254831995248</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O62">
            <v>3</v>
          </cell>
          <cell r="P62">
            <v>-3758.15</v>
          </cell>
          <cell r="Q62">
            <v>8235.8940000000002</v>
          </cell>
          <cell r="R62">
            <v>1</v>
          </cell>
          <cell r="S62">
            <v>-8235.8940000000002</v>
          </cell>
          <cell r="T62">
            <v>582.97</v>
          </cell>
          <cell r="U62">
            <v>53</v>
          </cell>
          <cell r="V62">
            <v>41</v>
          </cell>
          <cell r="W62">
            <v>34</v>
          </cell>
          <cell r="X62">
            <v>-582.97</v>
          </cell>
          <cell r="Y62">
            <v>1080.26</v>
          </cell>
          <cell r="Z62">
            <v>28</v>
          </cell>
          <cell r="AA62">
            <v>1052.26</v>
          </cell>
          <cell r="AB62">
            <v>460</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O63">
            <v>15</v>
          </cell>
          <cell r="P63">
            <v>0</v>
          </cell>
          <cell r="Q63">
            <v>0</v>
          </cell>
          <cell r="R63">
            <v>8</v>
          </cell>
          <cell r="S63">
            <v>0</v>
          </cell>
          <cell r="T63">
            <v>0</v>
          </cell>
          <cell r="U63">
            <v>0</v>
          </cell>
          <cell r="V63">
            <v>240</v>
          </cell>
          <cell r="W63">
            <v>198</v>
          </cell>
          <cell r="X63">
            <v>0</v>
          </cell>
          <cell r="Y63">
            <v>0</v>
          </cell>
          <cell r="Z63">
            <v>0</v>
          </cell>
          <cell r="AA63">
            <v>0</v>
          </cell>
          <cell r="AB63">
            <v>2637</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O64">
            <v>4</v>
          </cell>
          <cell r="P64">
            <v>120.15000000000009</v>
          </cell>
          <cell r="Q64">
            <v>-267.89399999999978</v>
          </cell>
          <cell r="R64">
            <v>4</v>
          </cell>
          <cell r="S64">
            <v>267.89399999999978</v>
          </cell>
          <cell r="T64">
            <v>3683.0299999999997</v>
          </cell>
          <cell r="U64">
            <v>2191</v>
          </cell>
          <cell r="V64">
            <v>58</v>
          </cell>
          <cell r="W64">
            <v>48</v>
          </cell>
          <cell r="X64">
            <v>-3683.0299999999997</v>
          </cell>
          <cell r="Y64">
            <v>3382.74</v>
          </cell>
          <cell r="Z64">
            <v>2225</v>
          </cell>
          <cell r="AA64">
            <v>1157.7399999999998</v>
          </cell>
          <cell r="AB64">
            <v>989</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O69">
            <v>39.824561403508767</v>
          </cell>
          <cell r="P69">
            <v>-78</v>
          </cell>
          <cell r="Q69">
            <v>0</v>
          </cell>
          <cell r="R69">
            <v>23.192982456140342</v>
          </cell>
          <cell r="S69">
            <v>0</v>
          </cell>
          <cell r="T69">
            <v>0</v>
          </cell>
          <cell r="U69">
            <v>0</v>
          </cell>
          <cell r="V69">
            <v>0</v>
          </cell>
          <cell r="W69">
            <v>252.4912280701754</v>
          </cell>
          <cell r="X69">
            <v>0</v>
          </cell>
          <cell r="Y69">
            <v>0</v>
          </cell>
          <cell r="Z69">
            <v>0</v>
          </cell>
          <cell r="AA69">
            <v>0</v>
          </cell>
          <cell r="AB69">
            <v>3117.4912280701756</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O70">
            <v>2</v>
          </cell>
          <cell r="P70">
            <v>-1182.5</v>
          </cell>
          <cell r="Q70">
            <v>500.6</v>
          </cell>
          <cell r="R70">
            <v>1</v>
          </cell>
          <cell r="S70">
            <v>-500.6</v>
          </cell>
          <cell r="T70">
            <v>527</v>
          </cell>
          <cell r="U70">
            <v>0</v>
          </cell>
          <cell r="V70">
            <v>527</v>
          </cell>
          <cell r="W70">
            <v>13</v>
          </cell>
          <cell r="X70">
            <v>-527</v>
          </cell>
          <cell r="Y70">
            <v>0</v>
          </cell>
          <cell r="Z70">
            <v>170</v>
          </cell>
          <cell r="AA70">
            <v>-170</v>
          </cell>
          <cell r="AB70">
            <v>188</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O71">
            <v>13</v>
          </cell>
          <cell r="P71">
            <v>0</v>
          </cell>
          <cell r="Q71">
            <v>0</v>
          </cell>
          <cell r="R71">
            <v>7</v>
          </cell>
          <cell r="S71">
            <v>0</v>
          </cell>
          <cell r="T71">
            <v>0</v>
          </cell>
          <cell r="U71">
            <v>0</v>
          </cell>
          <cell r="V71">
            <v>0</v>
          </cell>
          <cell r="W71">
            <v>82</v>
          </cell>
          <cell r="X71">
            <v>0</v>
          </cell>
          <cell r="Y71">
            <v>0</v>
          </cell>
          <cell r="Z71">
            <v>0</v>
          </cell>
          <cell r="AA71">
            <v>0</v>
          </cell>
          <cell r="AB71">
            <v>978</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O73">
            <v>180</v>
          </cell>
          <cell r="P73">
            <v>0</v>
          </cell>
          <cell r="Q73">
            <v>0</v>
          </cell>
          <cell r="R73">
            <v>476</v>
          </cell>
          <cell r="S73">
            <v>0</v>
          </cell>
          <cell r="T73">
            <v>0</v>
          </cell>
          <cell r="U73">
            <v>0</v>
          </cell>
          <cell r="V73">
            <v>0</v>
          </cell>
          <cell r="W73">
            <v>2244</v>
          </cell>
          <cell r="X73">
            <v>0</v>
          </cell>
          <cell r="Y73">
            <v>18</v>
          </cell>
          <cell r="Z73">
            <v>0</v>
          </cell>
          <cell r="AA73">
            <v>18</v>
          </cell>
          <cell r="AB73">
            <v>2244</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O74">
            <v>0</v>
          </cell>
          <cell r="P74">
            <v>-624.07000000000005</v>
          </cell>
          <cell r="Q74">
            <v>2013.3516666666667</v>
          </cell>
          <cell r="R74">
            <v>2</v>
          </cell>
          <cell r="S74">
            <v>-2013.3516666666667</v>
          </cell>
          <cell r="T74">
            <v>608.45800000000008</v>
          </cell>
          <cell r="U74">
            <v>344</v>
          </cell>
          <cell r="V74">
            <v>264.45800000000008</v>
          </cell>
          <cell r="W74">
            <v>491</v>
          </cell>
          <cell r="X74">
            <v>-608.45800000000008</v>
          </cell>
          <cell r="Y74">
            <v>527.31200000000001</v>
          </cell>
          <cell r="Z74">
            <v>288</v>
          </cell>
          <cell r="AA74">
            <v>239.31200000000001</v>
          </cell>
          <cell r="AB74">
            <v>491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O75">
            <v>12</v>
          </cell>
          <cell r="P75">
            <v>-439.07</v>
          </cell>
          <cell r="Q75">
            <v>1244.9099999999999</v>
          </cell>
          <cell r="R75">
            <v>11</v>
          </cell>
          <cell r="S75">
            <v>-1244.9099999999999</v>
          </cell>
          <cell r="T75">
            <v>346.80799999999999</v>
          </cell>
          <cell r="U75">
            <v>202</v>
          </cell>
          <cell r="V75">
            <v>144.80799999999999</v>
          </cell>
          <cell r="W75">
            <v>2284.666666666667</v>
          </cell>
          <cell r="X75">
            <v>-346.80799999999999</v>
          </cell>
          <cell r="Y75">
            <v>214.36199999999999</v>
          </cell>
          <cell r="Z75">
            <v>182</v>
          </cell>
          <cell r="AA75">
            <v>32.361999999999995</v>
          </cell>
          <cell r="AB75">
            <v>23945.666666666668</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O76">
            <v>0</v>
          </cell>
          <cell r="P76">
            <v>0</v>
          </cell>
          <cell r="Q76">
            <v>0</v>
          </cell>
          <cell r="S76">
            <v>0</v>
          </cell>
          <cell r="T76">
            <v>0</v>
          </cell>
          <cell r="U76">
            <v>0</v>
          </cell>
          <cell r="V76">
            <v>0</v>
          </cell>
          <cell r="W76">
            <v>0</v>
          </cell>
          <cell r="X76">
            <v>0</v>
          </cell>
          <cell r="Y76">
            <v>0</v>
          </cell>
          <cell r="Z76">
            <v>0</v>
          </cell>
          <cell r="AA76">
            <v>0</v>
          </cell>
          <cell r="AB76">
            <v>401</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O77">
            <v>12</v>
          </cell>
          <cell r="P77">
            <v>31</v>
          </cell>
          <cell r="Q77">
            <v>465.4666666666667</v>
          </cell>
          <cell r="R77">
            <v>11</v>
          </cell>
          <cell r="T77">
            <v>112.6</v>
          </cell>
          <cell r="U77">
            <v>17</v>
          </cell>
          <cell r="V77">
            <v>95.6</v>
          </cell>
          <cell r="W77">
            <v>2284.666666666667</v>
          </cell>
          <cell r="X77">
            <v>2284.666666666667</v>
          </cell>
          <cell r="Y77">
            <v>101.15</v>
          </cell>
          <cell r="Z77">
            <v>31</v>
          </cell>
          <cell r="AA77">
            <v>70.150000000000006</v>
          </cell>
          <cell r="AB77">
            <v>23529.666666666668</v>
          </cell>
          <cell r="AC77">
            <v>46</v>
          </cell>
          <cell r="AD77">
            <v>221.75</v>
          </cell>
          <cell r="AE77">
            <v>157.85</v>
          </cell>
          <cell r="AF77">
            <v>63.900000000000006</v>
          </cell>
        </row>
        <row r="78">
          <cell r="C78">
            <v>3123.5</v>
          </cell>
          <cell r="D78">
            <v>363</v>
          </cell>
          <cell r="E78">
            <v>2760.5</v>
          </cell>
          <cell r="N78">
            <v>121.25</v>
          </cell>
          <cell r="O78">
            <v>12</v>
          </cell>
          <cell r="P78">
            <v>31</v>
          </cell>
          <cell r="Q78">
            <v>302.97500000000002</v>
          </cell>
          <cell r="R78">
            <v>11</v>
          </cell>
          <cell r="T78">
            <v>148.05000000000001</v>
          </cell>
          <cell r="U78">
            <v>34</v>
          </cell>
          <cell r="V78">
            <v>114.05000000000001</v>
          </cell>
          <cell r="W78">
            <v>330</v>
          </cell>
          <cell r="X78">
            <v>330</v>
          </cell>
          <cell r="Y78">
            <v>211.8</v>
          </cell>
          <cell r="Z78">
            <v>45</v>
          </cell>
          <cell r="AA78">
            <v>166.8</v>
          </cell>
          <cell r="AB78">
            <v>330</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W79">
            <v>1955</v>
          </cell>
          <cell r="X79">
            <v>0</v>
          </cell>
          <cell r="Y79">
            <v>6.7</v>
          </cell>
          <cell r="Z79">
            <v>0</v>
          </cell>
          <cell r="AA79">
            <v>6.7</v>
          </cell>
          <cell r="AB79">
            <v>1955</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U81">
            <v>65</v>
          </cell>
          <cell r="V81">
            <v>30</v>
          </cell>
          <cell r="W81">
            <v>35</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C82">
            <v>813.00000000000011</v>
          </cell>
          <cell r="D82">
            <v>501</v>
          </cell>
          <cell r="E82">
            <v>312.33333333333337</v>
          </cell>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U83">
            <v>14098.435307760927</v>
          </cell>
          <cell r="V83">
            <v>5945.3098245614019</v>
          </cell>
          <cell r="W83">
            <v>8153.1254831995248</v>
          </cell>
          <cell r="X83">
            <v>0</v>
          </cell>
          <cell r="AC83">
            <v>0</v>
          </cell>
          <cell r="AD83">
            <v>2918</v>
          </cell>
          <cell r="AE83">
            <v>2545.3098245614037</v>
          </cell>
          <cell r="AF83">
            <v>5037.1254831995248</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W85">
            <v>0</v>
          </cell>
          <cell r="X85">
            <v>0</v>
          </cell>
          <cell r="Y85">
            <v>0</v>
          </cell>
          <cell r="Z85">
            <v>747</v>
          </cell>
          <cell r="AA85">
            <v>0</v>
          </cell>
          <cell r="AB85">
            <v>747</v>
          </cell>
          <cell r="AC85">
            <v>0</v>
          </cell>
          <cell r="AD85">
            <v>0</v>
          </cell>
          <cell r="AE85">
            <v>0</v>
          </cell>
          <cell r="AF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O86">
            <v>4065.1754385964914</v>
          </cell>
          <cell r="P86">
            <v>0</v>
          </cell>
          <cell r="Q86">
            <v>0</v>
          </cell>
          <cell r="R86">
            <v>3768.4237288135591</v>
          </cell>
          <cell r="S86">
            <v>0</v>
          </cell>
          <cell r="T86">
            <v>0</v>
          </cell>
          <cell r="U86">
            <v>0</v>
          </cell>
          <cell r="V86">
            <v>0</v>
          </cell>
          <cell r="W86">
            <v>15924.125483199525</v>
          </cell>
          <cell r="X86">
            <v>0</v>
          </cell>
          <cell r="Y86">
            <v>0</v>
          </cell>
          <cell r="Z86">
            <v>195401.12548319952</v>
          </cell>
          <cell r="AA86">
            <v>173414</v>
          </cell>
          <cell r="AB86">
            <v>368815.12548319955</v>
          </cell>
          <cell r="AC86">
            <v>0</v>
          </cell>
          <cell r="AD86">
            <v>10689</v>
          </cell>
          <cell r="AE86">
            <v>2570.3098245614037</v>
          </cell>
          <cell r="AF86">
            <v>5037.1254831995248</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W87">
            <v>52.068000000000012</v>
          </cell>
          <cell r="X87">
            <v>0</v>
          </cell>
          <cell r="Y87">
            <v>0</v>
          </cell>
          <cell r="Z87">
            <v>0</v>
          </cell>
          <cell r="AA87">
            <v>0</v>
          </cell>
          <cell r="AB87">
            <v>2186.0680000000002</v>
          </cell>
          <cell r="AC87">
            <v>0</v>
          </cell>
          <cell r="AD87">
            <v>0</v>
          </cell>
          <cell r="AE87">
            <v>178.35599999999999</v>
          </cell>
          <cell r="AF87">
            <v>52.068000000000012</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W88">
            <v>87</v>
          </cell>
          <cell r="X88">
            <v>-299.26666666666665</v>
          </cell>
          <cell r="Y88">
            <v>389.93333333333328</v>
          </cell>
          <cell r="Z88">
            <v>0</v>
          </cell>
          <cell r="AA88">
            <v>1294</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D92">
            <v>1012.3559999999998</v>
          </cell>
          <cell r="E92">
            <v>473.06800000000004</v>
          </cell>
          <cell r="N92">
            <v>4468.6499999999996</v>
          </cell>
          <cell r="O92">
            <v>777.1754385964914</v>
          </cell>
          <cell r="P92">
            <v>-4468.6499999999996</v>
          </cell>
          <cell r="Q92">
            <v>12039.093999999999</v>
          </cell>
          <cell r="R92">
            <v>796.42372881355914</v>
          </cell>
          <cell r="S92">
            <v>-12039.093999999999</v>
          </cell>
          <cell r="T92">
            <v>582.97</v>
          </cell>
          <cell r="U92">
            <v>14770.52597442759</v>
          </cell>
          <cell r="V92">
            <v>6456.6658245614017</v>
          </cell>
          <cell r="W92">
            <v>8313.8601498661901</v>
          </cell>
          <cell r="X92">
            <v>-582.97</v>
          </cell>
          <cell r="Y92">
            <v>1080.26</v>
          </cell>
          <cell r="Z92">
            <v>73006.860149866174</v>
          </cell>
          <cell r="AA92">
            <v>30183</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D93">
            <v>54</v>
          </cell>
          <cell r="E93">
            <v>34</v>
          </cell>
          <cell r="N93">
            <v>3758.15</v>
          </cell>
          <cell r="O93">
            <v>87</v>
          </cell>
          <cell r="P93">
            <v>-3758.15</v>
          </cell>
          <cell r="Q93">
            <v>8235.8940000000002</v>
          </cell>
          <cell r="R93">
            <v>45.61671126969965</v>
          </cell>
          <cell r="S93">
            <v>-8235.8940000000002</v>
          </cell>
          <cell r="T93">
            <v>583.47</v>
          </cell>
          <cell r="U93">
            <v>1776.9967112696997</v>
          </cell>
          <cell r="V93">
            <v>906.38</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4">
          <cell r="C94">
            <v>950</v>
          </cell>
          <cell r="P94">
            <v>450</v>
          </cell>
          <cell r="S94">
            <v>153</v>
          </cell>
          <cell r="T94">
            <v>0</v>
          </cell>
          <cell r="U94">
            <v>3306</v>
          </cell>
        </row>
        <row r="95">
          <cell r="C95">
            <v>-1308</v>
          </cell>
          <cell r="N95">
            <v>710.5</v>
          </cell>
          <cell r="P95">
            <v>-710.5</v>
          </cell>
          <cell r="Q95">
            <v>3803.2</v>
          </cell>
          <cell r="R95">
            <v>0</v>
          </cell>
          <cell r="S95">
            <v>-3803.2</v>
          </cell>
          <cell r="T95">
            <v>0</v>
          </cell>
          <cell r="U95">
            <v>1754</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C96">
            <v>0</v>
          </cell>
          <cell r="P96">
            <v>0</v>
          </cell>
          <cell r="S96">
            <v>0</v>
          </cell>
          <cell r="U96">
            <v>494</v>
          </cell>
          <cell r="X96">
            <v>0</v>
          </cell>
          <cell r="AC96">
            <v>0</v>
          </cell>
          <cell r="AF96">
            <v>0</v>
          </cell>
          <cell r="AI96">
            <v>0</v>
          </cell>
          <cell r="AJ96">
            <v>0</v>
          </cell>
          <cell r="AN96" t="e">
            <v>#REF!</v>
          </cell>
          <cell r="AP96" t="e">
            <v>#REF!</v>
          </cell>
          <cell r="AS96">
            <v>0</v>
          </cell>
        </row>
        <row r="97">
          <cell r="C97">
            <v>913</v>
          </cell>
          <cell r="P97">
            <v>0</v>
          </cell>
          <cell r="S97">
            <v>0</v>
          </cell>
          <cell r="U97">
            <v>913</v>
          </cell>
          <cell r="X97">
            <v>0</v>
          </cell>
          <cell r="AC97">
            <v>0</v>
          </cell>
          <cell r="AF97">
            <v>0</v>
          </cell>
          <cell r="AI97">
            <v>0</v>
          </cell>
          <cell r="AJ97">
            <v>0</v>
          </cell>
          <cell r="AN97" t="e">
            <v>#REF!</v>
          </cell>
          <cell r="AP97" t="e">
            <v>#REF!</v>
          </cell>
          <cell r="AS97">
            <v>0</v>
          </cell>
        </row>
        <row r="98">
          <cell r="P98">
            <v>0</v>
          </cell>
          <cell r="S98">
            <v>0</v>
          </cell>
          <cell r="U98">
            <v>0</v>
          </cell>
          <cell r="X98">
            <v>0</v>
          </cell>
          <cell r="AC98">
            <v>0</v>
          </cell>
          <cell r="AF98">
            <v>0</v>
          </cell>
          <cell r="AI98">
            <v>0</v>
          </cell>
          <cell r="AJ98">
            <v>0</v>
          </cell>
          <cell r="AN98" t="e">
            <v>#REF!</v>
          </cell>
          <cell r="AP98" t="e">
            <v>#REF!</v>
          </cell>
          <cell r="AS98">
            <v>0</v>
          </cell>
        </row>
        <row r="99">
          <cell r="P99">
            <v>0</v>
          </cell>
          <cell r="S99">
            <v>0</v>
          </cell>
          <cell r="U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U100">
            <v>1093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U101">
            <v>913</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U102">
            <v>50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U103">
            <v>130</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U104">
            <v>3922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U105">
            <v>261</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U106">
            <v>3661</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U107">
            <v>-38.052597442759001</v>
          </cell>
          <cell r="V107">
            <v>-38.052597442759001</v>
          </cell>
          <cell r="W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U108">
            <v>268</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U109">
            <v>0</v>
          </cell>
          <cell r="V109">
            <v>0</v>
          </cell>
          <cell r="W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U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U111">
            <v>1568.5</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U112">
            <v>53.583333333333336</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U114" t="e">
            <v>#REF!</v>
          </cell>
          <cell r="V114" t="e">
            <v>#REF!</v>
          </cell>
          <cell r="X114">
            <v>0</v>
          </cell>
          <cell r="AC114">
            <v>0</v>
          </cell>
          <cell r="AF114">
            <v>0</v>
          </cell>
          <cell r="AI114">
            <v>0</v>
          </cell>
          <cell r="AJ114">
            <v>0</v>
          </cell>
          <cell r="AP114">
            <v>0</v>
          </cell>
          <cell r="AS114">
            <v>0</v>
          </cell>
        </row>
        <row r="115">
          <cell r="C115">
            <v>10509</v>
          </cell>
          <cell r="P115">
            <v>0</v>
          </cell>
          <cell r="S115">
            <v>0</v>
          </cell>
          <cell r="U115" t="e">
            <v>#REF!</v>
          </cell>
          <cell r="X115">
            <v>0</v>
          </cell>
          <cell r="AC115">
            <v>0</v>
          </cell>
          <cell r="AF115">
            <v>0</v>
          </cell>
          <cell r="AI115">
            <v>0</v>
          </cell>
          <cell r="AJ115">
            <v>0</v>
          </cell>
          <cell r="AP115">
            <v>10509</v>
          </cell>
          <cell r="AS115">
            <v>0</v>
          </cell>
        </row>
        <row r="116">
          <cell r="C116">
            <v>0</v>
          </cell>
          <cell r="D116">
            <v>0</v>
          </cell>
          <cell r="E116">
            <v>0</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N117">
            <v>0</v>
          </cell>
          <cell r="O117">
            <v>0</v>
          </cell>
          <cell r="P117">
            <v>291.25</v>
          </cell>
          <cell r="S117">
            <v>1077.625</v>
          </cell>
          <cell r="T117">
            <v>0</v>
          </cell>
          <cell r="U117">
            <v>6599.0307358905739</v>
          </cell>
        </row>
        <row r="118">
          <cell r="U118" t="e">
            <v>#REF!</v>
          </cell>
        </row>
        <row r="119">
          <cell r="P119">
            <v>0</v>
          </cell>
          <cell r="S119">
            <v>0</v>
          </cell>
          <cell r="U119">
            <v>-230.79318209931299</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U120">
            <v>-380.52597442758997</v>
          </cell>
          <cell r="V120">
            <v>6725.3341754385983</v>
          </cell>
          <cell r="W120">
            <v>-7406.8601498661901</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U125">
            <v>8678</v>
          </cell>
          <cell r="W125">
            <v>8678</v>
          </cell>
          <cell r="X125">
            <v>0</v>
          </cell>
          <cell r="AC125">
            <v>0</v>
          </cell>
          <cell r="AE125">
            <v>0</v>
          </cell>
          <cell r="AJ125">
            <v>0</v>
          </cell>
          <cell r="AP125" t="e">
            <v>#REF!</v>
          </cell>
          <cell r="AQ125" t="e">
            <v>#REF!</v>
          </cell>
          <cell r="AR125" t="e">
            <v>#REF!</v>
          </cell>
        </row>
        <row r="126">
          <cell r="P126">
            <v>0</v>
          </cell>
          <cell r="U126">
            <v>-7406.8601498661901</v>
          </cell>
          <cell r="X126">
            <v>0</v>
          </cell>
          <cell r="AC126">
            <v>0</v>
          </cell>
          <cell r="AJ126">
            <v>0</v>
          </cell>
        </row>
        <row r="127">
          <cell r="P127">
            <v>0</v>
          </cell>
          <cell r="U127">
            <v>30.45</v>
          </cell>
          <cell r="X127">
            <v>0</v>
          </cell>
          <cell r="AC127">
            <v>0</v>
          </cell>
          <cell r="AJ127">
            <v>0</v>
          </cell>
          <cell r="AP127" t="e">
            <v>#REF!</v>
          </cell>
          <cell r="AU127">
            <v>0</v>
          </cell>
        </row>
        <row r="128">
          <cell r="P128">
            <v>0</v>
          </cell>
          <cell r="U128">
            <v>56.44</v>
          </cell>
          <cell r="X128">
            <v>0</v>
          </cell>
          <cell r="AC128">
            <v>0</v>
          </cell>
          <cell r="AJ128">
            <v>0</v>
          </cell>
        </row>
        <row r="129">
          <cell r="P129">
            <v>0</v>
          </cell>
          <cell r="U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U131">
            <v>8.49</v>
          </cell>
          <cell r="X131">
            <v>0</v>
          </cell>
          <cell r="AC131">
            <v>0</v>
          </cell>
          <cell r="AJ131">
            <v>0</v>
          </cell>
          <cell r="AP131" t="e">
            <v>#REF!</v>
          </cell>
          <cell r="AU131">
            <v>0</v>
          </cell>
        </row>
        <row r="132">
          <cell r="P132">
            <v>0</v>
          </cell>
          <cell r="U132">
            <v>0</v>
          </cell>
          <cell r="X132">
            <v>0</v>
          </cell>
          <cell r="AC132">
            <v>0</v>
          </cell>
          <cell r="AJ132">
            <v>0</v>
          </cell>
          <cell r="AP132" t="e">
            <v>#REF!</v>
          </cell>
          <cell r="AU132" t="e">
            <v>#DIV/0!</v>
          </cell>
        </row>
        <row r="133">
          <cell r="P133">
            <v>0</v>
          </cell>
          <cell r="T133">
            <v>0</v>
          </cell>
          <cell r="U133">
            <v>6.57</v>
          </cell>
          <cell r="X133">
            <v>0</v>
          </cell>
          <cell r="AC133">
            <v>0</v>
          </cell>
          <cell r="AJ133">
            <v>0</v>
          </cell>
          <cell r="AP133" t="e">
            <v>#REF!</v>
          </cell>
          <cell r="AU133" t="e">
            <v>#DIV/0!</v>
          </cell>
        </row>
        <row r="134">
          <cell r="P134">
            <v>0</v>
          </cell>
          <cell r="U134">
            <v>29726</v>
          </cell>
          <cell r="V134">
            <v>29726</v>
          </cell>
          <cell r="X134">
            <v>0</v>
          </cell>
          <cell r="AC134">
            <v>0</v>
          </cell>
          <cell r="AJ134">
            <v>0</v>
          </cell>
          <cell r="AP134">
            <v>0</v>
          </cell>
          <cell r="AU134">
            <v>0</v>
          </cell>
        </row>
        <row r="135">
          <cell r="P135">
            <v>0</v>
          </cell>
          <cell r="X135">
            <v>0</v>
          </cell>
          <cell r="AC135">
            <v>0</v>
          </cell>
          <cell r="AJ135">
            <v>0</v>
          </cell>
        </row>
        <row r="136">
          <cell r="P136">
            <v>0</v>
          </cell>
          <cell r="T136">
            <v>300</v>
          </cell>
          <cell r="U136">
            <v>300</v>
          </cell>
          <cell r="X136">
            <v>0</v>
          </cell>
          <cell r="AC136">
            <v>0</v>
          </cell>
          <cell r="AJ136">
            <v>0</v>
          </cell>
          <cell r="AP136">
            <v>36.19</v>
          </cell>
          <cell r="AU136" t="e">
            <v>#DIV/0!</v>
          </cell>
        </row>
        <row r="137">
          <cell r="P137">
            <v>0</v>
          </cell>
          <cell r="U137">
            <v>1</v>
          </cell>
          <cell r="X137">
            <v>0</v>
          </cell>
          <cell r="AC137">
            <v>0</v>
          </cell>
          <cell r="AJ137">
            <v>0</v>
          </cell>
        </row>
        <row r="138">
          <cell r="P138">
            <v>0</v>
          </cell>
          <cell r="X138">
            <v>0</v>
          </cell>
          <cell r="AC138">
            <v>0</v>
          </cell>
          <cell r="AJ138">
            <v>0</v>
          </cell>
          <cell r="AN138">
            <v>0</v>
          </cell>
          <cell r="AP138" t="e">
            <v>#REF!</v>
          </cell>
          <cell r="AU138" t="e">
            <v>#DIV/0!</v>
          </cell>
        </row>
        <row r="139">
          <cell r="P139">
            <v>0</v>
          </cell>
          <cell r="T139">
            <v>0</v>
          </cell>
          <cell r="U139">
            <v>38404</v>
          </cell>
          <cell r="V139">
            <v>29726</v>
          </cell>
          <cell r="W139">
            <v>8678</v>
          </cell>
          <cell r="X139">
            <v>0</v>
          </cell>
          <cell r="AC139">
            <v>0</v>
          </cell>
          <cell r="AJ139">
            <v>0</v>
          </cell>
          <cell r="AP139">
            <v>180931</v>
          </cell>
          <cell r="AQ139">
            <v>180931</v>
          </cell>
        </row>
        <row r="140">
          <cell r="C140" t="str">
            <v>коп/кВтг</v>
          </cell>
          <cell r="P140">
            <v>0</v>
          </cell>
          <cell r="U140">
            <v>0</v>
          </cell>
          <cell r="V140">
            <v>0</v>
          </cell>
          <cell r="X140">
            <v>0</v>
          </cell>
          <cell r="AC140">
            <v>0</v>
          </cell>
          <cell r="AJ140">
            <v>0</v>
          </cell>
        </row>
        <row r="141">
          <cell r="P141">
            <v>0</v>
          </cell>
          <cell r="U141">
            <v>38404</v>
          </cell>
          <cell r="V141">
            <v>29726</v>
          </cell>
          <cell r="W141">
            <v>8678</v>
          </cell>
          <cell r="X141">
            <v>0</v>
          </cell>
          <cell r="AC141">
            <v>0</v>
          </cell>
          <cell r="AJ141">
            <v>0</v>
          </cell>
          <cell r="AN141">
            <v>0</v>
          </cell>
          <cell r="AP141">
            <v>0</v>
          </cell>
        </row>
        <row r="142">
          <cell r="P142">
            <v>0</v>
          </cell>
          <cell r="Q142">
            <v>0</v>
          </cell>
          <cell r="X142">
            <v>0</v>
          </cell>
          <cell r="AC142">
            <v>0</v>
          </cell>
          <cell r="AD142">
            <v>2918</v>
          </cell>
          <cell r="AE142">
            <v>3056.6658245614035</v>
          </cell>
          <cell r="AF142">
            <v>5197.8601498661919</v>
          </cell>
          <cell r="AJ142">
            <v>0</v>
          </cell>
          <cell r="AP142">
            <v>2601</v>
          </cell>
        </row>
        <row r="143">
          <cell r="P143">
            <v>0</v>
          </cell>
          <cell r="U143">
            <v>-1</v>
          </cell>
          <cell r="V143">
            <v>29.2</v>
          </cell>
          <cell r="W143">
            <v>-46</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C145">
            <v>0</v>
          </cell>
          <cell r="P145">
            <v>0</v>
          </cell>
          <cell r="S145">
            <v>0</v>
          </cell>
          <cell r="U145">
            <v>0</v>
          </cell>
          <cell r="X145">
            <v>0</v>
          </cell>
          <cell r="AC145">
            <v>0</v>
          </cell>
          <cell r="AJ145">
            <v>0</v>
          </cell>
          <cell r="AP145" t="e">
            <v>#REF!</v>
          </cell>
          <cell r="AQ145">
            <v>180931</v>
          </cell>
          <cell r="AR145" t="e">
            <v>#REF!</v>
          </cell>
        </row>
        <row r="146">
          <cell r="C146">
            <v>80</v>
          </cell>
          <cell r="P146">
            <v>0</v>
          </cell>
          <cell r="U146">
            <v>4402</v>
          </cell>
          <cell r="X146">
            <v>0</v>
          </cell>
          <cell r="AC146">
            <v>0</v>
          </cell>
          <cell r="AJ146">
            <v>0</v>
          </cell>
          <cell r="AU146">
            <v>21126</v>
          </cell>
          <cell r="AV146">
            <v>32127</v>
          </cell>
          <cell r="AW146">
            <v>21565.09890909091</v>
          </cell>
          <cell r="AX146" t="e">
            <v>#REF!</v>
          </cell>
        </row>
        <row r="147">
          <cell r="C147">
            <v>80</v>
          </cell>
          <cell r="P147">
            <v>0</v>
          </cell>
          <cell r="U147">
            <v>2921</v>
          </cell>
          <cell r="X147">
            <v>0</v>
          </cell>
          <cell r="AC147">
            <v>0</v>
          </cell>
          <cell r="AJ147">
            <v>0</v>
          </cell>
          <cell r="AP147" t="e">
            <v>#REF!</v>
          </cell>
          <cell r="AQ147" t="e">
            <v>#REF!</v>
          </cell>
          <cell r="AR147" t="e">
            <v>#REF!</v>
          </cell>
        </row>
        <row r="148">
          <cell r="P148">
            <v>0</v>
          </cell>
          <cell r="U148">
            <v>0</v>
          </cell>
          <cell r="X148">
            <v>0</v>
          </cell>
          <cell r="AC148">
            <v>0</v>
          </cell>
          <cell r="AJ148">
            <v>0</v>
          </cell>
        </row>
        <row r="149">
          <cell r="C149">
            <v>0</v>
          </cell>
          <cell r="N149">
            <v>0</v>
          </cell>
          <cell r="P149">
            <v>0</v>
          </cell>
          <cell r="Q149">
            <v>0</v>
          </cell>
          <cell r="T149">
            <v>0</v>
          </cell>
          <cell r="U149">
            <v>0</v>
          </cell>
          <cell r="X149">
            <v>0</v>
          </cell>
          <cell r="Y149">
            <v>0</v>
          </cell>
          <cell r="AC149">
            <v>0</v>
          </cell>
          <cell r="AJ149">
            <v>0</v>
          </cell>
          <cell r="AN149">
            <v>0</v>
          </cell>
        </row>
        <row r="150">
          <cell r="P150">
            <v>0</v>
          </cell>
          <cell r="U150">
            <v>317</v>
          </cell>
        </row>
        <row r="151">
          <cell r="C151">
            <v>916.24199999999996</v>
          </cell>
          <cell r="N151">
            <v>1295.5</v>
          </cell>
          <cell r="P151">
            <v>-1295.5</v>
          </cell>
          <cell r="Q151">
            <v>2567.7454545454548</v>
          </cell>
          <cell r="S151">
            <v>-2567.7454545454548</v>
          </cell>
          <cell r="T151">
            <v>1558.3090909090909</v>
          </cell>
          <cell r="U151">
            <v>1774.0124999999998</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cell r="U152">
            <v>0</v>
          </cell>
        </row>
        <row r="153">
          <cell r="C153">
            <v>80</v>
          </cell>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U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U156">
            <v>-578</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U157">
            <v>0</v>
          </cell>
          <cell r="X157">
            <v>-105</v>
          </cell>
          <cell r="Y157">
            <v>190</v>
          </cell>
          <cell r="AC157">
            <v>-190</v>
          </cell>
          <cell r="AJ157">
            <v>0</v>
          </cell>
          <cell r="AP157" t="e">
            <v>#REF!</v>
          </cell>
        </row>
        <row r="158">
          <cell r="C158" t="e">
            <v>#REF!</v>
          </cell>
          <cell r="N158">
            <v>1248.5</v>
          </cell>
          <cell r="O158">
            <v>0</v>
          </cell>
          <cell r="P158">
            <v>-1248.5</v>
          </cell>
          <cell r="Q158">
            <v>140</v>
          </cell>
          <cell r="S158">
            <v>-140</v>
          </cell>
          <cell r="T158" t="str">
            <v xml:space="preserve">                   КОРИГУВАННЯ   ПЛАНУ   НА   СЕРПЕНЬ  1998 р</v>
          </cell>
          <cell r="U158">
            <v>4643</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C160">
            <v>57</v>
          </cell>
          <cell r="N160">
            <v>0</v>
          </cell>
          <cell r="O160">
            <v>250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D165" t="str">
            <v>АПАРАТ ЕЛЕКТРО</v>
          </cell>
          <cell r="E165" t="str">
            <v>АПАРАТ ТЕПЛО</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O166">
            <v>2.1435</v>
          </cell>
          <cell r="P166">
            <v>2.1435</v>
          </cell>
          <cell r="Q166">
            <v>39038.189666666673</v>
          </cell>
          <cell r="R166">
            <v>2.1435</v>
          </cell>
          <cell r="S166">
            <v>2.1435</v>
          </cell>
          <cell r="T166">
            <v>9187.6373333333177</v>
          </cell>
          <cell r="U166">
            <v>2.1435</v>
          </cell>
          <cell r="Y166">
            <v>7332.1266666666525</v>
          </cell>
          <cell r="AC166">
            <v>2.1804999999999999</v>
          </cell>
          <cell r="AD166">
            <v>2.1804999999999999</v>
          </cell>
          <cell r="AE166">
            <v>-13656.893090909089</v>
          </cell>
          <cell r="AF166">
            <v>1.905</v>
          </cell>
          <cell r="AG166">
            <v>2466</v>
          </cell>
          <cell r="AH166">
            <v>2561</v>
          </cell>
          <cell r="AN166" t="e">
            <v>#REF!</v>
          </cell>
          <cell r="AP166" t="e">
            <v>#REF!</v>
          </cell>
        </row>
        <row r="167">
          <cell r="C167" t="e">
            <v>#REF!</v>
          </cell>
          <cell r="N167">
            <v>3758.15</v>
          </cell>
        </row>
        <row r="168">
          <cell r="C168" t="e">
            <v>#REF!</v>
          </cell>
          <cell r="P168">
            <v>17.39</v>
          </cell>
          <cell r="U168">
            <v>44.3</v>
          </cell>
          <cell r="AC168">
            <v>221.49122807017542</v>
          </cell>
        </row>
        <row r="169">
          <cell r="C169" t="e">
            <v>#REF!</v>
          </cell>
          <cell r="P169">
            <v>19.82</v>
          </cell>
          <cell r="U169">
            <v>50.49</v>
          </cell>
          <cell r="AC169">
            <v>252.49999999999997</v>
          </cell>
        </row>
        <row r="170">
          <cell r="P170">
            <v>82.5</v>
          </cell>
          <cell r="S170">
            <v>82.5</v>
          </cell>
          <cell r="T170">
            <v>82.5</v>
          </cell>
          <cell r="U170">
            <v>82.5</v>
          </cell>
          <cell r="AC170">
            <v>66</v>
          </cell>
          <cell r="AV170">
            <v>1507.2</v>
          </cell>
        </row>
        <row r="171">
          <cell r="P171">
            <v>176.84</v>
          </cell>
          <cell r="U171">
            <v>176.84</v>
          </cell>
          <cell r="AC171">
            <v>143.91299999999998</v>
          </cell>
        </row>
        <row r="172">
          <cell r="P172">
            <v>3075</v>
          </cell>
          <cell r="U172">
            <v>7834</v>
          </cell>
          <cell r="AC172">
            <v>31875</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P174">
            <v>31.61</v>
          </cell>
          <cell r="Q174">
            <v>1.895</v>
          </cell>
          <cell r="U174">
            <v>1.895</v>
          </cell>
          <cell r="V174">
            <v>1.895</v>
          </cell>
          <cell r="Y174">
            <v>1.895</v>
          </cell>
          <cell r="Z174">
            <v>1.895</v>
          </cell>
          <cell r="AA174">
            <v>1.895</v>
          </cell>
          <cell r="AN174">
            <v>1.895</v>
          </cell>
          <cell r="AP174">
            <v>1.895</v>
          </cell>
          <cell r="AQ174">
            <v>1.895</v>
          </cell>
          <cell r="AU174">
            <v>1.905</v>
          </cell>
          <cell r="AV174">
            <v>1.895</v>
          </cell>
        </row>
        <row r="175">
          <cell r="P175">
            <v>36</v>
          </cell>
          <cell r="U175">
            <v>91.91</v>
          </cell>
        </row>
        <row r="176">
          <cell r="P176">
            <v>63.33</v>
          </cell>
          <cell r="Q176">
            <v>132.19999999999999</v>
          </cell>
          <cell r="U176">
            <v>63.33</v>
          </cell>
          <cell r="Y176">
            <v>68.7</v>
          </cell>
          <cell r="AP176">
            <v>200.89999999999998</v>
          </cell>
          <cell r="AU176">
            <v>251.12700000000001</v>
          </cell>
        </row>
        <row r="177">
          <cell r="P177">
            <v>135.75</v>
          </cell>
          <cell r="Q177">
            <v>150.5</v>
          </cell>
          <cell r="U177">
            <v>150.5</v>
          </cell>
          <cell r="Y177">
            <v>78.3</v>
          </cell>
          <cell r="AP177">
            <v>228.8</v>
          </cell>
          <cell r="AU177">
            <v>288.28500000000003</v>
          </cell>
        </row>
        <row r="178">
          <cell r="N178">
            <v>0</v>
          </cell>
          <cell r="P178">
            <v>4291</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P180">
            <v>4.2</v>
          </cell>
          <cell r="Q180">
            <v>20668</v>
          </cell>
          <cell r="U180">
            <v>0</v>
          </cell>
          <cell r="Y180">
            <v>10741</v>
          </cell>
          <cell r="AC180">
            <v>75.839416058394164</v>
          </cell>
          <cell r="AP180">
            <v>31409</v>
          </cell>
          <cell r="AU180">
            <v>31574</v>
          </cell>
        </row>
        <row r="181">
          <cell r="P181">
            <v>5.8</v>
          </cell>
          <cell r="U181">
            <v>11.7</v>
          </cell>
          <cell r="AC181">
            <v>103.9</v>
          </cell>
          <cell r="AP181">
            <v>31409</v>
          </cell>
          <cell r="AU181" t="e">
            <v>#REF!</v>
          </cell>
        </row>
        <row r="182">
          <cell r="C182">
            <v>75</v>
          </cell>
          <cell r="P182">
            <v>100.5</v>
          </cell>
          <cell r="Q182">
            <v>0</v>
          </cell>
          <cell r="T182">
            <v>0</v>
          </cell>
          <cell r="U182">
            <v>0</v>
          </cell>
          <cell r="Y182">
            <v>52.1</v>
          </cell>
          <cell r="AC182">
            <v>89.557440953909662</v>
          </cell>
          <cell r="AF182">
            <v>75</v>
          </cell>
          <cell r="AP182">
            <v>52.1</v>
          </cell>
          <cell r="AU182">
            <v>67.933000000000007</v>
          </cell>
        </row>
        <row r="183">
          <cell r="P183">
            <v>215.42175</v>
          </cell>
          <cell r="Q183">
            <v>0</v>
          </cell>
          <cell r="U183">
            <v>0</v>
          </cell>
          <cell r="Y183">
            <v>71.3</v>
          </cell>
          <cell r="AC183">
            <v>195.28</v>
          </cell>
          <cell r="AP183">
            <v>71.3</v>
          </cell>
          <cell r="AU183">
            <v>91.201999999999998</v>
          </cell>
        </row>
        <row r="184">
          <cell r="C184">
            <v>75</v>
          </cell>
          <cell r="N184">
            <v>75</v>
          </cell>
          <cell r="P184">
            <v>905</v>
          </cell>
          <cell r="U184">
            <v>1831</v>
          </cell>
          <cell r="AC184">
            <v>14810</v>
          </cell>
          <cell r="AN184">
            <v>0</v>
          </cell>
          <cell r="AP184">
            <v>98.96042216358839</v>
          </cell>
          <cell r="AU184">
            <v>98.96042216358839</v>
          </cell>
        </row>
        <row r="185">
          <cell r="Q185">
            <v>187.53</v>
          </cell>
          <cell r="U185">
            <v>0</v>
          </cell>
          <cell r="Y185">
            <v>187.53</v>
          </cell>
          <cell r="AP185">
            <v>187.53</v>
          </cell>
          <cell r="AU185">
            <v>187.53</v>
          </cell>
        </row>
        <row r="186">
          <cell r="N186">
            <v>55.82</v>
          </cell>
          <cell r="O186">
            <v>24.309999999999995</v>
          </cell>
          <cell r="P186">
            <v>61.620000000000005</v>
          </cell>
          <cell r="Q186">
            <v>0</v>
          </cell>
          <cell r="R186">
            <v>22.140000000000008</v>
          </cell>
          <cell r="T186">
            <v>0</v>
          </cell>
          <cell r="U186">
            <v>154.1</v>
          </cell>
          <cell r="V186">
            <v>95.3</v>
          </cell>
          <cell r="W186">
            <v>58.8</v>
          </cell>
          <cell r="Y186">
            <v>9770</v>
          </cell>
          <cell r="AC186">
            <v>356.4</v>
          </cell>
          <cell r="AD186">
            <v>74.900000000000006</v>
          </cell>
          <cell r="AE186">
            <v>281.5</v>
          </cell>
          <cell r="AP186">
            <v>9770</v>
          </cell>
          <cell r="AU186">
            <v>12739</v>
          </cell>
        </row>
        <row r="187">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cell r="AP187">
            <v>9770</v>
          </cell>
          <cell r="AU187" t="e">
            <v>#REF!</v>
          </cell>
        </row>
        <row r="188">
          <cell r="N188">
            <v>135.26</v>
          </cell>
          <cell r="O188">
            <v>135.25</v>
          </cell>
          <cell r="P188">
            <v>134.22999999999999</v>
          </cell>
          <cell r="Q188">
            <v>150.5</v>
          </cell>
          <cell r="R188">
            <v>134.24</v>
          </cell>
          <cell r="S188" t="str">
            <v/>
          </cell>
          <cell r="T188">
            <v>0</v>
          </cell>
          <cell r="U188">
            <v>51.4</v>
          </cell>
          <cell r="V188">
            <v>-51.4</v>
          </cell>
          <cell r="W188">
            <v>132.16</v>
          </cell>
          <cell r="Y188">
            <v>149.6</v>
          </cell>
          <cell r="Z188">
            <v>52.7</v>
          </cell>
          <cell r="AA188">
            <v>96.899999999999991</v>
          </cell>
          <cell r="AC188">
            <v>130.99</v>
          </cell>
          <cell r="AD188">
            <v>130.99</v>
          </cell>
          <cell r="AE188">
            <v>130.99</v>
          </cell>
          <cell r="AF188" t="str">
            <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W189">
            <v>0</v>
          </cell>
          <cell r="Y189">
            <v>20511</v>
          </cell>
          <cell r="Z189">
            <v>7225</v>
          </cell>
          <cell r="AA189">
            <v>13286</v>
          </cell>
          <cell r="AC189">
            <v>52</v>
          </cell>
          <cell r="AD189">
            <v>52</v>
          </cell>
          <cell r="AP189" t="e">
            <v>#DIV/0!</v>
          </cell>
          <cell r="AQ189" t="e">
            <v>#DIV/0!</v>
          </cell>
          <cell r="AR189" t="e">
            <v>#DIV/0!</v>
          </cell>
          <cell r="AU189">
            <v>44313</v>
          </cell>
          <cell r="AV189">
            <v>9770.9133329995493</v>
          </cell>
          <cell r="AW189">
            <v>34542.086667000447</v>
          </cell>
        </row>
        <row r="190">
          <cell r="P190">
            <v>8271</v>
          </cell>
          <cell r="Q190">
            <v>137.33000000000001</v>
          </cell>
          <cell r="T190" t="e">
            <v>#DIV/0!</v>
          </cell>
          <cell r="U190" t="e">
            <v>#DIV/0!</v>
          </cell>
          <cell r="V190" t="e">
            <v>#DIV/0!</v>
          </cell>
          <cell r="W190">
            <v>7771</v>
          </cell>
          <cell r="Y190">
            <v>137.11000000000001</v>
          </cell>
          <cell r="Z190">
            <v>137.1</v>
          </cell>
          <cell r="AA190">
            <v>137.11000000000001</v>
          </cell>
          <cell r="AC190">
            <v>46737</v>
          </cell>
          <cell r="AD190">
            <v>9863.1854657688</v>
          </cell>
          <cell r="AE190">
            <v>36873.814534231198</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4">
          <cell r="X194">
            <v>4948.1398501338099</v>
          </cell>
          <cell r="Z194">
            <v>4948.1398501338263</v>
          </cell>
          <cell r="AB194">
            <v>4948.1398501337389</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N218" t="str">
            <v xml:space="preserve">      І.В.ПЛАЧКОВ</v>
          </cell>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5">
          <cell r="C225" t="str">
            <v>ПОТРЕБА   В КОШТАХ НА  вересень 1998 року</v>
          </cell>
        </row>
        <row r="226">
          <cell r="C226" t="str">
            <v>ПО ФІЛІАЛАХ АК КИЇВЕНЕРГО</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29">
          <cell r="S229" t="str">
            <v>ТИС.ГРН.</v>
          </cell>
        </row>
        <row r="230">
          <cell r="C230">
            <v>1651.8969999999999</v>
          </cell>
          <cell r="D230" t="str">
            <v>АПАРАТ ЕЛЕКТРО</v>
          </cell>
          <cell r="E230" t="str">
            <v>АПАРАТ ТЕПЛО</v>
          </cell>
          <cell r="N230">
            <v>5904.3327272727274</v>
          </cell>
          <cell r="O230" t="str">
            <v xml:space="preserve"> Т/Е</v>
          </cell>
          <cell r="P230" t="str">
            <v>ТЕЦ-6 ВСЬОГО</v>
          </cell>
          <cell r="Q230">
            <v>13067.120909090911</v>
          </cell>
          <cell r="R230" t="str">
            <v xml:space="preserve"> Т/Е</v>
          </cell>
          <cell r="S230" t="str">
            <v xml:space="preserve">ДОП.ВИР. </v>
          </cell>
          <cell r="T230">
            <v>5028.8272727272724</v>
          </cell>
          <cell r="U230" t="str">
            <v>АК КЕ ВСЬОГО</v>
          </cell>
          <cell r="V230" t="str">
            <v>Е/Е</v>
          </cell>
          <cell r="W230" t="str">
            <v xml:space="preserve"> Т/Е</v>
          </cell>
          <cell r="Y230">
            <v>4079.1272727272726</v>
          </cell>
          <cell r="AC230" t="str">
            <v>СТАНЦІї ЕЛЕКТРО</v>
          </cell>
          <cell r="AD230" t="str">
            <v>СТАНЦІІ ТЕПЛОВІ</v>
          </cell>
          <cell r="AE230" t="str">
            <v>МЕРЕЖІ ЕЛЕКТРО</v>
          </cell>
          <cell r="AF230" t="str">
            <v>МЕРЕЖІ ТЕПЛОВІ</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D233">
            <v>1012.3559999999998</v>
          </cell>
          <cell r="E233">
            <v>473.06800000000004</v>
          </cell>
          <cell r="N233">
            <v>0</v>
          </cell>
          <cell r="O233">
            <v>777.1754385964914</v>
          </cell>
          <cell r="P233">
            <v>2409.6737288135591</v>
          </cell>
          <cell r="Q233">
            <v>111.8</v>
          </cell>
          <cell r="R233">
            <v>796.42372881355914</v>
          </cell>
          <cell r="S233">
            <v>1077.625</v>
          </cell>
          <cell r="T233">
            <v>5107.6000000000004</v>
          </cell>
          <cell r="U233">
            <v>23976.15725132322</v>
          </cell>
          <cell r="V233" t="e">
            <v>#REF!</v>
          </cell>
          <cell r="W233">
            <v>44621.157251323224</v>
          </cell>
          <cell r="Y233">
            <v>91.533333333333331</v>
          </cell>
          <cell r="AP233">
            <v>5312.9333333333343</v>
          </cell>
          <cell r="AQ233" t="e">
            <v>#REF!</v>
          </cell>
        </row>
        <row r="234">
          <cell r="C234">
            <v>0</v>
          </cell>
          <cell r="D234">
            <v>934.35599999999977</v>
          </cell>
          <cell r="E234">
            <v>424.06800000000004</v>
          </cell>
          <cell r="N234">
            <v>0</v>
          </cell>
          <cell r="O234">
            <v>691.00000000000023</v>
          </cell>
          <cell r="P234">
            <v>733.8070175438595</v>
          </cell>
          <cell r="Q234">
            <v>0</v>
          </cell>
          <cell r="R234">
            <v>742.99999999999977</v>
          </cell>
          <cell r="S234">
            <v>605</v>
          </cell>
          <cell r="T234">
            <v>0</v>
          </cell>
          <cell r="U234">
            <v>15320.660540053519</v>
          </cell>
          <cell r="V234" t="e">
            <v>#REF!</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C236">
            <v>7782.6740000000009</v>
          </cell>
          <cell r="D236">
            <v>934.35599999999977</v>
          </cell>
          <cell r="E236">
            <v>424.06800000000004</v>
          </cell>
          <cell r="N236">
            <v>1585</v>
          </cell>
          <cell r="O236">
            <v>691.00000000000023</v>
          </cell>
          <cell r="P236">
            <v>733.8070175438595</v>
          </cell>
          <cell r="S236">
            <v>685</v>
          </cell>
          <cell r="U236">
            <v>15689.007333333333</v>
          </cell>
          <cell r="V236">
            <v>15376.340666666665</v>
          </cell>
          <cell r="AQ236" t="e">
            <v>#REF!</v>
          </cell>
        </row>
        <row r="237">
          <cell r="C237">
            <v>-1273</v>
          </cell>
          <cell r="D237">
            <v>78</v>
          </cell>
          <cell r="E237">
            <v>49</v>
          </cell>
          <cell r="N237">
            <v>4468.6499999999996</v>
          </cell>
          <cell r="O237">
            <v>69.175438596491233</v>
          </cell>
          <cell r="P237">
            <v>431.86671126969964</v>
          </cell>
          <cell r="Q237">
            <v>1739.5839999999998</v>
          </cell>
          <cell r="R237">
            <v>35.423728813559308</v>
          </cell>
          <cell r="S237">
            <v>537.625</v>
          </cell>
          <cell r="T237">
            <v>582.97</v>
          </cell>
          <cell r="U237">
            <v>4138.4967112696995</v>
          </cell>
          <cell r="V237">
            <v>4138.4967112696995</v>
          </cell>
          <cell r="Y237">
            <v>1080.26</v>
          </cell>
          <cell r="AP237" t="e">
            <v>#REF!</v>
          </cell>
          <cell r="AQ237" t="e">
            <v>#REF!</v>
          </cell>
        </row>
        <row r="238">
          <cell r="C238">
            <v>916.24199999999996</v>
          </cell>
          <cell r="N238">
            <v>0</v>
          </cell>
          <cell r="P238">
            <v>131.12735849056605</v>
          </cell>
          <cell r="Q238">
            <v>0</v>
          </cell>
          <cell r="S238">
            <v>146.625</v>
          </cell>
          <cell r="T238">
            <v>0</v>
          </cell>
          <cell r="U238">
            <v>1220.7727272727273</v>
          </cell>
          <cell r="V238">
            <v>1231.382075471698</v>
          </cell>
          <cell r="Y238">
            <v>0</v>
          </cell>
          <cell r="AP238">
            <v>0</v>
          </cell>
          <cell r="AQ238" t="e">
            <v>#REF!</v>
          </cell>
        </row>
        <row r="239">
          <cell r="C239">
            <v>2944.9412076717231</v>
          </cell>
          <cell r="N239">
            <v>0</v>
          </cell>
          <cell r="O239">
            <v>0</v>
          </cell>
          <cell r="P239">
            <v>42</v>
          </cell>
          <cell r="Q239">
            <v>0</v>
          </cell>
          <cell r="R239">
            <v>0</v>
          </cell>
          <cell r="S239">
            <v>0</v>
          </cell>
          <cell r="T239">
            <v>0</v>
          </cell>
          <cell r="U239">
            <v>3586.2745410050566</v>
          </cell>
          <cell r="V239">
            <v>3586.2745410050566</v>
          </cell>
          <cell r="AQ239" t="e">
            <v>#REF!</v>
          </cell>
        </row>
        <row r="240">
          <cell r="C240" t="e">
            <v>#REF!</v>
          </cell>
          <cell r="N240" t="e">
            <v>#REF!</v>
          </cell>
          <cell r="P240">
            <v>12</v>
          </cell>
          <cell r="Q240">
            <v>776</v>
          </cell>
          <cell r="S240">
            <v>0</v>
          </cell>
          <cell r="T240">
            <v>0</v>
          </cell>
          <cell r="U240">
            <v>589</v>
          </cell>
          <cell r="V240">
            <v>589</v>
          </cell>
          <cell r="Y240" t="e">
            <v>#REF!</v>
          </cell>
          <cell r="AP240" t="e">
            <v>#REF!</v>
          </cell>
          <cell r="AQ240" t="e">
            <v>#REF!</v>
          </cell>
        </row>
        <row r="241">
          <cell r="C241">
            <v>1.25</v>
          </cell>
          <cell r="P241">
            <v>30</v>
          </cell>
          <cell r="S241">
            <v>0</v>
          </cell>
          <cell r="U241">
            <v>53.583333333333336</v>
          </cell>
          <cell r="V241">
            <v>53.583333333333336</v>
          </cell>
          <cell r="AC241">
            <v>6</v>
          </cell>
          <cell r="AD241">
            <v>6</v>
          </cell>
          <cell r="AE241">
            <v>12</v>
          </cell>
          <cell r="AQ241" t="e">
            <v>#REF!</v>
          </cell>
        </row>
        <row r="242">
          <cell r="C242">
            <v>-149.73279232827699</v>
          </cell>
          <cell r="U242">
            <v>-149.73279232827699</v>
          </cell>
          <cell r="V242">
            <v>-149.73279232827699</v>
          </cell>
          <cell r="AQ242" t="e">
            <v>#REF!</v>
          </cell>
        </row>
        <row r="243">
          <cell r="C243">
            <v>393</v>
          </cell>
          <cell r="N243">
            <v>924</v>
          </cell>
          <cell r="Q243">
            <v>3963.0186666666668</v>
          </cell>
          <cell r="T243">
            <v>567.25866666666661</v>
          </cell>
          <cell r="U243">
            <v>2421.3333333333335</v>
          </cell>
          <cell r="V243">
            <v>2421.3333333333335</v>
          </cell>
          <cell r="Y243">
            <v>426.22533333333331</v>
          </cell>
          <cell r="AP243">
            <v>8434.3851668093339</v>
          </cell>
          <cell r="AQ243" t="e">
            <v>#REF!</v>
          </cell>
        </row>
        <row r="244">
          <cell r="C244">
            <v>1653</v>
          </cell>
          <cell r="D244">
            <v>511.35599999999999</v>
          </cell>
          <cell r="E244">
            <v>160.73466666666667</v>
          </cell>
          <cell r="N244">
            <v>67</v>
          </cell>
          <cell r="O244">
            <v>0</v>
          </cell>
          <cell r="P244">
            <v>0</v>
          </cell>
          <cell r="Q244">
            <v>345.33333333333337</v>
          </cell>
          <cell r="R244">
            <v>0</v>
          </cell>
          <cell r="S244">
            <v>0</v>
          </cell>
          <cell r="T244">
            <v>256.62666666666667</v>
          </cell>
          <cell r="U244">
            <v>672.09066666666661</v>
          </cell>
          <cell r="V244">
            <v>672.09066666666661</v>
          </cell>
          <cell r="Y244">
            <v>253.78399999999999</v>
          </cell>
          <cell r="AP244">
            <v>2682.9412082354906</v>
          </cell>
          <cell r="AQ244" t="e">
            <v>#REF!</v>
          </cell>
        </row>
        <row r="245">
          <cell r="V245">
            <v>0</v>
          </cell>
          <cell r="AQ245" t="e">
            <v>#REF!</v>
          </cell>
        </row>
        <row r="246">
          <cell r="C246">
            <v>0</v>
          </cell>
          <cell r="N246">
            <v>1</v>
          </cell>
          <cell r="P246">
            <v>450</v>
          </cell>
          <cell r="Q246">
            <v>0</v>
          </cell>
          <cell r="S246">
            <v>406</v>
          </cell>
          <cell r="T246">
            <v>114.19266666666665</v>
          </cell>
          <cell r="U246">
            <v>4903</v>
          </cell>
          <cell r="V246">
            <v>4635</v>
          </cell>
          <cell r="Y246">
            <v>-46.472000000000008</v>
          </cell>
          <cell r="AP246">
            <v>68.720666666666645</v>
          </cell>
          <cell r="AQ246" t="e">
            <v>#REF!</v>
          </cell>
        </row>
        <row r="247">
          <cell r="C247">
            <v>13</v>
          </cell>
          <cell r="N247">
            <v>234.08600000000001</v>
          </cell>
          <cell r="P247">
            <v>1174</v>
          </cell>
          <cell r="Q247">
            <v>11619.690666666667</v>
          </cell>
          <cell r="S247">
            <v>0</v>
          </cell>
          <cell r="T247">
            <v>0</v>
          </cell>
          <cell r="U247">
            <v>2921</v>
          </cell>
          <cell r="V247">
            <v>2921</v>
          </cell>
          <cell r="Y247">
            <v>0</v>
          </cell>
          <cell r="AP247">
            <v>13936.448666666667</v>
          </cell>
          <cell r="AQ247" t="e">
            <v>#REF!</v>
          </cell>
        </row>
        <row r="248">
          <cell r="C248">
            <v>0</v>
          </cell>
          <cell r="N248">
            <v>0</v>
          </cell>
          <cell r="Q248">
            <v>0</v>
          </cell>
          <cell r="T248">
            <v>0</v>
          </cell>
          <cell r="V248">
            <v>0</v>
          </cell>
          <cell r="Y248">
            <v>0</v>
          </cell>
          <cell r="AP248">
            <v>658.33066666666662</v>
          </cell>
          <cell r="AQ248" t="e">
            <v>#REF!</v>
          </cell>
        </row>
        <row r="249">
          <cell r="C249">
            <v>988</v>
          </cell>
          <cell r="N249">
            <v>0</v>
          </cell>
          <cell r="O249">
            <v>0</v>
          </cell>
          <cell r="P249">
            <v>-100</v>
          </cell>
          <cell r="Q249">
            <v>0</v>
          </cell>
          <cell r="R249">
            <v>0</v>
          </cell>
          <cell r="S249">
            <v>0</v>
          </cell>
          <cell r="T249">
            <v>0</v>
          </cell>
          <cell r="U249">
            <v>-578</v>
          </cell>
          <cell r="V249">
            <v>-578</v>
          </cell>
          <cell r="Y249">
            <v>18</v>
          </cell>
          <cell r="AP249">
            <v>1006</v>
          </cell>
          <cell r="AQ249" t="e">
            <v>#REF!</v>
          </cell>
        </row>
        <row r="250">
          <cell r="C250">
            <v>0</v>
          </cell>
          <cell r="N250">
            <v>0.20800000000000018</v>
          </cell>
          <cell r="O250">
            <v>0</v>
          </cell>
          <cell r="P250">
            <v>0</v>
          </cell>
          <cell r="Q250">
            <v>0.76399999999998158</v>
          </cell>
          <cell r="R250">
            <v>0</v>
          </cell>
          <cell r="S250">
            <v>0</v>
          </cell>
          <cell r="T250">
            <v>-0.42800000000000082</v>
          </cell>
          <cell r="U250">
            <v>0</v>
          </cell>
          <cell r="V250">
            <v>0</v>
          </cell>
          <cell r="Y250">
            <v>6.799999999999784E-2</v>
          </cell>
          <cell r="AP250" t="e">
            <v>#REF!</v>
          </cell>
          <cell r="AQ250" t="e">
            <v>#REF!</v>
          </cell>
        </row>
        <row r="251">
          <cell r="C251">
            <v>0</v>
          </cell>
          <cell r="N251">
            <v>0.19200000000000017</v>
          </cell>
          <cell r="Q251">
            <v>-0.32000000000000028</v>
          </cell>
          <cell r="T251">
            <v>-0.3360000000000003</v>
          </cell>
          <cell r="V251">
            <v>0</v>
          </cell>
          <cell r="Y251">
            <v>0.28000000000000114</v>
          </cell>
          <cell r="AP251" t="e">
            <v>#REF!</v>
          </cell>
          <cell r="AQ251" t="e">
            <v>#REF!</v>
          </cell>
        </row>
        <row r="252">
          <cell r="C252" t="e">
            <v>#REF!</v>
          </cell>
          <cell r="N252" t="e">
            <v>#REF!</v>
          </cell>
          <cell r="P252">
            <v>6</v>
          </cell>
          <cell r="Q252">
            <v>16216.988999999998</v>
          </cell>
          <cell r="S252">
            <v>0</v>
          </cell>
          <cell r="T252">
            <v>11100.410181818164</v>
          </cell>
          <cell r="U252">
            <v>331</v>
          </cell>
          <cell r="V252">
            <v>331</v>
          </cell>
          <cell r="Y252" t="e">
            <v>#REF!</v>
          </cell>
          <cell r="AP252" t="e">
            <v>#REF!</v>
          </cell>
          <cell r="AQ252" t="e">
            <v>#REF!</v>
          </cell>
        </row>
        <row r="253">
          <cell r="C253">
            <v>200</v>
          </cell>
          <cell r="P253">
            <v>0</v>
          </cell>
          <cell r="Q253">
            <v>541</v>
          </cell>
          <cell r="S253">
            <v>0</v>
          </cell>
          <cell r="T253">
            <v>480</v>
          </cell>
          <cell r="U253">
            <v>200</v>
          </cell>
          <cell r="V253">
            <v>200</v>
          </cell>
          <cell r="Y253">
            <v>44</v>
          </cell>
          <cell r="AP253">
            <v>524</v>
          </cell>
          <cell r="AQ253" t="e">
            <v>#REF!</v>
          </cell>
        </row>
        <row r="254">
          <cell r="V254">
            <v>0</v>
          </cell>
        </row>
        <row r="255">
          <cell r="C255">
            <v>0</v>
          </cell>
          <cell r="N255">
            <v>43</v>
          </cell>
          <cell r="O255">
            <v>17</v>
          </cell>
          <cell r="P255">
            <v>50</v>
          </cell>
          <cell r="Q255">
            <v>32</v>
          </cell>
          <cell r="R255">
            <v>18</v>
          </cell>
          <cell r="S255">
            <v>0</v>
          </cell>
          <cell r="T255">
            <v>0</v>
          </cell>
          <cell r="U255">
            <v>110</v>
          </cell>
          <cell r="V255">
            <v>110</v>
          </cell>
        </row>
        <row r="256">
          <cell r="C256">
            <v>2</v>
          </cell>
          <cell r="P256">
            <v>0</v>
          </cell>
          <cell r="S256">
            <v>0</v>
          </cell>
          <cell r="U256">
            <v>366</v>
          </cell>
          <cell r="V256">
            <v>366</v>
          </cell>
        </row>
        <row r="257">
          <cell r="P257">
            <v>41</v>
          </cell>
          <cell r="U257">
            <v>556</v>
          </cell>
          <cell r="V257">
            <v>556</v>
          </cell>
        </row>
        <row r="258">
          <cell r="U258">
            <v>0</v>
          </cell>
          <cell r="V258">
            <v>0</v>
          </cell>
        </row>
        <row r="259">
          <cell r="C259">
            <v>0</v>
          </cell>
          <cell r="P259">
            <v>0</v>
          </cell>
          <cell r="S259">
            <v>0</v>
          </cell>
          <cell r="U259">
            <v>2217</v>
          </cell>
          <cell r="V259">
            <v>2217</v>
          </cell>
        </row>
        <row r="260">
          <cell r="C260">
            <v>0</v>
          </cell>
          <cell r="P260">
            <v>0</v>
          </cell>
          <cell r="S260">
            <v>0</v>
          </cell>
          <cell r="U260">
            <v>0</v>
          </cell>
          <cell r="V260">
            <v>0</v>
          </cell>
        </row>
        <row r="261">
          <cell r="C261">
            <v>0</v>
          </cell>
          <cell r="N261">
            <v>0</v>
          </cell>
          <cell r="O261">
            <v>0</v>
          </cell>
          <cell r="P261">
            <v>2</v>
          </cell>
          <cell r="Q261">
            <v>0</v>
          </cell>
          <cell r="R261">
            <v>0</v>
          </cell>
          <cell r="S261">
            <v>0</v>
          </cell>
        </row>
        <row r="262">
          <cell r="C262">
            <v>3285</v>
          </cell>
          <cell r="P262">
            <v>-14</v>
          </cell>
          <cell r="S262">
            <v>278</v>
          </cell>
          <cell r="U262">
            <v>3661</v>
          </cell>
          <cell r="V262">
            <v>3661</v>
          </cell>
        </row>
        <row r="263">
          <cell r="C263">
            <v>145</v>
          </cell>
          <cell r="P263">
            <v>31</v>
          </cell>
          <cell r="S263">
            <v>1</v>
          </cell>
          <cell r="U263">
            <v>180</v>
          </cell>
          <cell r="V263">
            <v>180</v>
          </cell>
        </row>
        <row r="264">
          <cell r="C264">
            <v>308.00000000000011</v>
          </cell>
          <cell r="D264">
            <v>934.35599999999977</v>
          </cell>
          <cell r="E264">
            <v>424.06800000000004</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N265">
            <v>61</v>
          </cell>
          <cell r="O265">
            <v>28</v>
          </cell>
          <cell r="P265">
            <v>168</v>
          </cell>
          <cell r="Q265">
            <v>108</v>
          </cell>
          <cell r="R265">
            <v>60</v>
          </cell>
          <cell r="S265">
            <v>0</v>
          </cell>
          <cell r="T265">
            <v>16</v>
          </cell>
          <cell r="U265">
            <v>405.33333333333348</v>
          </cell>
        </row>
        <row r="266">
          <cell r="C266">
            <v>0</v>
          </cell>
          <cell r="N266">
            <v>72</v>
          </cell>
          <cell r="O266">
            <v>31</v>
          </cell>
          <cell r="P266">
            <v>78</v>
          </cell>
          <cell r="Q266">
            <v>50</v>
          </cell>
          <cell r="R266">
            <v>28</v>
          </cell>
          <cell r="S266">
            <v>0</v>
          </cell>
          <cell r="T266">
            <v>51</v>
          </cell>
          <cell r="U266">
            <v>495</v>
          </cell>
        </row>
        <row r="267">
          <cell r="C267">
            <v>302.66666666666674</v>
          </cell>
          <cell r="N267">
            <v>26</v>
          </cell>
          <cell r="O267">
            <v>12</v>
          </cell>
          <cell r="P267">
            <v>29</v>
          </cell>
          <cell r="Q267">
            <v>20</v>
          </cell>
          <cell r="R267">
            <v>11</v>
          </cell>
          <cell r="S267">
            <v>0</v>
          </cell>
          <cell r="T267">
            <v>12</v>
          </cell>
          <cell r="U267">
            <v>702.66666666666697</v>
          </cell>
          <cell r="V267">
            <v>637.66666666666674</v>
          </cell>
        </row>
        <row r="268">
          <cell r="C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7"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8"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9"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1"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2"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L1" t="str">
            <v>п</v>
          </cell>
        </row>
      </sheetData>
      <sheetData sheetId="72"/>
      <sheetData sheetId="73"/>
      <sheetData sheetId="74"/>
      <sheetData sheetId="75" refreshError="1"/>
      <sheetData sheetId="76" refreshError="1"/>
      <sheetData sheetId="77" refreshError="1"/>
      <sheetData sheetId="7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812"/>
    </sheetNames>
    <sheetDataSet>
      <sheetData sheetId="0">
        <row r="2">
          <cell r="E2" t="str">
            <v xml:space="preserve"> ДАРНИЦКАЯ ТЭЦ</v>
          </cell>
        </row>
      </sheetData>
      <sheetData sheetId="1"/>
      <sheetData sheetId="2"/>
      <sheetData sheetId="3"/>
      <sheetData sheetId="4"/>
      <sheetData sheetId="5"/>
      <sheetData sheetId="6"/>
      <sheetData sheetId="7"/>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Ф2"/>
    </sheetNames>
    <sheetDataSet>
      <sheetData sheetId="0"/>
      <sheetData sheetId="1"/>
      <sheetData sheetId="2"/>
      <sheetData sheetId="3"/>
      <sheetData sheetId="4">
        <row r="1">
          <cell r="D1" t="str">
            <v>ПЛАН  ВИТРАТ  НА  ПЕРЕДАЧУ  ЕЛЕКТРОЕНЕРГІЇ</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м_812"/>
    </sheetNames>
    <sheetDataSet>
      <sheetData sheetId="0"/>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_З"/>
      <sheetName val="У_П"/>
      <sheetName val="О"/>
      <sheetName val="Рахувалочко"/>
      <sheetName val="Коригування"/>
      <sheetName val="НС"/>
      <sheetName val="ЗД"/>
      <sheetName val="ВСписки"/>
      <sheetName val="Енергоресурси"/>
      <sheetName val="середня номінальна зп 2013"/>
      <sheetName val="Розрахунок"/>
      <sheetName val="Б_П"/>
      <sheetName val="Лист1"/>
    </sheetNames>
    <sheetDataSet>
      <sheetData sheetId="0" refreshError="1"/>
      <sheetData sheetId="1" refreshError="1"/>
      <sheetData sheetId="2" refreshError="1"/>
      <sheetData sheetId="3" refreshError="1"/>
      <sheetData sheetId="4">
        <row r="9">
          <cell r="A9" t="str">
            <v>м. Бердичів</v>
          </cell>
          <cell r="W9">
            <v>177.34</v>
          </cell>
          <cell r="AF9">
            <v>39639</v>
          </cell>
          <cell r="AG9" t="str">
            <v>№ 25/1992-167</v>
          </cell>
          <cell r="AH9">
            <v>184.1428624282247</v>
          </cell>
          <cell r="AM9">
            <v>135144</v>
          </cell>
          <cell r="AO9">
            <v>23966436.960000001</v>
          </cell>
          <cell r="AQ9">
            <v>24885803</v>
          </cell>
          <cell r="AU9">
            <v>0</v>
          </cell>
          <cell r="AW9">
            <v>163548</v>
          </cell>
          <cell r="AY9">
            <v>16286252.71944</v>
          </cell>
          <cell r="AZ9">
            <v>120.51036464393536</v>
          </cell>
          <cell r="BA9">
            <v>0</v>
          </cell>
          <cell r="BB9">
            <v>0</v>
          </cell>
          <cell r="BC9">
            <v>0</v>
          </cell>
          <cell r="BD9">
            <v>0</v>
          </cell>
          <cell r="BG9">
            <v>0</v>
          </cell>
          <cell r="BH9">
            <v>0</v>
          </cell>
          <cell r="BI9">
            <v>2777481</v>
          </cell>
          <cell r="BJ9">
            <v>20.552011188066064</v>
          </cell>
          <cell r="BK9">
            <v>0</v>
          </cell>
          <cell r="BL9">
            <v>0</v>
          </cell>
          <cell r="BM9">
            <v>4078967</v>
          </cell>
          <cell r="BN9">
            <v>30.182375836145148</v>
          </cell>
          <cell r="BO9">
            <v>0</v>
          </cell>
          <cell r="BP9">
            <v>0</v>
          </cell>
          <cell r="BY9">
            <v>1190.72</v>
          </cell>
          <cell r="CF9">
            <v>22392.142</v>
          </cell>
          <cell r="CG9">
            <v>727.32</v>
          </cell>
          <cell r="CJ9">
            <v>0</v>
          </cell>
          <cell r="CK9">
            <v>0</v>
          </cell>
          <cell r="CL9">
            <v>0</v>
          </cell>
          <cell r="CM9">
            <v>1062</v>
          </cell>
          <cell r="CN9">
            <v>154</v>
          </cell>
          <cell r="CO9">
            <v>154</v>
          </cell>
          <cell r="CX9">
            <v>0</v>
          </cell>
          <cell r="CY9">
            <v>0</v>
          </cell>
          <cell r="DB9">
            <v>0</v>
          </cell>
          <cell r="DC9">
            <v>0</v>
          </cell>
          <cell r="DJ9" t="str">
            <v>НКРЕ</v>
          </cell>
          <cell r="DL9">
            <v>40526</v>
          </cell>
          <cell r="DM9" t="str">
            <v>№ 1821</v>
          </cell>
          <cell r="DO9" t="str">
            <v>на теплову енергію</v>
          </cell>
          <cell r="DT9">
            <v>221.66</v>
          </cell>
        </row>
        <row r="10">
          <cell r="W10">
            <v>452.61</v>
          </cell>
          <cell r="AF10">
            <v>39967</v>
          </cell>
          <cell r="AG10" t="str">
            <v>№ 25/475-40</v>
          </cell>
          <cell r="AH10">
            <v>418.06525188417294</v>
          </cell>
          <cell r="AM10">
            <v>35294</v>
          </cell>
          <cell r="AO10">
            <v>15974417.34</v>
          </cell>
          <cell r="AQ10">
            <v>14755195</v>
          </cell>
          <cell r="AU10">
            <v>0</v>
          </cell>
          <cell r="AW10">
            <v>24178</v>
          </cell>
          <cell r="AY10">
            <v>12535686.501250001</v>
          </cell>
          <cell r="AZ10">
            <v>355.17896813197711</v>
          </cell>
          <cell r="BA10">
            <v>0</v>
          </cell>
          <cell r="BB10">
            <v>0</v>
          </cell>
          <cell r="BC10">
            <v>0</v>
          </cell>
          <cell r="BD10">
            <v>0</v>
          </cell>
          <cell r="BG10">
            <v>0</v>
          </cell>
          <cell r="BH10">
            <v>0</v>
          </cell>
          <cell r="BI10">
            <v>727792</v>
          </cell>
          <cell r="BJ10">
            <v>20.620842069473564</v>
          </cell>
          <cell r="BK10">
            <v>0</v>
          </cell>
          <cell r="BL10">
            <v>0</v>
          </cell>
          <cell r="BM10">
            <v>1065247</v>
          </cell>
          <cell r="BN10">
            <v>30.182098940329801</v>
          </cell>
          <cell r="BO10">
            <v>0</v>
          </cell>
          <cell r="BP10">
            <v>0</v>
          </cell>
          <cell r="BY10">
            <v>1190.72</v>
          </cell>
          <cell r="CF10">
            <v>5851.6450000000004</v>
          </cell>
          <cell r="CG10">
            <v>2142.25</v>
          </cell>
          <cell r="CJ10">
            <v>0</v>
          </cell>
          <cell r="CK10">
            <v>0</v>
          </cell>
          <cell r="CL10">
            <v>0</v>
          </cell>
          <cell r="CM10">
            <v>157</v>
          </cell>
          <cell r="CN10">
            <v>154</v>
          </cell>
          <cell r="CO10">
            <v>271.11</v>
          </cell>
          <cell r="CX10">
            <v>0</v>
          </cell>
          <cell r="CY10">
            <v>0</v>
          </cell>
          <cell r="DB10">
            <v>0</v>
          </cell>
          <cell r="DC10">
            <v>0</v>
          </cell>
          <cell r="DJ10" t="str">
            <v>НКРКП</v>
          </cell>
          <cell r="DL10">
            <v>40816</v>
          </cell>
          <cell r="DM10">
            <v>126</v>
          </cell>
          <cell r="DT10">
            <v>720.02</v>
          </cell>
        </row>
        <row r="11">
          <cell r="W11">
            <v>458.54</v>
          </cell>
          <cell r="AF11">
            <v>39967</v>
          </cell>
          <cell r="AG11" t="str">
            <v>№ 25/475-41</v>
          </cell>
          <cell r="AH11">
            <v>423.98929254302101</v>
          </cell>
          <cell r="AM11">
            <v>10460</v>
          </cell>
          <cell r="AO11">
            <v>4796328.4000000004</v>
          </cell>
          <cell r="AQ11">
            <v>4434928</v>
          </cell>
          <cell r="AU11">
            <v>0</v>
          </cell>
          <cell r="AW11">
            <v>5236</v>
          </cell>
          <cell r="AY11">
            <v>3778750.4586000005</v>
          </cell>
          <cell r="AZ11">
            <v>361.25721401529643</v>
          </cell>
          <cell r="BA11">
            <v>0</v>
          </cell>
          <cell r="BB11">
            <v>0</v>
          </cell>
          <cell r="BC11">
            <v>0</v>
          </cell>
          <cell r="BD11">
            <v>0</v>
          </cell>
          <cell r="BG11">
            <v>0</v>
          </cell>
          <cell r="BH11">
            <v>0</v>
          </cell>
          <cell r="BI11">
            <v>215973</v>
          </cell>
          <cell r="BJ11">
            <v>20.64751434034417</v>
          </cell>
          <cell r="BK11">
            <v>0</v>
          </cell>
          <cell r="BL11">
            <v>0</v>
          </cell>
          <cell r="BM11">
            <v>315728</v>
          </cell>
          <cell r="BN11">
            <v>30.184321223709368</v>
          </cell>
          <cell r="BO11">
            <v>0</v>
          </cell>
          <cell r="BP11">
            <v>0</v>
          </cell>
          <cell r="BY11">
            <v>1190.72</v>
          </cell>
          <cell r="CF11">
            <v>1734.8440000000001</v>
          </cell>
          <cell r="CG11">
            <v>2178.15</v>
          </cell>
          <cell r="CJ11">
            <v>0</v>
          </cell>
          <cell r="CK11">
            <v>0</v>
          </cell>
          <cell r="CL11">
            <v>0</v>
          </cell>
          <cell r="CM11">
            <v>34</v>
          </cell>
          <cell r="CN11">
            <v>154</v>
          </cell>
          <cell r="CO11">
            <v>271.11</v>
          </cell>
          <cell r="CX11">
            <v>0</v>
          </cell>
          <cell r="CY11">
            <v>0</v>
          </cell>
          <cell r="DB11">
            <v>0</v>
          </cell>
          <cell r="DC11">
            <v>0</v>
          </cell>
          <cell r="DJ11" t="str">
            <v>НКРКП</v>
          </cell>
          <cell r="DL11">
            <v>40816</v>
          </cell>
          <cell r="DM11">
            <v>126</v>
          </cell>
          <cell r="DT11">
            <v>730.36</v>
          </cell>
        </row>
        <row r="12">
          <cell r="W12">
            <v>241.86</v>
          </cell>
          <cell r="AF12">
            <v>39763</v>
          </cell>
          <cell r="AG12">
            <v>126</v>
          </cell>
          <cell r="AH12">
            <v>248.38386855862584</v>
          </cell>
          <cell r="AM12">
            <v>26780</v>
          </cell>
          <cell r="AO12">
            <v>6477010.8000000007</v>
          </cell>
          <cell r="AQ12">
            <v>6651720</v>
          </cell>
          <cell r="AU12">
            <v>0</v>
          </cell>
          <cell r="AW12">
            <v>0</v>
          </cell>
          <cell r="AY12">
            <v>3528956.64</v>
          </cell>
          <cell r="AZ12">
            <v>131.77582673637042</v>
          </cell>
          <cell r="BA12">
            <v>0</v>
          </cell>
          <cell r="BB12">
            <v>0</v>
          </cell>
          <cell r="BC12">
            <v>0</v>
          </cell>
          <cell r="BD12">
            <v>0</v>
          </cell>
          <cell r="BG12">
            <v>0</v>
          </cell>
          <cell r="BH12">
            <v>0</v>
          </cell>
          <cell r="BI12">
            <v>547490</v>
          </cell>
          <cell r="BJ12">
            <v>20.443988050784167</v>
          </cell>
          <cell r="BK12">
            <v>0</v>
          </cell>
          <cell r="BL12">
            <v>0</v>
          </cell>
          <cell r="BM12">
            <v>1988762</v>
          </cell>
          <cell r="BN12">
            <v>74.26295743091859</v>
          </cell>
          <cell r="BO12">
            <v>0</v>
          </cell>
          <cell r="BP12">
            <v>0</v>
          </cell>
          <cell r="BY12">
            <v>1735</v>
          </cell>
          <cell r="CF12">
            <v>4852</v>
          </cell>
          <cell r="CG12">
            <v>727.32</v>
          </cell>
          <cell r="CJ12">
            <v>0</v>
          </cell>
          <cell r="CK12">
            <v>0</v>
          </cell>
          <cell r="CL12">
            <v>0</v>
          </cell>
          <cell r="CM12">
            <v>0</v>
          </cell>
          <cell r="CN12">
            <v>0</v>
          </cell>
          <cell r="CO12">
            <v>0</v>
          </cell>
          <cell r="CX12">
            <v>0</v>
          </cell>
          <cell r="CY12">
            <v>0</v>
          </cell>
          <cell r="DB12">
            <v>0</v>
          </cell>
          <cell r="DC12">
            <v>0</v>
          </cell>
          <cell r="DJ12" t="str">
            <v>МОС</v>
          </cell>
          <cell r="DL12">
            <v>40582</v>
          </cell>
          <cell r="DM12" t="str">
            <v>№ 55</v>
          </cell>
          <cell r="DO12" t="str">
            <v>тариф на послуги з централізованого опалення</v>
          </cell>
          <cell r="DT12">
            <v>241.86</v>
          </cell>
        </row>
        <row r="13">
          <cell r="W13">
            <v>507.68</v>
          </cell>
          <cell r="AF13">
            <v>39861</v>
          </cell>
          <cell r="AG13">
            <v>26</v>
          </cell>
          <cell r="AH13">
            <v>507.6817310943311</v>
          </cell>
          <cell r="AM13">
            <v>8873</v>
          </cell>
          <cell r="AO13">
            <v>4504644.6399999997</v>
          </cell>
          <cell r="AQ13">
            <v>4504660</v>
          </cell>
          <cell r="AU13">
            <v>0</v>
          </cell>
          <cell r="AW13">
            <v>0</v>
          </cell>
          <cell r="AY13">
            <v>3443479.9625249999</v>
          </cell>
          <cell r="AZ13">
            <v>388.08519807562266</v>
          </cell>
          <cell r="BA13">
            <v>0</v>
          </cell>
          <cell r="BB13">
            <v>0</v>
          </cell>
          <cell r="BC13">
            <v>0</v>
          </cell>
          <cell r="BD13">
            <v>0</v>
          </cell>
          <cell r="BG13">
            <v>0</v>
          </cell>
          <cell r="BH13">
            <v>0</v>
          </cell>
          <cell r="BI13">
            <v>182740</v>
          </cell>
          <cell r="BJ13">
            <v>20.595063676321423</v>
          </cell>
          <cell r="BK13">
            <v>0</v>
          </cell>
          <cell r="BL13">
            <v>0</v>
          </cell>
          <cell r="BM13">
            <v>658927</v>
          </cell>
          <cell r="BN13">
            <v>74.262030880198353</v>
          </cell>
          <cell r="BO13">
            <v>0</v>
          </cell>
          <cell r="BP13">
            <v>0</v>
          </cell>
          <cell r="BY13">
            <v>1735</v>
          </cell>
          <cell r="CF13">
            <v>1704.4820999999999</v>
          </cell>
          <cell r="CG13">
            <v>2020.25</v>
          </cell>
          <cell r="CJ13">
            <v>0</v>
          </cell>
          <cell r="CK13">
            <v>0</v>
          </cell>
          <cell r="CL13">
            <v>0</v>
          </cell>
          <cell r="CM13">
            <v>0</v>
          </cell>
          <cell r="CN13">
            <v>0</v>
          </cell>
          <cell r="CO13">
            <v>0</v>
          </cell>
          <cell r="CX13">
            <v>0</v>
          </cell>
          <cell r="CY13">
            <v>0</v>
          </cell>
          <cell r="DB13">
            <v>0</v>
          </cell>
          <cell r="DC13">
            <v>0</v>
          </cell>
          <cell r="DJ13" t="str">
            <v>НКРЕ</v>
          </cell>
          <cell r="DL13">
            <v>40836</v>
          </cell>
          <cell r="DM13">
            <v>218</v>
          </cell>
          <cell r="DT13">
            <v>840.33</v>
          </cell>
        </row>
        <row r="14">
          <cell r="W14">
            <v>507.68</v>
          </cell>
          <cell r="AF14">
            <v>39861</v>
          </cell>
          <cell r="AG14">
            <v>26</v>
          </cell>
          <cell r="AH14">
            <v>507.68014022187543</v>
          </cell>
          <cell r="AM14">
            <v>4678.3</v>
          </cell>
          <cell r="AO14">
            <v>2375079.344</v>
          </cell>
          <cell r="AQ14">
            <v>2375080</v>
          </cell>
          <cell r="AU14">
            <v>0</v>
          </cell>
          <cell r="AW14">
            <v>0</v>
          </cell>
          <cell r="AY14">
            <v>1815529.9865000001</v>
          </cell>
          <cell r="AZ14">
            <v>388.07472511382343</v>
          </cell>
          <cell r="BA14">
            <v>0</v>
          </cell>
          <cell r="BB14">
            <v>0</v>
          </cell>
          <cell r="BC14">
            <v>0</v>
          </cell>
          <cell r="BD14">
            <v>0</v>
          </cell>
          <cell r="BG14">
            <v>0</v>
          </cell>
          <cell r="BH14">
            <v>0</v>
          </cell>
          <cell r="BI14">
            <v>96360</v>
          </cell>
          <cell r="BJ14">
            <v>20.597225487890899</v>
          </cell>
          <cell r="BK14">
            <v>0</v>
          </cell>
          <cell r="BL14">
            <v>0</v>
          </cell>
          <cell r="BM14">
            <v>347435</v>
          </cell>
          <cell r="BN14">
            <v>74.265224547378324</v>
          </cell>
          <cell r="BO14">
            <v>0</v>
          </cell>
          <cell r="BP14">
            <v>0</v>
          </cell>
          <cell r="BY14">
            <v>1735</v>
          </cell>
          <cell r="CF14">
            <v>898.66600000000005</v>
          </cell>
          <cell r="CG14">
            <v>2020.25</v>
          </cell>
          <cell r="CJ14">
            <v>0</v>
          </cell>
          <cell r="CK14">
            <v>0</v>
          </cell>
          <cell r="CL14">
            <v>0</v>
          </cell>
          <cell r="CM14">
            <v>0</v>
          </cell>
          <cell r="CN14">
            <v>0</v>
          </cell>
          <cell r="CO14">
            <v>0</v>
          </cell>
          <cell r="CX14">
            <v>0</v>
          </cell>
          <cell r="CY14">
            <v>0</v>
          </cell>
          <cell r="DB14">
            <v>0</v>
          </cell>
          <cell r="DC14">
            <v>0</v>
          </cell>
          <cell r="DJ14" t="str">
            <v>НКРЕ</v>
          </cell>
          <cell r="DL14">
            <v>40836</v>
          </cell>
          <cell r="DM14">
            <v>218</v>
          </cell>
          <cell r="DT14">
            <v>840.33</v>
          </cell>
        </row>
        <row r="15">
          <cell r="W15">
            <v>205.53</v>
          </cell>
          <cell r="AF15">
            <v>39769</v>
          </cell>
          <cell r="AG15">
            <v>1079</v>
          </cell>
          <cell r="AH15">
            <v>199.5398205173324</v>
          </cell>
          <cell r="AM15">
            <v>85245</v>
          </cell>
          <cell r="AO15">
            <v>17520404.850000001</v>
          </cell>
          <cell r="AQ15">
            <v>17009772</v>
          </cell>
          <cell r="AU15">
            <v>0</v>
          </cell>
          <cell r="AW15">
            <v>0</v>
          </cell>
          <cell r="AY15">
            <v>8872576.6799999997</v>
          </cell>
          <cell r="AZ15">
            <v>104.08325039591764</v>
          </cell>
          <cell r="BA15">
            <v>0</v>
          </cell>
          <cell r="BB15">
            <v>0</v>
          </cell>
          <cell r="BC15">
            <v>0</v>
          </cell>
          <cell r="BD15">
            <v>0</v>
          </cell>
          <cell r="BG15">
            <v>0</v>
          </cell>
          <cell r="BH15">
            <v>0</v>
          </cell>
          <cell r="BI15">
            <v>1168890</v>
          </cell>
          <cell r="BJ15">
            <v>13.712123878233328</v>
          </cell>
          <cell r="BK15">
            <v>0</v>
          </cell>
          <cell r="BL15">
            <v>0</v>
          </cell>
          <cell r="BM15">
            <v>2801832</v>
          </cell>
          <cell r="BN15">
            <v>32.867992257610418</v>
          </cell>
          <cell r="BO15">
            <v>0</v>
          </cell>
          <cell r="BP15">
            <v>0</v>
          </cell>
          <cell r="BY15">
            <v>595</v>
          </cell>
          <cell r="CF15">
            <v>12199</v>
          </cell>
          <cell r="CG15">
            <v>727.32</v>
          </cell>
          <cell r="CJ15">
            <v>0</v>
          </cell>
          <cell r="CK15">
            <v>0</v>
          </cell>
          <cell r="CL15">
            <v>0</v>
          </cell>
          <cell r="CM15">
            <v>0</v>
          </cell>
          <cell r="CN15">
            <v>0</v>
          </cell>
          <cell r="CO15">
            <v>0</v>
          </cell>
          <cell r="CX15">
            <v>0</v>
          </cell>
          <cell r="CY15">
            <v>0</v>
          </cell>
          <cell r="DB15">
            <v>0</v>
          </cell>
          <cell r="DC15">
            <v>0</v>
          </cell>
          <cell r="DJ15" t="str">
            <v>НКРЕ</v>
          </cell>
          <cell r="DL15">
            <v>40526</v>
          </cell>
          <cell r="DM15" t="str">
            <v>№ 1750</v>
          </cell>
          <cell r="DO15" t="str">
            <v>тарифи на теплову енергію</v>
          </cell>
          <cell r="DT15">
            <v>226.08</v>
          </cell>
        </row>
        <row r="16">
          <cell r="W16">
            <v>454.96</v>
          </cell>
          <cell r="AF16">
            <v>39876</v>
          </cell>
          <cell r="AG16">
            <v>1476</v>
          </cell>
          <cell r="AH16">
            <v>406.21210381258612</v>
          </cell>
          <cell r="AM16">
            <v>26124</v>
          </cell>
          <cell r="AO16">
            <v>11885375.039999999</v>
          </cell>
          <cell r="AQ16">
            <v>10611885</v>
          </cell>
          <cell r="AU16">
            <v>0</v>
          </cell>
          <cell r="AW16">
            <v>0</v>
          </cell>
          <cell r="AY16">
            <v>8008586.9715499999</v>
          </cell>
          <cell r="AZ16">
            <v>306.56051797389375</v>
          </cell>
          <cell r="BA16">
            <v>0</v>
          </cell>
          <cell r="BB16">
            <v>0</v>
          </cell>
          <cell r="BC16">
            <v>0</v>
          </cell>
          <cell r="BD16">
            <v>0</v>
          </cell>
          <cell r="BG16">
            <v>0</v>
          </cell>
          <cell r="BH16">
            <v>0</v>
          </cell>
          <cell r="BI16">
            <v>358206</v>
          </cell>
          <cell r="BJ16">
            <v>13.711759301791457</v>
          </cell>
          <cell r="BK16">
            <v>0</v>
          </cell>
          <cell r="BL16">
            <v>0</v>
          </cell>
          <cell r="BM16">
            <v>858401</v>
          </cell>
          <cell r="BN16">
            <v>32.858712295207475</v>
          </cell>
          <cell r="BO16">
            <v>0</v>
          </cell>
          <cell r="BP16">
            <v>0</v>
          </cell>
          <cell r="BY16">
            <v>595</v>
          </cell>
          <cell r="CF16">
            <v>3738.3998000000001</v>
          </cell>
          <cell r="CG16">
            <v>2142.25</v>
          </cell>
          <cell r="CJ16">
            <v>0</v>
          </cell>
          <cell r="CK16">
            <v>0</v>
          </cell>
          <cell r="CL16">
            <v>0</v>
          </cell>
          <cell r="CM16">
            <v>0</v>
          </cell>
          <cell r="CN16">
            <v>0</v>
          </cell>
          <cell r="CO16">
            <v>0</v>
          </cell>
          <cell r="CX16">
            <v>0</v>
          </cell>
          <cell r="CY16">
            <v>0</v>
          </cell>
          <cell r="DB16">
            <v>0</v>
          </cell>
          <cell r="DC16">
            <v>0</v>
          </cell>
          <cell r="DJ16" t="str">
            <v>НКРКП</v>
          </cell>
          <cell r="DL16">
            <v>40816</v>
          </cell>
          <cell r="DM16">
            <v>98</v>
          </cell>
          <cell r="DT16">
            <v>690.1</v>
          </cell>
        </row>
        <row r="17">
          <cell r="W17">
            <v>459.95</v>
          </cell>
          <cell r="AF17">
            <v>39876</v>
          </cell>
          <cell r="AG17">
            <v>1477</v>
          </cell>
          <cell r="AH17">
            <v>410.60964178105121</v>
          </cell>
          <cell r="AM17">
            <v>2987</v>
          </cell>
          <cell r="AO17">
            <v>1373870.65</v>
          </cell>
          <cell r="AQ17">
            <v>1226491</v>
          </cell>
          <cell r="AU17">
            <v>0</v>
          </cell>
          <cell r="AW17">
            <v>0</v>
          </cell>
          <cell r="AY17">
            <v>928632.91545000009</v>
          </cell>
          <cell r="AZ17">
            <v>310.89150165718115</v>
          </cell>
          <cell r="BA17">
            <v>0</v>
          </cell>
          <cell r="BB17">
            <v>0</v>
          </cell>
          <cell r="BC17">
            <v>0</v>
          </cell>
          <cell r="BD17">
            <v>0</v>
          </cell>
          <cell r="BG17">
            <v>0</v>
          </cell>
          <cell r="BH17">
            <v>0</v>
          </cell>
          <cell r="BI17">
            <v>40956</v>
          </cell>
          <cell r="BJ17">
            <v>13.711416136591899</v>
          </cell>
          <cell r="BK17">
            <v>0</v>
          </cell>
          <cell r="BL17">
            <v>0</v>
          </cell>
          <cell r="BM17">
            <v>98092</v>
          </cell>
          <cell r="BN17">
            <v>32.839638433210581</v>
          </cell>
          <cell r="BO17">
            <v>0</v>
          </cell>
          <cell r="BP17">
            <v>0</v>
          </cell>
          <cell r="BY17">
            <v>595</v>
          </cell>
          <cell r="CF17">
            <v>427.39980000000003</v>
          </cell>
          <cell r="CG17">
            <v>2172.75</v>
          </cell>
          <cell r="CJ17">
            <v>0</v>
          </cell>
          <cell r="CK17">
            <v>0</v>
          </cell>
          <cell r="CL17">
            <v>0</v>
          </cell>
          <cell r="CM17">
            <v>0</v>
          </cell>
          <cell r="CN17">
            <v>0</v>
          </cell>
          <cell r="CO17">
            <v>0</v>
          </cell>
          <cell r="CX17">
            <v>0</v>
          </cell>
          <cell r="CY17">
            <v>0</v>
          </cell>
          <cell r="DB17">
            <v>0</v>
          </cell>
          <cell r="DC17">
            <v>0</v>
          </cell>
          <cell r="DJ17" t="str">
            <v>НКРКП</v>
          </cell>
          <cell r="DL17">
            <v>40816</v>
          </cell>
          <cell r="DM17">
            <v>98</v>
          </cell>
          <cell r="DT17">
            <v>690.63</v>
          </cell>
        </row>
        <row r="18">
          <cell r="W18">
            <v>227.1</v>
          </cell>
          <cell r="AF18">
            <v>39737</v>
          </cell>
          <cell r="AG18">
            <v>1026</v>
          </cell>
          <cell r="AH18">
            <v>214.24409327304434</v>
          </cell>
          <cell r="AM18">
            <v>64799</v>
          </cell>
          <cell r="AO18">
            <v>14715852.9</v>
          </cell>
          <cell r="AQ18">
            <v>13882803</v>
          </cell>
          <cell r="AU18">
            <v>0</v>
          </cell>
          <cell r="AW18">
            <v>0</v>
          </cell>
          <cell r="AY18">
            <v>7420055.9450160004</v>
          </cell>
          <cell r="AZ18">
            <v>114.50880329968055</v>
          </cell>
          <cell r="BA18">
            <v>0</v>
          </cell>
          <cell r="BB18">
            <v>0</v>
          </cell>
          <cell r="BC18">
            <v>0</v>
          </cell>
          <cell r="BD18">
            <v>0</v>
          </cell>
          <cell r="BG18">
            <v>0</v>
          </cell>
          <cell r="BH18">
            <v>0</v>
          </cell>
          <cell r="BI18">
            <v>1224739</v>
          </cell>
          <cell r="BJ18">
            <v>18.90058488556922</v>
          </cell>
          <cell r="BK18">
            <v>0</v>
          </cell>
          <cell r="BL18">
            <v>0</v>
          </cell>
          <cell r="BM18">
            <v>2988314</v>
          </cell>
          <cell r="BN18">
            <v>46.116668467105974</v>
          </cell>
          <cell r="BO18">
            <v>0</v>
          </cell>
          <cell r="BP18">
            <v>0</v>
          </cell>
          <cell r="BY18">
            <v>1523.52</v>
          </cell>
          <cell r="CF18">
            <v>10201.9138</v>
          </cell>
          <cell r="CG18">
            <v>727.32</v>
          </cell>
          <cell r="CJ18">
            <v>0</v>
          </cell>
          <cell r="CK18">
            <v>0</v>
          </cell>
          <cell r="CL18">
            <v>0</v>
          </cell>
          <cell r="CM18">
            <v>0</v>
          </cell>
          <cell r="CN18">
            <v>0</v>
          </cell>
          <cell r="CO18">
            <v>0</v>
          </cell>
          <cell r="CX18">
            <v>0</v>
          </cell>
          <cell r="CY18">
            <v>0</v>
          </cell>
          <cell r="DB18">
            <v>0</v>
          </cell>
          <cell r="DC18">
            <v>0</v>
          </cell>
          <cell r="DJ18" t="str">
            <v>НКРЕ</v>
          </cell>
          <cell r="DL18">
            <v>40526</v>
          </cell>
          <cell r="DM18">
            <v>1751</v>
          </cell>
          <cell r="DO18" t="str">
            <v>тариф на теплову енергію</v>
          </cell>
          <cell r="DT18">
            <v>249.81</v>
          </cell>
        </row>
        <row r="19">
          <cell r="W19">
            <v>524.24</v>
          </cell>
          <cell r="AF19">
            <v>39882</v>
          </cell>
          <cell r="AG19">
            <v>1512</v>
          </cell>
          <cell r="AH19">
            <v>437.59736790025727</v>
          </cell>
          <cell r="AM19">
            <v>20212</v>
          </cell>
          <cell r="AO19">
            <v>10595938.880000001</v>
          </cell>
          <cell r="AQ19">
            <v>8844718</v>
          </cell>
          <cell r="AU19">
            <v>0</v>
          </cell>
          <cell r="AW19">
            <v>0</v>
          </cell>
          <cell r="AY19">
            <v>6850493.4767499994</v>
          </cell>
          <cell r="AZ19">
            <v>338.93199469374628</v>
          </cell>
          <cell r="BA19">
            <v>0</v>
          </cell>
          <cell r="BB19">
            <v>0</v>
          </cell>
          <cell r="BC19">
            <v>0</v>
          </cell>
          <cell r="BD19">
            <v>0</v>
          </cell>
          <cell r="BG19">
            <v>0</v>
          </cell>
          <cell r="BH19">
            <v>0</v>
          </cell>
          <cell r="BI19">
            <v>391050</v>
          </cell>
          <cell r="BJ19">
            <v>19.347417375816345</v>
          </cell>
          <cell r="BK19">
            <v>0</v>
          </cell>
          <cell r="BL19">
            <v>0</v>
          </cell>
          <cell r="BM19">
            <v>932062</v>
          </cell>
          <cell r="BN19">
            <v>46.114288541460517</v>
          </cell>
          <cell r="BO19">
            <v>0</v>
          </cell>
          <cell r="BP19">
            <v>0</v>
          </cell>
          <cell r="BY19">
            <v>1523.52</v>
          </cell>
          <cell r="CF19">
            <v>3197.8029999999999</v>
          </cell>
          <cell r="CG19">
            <v>2142.25</v>
          </cell>
          <cell r="CJ19">
            <v>0</v>
          </cell>
          <cell r="CK19">
            <v>0</v>
          </cell>
          <cell r="CL19">
            <v>0</v>
          </cell>
          <cell r="CM19">
            <v>0</v>
          </cell>
          <cell r="CN19">
            <v>0</v>
          </cell>
          <cell r="CO19">
            <v>0</v>
          </cell>
          <cell r="CX19">
            <v>0</v>
          </cell>
          <cell r="CY19">
            <v>0</v>
          </cell>
          <cell r="DB19">
            <v>0</v>
          </cell>
          <cell r="DC19">
            <v>0</v>
          </cell>
          <cell r="DJ19" t="str">
            <v>НКРКП</v>
          </cell>
          <cell r="DL19">
            <v>40816</v>
          </cell>
          <cell r="DM19">
            <v>97</v>
          </cell>
          <cell r="DT19">
            <v>778.53</v>
          </cell>
        </row>
        <row r="20">
          <cell r="W20">
            <v>524.20000000000005</v>
          </cell>
          <cell r="AF20">
            <v>39882</v>
          </cell>
          <cell r="AG20">
            <v>1513</v>
          </cell>
          <cell r="AH20">
            <v>440.50589519650657</v>
          </cell>
          <cell r="AM20">
            <v>4580</v>
          </cell>
          <cell r="AO20">
            <v>2400836</v>
          </cell>
          <cell r="AQ20">
            <v>2017517</v>
          </cell>
          <cell r="AU20">
            <v>0</v>
          </cell>
          <cell r="AW20">
            <v>0</v>
          </cell>
          <cell r="AY20">
            <v>1550224.2167500001</v>
          </cell>
          <cell r="AZ20">
            <v>338.47690322052404</v>
          </cell>
          <cell r="BA20">
            <v>0</v>
          </cell>
          <cell r="BB20">
            <v>0</v>
          </cell>
          <cell r="BC20">
            <v>0</v>
          </cell>
          <cell r="BD20">
            <v>0</v>
          </cell>
          <cell r="BG20">
            <v>0</v>
          </cell>
          <cell r="BH20">
            <v>0</v>
          </cell>
          <cell r="BI20">
            <v>104165</v>
          </cell>
          <cell r="BJ20">
            <v>22.74344978165939</v>
          </cell>
          <cell r="BK20">
            <v>0</v>
          </cell>
          <cell r="BL20">
            <v>0</v>
          </cell>
          <cell r="BM20">
            <v>211121</v>
          </cell>
          <cell r="BN20">
            <v>46.096288209606989</v>
          </cell>
          <cell r="BO20">
            <v>0</v>
          </cell>
          <cell r="BP20">
            <v>0</v>
          </cell>
          <cell r="BY20">
            <v>1523.52</v>
          </cell>
          <cell r="CF20">
            <v>723.64300000000003</v>
          </cell>
          <cell r="CG20">
            <v>2142.25</v>
          </cell>
          <cell r="CJ20">
            <v>0</v>
          </cell>
          <cell r="CK20">
            <v>0</v>
          </cell>
          <cell r="CL20">
            <v>0</v>
          </cell>
          <cell r="CM20">
            <v>0</v>
          </cell>
          <cell r="CN20">
            <v>0</v>
          </cell>
          <cell r="CO20">
            <v>0</v>
          </cell>
          <cell r="CX20">
            <v>0</v>
          </cell>
          <cell r="CY20">
            <v>0</v>
          </cell>
          <cell r="DB20">
            <v>0</v>
          </cell>
          <cell r="DC20">
            <v>0</v>
          </cell>
          <cell r="DJ20" t="str">
            <v>НКРКП</v>
          </cell>
          <cell r="DL20">
            <v>40816</v>
          </cell>
          <cell r="DM20">
            <v>97</v>
          </cell>
          <cell r="DT20">
            <v>778.53</v>
          </cell>
        </row>
        <row r="21">
          <cell r="W21">
            <v>215.62298999999999</v>
          </cell>
          <cell r="AF21">
            <v>39678</v>
          </cell>
          <cell r="AG21">
            <v>89</v>
          </cell>
          <cell r="AH21">
            <v>205.35495036166552</v>
          </cell>
          <cell r="AM21">
            <v>48249</v>
          </cell>
          <cell r="AO21">
            <v>10403593.644509999</v>
          </cell>
          <cell r="AQ21">
            <v>9908171</v>
          </cell>
          <cell r="AU21">
            <v>0</v>
          </cell>
          <cell r="AW21">
            <v>0</v>
          </cell>
          <cell r="AY21">
            <v>5573474.9941464001</v>
          </cell>
          <cell r="AZ21">
            <v>115.51482920156687</v>
          </cell>
          <cell r="BA21">
            <v>0</v>
          </cell>
          <cell r="BB21">
            <v>0</v>
          </cell>
          <cell r="BC21">
            <v>0</v>
          </cell>
          <cell r="BD21">
            <v>0</v>
          </cell>
          <cell r="BG21">
            <v>0</v>
          </cell>
          <cell r="BH21">
            <v>0</v>
          </cell>
          <cell r="BI21">
            <v>622216</v>
          </cell>
          <cell r="BJ21">
            <v>12.895935667060456</v>
          </cell>
          <cell r="BK21">
            <v>0</v>
          </cell>
          <cell r="BL21">
            <v>0</v>
          </cell>
          <cell r="BM21">
            <v>3046056</v>
          </cell>
          <cell r="BN21">
            <v>63.132002735807994</v>
          </cell>
          <cell r="BO21">
            <v>0</v>
          </cell>
          <cell r="BP21">
            <v>0</v>
          </cell>
          <cell r="BY21">
            <v>1937.69</v>
          </cell>
          <cell r="CF21">
            <v>7663.0300200000001</v>
          </cell>
          <cell r="CG21">
            <v>727.32</v>
          </cell>
          <cell r="CJ21">
            <v>0</v>
          </cell>
          <cell r="CK21">
            <v>0</v>
          </cell>
          <cell r="CL21">
            <v>0</v>
          </cell>
          <cell r="CM21">
            <v>0</v>
          </cell>
          <cell r="CN21">
            <v>0</v>
          </cell>
          <cell r="CO21">
            <v>0</v>
          </cell>
          <cell r="CX21">
            <v>0</v>
          </cell>
          <cell r="CY21">
            <v>0</v>
          </cell>
          <cell r="DB21">
            <v>0</v>
          </cell>
          <cell r="DC21">
            <v>0</v>
          </cell>
          <cell r="DJ21" t="str">
            <v>НКРЕ</v>
          </cell>
          <cell r="DL21">
            <v>40526</v>
          </cell>
          <cell r="DM21" t="str">
            <v>№ 1847</v>
          </cell>
          <cell r="DO21" t="str">
            <v>тариф на послуги</v>
          </cell>
          <cell r="DT21">
            <v>237.18</v>
          </cell>
        </row>
        <row r="22">
          <cell r="W22">
            <v>490.63600000000002</v>
          </cell>
          <cell r="AF22">
            <v>40112</v>
          </cell>
          <cell r="AG22">
            <v>68</v>
          </cell>
          <cell r="AH22">
            <v>447.98800766520367</v>
          </cell>
          <cell r="AM22">
            <v>16177</v>
          </cell>
          <cell r="AO22">
            <v>7937018.5720000006</v>
          </cell>
          <cell r="AQ22">
            <v>7247102</v>
          </cell>
          <cell r="AU22">
            <v>0</v>
          </cell>
          <cell r="AW22">
            <v>0</v>
          </cell>
          <cell r="AY22">
            <v>5536848.7859759992</v>
          </cell>
          <cell r="AZ22">
            <v>342.26672349483829</v>
          </cell>
          <cell r="BA22">
            <v>0</v>
          </cell>
          <cell r="BB22">
            <v>0</v>
          </cell>
          <cell r="BC22">
            <v>0</v>
          </cell>
          <cell r="BD22">
            <v>0</v>
          </cell>
          <cell r="BG22">
            <v>0</v>
          </cell>
          <cell r="BH22">
            <v>0</v>
          </cell>
          <cell r="BI22">
            <v>278351</v>
          </cell>
          <cell r="BJ22">
            <v>17.206589602522101</v>
          </cell>
          <cell r="BK22">
            <v>0</v>
          </cell>
          <cell r="BL22">
            <v>0</v>
          </cell>
          <cell r="BM22">
            <v>1209519</v>
          </cell>
          <cell r="BN22">
            <v>74.767818507757923</v>
          </cell>
          <cell r="BO22">
            <v>0</v>
          </cell>
          <cell r="BP22">
            <v>0</v>
          </cell>
          <cell r="BY22">
            <v>2294.6</v>
          </cell>
          <cell r="CF22">
            <v>2536.7435999999998</v>
          </cell>
          <cell r="CG22">
            <v>2182.66</v>
          </cell>
          <cell r="CJ22">
            <v>0</v>
          </cell>
          <cell r="CK22">
            <v>0</v>
          </cell>
          <cell r="CL22">
            <v>0</v>
          </cell>
          <cell r="CM22">
            <v>0</v>
          </cell>
          <cell r="CN22">
            <v>0</v>
          </cell>
          <cell r="CO22">
            <v>0</v>
          </cell>
          <cell r="CX22">
            <v>0</v>
          </cell>
          <cell r="CY22">
            <v>0</v>
          </cell>
          <cell r="DB22">
            <v>0</v>
          </cell>
          <cell r="DC22">
            <v>0</v>
          </cell>
          <cell r="DJ22" t="str">
            <v>НКРКП</v>
          </cell>
          <cell r="DL22">
            <v>40816</v>
          </cell>
          <cell r="DM22" t="str">
            <v>№ 9</v>
          </cell>
          <cell r="DT22">
            <v>736.71</v>
          </cell>
        </row>
        <row r="23">
          <cell r="W23">
            <v>519.21799999999996</v>
          </cell>
          <cell r="AF23">
            <v>40112</v>
          </cell>
          <cell r="AG23">
            <v>68</v>
          </cell>
          <cell r="AH23">
            <v>447.98812415654521</v>
          </cell>
          <cell r="AM23">
            <v>3705</v>
          </cell>
          <cell r="AO23">
            <v>1923702.69</v>
          </cell>
          <cell r="AQ23">
            <v>1659796</v>
          </cell>
          <cell r="AU23">
            <v>0</v>
          </cell>
          <cell r="AW23">
            <v>0</v>
          </cell>
          <cell r="AY23">
            <v>1268098.0021372</v>
          </cell>
          <cell r="AZ23">
            <v>342.26666724350878</v>
          </cell>
          <cell r="BA23">
            <v>0</v>
          </cell>
          <cell r="BB23">
            <v>0</v>
          </cell>
          <cell r="BC23">
            <v>0</v>
          </cell>
          <cell r="BD23">
            <v>0</v>
          </cell>
          <cell r="BG23">
            <v>0</v>
          </cell>
          <cell r="BH23">
            <v>0</v>
          </cell>
          <cell r="BI23">
            <v>63751</v>
          </cell>
          <cell r="BJ23">
            <v>17.206747638326586</v>
          </cell>
          <cell r="BK23">
            <v>0</v>
          </cell>
          <cell r="BL23">
            <v>0</v>
          </cell>
          <cell r="BM23">
            <v>277015</v>
          </cell>
          <cell r="BN23">
            <v>74.767881241565448</v>
          </cell>
          <cell r="BO23">
            <v>0</v>
          </cell>
          <cell r="BP23">
            <v>0</v>
          </cell>
          <cell r="BY23">
            <v>2294.6</v>
          </cell>
          <cell r="CF23">
            <v>580.98742000000004</v>
          </cell>
          <cell r="CG23">
            <v>2182.66</v>
          </cell>
          <cell r="CJ23">
            <v>0</v>
          </cell>
          <cell r="CK23">
            <v>0</v>
          </cell>
          <cell r="CL23">
            <v>0</v>
          </cell>
          <cell r="CM23">
            <v>0</v>
          </cell>
          <cell r="CN23">
            <v>0</v>
          </cell>
          <cell r="CO23">
            <v>0</v>
          </cell>
          <cell r="CX23">
            <v>0</v>
          </cell>
          <cell r="CY23">
            <v>0</v>
          </cell>
          <cell r="DB23">
            <v>0</v>
          </cell>
          <cell r="DC23">
            <v>0</v>
          </cell>
          <cell r="DJ23" t="str">
            <v>НКРКП</v>
          </cell>
          <cell r="DL23">
            <v>40816</v>
          </cell>
          <cell r="DM23" t="str">
            <v>№ 9</v>
          </cell>
          <cell r="DT23">
            <v>765.31</v>
          </cell>
        </row>
        <row r="24">
          <cell r="W24">
            <v>229.61</v>
          </cell>
          <cell r="AF24">
            <v>39743</v>
          </cell>
          <cell r="AG24" t="str">
            <v>№ 174</v>
          </cell>
          <cell r="AH24">
            <v>210.64645729253638</v>
          </cell>
          <cell r="AM24">
            <v>74666.34</v>
          </cell>
          <cell r="AO24">
            <v>17144138.327399999</v>
          </cell>
          <cell r="AQ24">
            <v>15728200</v>
          </cell>
          <cell r="AU24">
            <v>0</v>
          </cell>
          <cell r="AW24">
            <v>0</v>
          </cell>
          <cell r="AY24">
            <v>8652629.9480280001</v>
          </cell>
          <cell r="AZ24">
            <v>115.88394379620054</v>
          </cell>
          <cell r="BA24">
            <v>0</v>
          </cell>
          <cell r="BB24">
            <v>0</v>
          </cell>
          <cell r="BC24">
            <v>0</v>
          </cell>
          <cell r="BD24">
            <v>0</v>
          </cell>
          <cell r="BG24">
            <v>0</v>
          </cell>
          <cell r="BH24">
            <v>0</v>
          </cell>
          <cell r="BI24">
            <v>1035170</v>
          </cell>
          <cell r="BJ24">
            <v>13.863944583328982</v>
          </cell>
          <cell r="BK24">
            <v>0</v>
          </cell>
          <cell r="BL24">
            <v>0</v>
          </cell>
          <cell r="BM24">
            <v>4149260</v>
          </cell>
          <cell r="BN24">
            <v>55.570689550338216</v>
          </cell>
          <cell r="BO24">
            <v>0</v>
          </cell>
          <cell r="BP24">
            <v>0</v>
          </cell>
          <cell r="BY24">
            <v>1536</v>
          </cell>
          <cell r="CF24">
            <v>11896.5929</v>
          </cell>
          <cell r="CG24">
            <v>727.32</v>
          </cell>
          <cell r="CJ24">
            <v>0</v>
          </cell>
          <cell r="CK24">
            <v>0</v>
          </cell>
          <cell r="CL24">
            <v>0</v>
          </cell>
          <cell r="CM24">
            <v>0</v>
          </cell>
          <cell r="CN24">
            <v>0</v>
          </cell>
          <cell r="CO24">
            <v>0</v>
          </cell>
          <cell r="CX24">
            <v>0</v>
          </cell>
          <cell r="CY24">
            <v>0</v>
          </cell>
          <cell r="DB24">
            <v>0</v>
          </cell>
          <cell r="DC24">
            <v>0</v>
          </cell>
          <cell r="DJ24" t="str">
            <v>НКРЕ</v>
          </cell>
          <cell r="DL24">
            <v>40526</v>
          </cell>
          <cell r="DM24" t="str">
            <v>№ 16987</v>
          </cell>
          <cell r="DO24" t="str">
            <v>тариф на теплову енергію</v>
          </cell>
          <cell r="DT24">
            <v>252.57</v>
          </cell>
        </row>
        <row r="25">
          <cell r="W25">
            <v>513.03</v>
          </cell>
          <cell r="AF25">
            <v>40028</v>
          </cell>
          <cell r="AG25" t="str">
            <v>№ 102</v>
          </cell>
          <cell r="AH25">
            <v>446.10895617649373</v>
          </cell>
          <cell r="AM25">
            <v>10936.14</v>
          </cell>
          <cell r="AO25">
            <v>5610567.9041999998</v>
          </cell>
          <cell r="AQ25">
            <v>4878710</v>
          </cell>
          <cell r="AU25">
            <v>0</v>
          </cell>
          <cell r="AW25">
            <v>0</v>
          </cell>
          <cell r="AY25">
            <v>3689379.9508499997</v>
          </cell>
          <cell r="AZ25">
            <v>337.35668625767408</v>
          </cell>
          <cell r="BA25">
            <v>0</v>
          </cell>
          <cell r="BB25">
            <v>0</v>
          </cell>
          <cell r="BC25">
            <v>0</v>
          </cell>
          <cell r="BD25">
            <v>0</v>
          </cell>
          <cell r="BG25">
            <v>0</v>
          </cell>
          <cell r="BH25">
            <v>0</v>
          </cell>
          <cell r="BI25">
            <v>154420</v>
          </cell>
          <cell r="BJ25">
            <v>14.120155740508078</v>
          </cell>
          <cell r="BK25">
            <v>0</v>
          </cell>
          <cell r="BL25">
            <v>0</v>
          </cell>
          <cell r="BM25">
            <v>709720</v>
          </cell>
          <cell r="BN25">
            <v>64.896755162241888</v>
          </cell>
          <cell r="BO25">
            <v>0</v>
          </cell>
          <cell r="BP25">
            <v>0</v>
          </cell>
          <cell r="BY25">
            <v>1536</v>
          </cell>
          <cell r="CF25">
            <v>1722.1985999999999</v>
          </cell>
          <cell r="CG25">
            <v>2142.25</v>
          </cell>
          <cell r="CJ25">
            <v>0</v>
          </cell>
          <cell r="CK25">
            <v>0</v>
          </cell>
          <cell r="CL25">
            <v>0</v>
          </cell>
          <cell r="CM25">
            <v>0</v>
          </cell>
          <cell r="CN25">
            <v>0</v>
          </cell>
          <cell r="CO25">
            <v>0</v>
          </cell>
          <cell r="CX25">
            <v>0</v>
          </cell>
          <cell r="CY25">
            <v>0</v>
          </cell>
          <cell r="DB25">
            <v>0</v>
          </cell>
          <cell r="DC25">
            <v>0</v>
          </cell>
          <cell r="DJ25" t="str">
            <v>НКРКП</v>
          </cell>
          <cell r="DL25">
            <v>40816</v>
          </cell>
          <cell r="DM25" t="str">
            <v>№ 108</v>
          </cell>
          <cell r="DT25">
            <v>766.52</v>
          </cell>
        </row>
        <row r="26">
          <cell r="W26">
            <v>535.33000000000004</v>
          </cell>
          <cell r="AF26">
            <v>40028</v>
          </cell>
          <cell r="AG26" t="str">
            <v>№ 102</v>
          </cell>
          <cell r="AH26">
            <v>446.11088657824155</v>
          </cell>
          <cell r="AM26">
            <v>1360.85</v>
          </cell>
          <cell r="AO26">
            <v>728503.83050000004</v>
          </cell>
          <cell r="AQ26">
            <v>607090</v>
          </cell>
          <cell r="AU26">
            <v>0</v>
          </cell>
          <cell r="AW26">
            <v>0</v>
          </cell>
          <cell r="AY26">
            <v>459089.95907499996</v>
          </cell>
          <cell r="AZ26">
            <v>337.35529931660358</v>
          </cell>
          <cell r="BA26">
            <v>0</v>
          </cell>
          <cell r="BB26">
            <v>0</v>
          </cell>
          <cell r="BC26">
            <v>0</v>
          </cell>
          <cell r="BD26">
            <v>0</v>
          </cell>
          <cell r="BG26">
            <v>0</v>
          </cell>
          <cell r="BH26">
            <v>0</v>
          </cell>
          <cell r="BI26">
            <v>19220</v>
          </cell>
          <cell r="BJ26">
            <v>14.123525737590478</v>
          </cell>
          <cell r="BK26">
            <v>0</v>
          </cell>
          <cell r="BL26">
            <v>0</v>
          </cell>
          <cell r="BM26">
            <v>88320</v>
          </cell>
          <cell r="BN26">
            <v>64.900613587096302</v>
          </cell>
          <cell r="BO26">
            <v>0</v>
          </cell>
          <cell r="BP26">
            <v>0</v>
          </cell>
          <cell r="BY26">
            <v>1536</v>
          </cell>
          <cell r="CF26">
            <v>214.30269999999999</v>
          </cell>
          <cell r="CG26">
            <v>2142.25</v>
          </cell>
          <cell r="CJ26">
            <v>0</v>
          </cell>
          <cell r="CK26">
            <v>0</v>
          </cell>
          <cell r="CL26">
            <v>0</v>
          </cell>
          <cell r="CM26">
            <v>0</v>
          </cell>
          <cell r="CN26">
            <v>0</v>
          </cell>
          <cell r="CO26">
            <v>0</v>
          </cell>
          <cell r="CX26">
            <v>0</v>
          </cell>
          <cell r="CY26">
            <v>0</v>
          </cell>
          <cell r="DB26">
            <v>0</v>
          </cell>
          <cell r="DC26">
            <v>0</v>
          </cell>
          <cell r="DJ26" t="str">
            <v>НКРКП</v>
          </cell>
          <cell r="DL26">
            <v>40816</v>
          </cell>
          <cell r="DM26" t="str">
            <v>№ 108</v>
          </cell>
          <cell r="DT26">
            <v>788.79</v>
          </cell>
        </row>
        <row r="27">
          <cell r="W27">
            <v>227.1</v>
          </cell>
          <cell r="AF27">
            <v>39678</v>
          </cell>
          <cell r="AG27" t="str">
            <v>№ 564</v>
          </cell>
          <cell r="AH27">
            <v>216.28816734089224</v>
          </cell>
          <cell r="AM27">
            <v>140408</v>
          </cell>
          <cell r="AO27">
            <v>31886656.800000001</v>
          </cell>
          <cell r="AQ27">
            <v>30368589</v>
          </cell>
          <cell r="AU27">
            <v>0</v>
          </cell>
          <cell r="AW27">
            <v>0</v>
          </cell>
          <cell r="AY27">
            <v>17219748.552021001</v>
          </cell>
          <cell r="AZ27">
            <v>122.64079363014216</v>
          </cell>
          <cell r="BA27">
            <v>245674</v>
          </cell>
          <cell r="BB27">
            <v>1.7497151159478093</v>
          </cell>
          <cell r="BC27">
            <v>0</v>
          </cell>
          <cell r="BD27">
            <v>0</v>
          </cell>
          <cell r="BG27">
            <v>0</v>
          </cell>
          <cell r="BH27">
            <v>0</v>
          </cell>
          <cell r="BI27">
            <v>3111828</v>
          </cell>
          <cell r="BJ27">
            <v>22.16275425901658</v>
          </cell>
          <cell r="BK27">
            <v>0</v>
          </cell>
          <cell r="BL27">
            <v>0</v>
          </cell>
          <cell r="BM27">
            <v>6334056</v>
          </cell>
          <cell r="BN27">
            <v>45.111788502079655</v>
          </cell>
          <cell r="BO27">
            <v>0</v>
          </cell>
          <cell r="BP27">
            <v>0</v>
          </cell>
          <cell r="BY27">
            <v>1366.62</v>
          </cell>
          <cell r="CF27">
            <v>23675.713</v>
          </cell>
          <cell r="CG27">
            <v>727.31700000000001</v>
          </cell>
          <cell r="CJ27">
            <v>0</v>
          </cell>
          <cell r="CK27">
            <v>0</v>
          </cell>
          <cell r="CL27">
            <v>0</v>
          </cell>
          <cell r="CM27">
            <v>0</v>
          </cell>
          <cell r="CN27">
            <v>0</v>
          </cell>
          <cell r="CO27">
            <v>0</v>
          </cell>
          <cell r="CX27">
            <v>0</v>
          </cell>
          <cell r="CY27">
            <v>0</v>
          </cell>
          <cell r="DB27">
            <v>0</v>
          </cell>
          <cell r="DC27">
            <v>0</v>
          </cell>
          <cell r="DJ27" t="str">
            <v>НКРЕ</v>
          </cell>
          <cell r="DL27">
            <v>40526</v>
          </cell>
          <cell r="DM27" t="str">
            <v>№ 1833</v>
          </cell>
          <cell r="DO27" t="str">
            <v>на телову енергію</v>
          </cell>
          <cell r="DT27">
            <v>249.81</v>
          </cell>
        </row>
        <row r="28">
          <cell r="W28">
            <v>552.70000000000005</v>
          </cell>
          <cell r="AF28">
            <v>40088</v>
          </cell>
          <cell r="AG28" t="str">
            <v>№ 877</v>
          </cell>
          <cell r="AH28">
            <v>460.58439009661834</v>
          </cell>
          <cell r="AM28">
            <v>26496</v>
          </cell>
          <cell r="AO28">
            <v>14644339.200000001</v>
          </cell>
          <cell r="AQ28">
            <v>12203644</v>
          </cell>
          <cell r="AU28">
            <v>0</v>
          </cell>
          <cell r="AW28">
            <v>0</v>
          </cell>
          <cell r="AY28">
            <v>9586221.7054999992</v>
          </cell>
          <cell r="AZ28">
            <v>361.79882644550116</v>
          </cell>
          <cell r="BA28">
            <v>46360</v>
          </cell>
          <cell r="BB28">
            <v>1.7496980676328502</v>
          </cell>
          <cell r="BC28">
            <v>0</v>
          </cell>
          <cell r="BD28">
            <v>0</v>
          </cell>
          <cell r="BG28">
            <v>0</v>
          </cell>
          <cell r="BH28">
            <v>0</v>
          </cell>
          <cell r="BI28">
            <v>699184</v>
          </cell>
          <cell r="BJ28">
            <v>26.388285024154591</v>
          </cell>
          <cell r="BK28">
            <v>0</v>
          </cell>
          <cell r="BL28">
            <v>0</v>
          </cell>
          <cell r="BM28">
            <v>1195282</v>
          </cell>
          <cell r="BN28">
            <v>45.1117904589372</v>
          </cell>
          <cell r="BO28">
            <v>0</v>
          </cell>
          <cell r="BP28">
            <v>0</v>
          </cell>
          <cell r="BY28">
            <v>1366.62</v>
          </cell>
          <cell r="CF28">
            <v>4474.8379999999997</v>
          </cell>
          <cell r="CG28">
            <v>2142.25</v>
          </cell>
          <cell r="CJ28">
            <v>0</v>
          </cell>
          <cell r="CK28">
            <v>0</v>
          </cell>
          <cell r="CL28">
            <v>0</v>
          </cell>
          <cell r="CM28">
            <v>0</v>
          </cell>
          <cell r="CN28">
            <v>0</v>
          </cell>
          <cell r="CO28">
            <v>0</v>
          </cell>
          <cell r="CX28">
            <v>0</v>
          </cell>
          <cell r="CY28">
            <v>0</v>
          </cell>
          <cell r="DB28">
            <v>0</v>
          </cell>
          <cell r="DC28">
            <v>0</v>
          </cell>
          <cell r="DJ28" t="str">
            <v>НКРКП</v>
          </cell>
          <cell r="DL28">
            <v>40816</v>
          </cell>
          <cell r="DM28" t="str">
            <v>№ 23</v>
          </cell>
          <cell r="DT28">
            <v>824.56</v>
          </cell>
        </row>
        <row r="29">
          <cell r="W29">
            <v>598.75</v>
          </cell>
          <cell r="AF29">
            <v>40088</v>
          </cell>
          <cell r="AG29" t="str">
            <v>№ 877</v>
          </cell>
          <cell r="AH29">
            <v>460.58431044109437</v>
          </cell>
          <cell r="AM29">
            <v>14328</v>
          </cell>
          <cell r="AO29">
            <v>8578890</v>
          </cell>
          <cell r="AQ29">
            <v>6599252</v>
          </cell>
          <cell r="AU29">
            <v>0</v>
          </cell>
          <cell r="AW29">
            <v>0</v>
          </cell>
          <cell r="AY29">
            <v>5183852.9682499999</v>
          </cell>
          <cell r="AZ29">
            <v>361.79878337869906</v>
          </cell>
          <cell r="BA29">
            <v>25070</v>
          </cell>
          <cell r="BB29">
            <v>1.7497208263539923</v>
          </cell>
          <cell r="BC29">
            <v>0</v>
          </cell>
          <cell r="BD29">
            <v>0</v>
          </cell>
          <cell r="BG29">
            <v>0</v>
          </cell>
          <cell r="BH29">
            <v>0</v>
          </cell>
          <cell r="BI29">
            <v>378091</v>
          </cell>
          <cell r="BJ29">
            <v>26.38826074818537</v>
          </cell>
          <cell r="BK29">
            <v>0</v>
          </cell>
          <cell r="BL29">
            <v>0</v>
          </cell>
          <cell r="BM29">
            <v>646362</v>
          </cell>
          <cell r="BN29">
            <v>45.111809045226131</v>
          </cell>
          <cell r="BO29">
            <v>0</v>
          </cell>
          <cell r="BP29">
            <v>0</v>
          </cell>
          <cell r="BY29">
            <v>1366.62</v>
          </cell>
          <cell r="CF29">
            <v>2419.817</v>
          </cell>
          <cell r="CG29">
            <v>2142.25</v>
          </cell>
          <cell r="CJ29">
            <v>0</v>
          </cell>
          <cell r="CK29">
            <v>0</v>
          </cell>
          <cell r="CL29">
            <v>0</v>
          </cell>
          <cell r="CM29">
            <v>0</v>
          </cell>
          <cell r="CN29">
            <v>0</v>
          </cell>
          <cell r="CO29">
            <v>0</v>
          </cell>
          <cell r="CX29">
            <v>0</v>
          </cell>
          <cell r="CY29">
            <v>0</v>
          </cell>
          <cell r="DB29">
            <v>0</v>
          </cell>
          <cell r="DC29">
            <v>0</v>
          </cell>
          <cell r="DJ29" t="str">
            <v>НКРКП</v>
          </cell>
          <cell r="DL29">
            <v>40816</v>
          </cell>
          <cell r="DM29" t="str">
            <v>№ 23</v>
          </cell>
          <cell r="DT29">
            <v>870.61</v>
          </cell>
        </row>
        <row r="30">
          <cell r="W30">
            <v>235.76</v>
          </cell>
          <cell r="AF30">
            <v>39798</v>
          </cell>
          <cell r="AG30">
            <v>590</v>
          </cell>
          <cell r="AH30">
            <v>217.4814814814815</v>
          </cell>
          <cell r="AM30">
            <v>182250</v>
          </cell>
          <cell r="AO30">
            <v>42967260</v>
          </cell>
          <cell r="AQ30">
            <v>39636000</v>
          </cell>
          <cell r="AU30">
            <v>0</v>
          </cell>
          <cell r="AW30">
            <v>0</v>
          </cell>
          <cell r="AY30">
            <v>24134659.560000002</v>
          </cell>
          <cell r="AZ30">
            <v>132.42611555555555</v>
          </cell>
          <cell r="BA30">
            <v>0</v>
          </cell>
          <cell r="BB30">
            <v>0</v>
          </cell>
          <cell r="BC30">
            <v>0</v>
          </cell>
          <cell r="BD30">
            <v>0</v>
          </cell>
          <cell r="BG30">
            <v>0</v>
          </cell>
          <cell r="BH30">
            <v>0</v>
          </cell>
          <cell r="BI30">
            <v>4594800</v>
          </cell>
          <cell r="BJ30">
            <v>25.211522633744856</v>
          </cell>
          <cell r="BK30">
            <v>0</v>
          </cell>
          <cell r="BL30">
            <v>0</v>
          </cell>
          <cell r="BM30">
            <v>7210700</v>
          </cell>
          <cell r="BN30">
            <v>39.56488340192044</v>
          </cell>
          <cell r="BO30">
            <v>0</v>
          </cell>
          <cell r="BP30">
            <v>0</v>
          </cell>
          <cell r="BY30">
            <v>1251</v>
          </cell>
          <cell r="CF30">
            <v>33183</v>
          </cell>
          <cell r="CG30">
            <v>727.32</v>
          </cell>
          <cell r="CJ30">
            <v>0</v>
          </cell>
          <cell r="CK30">
            <v>0</v>
          </cell>
          <cell r="CL30">
            <v>0</v>
          </cell>
          <cell r="CM30">
            <v>0</v>
          </cell>
          <cell r="CN30">
            <v>0</v>
          </cell>
          <cell r="CO30">
            <v>0</v>
          </cell>
          <cell r="CX30">
            <v>0</v>
          </cell>
          <cell r="CY30">
            <v>0</v>
          </cell>
          <cell r="DB30">
            <v>0</v>
          </cell>
          <cell r="DC30">
            <v>0</v>
          </cell>
          <cell r="DJ30" t="str">
            <v>НКРЕ</v>
          </cell>
          <cell r="DL30">
            <v>40526</v>
          </cell>
          <cell r="DM30">
            <v>1785</v>
          </cell>
          <cell r="DO30" t="str">
            <v>Тариф на теплову енергію</v>
          </cell>
          <cell r="DT30">
            <v>259.33</v>
          </cell>
        </row>
        <row r="31">
          <cell r="W31">
            <v>514.33000000000004</v>
          </cell>
          <cell r="AF31">
            <v>40123</v>
          </cell>
          <cell r="AG31">
            <v>262</v>
          </cell>
          <cell r="AH31">
            <v>481.65482014831224</v>
          </cell>
          <cell r="AM31">
            <v>32499</v>
          </cell>
          <cell r="AO31">
            <v>16715210.670000002</v>
          </cell>
          <cell r="AQ31">
            <v>15653300</v>
          </cell>
          <cell r="AU31">
            <v>0</v>
          </cell>
          <cell r="AW31">
            <v>0</v>
          </cell>
          <cell r="AY31">
            <v>12914799.219999999</v>
          </cell>
          <cell r="AZ31">
            <v>397.39066494353671</v>
          </cell>
          <cell r="BA31">
            <v>0</v>
          </cell>
          <cell r="BB31">
            <v>0</v>
          </cell>
          <cell r="BC31">
            <v>0</v>
          </cell>
          <cell r="BD31">
            <v>0</v>
          </cell>
          <cell r="BG31">
            <v>0</v>
          </cell>
          <cell r="BH31">
            <v>0</v>
          </cell>
          <cell r="BI31">
            <v>819300</v>
          </cell>
          <cell r="BJ31">
            <v>25.210006461737283</v>
          </cell>
          <cell r="BK31">
            <v>0</v>
          </cell>
          <cell r="BL31">
            <v>0</v>
          </cell>
          <cell r="BM31">
            <v>1285900</v>
          </cell>
          <cell r="BN31">
            <v>39.567371303732422</v>
          </cell>
          <cell r="BO31">
            <v>0</v>
          </cell>
          <cell r="BP31">
            <v>0</v>
          </cell>
          <cell r="BY31">
            <v>1251</v>
          </cell>
          <cell r="CF31">
            <v>5917</v>
          </cell>
          <cell r="CG31">
            <v>2182.66</v>
          </cell>
          <cell r="CJ31">
            <v>0</v>
          </cell>
          <cell r="CK31">
            <v>0</v>
          </cell>
          <cell r="CL31">
            <v>0</v>
          </cell>
          <cell r="CM31">
            <v>0</v>
          </cell>
          <cell r="CN31">
            <v>0</v>
          </cell>
          <cell r="CO31">
            <v>0</v>
          </cell>
          <cell r="CX31">
            <v>0</v>
          </cell>
          <cell r="CY31">
            <v>0</v>
          </cell>
          <cell r="DB31">
            <v>0</v>
          </cell>
          <cell r="DC31">
            <v>0</v>
          </cell>
          <cell r="DJ31" t="str">
            <v>НКРКП</v>
          </cell>
          <cell r="DL31">
            <v>40816</v>
          </cell>
          <cell r="DM31">
            <v>67</v>
          </cell>
          <cell r="DT31">
            <v>800.04</v>
          </cell>
        </row>
        <row r="32">
          <cell r="W32">
            <v>553.65</v>
          </cell>
          <cell r="AF32">
            <v>40123</v>
          </cell>
          <cell r="AG32">
            <v>263</v>
          </cell>
          <cell r="AH32">
            <v>483.87443560524616</v>
          </cell>
          <cell r="AM32">
            <v>13953</v>
          </cell>
          <cell r="AO32">
            <v>7725078.4499999993</v>
          </cell>
          <cell r="AQ32">
            <v>6751500</v>
          </cell>
          <cell r="AU32">
            <v>0</v>
          </cell>
          <cell r="AW32">
            <v>0</v>
          </cell>
          <cell r="AY32">
            <v>5543956.3999999994</v>
          </cell>
          <cell r="AZ32">
            <v>397.33078191070018</v>
          </cell>
          <cell r="BA32">
            <v>0</v>
          </cell>
          <cell r="BB32">
            <v>0</v>
          </cell>
          <cell r="BC32">
            <v>0</v>
          </cell>
          <cell r="BD32">
            <v>0</v>
          </cell>
          <cell r="BG32">
            <v>0</v>
          </cell>
          <cell r="BH32">
            <v>0</v>
          </cell>
          <cell r="BI32">
            <v>351700</v>
          </cell>
          <cell r="BJ32">
            <v>25.206048878377409</v>
          </cell>
          <cell r="BK32">
            <v>0</v>
          </cell>
          <cell r="BL32">
            <v>0</v>
          </cell>
          <cell r="BM32">
            <v>551800</v>
          </cell>
          <cell r="BN32">
            <v>39.547050813445139</v>
          </cell>
          <cell r="BO32">
            <v>0</v>
          </cell>
          <cell r="BP32">
            <v>0</v>
          </cell>
          <cell r="BY32">
            <v>1251</v>
          </cell>
          <cell r="CF32">
            <v>2540</v>
          </cell>
          <cell r="CG32">
            <v>2182.66</v>
          </cell>
          <cell r="CJ32">
            <v>0</v>
          </cell>
          <cell r="CK32">
            <v>0</v>
          </cell>
          <cell r="CL32">
            <v>0</v>
          </cell>
          <cell r="CM32">
            <v>0</v>
          </cell>
          <cell r="CN32">
            <v>0</v>
          </cell>
          <cell r="CO32">
            <v>0</v>
          </cell>
          <cell r="CX32">
            <v>0</v>
          </cell>
          <cell r="CY32">
            <v>0</v>
          </cell>
          <cell r="DB32">
            <v>0</v>
          </cell>
          <cell r="DC32">
            <v>0</v>
          </cell>
          <cell r="DJ32" t="str">
            <v>НКРКП</v>
          </cell>
          <cell r="DL32">
            <v>40816</v>
          </cell>
          <cell r="DM32">
            <v>67</v>
          </cell>
          <cell r="DT32">
            <v>839.32</v>
          </cell>
        </row>
        <row r="33">
          <cell r="W33">
            <v>208.84</v>
          </cell>
          <cell r="AF33">
            <v>39755</v>
          </cell>
          <cell r="AG33">
            <v>236</v>
          </cell>
          <cell r="AH33">
            <v>189.84577504196977</v>
          </cell>
          <cell r="AM33">
            <v>35740</v>
          </cell>
          <cell r="AO33">
            <v>7463941.6000000006</v>
          </cell>
          <cell r="AQ33">
            <v>6785088</v>
          </cell>
          <cell r="AU33">
            <v>0</v>
          </cell>
          <cell r="AW33">
            <v>0</v>
          </cell>
          <cell r="AY33">
            <v>4124631.72</v>
          </cell>
          <cell r="AZ33">
            <v>115.40659541130387</v>
          </cell>
          <cell r="BA33">
            <v>0</v>
          </cell>
          <cell r="BB33">
            <v>0</v>
          </cell>
          <cell r="BC33">
            <v>0</v>
          </cell>
          <cell r="BD33">
            <v>0</v>
          </cell>
          <cell r="BG33">
            <v>0</v>
          </cell>
          <cell r="BH33">
            <v>0</v>
          </cell>
          <cell r="BI33">
            <v>577142</v>
          </cell>
          <cell r="BJ33">
            <v>16.14834918858422</v>
          </cell>
          <cell r="BK33">
            <v>0</v>
          </cell>
          <cell r="BL33">
            <v>0</v>
          </cell>
          <cell r="BM33">
            <v>1650444</v>
          </cell>
          <cell r="BN33">
            <v>46.179182988248463</v>
          </cell>
          <cell r="BO33">
            <v>0</v>
          </cell>
          <cell r="BP33">
            <v>0</v>
          </cell>
          <cell r="BY33">
            <v>1779.68</v>
          </cell>
          <cell r="CF33">
            <v>5671</v>
          </cell>
          <cell r="CG33">
            <v>727.32</v>
          </cell>
          <cell r="CJ33">
            <v>0</v>
          </cell>
          <cell r="CK33">
            <v>0</v>
          </cell>
          <cell r="CL33">
            <v>0</v>
          </cell>
          <cell r="CM33">
            <v>0</v>
          </cell>
          <cell r="CN33">
            <v>0</v>
          </cell>
          <cell r="CO33">
            <v>0</v>
          </cell>
          <cell r="CX33">
            <v>0</v>
          </cell>
          <cell r="CY33">
            <v>0</v>
          </cell>
          <cell r="DB33">
            <v>0</v>
          </cell>
          <cell r="DC33">
            <v>0</v>
          </cell>
          <cell r="DJ33" t="str">
            <v>НКРЕ</v>
          </cell>
          <cell r="DL33">
            <v>40526</v>
          </cell>
          <cell r="DM33" t="str">
            <v>№ 1703</v>
          </cell>
          <cell r="DO33" t="str">
            <v>Тариф на теплову енергію</v>
          </cell>
          <cell r="DT33">
            <v>229.72</v>
          </cell>
        </row>
        <row r="34">
          <cell r="W34">
            <v>467.33</v>
          </cell>
          <cell r="AF34">
            <v>39864</v>
          </cell>
          <cell r="AG34">
            <v>311</v>
          </cell>
          <cell r="AH34">
            <v>417.25531914893617</v>
          </cell>
          <cell r="AM34">
            <v>6110</v>
          </cell>
          <cell r="AO34">
            <v>2855386.3</v>
          </cell>
          <cell r="AQ34">
            <v>2549430</v>
          </cell>
          <cell r="AU34">
            <v>0</v>
          </cell>
          <cell r="AW34">
            <v>0</v>
          </cell>
          <cell r="AY34">
            <v>2076547.1925000001</v>
          </cell>
          <cell r="AZ34">
            <v>339.86042430441898</v>
          </cell>
          <cell r="BA34">
            <v>0</v>
          </cell>
          <cell r="BB34">
            <v>0</v>
          </cell>
          <cell r="BC34">
            <v>0</v>
          </cell>
          <cell r="BD34">
            <v>0</v>
          </cell>
          <cell r="BG34">
            <v>0</v>
          </cell>
          <cell r="BH34">
            <v>0</v>
          </cell>
          <cell r="BI34">
            <v>108040</v>
          </cell>
          <cell r="BJ34">
            <v>17.682487725040918</v>
          </cell>
          <cell r="BK34">
            <v>0</v>
          </cell>
          <cell r="BL34">
            <v>0</v>
          </cell>
          <cell r="BM34">
            <v>286678</v>
          </cell>
          <cell r="BN34">
            <v>46.919476268412438</v>
          </cell>
          <cell r="BO34">
            <v>0</v>
          </cell>
          <cell r="BP34">
            <v>0</v>
          </cell>
          <cell r="BY34">
            <v>1779.68</v>
          </cell>
          <cell r="CF34">
            <v>969.33</v>
          </cell>
          <cell r="CG34">
            <v>2142.25</v>
          </cell>
          <cell r="CJ34">
            <v>0</v>
          </cell>
          <cell r="CK34">
            <v>0</v>
          </cell>
          <cell r="CL34">
            <v>0</v>
          </cell>
          <cell r="CM34">
            <v>0</v>
          </cell>
          <cell r="CN34">
            <v>0</v>
          </cell>
          <cell r="CO34">
            <v>0</v>
          </cell>
          <cell r="CX34">
            <v>0</v>
          </cell>
          <cell r="CY34">
            <v>0</v>
          </cell>
          <cell r="DB34">
            <v>0</v>
          </cell>
          <cell r="DC34">
            <v>0</v>
          </cell>
          <cell r="DJ34" t="str">
            <v>НКРКП</v>
          </cell>
          <cell r="DL34">
            <v>40816</v>
          </cell>
          <cell r="DM34" t="str">
            <v>№ 85</v>
          </cell>
          <cell r="DT34">
            <v>722.6</v>
          </cell>
        </row>
        <row r="35">
          <cell r="W35">
            <v>479.85</v>
          </cell>
          <cell r="AF35">
            <v>39864</v>
          </cell>
          <cell r="AG35">
            <v>311</v>
          </cell>
          <cell r="AH35">
            <v>417.255033557047</v>
          </cell>
          <cell r="AM35">
            <v>1788</v>
          </cell>
          <cell r="AO35">
            <v>857971.8</v>
          </cell>
          <cell r="AQ35">
            <v>746052</v>
          </cell>
          <cell r="AU35">
            <v>0</v>
          </cell>
          <cell r="AW35">
            <v>0</v>
          </cell>
          <cell r="AY35">
            <v>607670.63500000001</v>
          </cell>
          <cell r="AZ35">
            <v>339.86053411633111</v>
          </cell>
          <cell r="BA35">
            <v>0</v>
          </cell>
          <cell r="BB35">
            <v>0</v>
          </cell>
          <cell r="BC35">
            <v>0</v>
          </cell>
          <cell r="BD35">
            <v>0</v>
          </cell>
          <cell r="BG35">
            <v>0</v>
          </cell>
          <cell r="BH35">
            <v>0</v>
          </cell>
          <cell r="BI35">
            <v>31616</v>
          </cell>
          <cell r="BJ35">
            <v>17.682326621923938</v>
          </cell>
          <cell r="BK35">
            <v>0</v>
          </cell>
          <cell r="BL35">
            <v>0</v>
          </cell>
          <cell r="BM35">
            <v>83892</v>
          </cell>
          <cell r="BN35">
            <v>46.919463087248324</v>
          </cell>
          <cell r="BO35">
            <v>0</v>
          </cell>
          <cell r="BP35">
            <v>0</v>
          </cell>
          <cell r="BY35">
            <v>1779.68</v>
          </cell>
          <cell r="CF35">
            <v>283.66000000000003</v>
          </cell>
          <cell r="CG35">
            <v>2142.25</v>
          </cell>
          <cell r="CJ35">
            <v>0</v>
          </cell>
          <cell r="CK35">
            <v>0</v>
          </cell>
          <cell r="CL35">
            <v>0</v>
          </cell>
          <cell r="CM35">
            <v>0</v>
          </cell>
          <cell r="CN35">
            <v>0</v>
          </cell>
          <cell r="CO35">
            <v>0</v>
          </cell>
          <cell r="CX35">
            <v>0</v>
          </cell>
          <cell r="CY35">
            <v>0</v>
          </cell>
          <cell r="DB35">
            <v>0</v>
          </cell>
          <cell r="DC35">
            <v>0</v>
          </cell>
          <cell r="DJ35" t="str">
            <v>НКРКП</v>
          </cell>
          <cell r="DL35">
            <v>40816</v>
          </cell>
          <cell r="DM35" t="str">
            <v>№ 85</v>
          </cell>
          <cell r="DT35">
            <v>735.12</v>
          </cell>
        </row>
        <row r="36">
          <cell r="W36">
            <v>231.22</v>
          </cell>
          <cell r="AF36">
            <v>39770</v>
          </cell>
          <cell r="AG36">
            <v>247</v>
          </cell>
          <cell r="AH36">
            <v>225.96157265281448</v>
          </cell>
          <cell r="AM36">
            <v>84367</v>
          </cell>
          <cell r="AO36">
            <v>19507337.739999998</v>
          </cell>
          <cell r="AQ36">
            <v>19063700</v>
          </cell>
          <cell r="AU36">
            <v>0</v>
          </cell>
          <cell r="AW36">
            <v>0</v>
          </cell>
          <cell r="AY36">
            <v>10168499.964084001</v>
          </cell>
          <cell r="AZ36">
            <v>120.52698287344579</v>
          </cell>
          <cell r="BA36">
            <v>0</v>
          </cell>
          <cell r="BB36">
            <v>0</v>
          </cell>
          <cell r="BC36">
            <v>0</v>
          </cell>
          <cell r="BD36">
            <v>0</v>
          </cell>
          <cell r="BG36">
            <v>0</v>
          </cell>
          <cell r="BH36">
            <v>0</v>
          </cell>
          <cell r="BI36">
            <v>1999240</v>
          </cell>
          <cell r="BJ36">
            <v>23.696943117569667</v>
          </cell>
          <cell r="BK36">
            <v>0</v>
          </cell>
          <cell r="BL36">
            <v>0</v>
          </cell>
          <cell r="BM36">
            <v>5610705</v>
          </cell>
          <cell r="BN36">
            <v>66.503549966219026</v>
          </cell>
          <cell r="BO36">
            <v>0</v>
          </cell>
          <cell r="BP36">
            <v>0</v>
          </cell>
          <cell r="BY36">
            <v>1988.33</v>
          </cell>
          <cell r="CF36">
            <v>13980.778700000001</v>
          </cell>
          <cell r="CG36">
            <v>727.32</v>
          </cell>
          <cell r="CJ36">
            <v>0</v>
          </cell>
          <cell r="CK36">
            <v>0</v>
          </cell>
          <cell r="CL36">
            <v>0</v>
          </cell>
          <cell r="CM36">
            <v>0</v>
          </cell>
          <cell r="CN36">
            <v>0</v>
          </cell>
          <cell r="CO36">
            <v>0</v>
          </cell>
          <cell r="CX36">
            <v>0</v>
          </cell>
          <cell r="CY36">
            <v>0</v>
          </cell>
          <cell r="DB36">
            <v>0</v>
          </cell>
          <cell r="DC36">
            <v>0</v>
          </cell>
          <cell r="DJ36" t="str">
            <v>НКРЕ</v>
          </cell>
          <cell r="DL36">
            <v>40526</v>
          </cell>
          <cell r="DM36" t="str">
            <v>№ 1769</v>
          </cell>
          <cell r="DO36" t="str">
            <v>Тариф на теплову енергію</v>
          </cell>
          <cell r="DT36">
            <v>254.35</v>
          </cell>
        </row>
        <row r="37">
          <cell r="W37">
            <v>577.32000000000005</v>
          </cell>
          <cell r="AF37">
            <v>39853</v>
          </cell>
          <cell r="AG37">
            <v>300</v>
          </cell>
          <cell r="AH37">
            <v>465.90515636974055</v>
          </cell>
          <cell r="AM37">
            <v>27403</v>
          </cell>
          <cell r="AO37">
            <v>15820299.960000001</v>
          </cell>
          <cell r="AQ37">
            <v>12767199</v>
          </cell>
          <cell r="AU37">
            <v>0</v>
          </cell>
          <cell r="AW37">
            <v>0</v>
          </cell>
          <cell r="AY37">
            <v>9853409.9807000011</v>
          </cell>
          <cell r="AZ37">
            <v>359.57413351457876</v>
          </cell>
          <cell r="BA37">
            <v>0</v>
          </cell>
          <cell r="BB37">
            <v>0</v>
          </cell>
          <cell r="BC37">
            <v>0</v>
          </cell>
          <cell r="BD37">
            <v>0</v>
          </cell>
          <cell r="BG37">
            <v>0</v>
          </cell>
          <cell r="BH37">
            <v>0</v>
          </cell>
          <cell r="BI37">
            <v>681101</v>
          </cell>
          <cell r="BJ37">
            <v>24.854979381819508</v>
          </cell>
          <cell r="BK37">
            <v>0</v>
          </cell>
          <cell r="BL37">
            <v>0</v>
          </cell>
          <cell r="BM37">
            <v>1822415</v>
          </cell>
          <cell r="BN37">
            <v>66.504214866985365</v>
          </cell>
          <cell r="BO37">
            <v>0</v>
          </cell>
          <cell r="BP37">
            <v>0</v>
          </cell>
          <cell r="BY37">
            <v>1988.33</v>
          </cell>
          <cell r="CF37">
            <v>4599.5612000000001</v>
          </cell>
          <cell r="CG37">
            <v>2142.25</v>
          </cell>
          <cell r="CJ37">
            <v>0</v>
          </cell>
          <cell r="CK37">
            <v>0</v>
          </cell>
          <cell r="CL37">
            <v>0</v>
          </cell>
          <cell r="CM37">
            <v>0</v>
          </cell>
          <cell r="CN37">
            <v>0</v>
          </cell>
          <cell r="CO37">
            <v>0</v>
          </cell>
          <cell r="CX37">
            <v>0</v>
          </cell>
          <cell r="CY37">
            <v>0</v>
          </cell>
          <cell r="DB37">
            <v>0</v>
          </cell>
          <cell r="DC37">
            <v>0</v>
          </cell>
          <cell r="DJ37" t="str">
            <v>НКРКП</v>
          </cell>
          <cell r="DL37">
            <v>40816</v>
          </cell>
          <cell r="DM37" t="str">
            <v>№ 84</v>
          </cell>
          <cell r="DT37">
            <v>847.49</v>
          </cell>
        </row>
        <row r="38">
          <cell r="W38">
            <v>577.32000000000005</v>
          </cell>
          <cell r="AF38">
            <v>39853</v>
          </cell>
          <cell r="AG38">
            <v>300</v>
          </cell>
          <cell r="AH38">
            <v>465.90500836053826</v>
          </cell>
          <cell r="AM38">
            <v>12559</v>
          </cell>
          <cell r="AO38">
            <v>7250561.8800000008</v>
          </cell>
          <cell r="AQ38">
            <v>5851301</v>
          </cell>
          <cell r="AU38">
            <v>0</v>
          </cell>
          <cell r="AW38">
            <v>0</v>
          </cell>
          <cell r="AY38">
            <v>4515890.84925</v>
          </cell>
          <cell r="AZ38">
            <v>359.574078290469</v>
          </cell>
          <cell r="BA38">
            <v>0</v>
          </cell>
          <cell r="BB38">
            <v>0</v>
          </cell>
          <cell r="BC38">
            <v>0</v>
          </cell>
          <cell r="BD38">
            <v>0</v>
          </cell>
          <cell r="BG38">
            <v>0</v>
          </cell>
          <cell r="BH38">
            <v>0</v>
          </cell>
          <cell r="BI38">
            <v>312154</v>
          </cell>
          <cell r="BJ38">
            <v>24.855004379329564</v>
          </cell>
          <cell r="BK38">
            <v>0</v>
          </cell>
          <cell r="BL38">
            <v>0</v>
          </cell>
          <cell r="BM38">
            <v>835226</v>
          </cell>
          <cell r="BN38">
            <v>66.504180269129705</v>
          </cell>
          <cell r="BO38">
            <v>0</v>
          </cell>
          <cell r="BP38">
            <v>0</v>
          </cell>
          <cell r="BY38">
            <v>1988.33</v>
          </cell>
          <cell r="CF38">
            <v>2108.0129999999999</v>
          </cell>
          <cell r="CG38">
            <v>2142.25</v>
          </cell>
          <cell r="CJ38">
            <v>0</v>
          </cell>
          <cell r="CK38">
            <v>0</v>
          </cell>
          <cell r="CL38">
            <v>0</v>
          </cell>
          <cell r="CM38">
            <v>0</v>
          </cell>
          <cell r="CN38">
            <v>0</v>
          </cell>
          <cell r="CO38">
            <v>0</v>
          </cell>
          <cell r="CX38">
            <v>0</v>
          </cell>
          <cell r="CY38">
            <v>0</v>
          </cell>
          <cell r="DB38">
            <v>0</v>
          </cell>
          <cell r="DC38">
            <v>0</v>
          </cell>
          <cell r="DJ38" t="str">
            <v>НКРКП</v>
          </cell>
          <cell r="DL38">
            <v>40816</v>
          </cell>
          <cell r="DM38" t="str">
            <v>№ 84</v>
          </cell>
          <cell r="DT38">
            <v>847.49</v>
          </cell>
        </row>
        <row r="39">
          <cell r="W39">
            <v>257.75</v>
          </cell>
          <cell r="AF39">
            <v>39770</v>
          </cell>
          <cell r="AG39">
            <v>242</v>
          </cell>
          <cell r="AH39">
            <v>252.69882587505538</v>
          </cell>
          <cell r="AM39">
            <v>54168</v>
          </cell>
          <cell r="AO39">
            <v>13961802</v>
          </cell>
          <cell r="AQ39">
            <v>13688190</v>
          </cell>
          <cell r="AU39">
            <v>0</v>
          </cell>
          <cell r="AW39">
            <v>0</v>
          </cell>
          <cell r="AY39">
            <v>6372399.6336000003</v>
          </cell>
          <cell r="AZ39">
            <v>117.6414051395658</v>
          </cell>
          <cell r="BA39">
            <v>0</v>
          </cell>
          <cell r="BB39">
            <v>0</v>
          </cell>
          <cell r="BC39">
            <v>0</v>
          </cell>
          <cell r="BD39">
            <v>0</v>
          </cell>
          <cell r="BG39">
            <v>0</v>
          </cell>
          <cell r="BH39">
            <v>0</v>
          </cell>
          <cell r="BI39">
            <v>1162445</v>
          </cell>
          <cell r="BJ39">
            <v>21.45999483089647</v>
          </cell>
          <cell r="BK39">
            <v>0</v>
          </cell>
          <cell r="BL39">
            <v>0</v>
          </cell>
          <cell r="BM39">
            <v>4292814</v>
          </cell>
          <cell r="BN39">
            <v>79.25</v>
          </cell>
          <cell r="BO39">
            <v>0</v>
          </cell>
          <cell r="BP39">
            <v>0</v>
          </cell>
          <cell r="BY39">
            <v>2187</v>
          </cell>
          <cell r="CF39">
            <v>8761.48</v>
          </cell>
          <cell r="CG39">
            <v>727.32</v>
          </cell>
          <cell r="CJ39">
            <v>0</v>
          </cell>
          <cell r="CK39">
            <v>0</v>
          </cell>
          <cell r="CL39">
            <v>0</v>
          </cell>
          <cell r="CM39">
            <v>0</v>
          </cell>
          <cell r="CN39">
            <v>0</v>
          </cell>
          <cell r="CO39">
            <v>0</v>
          </cell>
          <cell r="CX39">
            <v>0</v>
          </cell>
          <cell r="CY39">
            <v>0</v>
          </cell>
          <cell r="DB39">
            <v>0</v>
          </cell>
          <cell r="DC39">
            <v>0</v>
          </cell>
          <cell r="DJ39" t="str">
            <v>НКРЕ</v>
          </cell>
          <cell r="DL39">
            <v>40526</v>
          </cell>
          <cell r="DM39" t="str">
            <v>№ 1771</v>
          </cell>
          <cell r="DO39" t="str">
            <v>Тариф на теплову енергію</v>
          </cell>
          <cell r="DT39">
            <v>283.52999999999997</v>
          </cell>
        </row>
        <row r="40">
          <cell r="W40">
            <v>549.17999999999995</v>
          </cell>
          <cell r="AF40">
            <v>39854</v>
          </cell>
          <cell r="AG40">
            <v>302</v>
          </cell>
          <cell r="AH40">
            <v>490.33687036563538</v>
          </cell>
          <cell r="AM40">
            <v>15644</v>
          </cell>
          <cell r="AO40">
            <v>8591371.9199999999</v>
          </cell>
          <cell r="AQ40">
            <v>7670830</v>
          </cell>
          <cell r="AU40">
            <v>0</v>
          </cell>
          <cell r="AW40">
            <v>0</v>
          </cell>
          <cell r="AY40">
            <v>5453559.886775</v>
          </cell>
          <cell r="AZ40">
            <v>348.60393037426491</v>
          </cell>
          <cell r="BA40">
            <v>0</v>
          </cell>
          <cell r="BB40">
            <v>0</v>
          </cell>
          <cell r="BC40">
            <v>0</v>
          </cell>
          <cell r="BD40">
            <v>0</v>
          </cell>
          <cell r="BG40">
            <v>0</v>
          </cell>
          <cell r="BH40">
            <v>0</v>
          </cell>
          <cell r="BI40">
            <v>335720</v>
          </cell>
          <cell r="BJ40">
            <v>21.459984658655074</v>
          </cell>
          <cell r="BK40">
            <v>0</v>
          </cell>
          <cell r="BL40">
            <v>0</v>
          </cell>
          <cell r="BM40">
            <v>1239787</v>
          </cell>
          <cell r="BN40">
            <v>79.25</v>
          </cell>
          <cell r="BO40">
            <v>0</v>
          </cell>
          <cell r="BP40">
            <v>0</v>
          </cell>
          <cell r="BY40">
            <v>2187</v>
          </cell>
          <cell r="CF40">
            <v>2545.7159000000001</v>
          </cell>
          <cell r="CG40">
            <v>2142.25</v>
          </cell>
          <cell r="CJ40">
            <v>0</v>
          </cell>
          <cell r="CK40">
            <v>0</v>
          </cell>
          <cell r="CL40">
            <v>0</v>
          </cell>
          <cell r="CM40">
            <v>0</v>
          </cell>
          <cell r="CN40">
            <v>0</v>
          </cell>
          <cell r="CO40">
            <v>0</v>
          </cell>
          <cell r="CX40">
            <v>0</v>
          </cell>
          <cell r="CY40">
            <v>0</v>
          </cell>
          <cell r="DB40">
            <v>0</v>
          </cell>
          <cell r="DC40">
            <v>0</v>
          </cell>
          <cell r="DJ40" t="str">
            <v>НКРКП</v>
          </cell>
          <cell r="DL40">
            <v>40816</v>
          </cell>
          <cell r="DM40" t="str">
            <v>№ 83</v>
          </cell>
          <cell r="DT40">
            <v>811.12</v>
          </cell>
        </row>
        <row r="41">
          <cell r="W41">
            <v>549.17999999999995</v>
          </cell>
          <cell r="AF41">
            <v>39854</v>
          </cell>
          <cell r="AG41">
            <v>302</v>
          </cell>
          <cell r="AH41">
            <v>490.33687002652522</v>
          </cell>
          <cell r="AM41">
            <v>3770</v>
          </cell>
          <cell r="AO41">
            <v>2070408.5999999999</v>
          </cell>
          <cell r="AQ41">
            <v>1848570</v>
          </cell>
          <cell r="AU41">
            <v>0</v>
          </cell>
          <cell r="AW41">
            <v>0</v>
          </cell>
          <cell r="AY41">
            <v>1314238.0270250002</v>
          </cell>
          <cell r="AZ41">
            <v>348.60425120026531</v>
          </cell>
          <cell r="BA41">
            <v>0</v>
          </cell>
          <cell r="BB41">
            <v>0</v>
          </cell>
          <cell r="BC41">
            <v>0</v>
          </cell>
          <cell r="BD41">
            <v>0</v>
          </cell>
          <cell r="BG41">
            <v>0</v>
          </cell>
          <cell r="BH41">
            <v>0</v>
          </cell>
          <cell r="BI41">
            <v>80915</v>
          </cell>
          <cell r="BJ41">
            <v>21.46286472148541</v>
          </cell>
          <cell r="BK41">
            <v>0</v>
          </cell>
          <cell r="BL41">
            <v>0</v>
          </cell>
          <cell r="BM41">
            <v>298773</v>
          </cell>
          <cell r="BN41">
            <v>79.250132625994695</v>
          </cell>
          <cell r="BO41">
            <v>0</v>
          </cell>
          <cell r="BP41">
            <v>0</v>
          </cell>
          <cell r="BY41">
            <v>2187</v>
          </cell>
          <cell r="CF41">
            <v>613.48490000000004</v>
          </cell>
          <cell r="CG41">
            <v>2142.25</v>
          </cell>
          <cell r="CJ41">
            <v>0</v>
          </cell>
          <cell r="CK41">
            <v>0</v>
          </cell>
          <cell r="CL41">
            <v>0</v>
          </cell>
          <cell r="CM41">
            <v>0</v>
          </cell>
          <cell r="CN41">
            <v>0</v>
          </cell>
          <cell r="CO41">
            <v>0</v>
          </cell>
          <cell r="CX41">
            <v>0</v>
          </cell>
          <cell r="CY41">
            <v>0</v>
          </cell>
          <cell r="DB41">
            <v>0</v>
          </cell>
          <cell r="DC41">
            <v>0</v>
          </cell>
          <cell r="DJ41" t="str">
            <v>НКРКП</v>
          </cell>
          <cell r="DL41">
            <v>40816</v>
          </cell>
          <cell r="DM41" t="str">
            <v>№ 83</v>
          </cell>
          <cell r="DT41">
            <v>811.12</v>
          </cell>
        </row>
        <row r="42">
          <cell r="W42">
            <v>216.44</v>
          </cell>
          <cell r="AF42">
            <v>39924</v>
          </cell>
          <cell r="AG42">
            <v>340</v>
          </cell>
          <cell r="AH42">
            <v>193.24520347684182</v>
          </cell>
          <cell r="AM42">
            <v>176482</v>
          </cell>
          <cell r="AO42">
            <v>38197764.079999998</v>
          </cell>
          <cell r="AQ42">
            <v>34104300</v>
          </cell>
          <cell r="AU42">
            <v>0</v>
          </cell>
          <cell r="AW42">
            <v>0</v>
          </cell>
          <cell r="AY42">
            <v>20437401.072000001</v>
          </cell>
          <cell r="AZ42">
            <v>115.80445072018676</v>
          </cell>
          <cell r="BA42">
            <v>0</v>
          </cell>
          <cell r="BB42">
            <v>0</v>
          </cell>
          <cell r="BC42">
            <v>0</v>
          </cell>
          <cell r="BD42">
            <v>0</v>
          </cell>
          <cell r="BG42">
            <v>0</v>
          </cell>
          <cell r="BH42">
            <v>0</v>
          </cell>
          <cell r="BI42">
            <v>4768900</v>
          </cell>
          <cell r="BJ42">
            <v>27.022019242755636</v>
          </cell>
          <cell r="BK42">
            <v>0</v>
          </cell>
          <cell r="BL42">
            <v>0</v>
          </cell>
          <cell r="BM42">
            <v>5142900</v>
          </cell>
          <cell r="BN42">
            <v>29.141215534728754</v>
          </cell>
          <cell r="BO42">
            <v>0</v>
          </cell>
          <cell r="BP42">
            <v>0</v>
          </cell>
          <cell r="BY42">
            <v>2210.2800000000002</v>
          </cell>
          <cell r="CF42">
            <v>28099.599999999999</v>
          </cell>
          <cell r="CG42">
            <v>727.32</v>
          </cell>
          <cell r="CJ42">
            <v>0</v>
          </cell>
          <cell r="CK42">
            <v>0</v>
          </cell>
          <cell r="CL42">
            <v>0</v>
          </cell>
          <cell r="CM42">
            <v>0</v>
          </cell>
          <cell r="CN42">
            <v>0</v>
          </cell>
          <cell r="CO42">
            <v>0</v>
          </cell>
          <cell r="CX42">
            <v>0</v>
          </cell>
          <cell r="CY42">
            <v>0</v>
          </cell>
          <cell r="DB42">
            <v>0</v>
          </cell>
          <cell r="DC42">
            <v>0</v>
          </cell>
          <cell r="DJ42" t="str">
            <v>НКРЕ</v>
          </cell>
          <cell r="DL42">
            <v>40526</v>
          </cell>
          <cell r="DM42" t="str">
            <v>№ 1772</v>
          </cell>
          <cell r="DO42" t="str">
            <v>Тариф на теплову енергію</v>
          </cell>
          <cell r="DT42">
            <v>238.07</v>
          </cell>
        </row>
        <row r="43">
          <cell r="W43">
            <v>476.65</v>
          </cell>
          <cell r="AF43">
            <v>39854</v>
          </cell>
          <cell r="AG43">
            <v>305</v>
          </cell>
          <cell r="AH43">
            <v>425.58171676785628</v>
          </cell>
          <cell r="AM43">
            <v>20259</v>
          </cell>
          <cell r="AO43">
            <v>9656452.3499999996</v>
          </cell>
          <cell r="AQ43">
            <v>8621860</v>
          </cell>
          <cell r="AU43">
            <v>0</v>
          </cell>
          <cell r="AW43">
            <v>0</v>
          </cell>
          <cell r="AY43">
            <v>6915889.9424999999</v>
          </cell>
          <cell r="AZ43">
            <v>341.37370761143194</v>
          </cell>
          <cell r="BA43">
            <v>0</v>
          </cell>
          <cell r="BB43">
            <v>0</v>
          </cell>
          <cell r="BC43">
            <v>0</v>
          </cell>
          <cell r="BD43">
            <v>0</v>
          </cell>
          <cell r="BG43">
            <v>0</v>
          </cell>
          <cell r="BH43">
            <v>0</v>
          </cell>
          <cell r="BI43">
            <v>524100</v>
          </cell>
          <cell r="BJ43">
            <v>25.869983710943284</v>
          </cell>
          <cell r="BK43">
            <v>0</v>
          </cell>
          <cell r="BL43">
            <v>0</v>
          </cell>
          <cell r="BM43">
            <v>625800</v>
          </cell>
          <cell r="BN43">
            <v>30.889974826003257</v>
          </cell>
          <cell r="BO43">
            <v>0</v>
          </cell>
          <cell r="BP43">
            <v>0</v>
          </cell>
          <cell r="BY43">
            <v>2337.71</v>
          </cell>
          <cell r="CF43">
            <v>3228.33</v>
          </cell>
          <cell r="CG43">
            <v>2142.25</v>
          </cell>
          <cell r="CJ43">
            <v>0</v>
          </cell>
          <cell r="CK43">
            <v>0</v>
          </cell>
          <cell r="CL43">
            <v>0</v>
          </cell>
          <cell r="CM43">
            <v>0</v>
          </cell>
          <cell r="CN43">
            <v>0</v>
          </cell>
          <cell r="CO43">
            <v>0</v>
          </cell>
          <cell r="CX43">
            <v>0</v>
          </cell>
          <cell r="CY43">
            <v>0</v>
          </cell>
          <cell r="DB43">
            <v>0</v>
          </cell>
          <cell r="DC43">
            <v>0</v>
          </cell>
          <cell r="DJ43" t="str">
            <v>НКРКП</v>
          </cell>
          <cell r="DL43">
            <v>40816</v>
          </cell>
          <cell r="DM43" t="str">
            <v>№ 82</v>
          </cell>
          <cell r="DT43">
            <v>733.16</v>
          </cell>
        </row>
        <row r="44">
          <cell r="W44">
            <v>476.65</v>
          </cell>
          <cell r="AF44">
            <v>39854</v>
          </cell>
          <cell r="AG44">
            <v>305</v>
          </cell>
          <cell r="AH44">
            <v>425.57688113413303</v>
          </cell>
          <cell r="AM44">
            <v>9170</v>
          </cell>
          <cell r="AO44">
            <v>4370880.5</v>
          </cell>
          <cell r="AQ44">
            <v>3902540</v>
          </cell>
          <cell r="AU44">
            <v>0</v>
          </cell>
          <cell r="AW44">
            <v>0</v>
          </cell>
          <cell r="AY44">
            <v>3130512.77</v>
          </cell>
          <cell r="AZ44">
            <v>341.38634351145038</v>
          </cell>
          <cell r="BA44">
            <v>0</v>
          </cell>
          <cell r="BB44">
            <v>0</v>
          </cell>
          <cell r="BC44">
            <v>0</v>
          </cell>
          <cell r="BD44">
            <v>0</v>
          </cell>
          <cell r="BG44">
            <v>0</v>
          </cell>
          <cell r="BH44">
            <v>0</v>
          </cell>
          <cell r="BI44">
            <v>237200</v>
          </cell>
          <cell r="BJ44">
            <v>25.866957470010906</v>
          </cell>
          <cell r="BK44">
            <v>0</v>
          </cell>
          <cell r="BL44">
            <v>0</v>
          </cell>
          <cell r="BM44">
            <v>283100</v>
          </cell>
          <cell r="BN44">
            <v>30.872410032715376</v>
          </cell>
          <cell r="BO44">
            <v>0</v>
          </cell>
          <cell r="BP44">
            <v>0</v>
          </cell>
          <cell r="BY44">
            <v>2337.71</v>
          </cell>
          <cell r="CF44">
            <v>1461.32</v>
          </cell>
          <cell r="CG44">
            <v>2142.25</v>
          </cell>
          <cell r="CJ44">
            <v>0</v>
          </cell>
          <cell r="CK44">
            <v>0</v>
          </cell>
          <cell r="CL44">
            <v>0</v>
          </cell>
          <cell r="CM44">
            <v>0</v>
          </cell>
          <cell r="CN44">
            <v>0</v>
          </cell>
          <cell r="CO44">
            <v>0</v>
          </cell>
          <cell r="CX44">
            <v>0</v>
          </cell>
          <cell r="CY44">
            <v>0</v>
          </cell>
          <cell r="DB44">
            <v>0</v>
          </cell>
          <cell r="DC44">
            <v>0</v>
          </cell>
          <cell r="DJ44" t="str">
            <v>НКРКП</v>
          </cell>
          <cell r="DL44">
            <v>40816</v>
          </cell>
          <cell r="DM44" t="str">
            <v>№ 82</v>
          </cell>
          <cell r="DT44">
            <v>733.16</v>
          </cell>
        </row>
        <row r="45">
          <cell r="W45">
            <v>188.61135374957965</v>
          </cell>
          <cell r="AF45">
            <v>40072</v>
          </cell>
          <cell r="AG45" t="str">
            <v>№ В 346/01-15/2651</v>
          </cell>
          <cell r="AH45">
            <v>188.60664723685684</v>
          </cell>
          <cell r="AM45">
            <v>89210</v>
          </cell>
          <cell r="AO45">
            <v>16826018.868000001</v>
          </cell>
          <cell r="AQ45">
            <v>16825599</v>
          </cell>
          <cell r="AU45">
            <v>0</v>
          </cell>
          <cell r="AW45">
            <v>0</v>
          </cell>
          <cell r="AY45">
            <v>11503759</v>
          </cell>
          <cell r="AZ45">
            <v>128.95145163098309</v>
          </cell>
          <cell r="BA45">
            <v>0</v>
          </cell>
          <cell r="BB45">
            <v>0</v>
          </cell>
          <cell r="BC45">
            <v>0</v>
          </cell>
          <cell r="BD45">
            <v>0</v>
          </cell>
          <cell r="BG45">
            <v>0</v>
          </cell>
          <cell r="BH45">
            <v>0</v>
          </cell>
          <cell r="BI45">
            <v>2581922</v>
          </cell>
          <cell r="BJ45">
            <v>28.942069274744984</v>
          </cell>
          <cell r="BK45">
            <v>0</v>
          </cell>
          <cell r="BL45">
            <v>0</v>
          </cell>
          <cell r="BM45">
            <v>665918</v>
          </cell>
          <cell r="BN45">
            <v>7.464611590628853</v>
          </cell>
          <cell r="BO45">
            <v>0</v>
          </cell>
          <cell r="BP45">
            <v>0</v>
          </cell>
          <cell r="BY45">
            <v>1410.05</v>
          </cell>
          <cell r="CF45">
            <v>13986.547313175983</v>
          </cell>
          <cell r="CG45">
            <v>822.48740467655807</v>
          </cell>
          <cell r="CJ45">
            <v>0</v>
          </cell>
          <cell r="CK45">
            <v>0</v>
          </cell>
          <cell r="CL45">
            <v>0</v>
          </cell>
          <cell r="CM45">
            <v>0</v>
          </cell>
          <cell r="CN45">
            <v>0</v>
          </cell>
          <cell r="CO45">
            <v>0</v>
          </cell>
          <cell r="CX45">
            <v>0</v>
          </cell>
          <cell r="CY45">
            <v>0</v>
          </cell>
          <cell r="DB45">
            <v>0</v>
          </cell>
          <cell r="DC45">
            <v>0</v>
          </cell>
          <cell r="DJ45" t="str">
            <v>МОС</v>
          </cell>
          <cell r="DL45">
            <v>40100</v>
          </cell>
          <cell r="DM45" t="str">
            <v>№ 14901/07-26</v>
          </cell>
          <cell r="DO45" t="str">
            <v>Тарифи на виробництво, транспортування та постачання т/е</v>
          </cell>
          <cell r="DT45">
            <v>188.61135374957965</v>
          </cell>
        </row>
        <row r="46">
          <cell r="W46">
            <v>409.86411267587533</v>
          </cell>
          <cell r="AF46">
            <v>40072</v>
          </cell>
          <cell r="AG46" t="str">
            <v>№ В 346/01-15/2652</v>
          </cell>
          <cell r="AH46">
            <v>405.2443302280758</v>
          </cell>
          <cell r="AM46">
            <v>31130</v>
          </cell>
          <cell r="AO46">
            <v>12759069.827599999</v>
          </cell>
          <cell r="AQ46">
            <v>12615256</v>
          </cell>
          <cell r="AU46">
            <v>0</v>
          </cell>
          <cell r="AW46">
            <v>0</v>
          </cell>
          <cell r="AY46">
            <v>10652761.987247998</v>
          </cell>
          <cell r="AZ46">
            <v>342.20244096524249</v>
          </cell>
          <cell r="BA46">
            <v>0</v>
          </cell>
          <cell r="BB46">
            <v>0</v>
          </cell>
          <cell r="BC46">
            <v>0</v>
          </cell>
          <cell r="BD46">
            <v>0</v>
          </cell>
          <cell r="BG46">
            <v>0</v>
          </cell>
          <cell r="BH46">
            <v>0</v>
          </cell>
          <cell r="BI46">
            <v>900966</v>
          </cell>
          <cell r="BJ46">
            <v>28.942049469964665</v>
          </cell>
          <cell r="BK46">
            <v>0</v>
          </cell>
          <cell r="BL46">
            <v>0</v>
          </cell>
          <cell r="BM46">
            <v>232374</v>
          </cell>
          <cell r="BN46">
            <v>7.4646321876003858</v>
          </cell>
          <cell r="BO46">
            <v>0</v>
          </cell>
          <cell r="BP46">
            <v>0</v>
          </cell>
          <cell r="BY46">
            <v>1410.05</v>
          </cell>
          <cell r="CF46">
            <v>4880.6327999999994</v>
          </cell>
          <cell r="CG46">
            <v>2182.66</v>
          </cell>
          <cell r="CJ46">
            <v>0</v>
          </cell>
          <cell r="CK46">
            <v>0</v>
          </cell>
          <cell r="CL46">
            <v>0</v>
          </cell>
          <cell r="CM46">
            <v>0</v>
          </cell>
          <cell r="CN46">
            <v>0</v>
          </cell>
          <cell r="CO46">
            <v>0</v>
          </cell>
          <cell r="CX46">
            <v>0</v>
          </cell>
          <cell r="CY46">
            <v>0</v>
          </cell>
          <cell r="DB46">
            <v>0</v>
          </cell>
          <cell r="DC46">
            <v>0</v>
          </cell>
          <cell r="DJ46" t="str">
            <v>НКРКП</v>
          </cell>
          <cell r="DL46">
            <v>40942</v>
          </cell>
          <cell r="DM46" t="str">
            <v>№ 62</v>
          </cell>
          <cell r="DT46">
            <v>676.72</v>
          </cell>
        </row>
        <row r="47">
          <cell r="W47">
            <v>426.04923236614479</v>
          </cell>
          <cell r="AF47">
            <v>40072</v>
          </cell>
          <cell r="AG47" t="str">
            <v>№ В 346/01-15/2653</v>
          </cell>
          <cell r="AH47">
            <v>411.74189203985549</v>
          </cell>
          <cell r="AM47">
            <v>182660</v>
          </cell>
          <cell r="AO47">
            <v>77822152.784000009</v>
          </cell>
          <cell r="AQ47">
            <v>75208774</v>
          </cell>
          <cell r="AU47">
            <v>0</v>
          </cell>
          <cell r="AW47">
            <v>0</v>
          </cell>
          <cell r="AY47">
            <v>62506694.919383995</v>
          </cell>
          <cell r="AZ47">
            <v>342.20242482965068</v>
          </cell>
          <cell r="BA47">
            <v>0</v>
          </cell>
          <cell r="BB47">
            <v>0</v>
          </cell>
          <cell r="BC47">
            <v>0</v>
          </cell>
          <cell r="BD47">
            <v>0</v>
          </cell>
          <cell r="BG47">
            <v>0</v>
          </cell>
          <cell r="BH47">
            <v>0</v>
          </cell>
          <cell r="BI47">
            <v>5286556</v>
          </cell>
          <cell r="BJ47">
            <v>28.942056279426257</v>
          </cell>
          <cell r="BK47">
            <v>0</v>
          </cell>
          <cell r="BL47">
            <v>0</v>
          </cell>
          <cell r="BM47">
            <v>1502472</v>
          </cell>
          <cell r="BN47">
            <v>8.2255118799956204</v>
          </cell>
          <cell r="BO47">
            <v>0</v>
          </cell>
          <cell r="BP47">
            <v>0</v>
          </cell>
          <cell r="BY47">
            <v>1393.36</v>
          </cell>
          <cell r="CF47">
            <v>28637.8524</v>
          </cell>
          <cell r="CG47">
            <v>2182.66</v>
          </cell>
          <cell r="CJ47">
            <v>0</v>
          </cell>
          <cell r="CK47">
            <v>0</v>
          </cell>
          <cell r="CL47">
            <v>0</v>
          </cell>
          <cell r="CM47">
            <v>0</v>
          </cell>
          <cell r="CN47">
            <v>0</v>
          </cell>
          <cell r="CO47">
            <v>0</v>
          </cell>
          <cell r="CX47">
            <v>0</v>
          </cell>
          <cell r="CY47">
            <v>0</v>
          </cell>
          <cell r="DB47">
            <v>0</v>
          </cell>
          <cell r="DC47">
            <v>0</v>
          </cell>
          <cell r="DJ47" t="str">
            <v>НКРКП</v>
          </cell>
          <cell r="DL47">
            <v>40942</v>
          </cell>
          <cell r="DM47" t="str">
            <v>№ 62</v>
          </cell>
          <cell r="DT47">
            <v>692.91</v>
          </cell>
        </row>
        <row r="48">
          <cell r="W48">
            <v>247.89</v>
          </cell>
          <cell r="AF48">
            <v>40078</v>
          </cell>
          <cell r="AG48">
            <v>159</v>
          </cell>
          <cell r="AH48">
            <v>247.8941073795132</v>
          </cell>
          <cell r="AM48">
            <v>30937</v>
          </cell>
          <cell r="AO48">
            <v>7668972.9299999997</v>
          </cell>
          <cell r="AQ48">
            <v>7669100</v>
          </cell>
          <cell r="AU48">
            <v>0</v>
          </cell>
          <cell r="AW48">
            <v>0</v>
          </cell>
          <cell r="AY48">
            <v>3676852.9435439999</v>
          </cell>
          <cell r="AZ48">
            <v>118.84969271564793</v>
          </cell>
          <cell r="BA48">
            <v>0</v>
          </cell>
          <cell r="BB48">
            <v>0</v>
          </cell>
          <cell r="BC48">
            <v>0</v>
          </cell>
          <cell r="BD48">
            <v>0</v>
          </cell>
          <cell r="BG48">
            <v>0</v>
          </cell>
          <cell r="BH48">
            <v>0</v>
          </cell>
          <cell r="BI48">
            <v>841400</v>
          </cell>
          <cell r="BJ48">
            <v>27.197207227591559</v>
          </cell>
          <cell r="BK48">
            <v>0</v>
          </cell>
          <cell r="BL48">
            <v>0</v>
          </cell>
          <cell r="BM48">
            <v>1334706</v>
          </cell>
          <cell r="BN48">
            <v>43.14270937712125</v>
          </cell>
          <cell r="BO48">
            <v>0</v>
          </cell>
          <cell r="BP48">
            <v>0</v>
          </cell>
          <cell r="BY48">
            <v>1936.32</v>
          </cell>
          <cell r="CF48">
            <v>5055.3441999999995</v>
          </cell>
          <cell r="CG48">
            <v>727.32</v>
          </cell>
          <cell r="CJ48">
            <v>0</v>
          </cell>
          <cell r="CK48">
            <v>0</v>
          </cell>
          <cell r="CL48">
            <v>0</v>
          </cell>
          <cell r="CM48">
            <v>0</v>
          </cell>
          <cell r="CN48">
            <v>0</v>
          </cell>
          <cell r="CO48">
            <v>0</v>
          </cell>
          <cell r="CX48">
            <v>0</v>
          </cell>
          <cell r="CY48">
            <v>0</v>
          </cell>
          <cell r="DB48">
            <v>0</v>
          </cell>
          <cell r="DC48">
            <v>0</v>
          </cell>
          <cell r="DJ48" t="str">
            <v>НКРЕ</v>
          </cell>
          <cell r="DL48">
            <v>40526</v>
          </cell>
          <cell r="DM48">
            <v>1766</v>
          </cell>
          <cell r="DO48" t="str">
            <v>Тариф на теплову енергію</v>
          </cell>
          <cell r="DT48">
            <v>272.68</v>
          </cell>
        </row>
        <row r="49">
          <cell r="W49">
            <v>577.16</v>
          </cell>
          <cell r="AF49">
            <v>40078</v>
          </cell>
          <cell r="AG49">
            <v>160</v>
          </cell>
          <cell r="AH49">
            <v>501.87018701870187</v>
          </cell>
          <cell r="AM49">
            <v>8181</v>
          </cell>
          <cell r="AO49">
            <v>4721745.96</v>
          </cell>
          <cell r="AQ49">
            <v>4105800</v>
          </cell>
          <cell r="AU49">
            <v>0</v>
          </cell>
          <cell r="AW49">
            <v>0</v>
          </cell>
          <cell r="AY49">
            <v>2957785.8631399996</v>
          </cell>
          <cell r="AZ49">
            <v>361.54331538198261</v>
          </cell>
          <cell r="BA49">
            <v>0</v>
          </cell>
          <cell r="BB49">
            <v>0</v>
          </cell>
          <cell r="BC49">
            <v>0</v>
          </cell>
          <cell r="BD49">
            <v>0</v>
          </cell>
          <cell r="BG49">
            <v>0</v>
          </cell>
          <cell r="BH49">
            <v>0</v>
          </cell>
          <cell r="BI49">
            <v>222496</v>
          </cell>
          <cell r="BJ49">
            <v>27.196675223077865</v>
          </cell>
          <cell r="BK49">
            <v>0</v>
          </cell>
          <cell r="BL49">
            <v>0</v>
          </cell>
          <cell r="BM49">
            <v>352900</v>
          </cell>
          <cell r="BN49">
            <v>43.136535875809805</v>
          </cell>
          <cell r="BO49">
            <v>0</v>
          </cell>
          <cell r="BP49">
            <v>0</v>
          </cell>
          <cell r="BY49">
            <v>1936.32</v>
          </cell>
          <cell r="CF49">
            <v>1355.1289999999999</v>
          </cell>
          <cell r="CG49">
            <v>2182.66</v>
          </cell>
          <cell r="CJ49">
            <v>0</v>
          </cell>
          <cell r="CK49">
            <v>0</v>
          </cell>
          <cell r="CL49">
            <v>0</v>
          </cell>
          <cell r="CM49">
            <v>0</v>
          </cell>
          <cell r="CN49">
            <v>0</v>
          </cell>
          <cell r="CO49">
            <v>0</v>
          </cell>
          <cell r="CX49">
            <v>0</v>
          </cell>
          <cell r="CY49">
            <v>0</v>
          </cell>
          <cell r="DB49">
            <v>0</v>
          </cell>
          <cell r="DC49">
            <v>0</v>
          </cell>
          <cell r="DJ49" t="str">
            <v>НКРКП</v>
          </cell>
          <cell r="DL49">
            <v>40816</v>
          </cell>
          <cell r="DM49">
            <v>86</v>
          </cell>
          <cell r="DT49">
            <v>837.11</v>
          </cell>
        </row>
        <row r="50">
          <cell r="W50">
            <v>652.44000000000005</v>
          </cell>
          <cell r="AF50">
            <v>40078</v>
          </cell>
          <cell r="AG50">
            <v>160</v>
          </cell>
          <cell r="AH50">
            <v>501.8738229755179</v>
          </cell>
          <cell r="AM50">
            <v>2124</v>
          </cell>
          <cell r="AO50">
            <v>1385782.56</v>
          </cell>
          <cell r="AQ50">
            <v>1065980</v>
          </cell>
          <cell r="AU50">
            <v>0</v>
          </cell>
          <cell r="AW50">
            <v>0</v>
          </cell>
          <cell r="AY50">
            <v>768126.07252000005</v>
          </cell>
          <cell r="AZ50">
            <v>361.64127708097931</v>
          </cell>
          <cell r="BA50">
            <v>0</v>
          </cell>
          <cell r="BB50">
            <v>0</v>
          </cell>
          <cell r="BC50">
            <v>0</v>
          </cell>
          <cell r="BD50">
            <v>0</v>
          </cell>
          <cell r="BG50">
            <v>0</v>
          </cell>
          <cell r="BH50">
            <v>0</v>
          </cell>
          <cell r="BI50">
            <v>57772</v>
          </cell>
          <cell r="BJ50">
            <v>27.199623352165727</v>
          </cell>
          <cell r="BK50">
            <v>0</v>
          </cell>
          <cell r="BL50">
            <v>0</v>
          </cell>
          <cell r="BM50">
            <v>91631</v>
          </cell>
          <cell r="BN50">
            <v>43.140772128060263</v>
          </cell>
          <cell r="BO50">
            <v>0</v>
          </cell>
          <cell r="BP50">
            <v>0</v>
          </cell>
          <cell r="BY50">
            <v>1936.32</v>
          </cell>
          <cell r="CF50">
            <v>351.92200000000003</v>
          </cell>
          <cell r="CG50">
            <v>2182.66</v>
          </cell>
          <cell r="CJ50">
            <v>0</v>
          </cell>
          <cell r="CK50">
            <v>0</v>
          </cell>
          <cell r="CL50">
            <v>0</v>
          </cell>
          <cell r="CM50">
            <v>0</v>
          </cell>
          <cell r="CN50">
            <v>0</v>
          </cell>
          <cell r="CO50">
            <v>0</v>
          </cell>
          <cell r="CX50">
            <v>0</v>
          </cell>
          <cell r="CY50">
            <v>0</v>
          </cell>
          <cell r="DB50">
            <v>0</v>
          </cell>
          <cell r="DC50">
            <v>0</v>
          </cell>
          <cell r="DJ50" t="str">
            <v>НКРКП</v>
          </cell>
          <cell r="DL50">
            <v>40816</v>
          </cell>
          <cell r="DM50">
            <v>86</v>
          </cell>
          <cell r="DT50">
            <v>912.39</v>
          </cell>
        </row>
        <row r="51">
          <cell r="W51">
            <v>236.67</v>
          </cell>
          <cell r="AF51">
            <v>39783</v>
          </cell>
          <cell r="AG51">
            <v>253</v>
          </cell>
          <cell r="AH51">
            <v>261.46577504568864</v>
          </cell>
          <cell r="AM51">
            <v>24076</v>
          </cell>
          <cell r="AO51">
            <v>5698066.9199999999</v>
          </cell>
          <cell r="AQ51">
            <v>6295050</v>
          </cell>
          <cell r="AU51">
            <v>0</v>
          </cell>
          <cell r="AW51">
            <v>0</v>
          </cell>
          <cell r="AY51">
            <v>2759670.2760000005</v>
          </cell>
          <cell r="AZ51">
            <v>114.62328775544113</v>
          </cell>
          <cell r="BA51">
            <v>0</v>
          </cell>
          <cell r="BB51">
            <v>0</v>
          </cell>
          <cell r="BC51">
            <v>0</v>
          </cell>
          <cell r="BD51">
            <v>0</v>
          </cell>
          <cell r="BG51">
            <v>0</v>
          </cell>
          <cell r="BH51">
            <v>0</v>
          </cell>
          <cell r="BI51">
            <v>524890</v>
          </cell>
          <cell r="BJ51">
            <v>21.80137896660575</v>
          </cell>
          <cell r="BK51">
            <v>0</v>
          </cell>
          <cell r="BL51">
            <v>0</v>
          </cell>
          <cell r="BM51">
            <v>2374030</v>
          </cell>
          <cell r="BN51">
            <v>98.605665392922418</v>
          </cell>
          <cell r="BO51">
            <v>0</v>
          </cell>
          <cell r="BP51">
            <v>0</v>
          </cell>
          <cell r="BY51">
            <v>2046.56</v>
          </cell>
          <cell r="CF51">
            <v>3794.3</v>
          </cell>
          <cell r="CG51">
            <v>727.32</v>
          </cell>
          <cell r="CJ51">
            <v>0</v>
          </cell>
          <cell r="CK51">
            <v>0</v>
          </cell>
          <cell r="CL51">
            <v>0</v>
          </cell>
          <cell r="CM51">
            <v>0</v>
          </cell>
          <cell r="CN51">
            <v>0</v>
          </cell>
          <cell r="CO51">
            <v>0</v>
          </cell>
          <cell r="CX51">
            <v>0</v>
          </cell>
          <cell r="CY51">
            <v>0</v>
          </cell>
          <cell r="DB51">
            <v>0</v>
          </cell>
          <cell r="DC51">
            <v>0</v>
          </cell>
          <cell r="DJ51" t="str">
            <v>НКРЕ</v>
          </cell>
          <cell r="DL51">
            <v>40526</v>
          </cell>
          <cell r="DM51">
            <v>1765</v>
          </cell>
          <cell r="DO51" t="str">
            <v>Тариф на теплову енергію</v>
          </cell>
          <cell r="DT51">
            <v>287.62</v>
          </cell>
        </row>
        <row r="52">
          <cell r="W52">
            <v>546.92999999999995</v>
          </cell>
          <cell r="AF52">
            <v>39860</v>
          </cell>
          <cell r="AG52">
            <v>38</v>
          </cell>
          <cell r="AH52">
            <v>481.70962574632301</v>
          </cell>
          <cell r="AM52">
            <v>6867</v>
          </cell>
          <cell r="AO52">
            <v>3755768.3099999996</v>
          </cell>
          <cell r="AQ52">
            <v>3307900</v>
          </cell>
          <cell r="AU52">
            <v>0</v>
          </cell>
          <cell r="AW52">
            <v>0</v>
          </cell>
          <cell r="AY52">
            <v>2318064.4575</v>
          </cell>
          <cell r="AZ52">
            <v>337.56581585845345</v>
          </cell>
          <cell r="BA52">
            <v>0</v>
          </cell>
          <cell r="BB52">
            <v>0</v>
          </cell>
          <cell r="BC52">
            <v>0</v>
          </cell>
          <cell r="BD52">
            <v>0</v>
          </cell>
          <cell r="BG52">
            <v>0</v>
          </cell>
          <cell r="BH52">
            <v>0</v>
          </cell>
          <cell r="BI52">
            <v>149720</v>
          </cell>
          <cell r="BJ52">
            <v>21.802825105577398</v>
          </cell>
          <cell r="BK52">
            <v>0</v>
          </cell>
          <cell r="BL52">
            <v>0</v>
          </cell>
          <cell r="BM52">
            <v>677130</v>
          </cell>
          <cell r="BN52">
            <v>98.606378331148974</v>
          </cell>
          <cell r="BO52">
            <v>0</v>
          </cell>
          <cell r="BP52">
            <v>0</v>
          </cell>
          <cell r="BY52">
            <v>2046.56</v>
          </cell>
          <cell r="CF52">
            <v>1082.07</v>
          </cell>
          <cell r="CG52">
            <v>2142.25</v>
          </cell>
          <cell r="CJ52">
            <v>0</v>
          </cell>
          <cell r="CK52">
            <v>0</v>
          </cell>
          <cell r="CL52">
            <v>0</v>
          </cell>
          <cell r="CM52">
            <v>0</v>
          </cell>
          <cell r="CN52">
            <v>0</v>
          </cell>
          <cell r="CO52">
            <v>0</v>
          </cell>
          <cell r="CX52">
            <v>0</v>
          </cell>
          <cell r="CY52">
            <v>0</v>
          </cell>
          <cell r="DB52">
            <v>0</v>
          </cell>
          <cell r="DC52">
            <v>0</v>
          </cell>
          <cell r="DJ52" t="str">
            <v>НКРКП</v>
          </cell>
          <cell r="DL52">
            <v>40816</v>
          </cell>
          <cell r="DM52">
            <v>87</v>
          </cell>
          <cell r="DT52">
            <v>800.6</v>
          </cell>
        </row>
        <row r="53">
          <cell r="W53">
            <v>554.15</v>
          </cell>
          <cell r="AF53">
            <v>39860</v>
          </cell>
          <cell r="AG53">
            <v>38</v>
          </cell>
          <cell r="AH53">
            <v>481.70790878214461</v>
          </cell>
          <cell r="AM53">
            <v>2061</v>
          </cell>
          <cell r="AO53">
            <v>1142103.1499999999</v>
          </cell>
          <cell r="AQ53">
            <v>992800</v>
          </cell>
          <cell r="AU53">
            <v>0</v>
          </cell>
          <cell r="AW53">
            <v>0</v>
          </cell>
          <cell r="AY53">
            <v>695738.53249999997</v>
          </cell>
          <cell r="AZ53">
            <v>337.57328117418729</v>
          </cell>
          <cell r="BA53">
            <v>0</v>
          </cell>
          <cell r="BB53">
            <v>0</v>
          </cell>
          <cell r="BC53">
            <v>0</v>
          </cell>
          <cell r="BD53">
            <v>0</v>
          </cell>
          <cell r="BG53">
            <v>0</v>
          </cell>
          <cell r="BH53">
            <v>0</v>
          </cell>
          <cell r="BI53">
            <v>44930</v>
          </cell>
          <cell r="BJ53">
            <v>21.800097040271712</v>
          </cell>
          <cell r="BK53">
            <v>0</v>
          </cell>
          <cell r="BL53">
            <v>0</v>
          </cell>
          <cell r="BM53">
            <v>203220</v>
          </cell>
          <cell r="BN53">
            <v>98.602620087336248</v>
          </cell>
          <cell r="BO53">
            <v>0</v>
          </cell>
          <cell r="BP53">
            <v>0</v>
          </cell>
          <cell r="BY53">
            <v>2046.56</v>
          </cell>
          <cell r="CF53">
            <v>324.77</v>
          </cell>
          <cell r="CG53">
            <v>2142.25</v>
          </cell>
          <cell r="CJ53">
            <v>0</v>
          </cell>
          <cell r="CK53">
            <v>0</v>
          </cell>
          <cell r="CL53">
            <v>0</v>
          </cell>
          <cell r="CM53">
            <v>0</v>
          </cell>
          <cell r="CN53">
            <v>0</v>
          </cell>
          <cell r="CO53">
            <v>0</v>
          </cell>
          <cell r="CX53">
            <v>0</v>
          </cell>
          <cell r="CY53">
            <v>0</v>
          </cell>
          <cell r="DB53">
            <v>0</v>
          </cell>
          <cell r="DC53">
            <v>0</v>
          </cell>
          <cell r="DJ53" t="str">
            <v>НКРКП</v>
          </cell>
          <cell r="DL53">
            <v>40816</v>
          </cell>
          <cell r="DM53">
            <v>87</v>
          </cell>
          <cell r="DT53">
            <v>807.82</v>
          </cell>
        </row>
        <row r="54">
          <cell r="W54">
            <v>684.37</v>
          </cell>
          <cell r="AF54">
            <v>39602</v>
          </cell>
          <cell r="AG54">
            <v>238</v>
          </cell>
          <cell r="AH54">
            <v>618.61904761904759</v>
          </cell>
          <cell r="AM54">
            <v>420</v>
          </cell>
          <cell r="AO54">
            <v>287435.40000000002</v>
          </cell>
          <cell r="AQ54">
            <v>259820</v>
          </cell>
          <cell r="AU54">
            <v>221110</v>
          </cell>
          <cell r="AW54">
            <v>0</v>
          </cell>
          <cell r="AY54">
            <v>0</v>
          </cell>
          <cell r="AZ54">
            <v>0</v>
          </cell>
          <cell r="BA54">
            <v>0</v>
          </cell>
          <cell r="BB54">
            <v>0</v>
          </cell>
          <cell r="BC54">
            <v>0</v>
          </cell>
          <cell r="BD54">
            <v>0</v>
          </cell>
          <cell r="BG54">
            <v>0</v>
          </cell>
          <cell r="BH54">
            <v>0</v>
          </cell>
          <cell r="BI54">
            <v>0</v>
          </cell>
          <cell r="BJ54">
            <v>0</v>
          </cell>
          <cell r="BK54">
            <v>0</v>
          </cell>
          <cell r="BL54">
            <v>0</v>
          </cell>
          <cell r="BM54">
            <v>26610</v>
          </cell>
          <cell r="BN54">
            <v>63.357142857142854</v>
          </cell>
          <cell r="BO54">
            <v>0</v>
          </cell>
          <cell r="BP54">
            <v>0</v>
          </cell>
          <cell r="BY54">
            <v>1625</v>
          </cell>
          <cell r="CF54">
            <v>0</v>
          </cell>
          <cell r="CG54">
            <v>0</v>
          </cell>
          <cell r="CJ54">
            <v>500</v>
          </cell>
          <cell r="CK54">
            <v>442.22</v>
          </cell>
          <cell r="CL54">
            <v>734.41</v>
          </cell>
          <cell r="CM54">
            <v>0</v>
          </cell>
          <cell r="CN54">
            <v>0</v>
          </cell>
          <cell r="CO54">
            <v>0</v>
          </cell>
          <cell r="CX54">
            <v>0</v>
          </cell>
          <cell r="CY54">
            <v>0</v>
          </cell>
          <cell r="DB54">
            <v>0</v>
          </cell>
          <cell r="DC54">
            <v>0</v>
          </cell>
          <cell r="DJ54" t="str">
            <v>НКРКП</v>
          </cell>
          <cell r="DL54">
            <v>40984</v>
          </cell>
          <cell r="DM54">
            <v>138</v>
          </cell>
          <cell r="DO54" t="str">
            <v xml:space="preserve"> з теплоносієм у вигляді гарячої води</v>
          </cell>
          <cell r="DT54">
            <v>956.43</v>
          </cell>
        </row>
        <row r="55">
          <cell r="W55">
            <v>709.78</v>
          </cell>
          <cell r="AF55">
            <v>39602</v>
          </cell>
          <cell r="AG55">
            <v>238</v>
          </cell>
          <cell r="AH55">
            <v>827.7</v>
          </cell>
          <cell r="AM55">
            <v>60</v>
          </cell>
          <cell r="AO55">
            <v>42586.799999999996</v>
          </cell>
          <cell r="AQ55">
            <v>49662</v>
          </cell>
          <cell r="AU55">
            <v>44222</v>
          </cell>
          <cell r="AW55">
            <v>0</v>
          </cell>
          <cell r="AY55">
            <v>0</v>
          </cell>
          <cell r="AZ55">
            <v>0</v>
          </cell>
          <cell r="BA55">
            <v>0</v>
          </cell>
          <cell r="BB55">
            <v>0</v>
          </cell>
          <cell r="BC55">
            <v>0</v>
          </cell>
          <cell r="BD55">
            <v>0</v>
          </cell>
          <cell r="BG55">
            <v>0</v>
          </cell>
          <cell r="BH55">
            <v>0</v>
          </cell>
          <cell r="BI55">
            <v>0</v>
          </cell>
          <cell r="BJ55">
            <v>0</v>
          </cell>
          <cell r="BK55">
            <v>0</v>
          </cell>
          <cell r="BL55">
            <v>0</v>
          </cell>
          <cell r="BM55">
            <v>3500</v>
          </cell>
          <cell r="BN55">
            <v>58.333333333333336</v>
          </cell>
          <cell r="BO55">
            <v>0</v>
          </cell>
          <cell r="BP55">
            <v>0</v>
          </cell>
          <cell r="BY55">
            <v>1625</v>
          </cell>
          <cell r="CF55">
            <v>0</v>
          </cell>
          <cell r="CG55">
            <v>0</v>
          </cell>
          <cell r="CJ55">
            <v>100</v>
          </cell>
          <cell r="CK55">
            <v>442.22</v>
          </cell>
          <cell r="CL55">
            <v>734.41</v>
          </cell>
          <cell r="CM55">
            <v>0</v>
          </cell>
          <cell r="CN55">
            <v>0</v>
          </cell>
          <cell r="CO55">
            <v>0</v>
          </cell>
          <cell r="CX55">
            <v>0</v>
          </cell>
          <cell r="CY55">
            <v>0</v>
          </cell>
          <cell r="DB55">
            <v>0</v>
          </cell>
          <cell r="DC55">
            <v>0</v>
          </cell>
          <cell r="DJ55" t="str">
            <v>НКРКП</v>
          </cell>
          <cell r="DL55">
            <v>40984</v>
          </cell>
          <cell r="DM55">
            <v>138</v>
          </cell>
          <cell r="DO55" t="str">
            <v>з теплоносієм у вигляді пари</v>
          </cell>
          <cell r="DT55">
            <v>956.43</v>
          </cell>
        </row>
        <row r="56">
          <cell r="W56">
            <v>235.97</v>
          </cell>
          <cell r="AF56">
            <v>39617</v>
          </cell>
          <cell r="AG56">
            <v>279</v>
          </cell>
          <cell r="AH56">
            <v>303.74665915915915</v>
          </cell>
          <cell r="AM56">
            <v>26640</v>
          </cell>
          <cell r="AO56">
            <v>6286240.7999999998</v>
          </cell>
          <cell r="AQ56">
            <v>8091811</v>
          </cell>
          <cell r="AU56">
            <v>7979741</v>
          </cell>
          <cell r="AW56">
            <v>0</v>
          </cell>
          <cell r="AY56">
            <v>0</v>
          </cell>
          <cell r="AZ56">
            <v>0</v>
          </cell>
          <cell r="BA56">
            <v>0</v>
          </cell>
          <cell r="BB56">
            <v>0</v>
          </cell>
          <cell r="BC56">
            <v>0</v>
          </cell>
          <cell r="BD56">
            <v>0</v>
          </cell>
          <cell r="BG56">
            <v>0</v>
          </cell>
          <cell r="BH56">
            <v>0</v>
          </cell>
          <cell r="BI56">
            <v>0</v>
          </cell>
          <cell r="BJ56">
            <v>0</v>
          </cell>
          <cell r="BK56">
            <v>0</v>
          </cell>
          <cell r="BL56">
            <v>0</v>
          </cell>
          <cell r="BM56">
            <v>64510</v>
          </cell>
          <cell r="BN56">
            <v>2.4215465465465464</v>
          </cell>
          <cell r="BO56">
            <v>0</v>
          </cell>
          <cell r="BP56">
            <v>0</v>
          </cell>
          <cell r="BY56">
            <v>1625</v>
          </cell>
          <cell r="CF56">
            <v>0</v>
          </cell>
          <cell r="CG56">
            <v>0</v>
          </cell>
          <cell r="CJ56">
            <v>34100</v>
          </cell>
          <cell r="CK56">
            <v>234.01</v>
          </cell>
          <cell r="CL56">
            <v>258.62</v>
          </cell>
          <cell r="CM56">
            <v>0</v>
          </cell>
          <cell r="CN56">
            <v>0</v>
          </cell>
          <cell r="CO56">
            <v>0</v>
          </cell>
          <cell r="CX56">
            <v>0</v>
          </cell>
          <cell r="CY56">
            <v>0</v>
          </cell>
          <cell r="DB56">
            <v>0</v>
          </cell>
          <cell r="DC56">
            <v>0</v>
          </cell>
          <cell r="DJ56" t="str">
            <v>МОС</v>
          </cell>
          <cell r="DL56">
            <v>40479</v>
          </cell>
          <cell r="DM56" t="str">
            <v>384/В-10</v>
          </cell>
          <cell r="DO56" t="str">
            <v>тариф натеплову енергію для ОСББ</v>
          </cell>
          <cell r="DT56">
            <v>235.97</v>
          </cell>
        </row>
        <row r="57">
          <cell r="W57">
            <v>658.76</v>
          </cell>
          <cell r="AF57">
            <v>39617</v>
          </cell>
          <cell r="AG57">
            <v>277</v>
          </cell>
          <cell r="AH57">
            <v>645.02993959478533</v>
          </cell>
          <cell r="AM57">
            <v>2281.2600000000002</v>
          </cell>
          <cell r="AO57">
            <v>1502802.8376000002</v>
          </cell>
          <cell r="AQ57">
            <v>1471481</v>
          </cell>
          <cell r="AU57">
            <v>1298357.9200000002</v>
          </cell>
          <cell r="AW57">
            <v>0</v>
          </cell>
          <cell r="AY57">
            <v>0</v>
          </cell>
          <cell r="AZ57">
            <v>0</v>
          </cell>
          <cell r="BA57">
            <v>0</v>
          </cell>
          <cell r="BB57">
            <v>0</v>
          </cell>
          <cell r="BC57">
            <v>0</v>
          </cell>
          <cell r="BD57">
            <v>0</v>
          </cell>
          <cell r="BG57">
            <v>0</v>
          </cell>
          <cell r="BH57">
            <v>0</v>
          </cell>
          <cell r="BI57">
            <v>0</v>
          </cell>
          <cell r="BJ57">
            <v>0</v>
          </cell>
          <cell r="BK57">
            <v>0</v>
          </cell>
          <cell r="BL57">
            <v>0</v>
          </cell>
          <cell r="BM57">
            <v>117952</v>
          </cell>
          <cell r="BN57">
            <v>51.704759650368651</v>
          </cell>
          <cell r="BO57">
            <v>0</v>
          </cell>
          <cell r="BP57">
            <v>0</v>
          </cell>
          <cell r="BY57">
            <v>1625</v>
          </cell>
          <cell r="CF57">
            <v>0</v>
          </cell>
          <cell r="CG57">
            <v>0</v>
          </cell>
          <cell r="CJ57">
            <v>2936</v>
          </cell>
          <cell r="CK57">
            <v>442.22</v>
          </cell>
          <cell r="CL57">
            <v>734.41</v>
          </cell>
          <cell r="CM57">
            <v>0</v>
          </cell>
          <cell r="CN57">
            <v>0</v>
          </cell>
          <cell r="CO57">
            <v>0</v>
          </cell>
          <cell r="CX57">
            <v>0</v>
          </cell>
          <cell r="CY57">
            <v>0</v>
          </cell>
          <cell r="DB57">
            <v>0</v>
          </cell>
          <cell r="DC57">
            <v>0</v>
          </cell>
          <cell r="DJ57" t="str">
            <v>НКРКП</v>
          </cell>
          <cell r="DL57">
            <v>40984</v>
          </cell>
          <cell r="DM57">
            <v>138</v>
          </cell>
          <cell r="DT57">
            <v>956.43</v>
          </cell>
        </row>
        <row r="58">
          <cell r="W58">
            <v>658.76</v>
          </cell>
          <cell r="AF58">
            <v>39617</v>
          </cell>
          <cell r="AG58">
            <v>277</v>
          </cell>
          <cell r="AH58">
            <v>645.03018990201406</v>
          </cell>
          <cell r="AM58">
            <v>438.226</v>
          </cell>
          <cell r="AO58">
            <v>288685.75975999999</v>
          </cell>
          <cell r="AQ58">
            <v>282669</v>
          </cell>
          <cell r="AU58">
            <v>249412.08000000002</v>
          </cell>
          <cell r="AW58">
            <v>0</v>
          </cell>
          <cell r="AY58">
            <v>0</v>
          </cell>
          <cell r="AZ58">
            <v>0</v>
          </cell>
          <cell r="BA58">
            <v>0</v>
          </cell>
          <cell r="BB58">
            <v>0</v>
          </cell>
          <cell r="BC58">
            <v>0</v>
          </cell>
          <cell r="BD58">
            <v>0</v>
          </cell>
          <cell r="BG58">
            <v>0</v>
          </cell>
          <cell r="BH58">
            <v>0</v>
          </cell>
          <cell r="BI58">
            <v>0</v>
          </cell>
          <cell r="BJ58">
            <v>0</v>
          </cell>
          <cell r="BK58">
            <v>0</v>
          </cell>
          <cell r="BL58">
            <v>0</v>
          </cell>
          <cell r="BM58">
            <v>22658</v>
          </cell>
          <cell r="BN58">
            <v>51.703915331358708</v>
          </cell>
          <cell r="BO58">
            <v>0</v>
          </cell>
          <cell r="BP58">
            <v>0</v>
          </cell>
          <cell r="BY58">
            <v>1625</v>
          </cell>
          <cell r="CF58">
            <v>0</v>
          </cell>
          <cell r="CG58">
            <v>0</v>
          </cell>
          <cell r="CJ58">
            <v>564</v>
          </cell>
          <cell r="CK58">
            <v>442.22</v>
          </cell>
          <cell r="CL58">
            <v>734.41</v>
          </cell>
          <cell r="CM58">
            <v>0</v>
          </cell>
          <cell r="CN58">
            <v>0</v>
          </cell>
          <cell r="CO58">
            <v>0</v>
          </cell>
          <cell r="CX58">
            <v>0</v>
          </cell>
          <cell r="CY58">
            <v>0</v>
          </cell>
          <cell r="DB58">
            <v>0</v>
          </cell>
          <cell r="DC58">
            <v>0</v>
          </cell>
          <cell r="DJ58" t="str">
            <v>НКРКП</v>
          </cell>
          <cell r="DL58">
            <v>40984</v>
          </cell>
          <cell r="DM58">
            <v>138</v>
          </cell>
          <cell r="DO58" t="str">
            <v>для підприємств ЖКГ</v>
          </cell>
          <cell r="DT58">
            <v>956.43</v>
          </cell>
        </row>
        <row r="59">
          <cell r="W59">
            <v>155.77000000000001</v>
          </cell>
          <cell r="AF59">
            <v>39742</v>
          </cell>
          <cell r="AG59">
            <v>414</v>
          </cell>
          <cell r="AH59">
            <v>311.54256553003944</v>
          </cell>
          <cell r="AM59">
            <v>21555</v>
          </cell>
          <cell r="AO59">
            <v>3357622.35</v>
          </cell>
          <cell r="AQ59">
            <v>6715300</v>
          </cell>
          <cell r="AU59">
            <v>0</v>
          </cell>
          <cell r="AW59">
            <v>0</v>
          </cell>
          <cell r="AY59">
            <v>3665505.8774999999</v>
          </cell>
          <cell r="AZ59">
            <v>170.05362456506612</v>
          </cell>
          <cell r="BA59">
            <v>0</v>
          </cell>
          <cell r="BB59">
            <v>0</v>
          </cell>
          <cell r="BC59">
            <v>0</v>
          </cell>
          <cell r="BD59">
            <v>0</v>
          </cell>
          <cell r="BG59">
            <v>0</v>
          </cell>
          <cell r="BH59">
            <v>0</v>
          </cell>
          <cell r="BI59">
            <v>329600</v>
          </cell>
          <cell r="BJ59">
            <v>15.291115750405938</v>
          </cell>
          <cell r="BK59">
            <v>0</v>
          </cell>
          <cell r="BL59">
            <v>0</v>
          </cell>
          <cell r="BM59">
            <v>1928741</v>
          </cell>
          <cell r="BN59">
            <v>89.479981442820687</v>
          </cell>
          <cell r="BO59">
            <v>0</v>
          </cell>
          <cell r="BP59">
            <v>0</v>
          </cell>
          <cell r="BY59">
            <v>1286.98</v>
          </cell>
          <cell r="CF59">
            <v>5071.75</v>
          </cell>
          <cell r="CG59">
            <v>722.73</v>
          </cell>
          <cell r="CJ59">
            <v>0</v>
          </cell>
          <cell r="CK59">
            <v>0</v>
          </cell>
          <cell r="CL59">
            <v>0</v>
          </cell>
          <cell r="CM59">
            <v>0</v>
          </cell>
          <cell r="CN59">
            <v>0</v>
          </cell>
          <cell r="CO59">
            <v>0</v>
          </cell>
          <cell r="CX59">
            <v>0</v>
          </cell>
          <cell r="CY59">
            <v>0</v>
          </cell>
          <cell r="DB59">
            <v>0</v>
          </cell>
          <cell r="DC59">
            <v>0</v>
          </cell>
          <cell r="DJ59" t="str">
            <v>НКРЕ</v>
          </cell>
          <cell r="DL59">
            <v>40526</v>
          </cell>
          <cell r="DM59" t="str">
            <v>№ 1696</v>
          </cell>
          <cell r="DO59" t="str">
            <v>тариф на теплову енергію</v>
          </cell>
          <cell r="DT59">
            <v>194.73</v>
          </cell>
        </row>
        <row r="60">
          <cell r="W60">
            <v>602.36699999999996</v>
          </cell>
          <cell r="AF60">
            <v>39884</v>
          </cell>
          <cell r="AG60">
            <v>154</v>
          </cell>
          <cell r="AH60">
            <v>498.99244152880777</v>
          </cell>
          <cell r="AM60">
            <v>14024</v>
          </cell>
          <cell r="AO60">
            <v>8447594.8080000002</v>
          </cell>
          <cell r="AQ60">
            <v>6997870</v>
          </cell>
          <cell r="AU60">
            <v>0</v>
          </cell>
          <cell r="AW60">
            <v>0</v>
          </cell>
          <cell r="AY60">
            <v>5019927.9514000006</v>
          </cell>
          <cell r="AZ60">
            <v>357.95264913006281</v>
          </cell>
          <cell r="BA60">
            <v>0</v>
          </cell>
          <cell r="BB60">
            <v>0</v>
          </cell>
          <cell r="BC60">
            <v>0</v>
          </cell>
          <cell r="BD60">
            <v>0</v>
          </cell>
          <cell r="BG60">
            <v>0</v>
          </cell>
          <cell r="BH60">
            <v>0</v>
          </cell>
          <cell r="BI60">
            <v>207061</v>
          </cell>
          <cell r="BJ60">
            <v>14.764760410724472</v>
          </cell>
          <cell r="BK60">
            <v>0</v>
          </cell>
          <cell r="BL60">
            <v>0</v>
          </cell>
          <cell r="BM60">
            <v>1254869</v>
          </cell>
          <cell r="BN60">
            <v>89.480105533371358</v>
          </cell>
          <cell r="BO60">
            <v>0</v>
          </cell>
          <cell r="BP60">
            <v>0</v>
          </cell>
          <cell r="BY60">
            <v>1286.98</v>
          </cell>
          <cell r="CF60">
            <v>2633.17</v>
          </cell>
          <cell r="CG60">
            <v>1906.42</v>
          </cell>
          <cell r="CJ60">
            <v>0</v>
          </cell>
          <cell r="CK60">
            <v>0</v>
          </cell>
          <cell r="CL60">
            <v>0</v>
          </cell>
          <cell r="CM60">
            <v>0</v>
          </cell>
          <cell r="CN60">
            <v>0</v>
          </cell>
          <cell r="CO60">
            <v>0</v>
          </cell>
          <cell r="CX60">
            <v>0</v>
          </cell>
          <cell r="CY60">
            <v>0</v>
          </cell>
          <cell r="DB60">
            <v>0</v>
          </cell>
          <cell r="DC60">
            <v>0</v>
          </cell>
          <cell r="DJ60" t="str">
            <v>НКРКП</v>
          </cell>
          <cell r="DL60">
            <v>40816</v>
          </cell>
          <cell r="DM60" t="str">
            <v>№ 64</v>
          </cell>
          <cell r="DT60">
            <v>948.76</v>
          </cell>
        </row>
        <row r="61">
          <cell r="W61">
            <v>602.36699999999996</v>
          </cell>
          <cell r="AF61">
            <v>39884</v>
          </cell>
          <cell r="AG61">
            <v>155</v>
          </cell>
          <cell r="AH61">
            <v>498.98885350318471</v>
          </cell>
          <cell r="AM61">
            <v>1256</v>
          </cell>
          <cell r="AO61">
            <v>756572.95199999993</v>
          </cell>
          <cell r="AQ61">
            <v>626730</v>
          </cell>
          <cell r="AU61">
            <v>0</v>
          </cell>
          <cell r="AW61">
            <v>0</v>
          </cell>
          <cell r="AY61">
            <v>449591.02860000002</v>
          </cell>
          <cell r="AZ61">
            <v>357.95464060509556</v>
          </cell>
          <cell r="BA61">
            <v>0</v>
          </cell>
          <cell r="BB61">
            <v>0</v>
          </cell>
          <cell r="BC61">
            <v>0</v>
          </cell>
          <cell r="BD61">
            <v>0</v>
          </cell>
          <cell r="BG61">
            <v>0</v>
          </cell>
          <cell r="BH61">
            <v>0</v>
          </cell>
          <cell r="BI61">
            <v>18539</v>
          </cell>
          <cell r="BJ61">
            <v>14.760350318471337</v>
          </cell>
          <cell r="BK61">
            <v>0</v>
          </cell>
          <cell r="BL61">
            <v>0</v>
          </cell>
          <cell r="BM61">
            <v>112386</v>
          </cell>
          <cell r="BN61">
            <v>89.479299363057322</v>
          </cell>
          <cell r="BO61">
            <v>0</v>
          </cell>
          <cell r="BP61">
            <v>0</v>
          </cell>
          <cell r="BY61">
            <v>1286.98</v>
          </cell>
          <cell r="CF61">
            <v>235.83</v>
          </cell>
          <cell r="CG61">
            <v>1906.42</v>
          </cell>
          <cell r="CJ61">
            <v>0</v>
          </cell>
          <cell r="CK61">
            <v>0</v>
          </cell>
          <cell r="CL61">
            <v>0</v>
          </cell>
          <cell r="CM61">
            <v>0</v>
          </cell>
          <cell r="CN61">
            <v>0</v>
          </cell>
          <cell r="CO61">
            <v>0</v>
          </cell>
          <cell r="CX61">
            <v>0</v>
          </cell>
          <cell r="CY61">
            <v>0</v>
          </cell>
          <cell r="DB61">
            <v>0</v>
          </cell>
          <cell r="DC61">
            <v>0</v>
          </cell>
          <cell r="DJ61" t="str">
            <v>НКРКП</v>
          </cell>
          <cell r="DL61">
            <v>40816</v>
          </cell>
          <cell r="DM61" t="str">
            <v>№ 64</v>
          </cell>
          <cell r="DT61">
            <v>948.76</v>
          </cell>
        </row>
        <row r="62">
          <cell r="W62">
            <v>691.45</v>
          </cell>
          <cell r="AF62" t="str">
            <v>немає</v>
          </cell>
          <cell r="AG62" t="str">
            <v>немає</v>
          </cell>
          <cell r="AH62">
            <v>634.50286776755331</v>
          </cell>
          <cell r="AM62">
            <v>31732</v>
          </cell>
          <cell r="AO62">
            <v>21941091.400000002</v>
          </cell>
          <cell r="AQ62">
            <v>20134045</v>
          </cell>
          <cell r="AU62">
            <v>0</v>
          </cell>
          <cell r="AW62">
            <v>0</v>
          </cell>
          <cell r="AY62">
            <v>17760987</v>
          </cell>
          <cell r="AZ62">
            <v>559.71848607084337</v>
          </cell>
          <cell r="BA62">
            <v>0</v>
          </cell>
          <cell r="BB62">
            <v>0</v>
          </cell>
          <cell r="BC62">
            <v>0</v>
          </cell>
          <cell r="BD62">
            <v>0</v>
          </cell>
          <cell r="BG62">
            <v>0</v>
          </cell>
          <cell r="BH62">
            <v>0</v>
          </cell>
          <cell r="BI62">
            <v>887200</v>
          </cell>
          <cell r="BJ62">
            <v>27.959157947812933</v>
          </cell>
          <cell r="BK62">
            <v>0</v>
          </cell>
          <cell r="BL62">
            <v>0</v>
          </cell>
          <cell r="BM62">
            <v>435600</v>
          </cell>
          <cell r="BN62">
            <v>13.727467540652968</v>
          </cell>
          <cell r="BO62">
            <v>0</v>
          </cell>
          <cell r="BP62">
            <v>0</v>
          </cell>
          <cell r="BY62">
            <v>2414.79</v>
          </cell>
          <cell r="CF62">
            <v>4525</v>
          </cell>
          <cell r="CG62">
            <v>3925.08</v>
          </cell>
          <cell r="CJ62">
            <v>0</v>
          </cell>
          <cell r="CK62">
            <v>0</v>
          </cell>
          <cell r="CL62">
            <v>0</v>
          </cell>
          <cell r="CM62">
            <v>0</v>
          </cell>
          <cell r="CN62">
            <v>0</v>
          </cell>
          <cell r="CO62">
            <v>0</v>
          </cell>
          <cell r="CX62">
            <v>0</v>
          </cell>
          <cell r="CY62">
            <v>0</v>
          </cell>
          <cell r="DB62">
            <v>0</v>
          </cell>
          <cell r="DC62">
            <v>0</v>
          </cell>
          <cell r="DJ62" t="str">
            <v>МОС</v>
          </cell>
          <cell r="DL62">
            <v>40918</v>
          </cell>
          <cell r="DM62">
            <v>15</v>
          </cell>
          <cell r="DT62">
            <v>691.45</v>
          </cell>
        </row>
        <row r="63">
          <cell r="W63">
            <v>336.23551599899218</v>
          </cell>
          <cell r="AF63">
            <v>40424</v>
          </cell>
          <cell r="AG63" t="str">
            <v>6/1/1-254</v>
          </cell>
          <cell r="AH63">
            <v>336.23551604014449</v>
          </cell>
          <cell r="AM63">
            <v>119070</v>
          </cell>
          <cell r="AO63">
            <v>40035562.890000001</v>
          </cell>
          <cell r="AQ63">
            <v>40035562.894900002</v>
          </cell>
          <cell r="AU63">
            <v>0</v>
          </cell>
          <cell r="AW63">
            <v>0</v>
          </cell>
          <cell r="AY63">
            <v>21846193.030000001</v>
          </cell>
          <cell r="AZ63">
            <v>183.47352842865541</v>
          </cell>
          <cell r="BA63">
            <v>0</v>
          </cell>
          <cell r="BB63">
            <v>0</v>
          </cell>
          <cell r="BC63">
            <v>0</v>
          </cell>
          <cell r="BD63">
            <v>0</v>
          </cell>
          <cell r="BG63">
            <v>2499872.63</v>
          </cell>
          <cell r="BH63">
            <v>20.994983035189385</v>
          </cell>
          <cell r="BI63">
            <v>102750.32</v>
          </cell>
          <cell r="BJ63">
            <v>0.86294045519442353</v>
          </cell>
          <cell r="BK63">
            <v>0</v>
          </cell>
          <cell r="BL63">
            <v>0</v>
          </cell>
          <cell r="BM63">
            <v>11487581.007100001</v>
          </cell>
          <cell r="BN63">
            <v>96.477542681615859</v>
          </cell>
          <cell r="BO63">
            <v>0</v>
          </cell>
          <cell r="BP63">
            <v>0</v>
          </cell>
          <cell r="BY63">
            <v>2403.5700000000002</v>
          </cell>
          <cell r="CF63">
            <v>20024.008276810266</v>
          </cell>
          <cell r="CG63">
            <v>1091</v>
          </cell>
          <cell r="CJ63">
            <v>0</v>
          </cell>
          <cell r="CK63">
            <v>0</v>
          </cell>
          <cell r="CL63">
            <v>0</v>
          </cell>
          <cell r="CM63">
            <v>0</v>
          </cell>
          <cell r="CN63">
            <v>0</v>
          </cell>
          <cell r="CO63">
            <v>0</v>
          </cell>
          <cell r="CX63">
            <v>0</v>
          </cell>
          <cell r="CY63">
            <v>0</v>
          </cell>
          <cell r="DB63">
            <v>0</v>
          </cell>
          <cell r="DC63">
            <v>0</v>
          </cell>
          <cell r="DJ63" t="str">
            <v>МОС</v>
          </cell>
          <cell r="DL63">
            <v>40469</v>
          </cell>
          <cell r="DM63" t="str">
            <v xml:space="preserve"> № 571</v>
          </cell>
          <cell r="DO63" t="str">
            <v>тариф на теплову енергію</v>
          </cell>
          <cell r="DT63">
            <v>336.24</v>
          </cell>
        </row>
        <row r="64">
          <cell r="W64">
            <v>618.73</v>
          </cell>
          <cell r="AF64">
            <v>40424</v>
          </cell>
          <cell r="AG64" t="str">
            <v>6/1/1-254</v>
          </cell>
          <cell r="AH64">
            <v>562.00000000000011</v>
          </cell>
          <cell r="AM64">
            <v>14049.999999999998</v>
          </cell>
          <cell r="AO64">
            <v>8693156.5</v>
          </cell>
          <cell r="AQ64">
            <v>7896100</v>
          </cell>
          <cell r="AU64">
            <v>0</v>
          </cell>
          <cell r="AW64">
            <v>0</v>
          </cell>
          <cell r="AY64">
            <v>5749794.0700000003</v>
          </cell>
          <cell r="AZ64">
            <v>409.23801209964421</v>
          </cell>
          <cell r="BA64">
            <v>0</v>
          </cell>
          <cell r="BB64">
            <v>0</v>
          </cell>
          <cell r="BC64">
            <v>0</v>
          </cell>
          <cell r="BD64">
            <v>0</v>
          </cell>
          <cell r="BG64">
            <v>294979.51</v>
          </cell>
          <cell r="BH64">
            <v>20.994982918149468</v>
          </cell>
          <cell r="BI64">
            <v>12124.31</v>
          </cell>
          <cell r="BJ64">
            <v>0.86294021352313177</v>
          </cell>
          <cell r="BK64">
            <v>0</v>
          </cell>
          <cell r="BL64">
            <v>0</v>
          </cell>
          <cell r="BM64">
            <v>1355509.4747000001</v>
          </cell>
          <cell r="BN64">
            <v>96.477542683274038</v>
          </cell>
          <cell r="BO64">
            <v>0</v>
          </cell>
          <cell r="BP64">
            <v>0</v>
          </cell>
          <cell r="BY64">
            <v>2403.5700000000002</v>
          </cell>
          <cell r="CF64">
            <v>2332.6304372520226</v>
          </cell>
          <cell r="CG64">
            <v>2464.94</v>
          </cell>
          <cell r="CJ64">
            <v>0</v>
          </cell>
          <cell r="CK64">
            <v>0</v>
          </cell>
          <cell r="CL64">
            <v>0</v>
          </cell>
          <cell r="CM64">
            <v>0</v>
          </cell>
          <cell r="CN64">
            <v>0</v>
          </cell>
          <cell r="CO64">
            <v>0</v>
          </cell>
          <cell r="CX64">
            <v>0</v>
          </cell>
          <cell r="CY64">
            <v>0</v>
          </cell>
          <cell r="DB64">
            <v>0</v>
          </cell>
          <cell r="DC64">
            <v>0</v>
          </cell>
          <cell r="DJ64" t="str">
            <v>МОС</v>
          </cell>
          <cell r="DL64">
            <v>40469</v>
          </cell>
          <cell r="DM64" t="str">
            <v xml:space="preserve"> № 571</v>
          </cell>
          <cell r="DT64">
            <v>618.73</v>
          </cell>
        </row>
        <row r="65">
          <cell r="W65">
            <v>729.69</v>
          </cell>
          <cell r="AF65">
            <v>40424</v>
          </cell>
          <cell r="AG65" t="str">
            <v>6/1/1-254</v>
          </cell>
          <cell r="AH65">
            <v>562</v>
          </cell>
          <cell r="AM65">
            <v>2300</v>
          </cell>
          <cell r="AO65">
            <v>1678287.0000000002</v>
          </cell>
          <cell r="AQ65">
            <v>1292600</v>
          </cell>
          <cell r="AU65">
            <v>0</v>
          </cell>
          <cell r="AW65">
            <v>0</v>
          </cell>
          <cell r="AY65">
            <v>941247.42999999993</v>
          </cell>
          <cell r="AZ65">
            <v>409.23801304347825</v>
          </cell>
          <cell r="BA65">
            <v>0</v>
          </cell>
          <cell r="BB65">
            <v>0</v>
          </cell>
          <cell r="BC65">
            <v>0</v>
          </cell>
          <cell r="BD65">
            <v>0</v>
          </cell>
          <cell r="BG65">
            <v>48288.46</v>
          </cell>
          <cell r="BH65">
            <v>20.994982608695651</v>
          </cell>
          <cell r="BI65">
            <v>1984.76</v>
          </cell>
          <cell r="BJ65">
            <v>0.86293913043478265</v>
          </cell>
          <cell r="BK65">
            <v>0</v>
          </cell>
          <cell r="BL65">
            <v>0</v>
          </cell>
          <cell r="BM65">
            <v>221898.3481</v>
          </cell>
          <cell r="BN65">
            <v>96.477542652173909</v>
          </cell>
          <cell r="BO65">
            <v>0</v>
          </cell>
          <cell r="BP65">
            <v>0</v>
          </cell>
          <cell r="BY65">
            <v>2403.5700000000002</v>
          </cell>
          <cell r="CF65">
            <v>381.85409381161406</v>
          </cell>
          <cell r="CG65">
            <v>2464.94</v>
          </cell>
          <cell r="CJ65">
            <v>0</v>
          </cell>
          <cell r="CK65">
            <v>0</v>
          </cell>
          <cell r="CL65">
            <v>0</v>
          </cell>
          <cell r="CM65">
            <v>0</v>
          </cell>
          <cell r="CN65">
            <v>0</v>
          </cell>
          <cell r="CO65">
            <v>0</v>
          </cell>
          <cell r="CX65">
            <v>0</v>
          </cell>
          <cell r="CY65">
            <v>0</v>
          </cell>
          <cell r="DB65">
            <v>0</v>
          </cell>
          <cell r="DC65">
            <v>0</v>
          </cell>
          <cell r="DJ65" t="str">
            <v>МОС</v>
          </cell>
          <cell r="DL65">
            <v>40469</v>
          </cell>
          <cell r="DM65" t="str">
            <v xml:space="preserve"> № 571</v>
          </cell>
          <cell r="DT65">
            <v>729.69</v>
          </cell>
        </row>
        <row r="66">
          <cell r="W66">
            <v>243.69</v>
          </cell>
          <cell r="AF66">
            <v>39738</v>
          </cell>
          <cell r="AG66">
            <v>449</v>
          </cell>
          <cell r="AH66">
            <v>235.00246327276437</v>
          </cell>
          <cell r="AM66">
            <v>101865.6982</v>
          </cell>
          <cell r="AO66">
            <v>24823651.994357999</v>
          </cell>
          <cell r="AQ66">
            <v>23938690</v>
          </cell>
          <cell r="AU66">
            <v>0</v>
          </cell>
          <cell r="AW66">
            <v>0</v>
          </cell>
          <cell r="AY66">
            <v>11744733.938938001</v>
          </cell>
          <cell r="AZ66">
            <v>115.29625915760916</v>
          </cell>
          <cell r="BA66">
            <v>0</v>
          </cell>
          <cell r="BB66">
            <v>0</v>
          </cell>
          <cell r="BC66">
            <v>0</v>
          </cell>
          <cell r="BD66">
            <v>0</v>
          </cell>
          <cell r="BG66">
            <v>0</v>
          </cell>
          <cell r="BH66">
            <v>0</v>
          </cell>
          <cell r="BI66">
            <v>1791680</v>
          </cell>
          <cell r="BJ66">
            <v>17.58864889417702</v>
          </cell>
          <cell r="BK66">
            <v>0</v>
          </cell>
          <cell r="BL66">
            <v>0</v>
          </cell>
          <cell r="BM66">
            <v>7977510</v>
          </cell>
          <cell r="BN66">
            <v>78.313997164552887</v>
          </cell>
          <cell r="BO66">
            <v>0</v>
          </cell>
          <cell r="BP66">
            <v>0</v>
          </cell>
          <cell r="BY66">
            <v>2337.34</v>
          </cell>
          <cell r="CF66">
            <v>16713.010600000001</v>
          </cell>
          <cell r="CG66">
            <v>702.73</v>
          </cell>
          <cell r="CJ66">
            <v>0</v>
          </cell>
          <cell r="CK66">
            <v>0</v>
          </cell>
          <cell r="CL66">
            <v>0</v>
          </cell>
          <cell r="CM66">
            <v>0</v>
          </cell>
          <cell r="CN66">
            <v>0</v>
          </cell>
          <cell r="CO66">
            <v>0</v>
          </cell>
          <cell r="CX66">
            <v>0</v>
          </cell>
          <cell r="CY66">
            <v>0</v>
          </cell>
          <cell r="DB66">
            <v>0</v>
          </cell>
          <cell r="DC66">
            <v>0</v>
          </cell>
          <cell r="DJ66" t="str">
            <v>НКРЕ</v>
          </cell>
          <cell r="DL66">
            <v>40526</v>
          </cell>
          <cell r="DM66" t="str">
            <v>№ 1787</v>
          </cell>
          <cell r="DO66" t="str">
            <v>Тариф на теплову енергію</v>
          </cell>
          <cell r="DT66">
            <v>268.06</v>
          </cell>
        </row>
        <row r="67">
          <cell r="W67">
            <v>532.64</v>
          </cell>
          <cell r="AF67">
            <v>39857</v>
          </cell>
          <cell r="AG67">
            <v>54</v>
          </cell>
          <cell r="AH67">
            <v>476.26610157759274</v>
          </cell>
          <cell r="AM67">
            <v>25426.080000000002</v>
          </cell>
          <cell r="AO67">
            <v>13542947.2512</v>
          </cell>
          <cell r="AQ67">
            <v>12109580</v>
          </cell>
          <cell r="AU67">
            <v>0</v>
          </cell>
          <cell r="AW67">
            <v>0</v>
          </cell>
          <cell r="AY67">
            <v>8720306.9032749999</v>
          </cell>
          <cell r="AZ67">
            <v>342.9670206054177</v>
          </cell>
          <cell r="BA67">
            <v>0</v>
          </cell>
          <cell r="BB67">
            <v>0</v>
          </cell>
          <cell r="BC67">
            <v>0</v>
          </cell>
          <cell r="BD67">
            <v>0</v>
          </cell>
          <cell r="BG67">
            <v>0</v>
          </cell>
          <cell r="BH67">
            <v>0</v>
          </cell>
          <cell r="BI67">
            <v>512620</v>
          </cell>
          <cell r="BJ67">
            <v>20.161188826590649</v>
          </cell>
          <cell r="BK67">
            <v>0</v>
          </cell>
          <cell r="BL67">
            <v>0</v>
          </cell>
          <cell r="BM67">
            <v>2210410</v>
          </cell>
          <cell r="BN67">
            <v>86.93475360731972</v>
          </cell>
          <cell r="BO67">
            <v>0</v>
          </cell>
          <cell r="BP67">
            <v>0</v>
          </cell>
          <cell r="BY67">
            <v>2337.34</v>
          </cell>
          <cell r="CF67">
            <v>4070.6298999999999</v>
          </cell>
          <cell r="CG67">
            <v>2142.25</v>
          </cell>
          <cell r="CJ67">
            <v>0</v>
          </cell>
          <cell r="CK67">
            <v>0</v>
          </cell>
          <cell r="CL67">
            <v>0</v>
          </cell>
          <cell r="CM67">
            <v>0</v>
          </cell>
          <cell r="CN67">
            <v>0</v>
          </cell>
          <cell r="CO67">
            <v>0</v>
          </cell>
          <cell r="CX67">
            <v>0</v>
          </cell>
          <cell r="CY67">
            <v>0</v>
          </cell>
          <cell r="DB67">
            <v>0</v>
          </cell>
          <cell r="DC67">
            <v>0</v>
          </cell>
          <cell r="DJ67" t="str">
            <v>НКРКП</v>
          </cell>
          <cell r="DL67">
            <v>40816</v>
          </cell>
          <cell r="DM67" t="str">
            <v>№ 66</v>
          </cell>
          <cell r="DT67">
            <v>790.35</v>
          </cell>
        </row>
        <row r="68">
          <cell r="W68">
            <v>576.42999999999995</v>
          </cell>
          <cell r="AF68">
            <v>39857</v>
          </cell>
          <cell r="AG68">
            <v>55</v>
          </cell>
          <cell r="AH68">
            <v>499.06486130449997</v>
          </cell>
          <cell r="AM68">
            <v>6620.9430000000002</v>
          </cell>
          <cell r="AO68">
            <v>3816510.17349</v>
          </cell>
          <cell r="AQ68">
            <v>3304280</v>
          </cell>
          <cell r="AU68">
            <v>0</v>
          </cell>
          <cell r="AW68">
            <v>0</v>
          </cell>
          <cell r="AY68">
            <v>2294113.8882749998</v>
          </cell>
          <cell r="AZ68">
            <v>346.4935264168563</v>
          </cell>
          <cell r="BA68">
            <v>0</v>
          </cell>
          <cell r="BB68">
            <v>0</v>
          </cell>
          <cell r="BC68">
            <v>0</v>
          </cell>
          <cell r="BD68">
            <v>0</v>
          </cell>
          <cell r="BG68">
            <v>0</v>
          </cell>
          <cell r="BH68">
            <v>0</v>
          </cell>
          <cell r="BI68">
            <v>133490</v>
          </cell>
          <cell r="BJ68">
            <v>20.161780580198318</v>
          </cell>
          <cell r="BK68">
            <v>0</v>
          </cell>
          <cell r="BL68">
            <v>0</v>
          </cell>
          <cell r="BM68">
            <v>575600</v>
          </cell>
          <cell r="BN68">
            <v>86.936256663136959</v>
          </cell>
          <cell r="BO68">
            <v>0</v>
          </cell>
          <cell r="BP68">
            <v>0</v>
          </cell>
          <cell r="BY68">
            <v>2337.34</v>
          </cell>
          <cell r="CF68">
            <v>1070.8898999999999</v>
          </cell>
          <cell r="CG68">
            <v>2142.25</v>
          </cell>
          <cell r="CJ68">
            <v>0</v>
          </cell>
          <cell r="CK68">
            <v>0</v>
          </cell>
          <cell r="CL68">
            <v>0</v>
          </cell>
          <cell r="CM68">
            <v>0</v>
          </cell>
          <cell r="CN68">
            <v>0</v>
          </cell>
          <cell r="CO68">
            <v>0</v>
          </cell>
          <cell r="CX68">
            <v>0</v>
          </cell>
          <cell r="CY68">
            <v>0</v>
          </cell>
          <cell r="DB68">
            <v>0</v>
          </cell>
          <cell r="DC68">
            <v>0</v>
          </cell>
          <cell r="DJ68" t="str">
            <v>НКРКП</v>
          </cell>
          <cell r="DL68">
            <v>40816</v>
          </cell>
          <cell r="DM68" t="str">
            <v>№ 66</v>
          </cell>
          <cell r="DT68">
            <v>836.77</v>
          </cell>
        </row>
        <row r="69">
          <cell r="W69">
            <v>255.84</v>
          </cell>
          <cell r="AF69">
            <v>39966</v>
          </cell>
          <cell r="AG69" t="str">
            <v>6/1/2-258</v>
          </cell>
          <cell r="AH69">
            <v>255.84183934057816</v>
          </cell>
          <cell r="AM69">
            <v>127263</v>
          </cell>
          <cell r="AO69">
            <v>32558965.920000002</v>
          </cell>
          <cell r="AQ69">
            <v>32559200</v>
          </cell>
          <cell r="AU69">
            <v>0</v>
          </cell>
          <cell r="AW69">
            <v>0</v>
          </cell>
          <cell r="AY69">
            <v>17879667.245189998</v>
          </cell>
          <cell r="AZ69">
            <v>140.4938375269324</v>
          </cell>
          <cell r="BA69">
            <v>0</v>
          </cell>
          <cell r="BB69">
            <v>0</v>
          </cell>
          <cell r="BC69">
            <v>0</v>
          </cell>
          <cell r="BD69">
            <v>0</v>
          </cell>
          <cell r="BG69">
            <v>2133439</v>
          </cell>
          <cell r="BH69">
            <v>16.764016249813377</v>
          </cell>
          <cell r="BI69">
            <v>904363</v>
          </cell>
          <cell r="BJ69">
            <v>7.1062524064339199</v>
          </cell>
          <cell r="BK69">
            <v>0</v>
          </cell>
          <cell r="BL69">
            <v>0</v>
          </cell>
          <cell r="BM69">
            <v>9013880</v>
          </cell>
          <cell r="BN69">
            <v>70.828756197795116</v>
          </cell>
          <cell r="BO69">
            <v>0</v>
          </cell>
          <cell r="BP69">
            <v>0</v>
          </cell>
          <cell r="BY69">
            <v>2032.2</v>
          </cell>
          <cell r="CF69">
            <v>24072.902999999998</v>
          </cell>
          <cell r="CG69">
            <v>742.73</v>
          </cell>
          <cell r="CJ69">
            <v>0</v>
          </cell>
          <cell r="CK69">
            <v>0</v>
          </cell>
          <cell r="CL69">
            <v>0</v>
          </cell>
          <cell r="CM69">
            <v>0</v>
          </cell>
          <cell r="CN69">
            <v>0</v>
          </cell>
          <cell r="CO69">
            <v>0</v>
          </cell>
          <cell r="CX69">
            <v>0</v>
          </cell>
          <cell r="CY69">
            <v>0</v>
          </cell>
          <cell r="DB69">
            <v>0</v>
          </cell>
          <cell r="DC69">
            <v>0</v>
          </cell>
          <cell r="DJ69" t="str">
            <v>НКРЕ</v>
          </cell>
          <cell r="DL69">
            <v>40526</v>
          </cell>
          <cell r="DM69">
            <v>1841</v>
          </cell>
          <cell r="DO69" t="str">
            <v xml:space="preserve"> тариф на теплову енергію </v>
          </cell>
          <cell r="DT69">
            <v>281.42</v>
          </cell>
        </row>
        <row r="70">
          <cell r="W70">
            <v>489.03</v>
          </cell>
          <cell r="AF70">
            <v>39966</v>
          </cell>
          <cell r="AG70" t="str">
            <v>6/1/2-258</v>
          </cell>
          <cell r="AH70">
            <v>483.70971278228461</v>
          </cell>
          <cell r="AM70">
            <v>22805</v>
          </cell>
          <cell r="AO70">
            <v>11152329.149999999</v>
          </cell>
          <cell r="AQ70">
            <v>11031000</v>
          </cell>
          <cell r="AU70">
            <v>0</v>
          </cell>
          <cell r="AW70">
            <v>0</v>
          </cell>
          <cell r="AY70">
            <v>8401075.8337999992</v>
          </cell>
          <cell r="AZ70">
            <v>368.38745160271867</v>
          </cell>
          <cell r="BA70">
            <v>0</v>
          </cell>
          <cell r="BB70">
            <v>0</v>
          </cell>
          <cell r="BC70">
            <v>0</v>
          </cell>
          <cell r="BD70">
            <v>0</v>
          </cell>
          <cell r="BG70">
            <v>384655</v>
          </cell>
          <cell r="BH70">
            <v>16.8671344003508</v>
          </cell>
          <cell r="BI70">
            <v>161469</v>
          </cell>
          <cell r="BJ70">
            <v>7.0804209603157204</v>
          </cell>
          <cell r="BK70">
            <v>0</v>
          </cell>
          <cell r="BL70">
            <v>0</v>
          </cell>
          <cell r="BM70">
            <v>1615120</v>
          </cell>
          <cell r="BN70">
            <v>70.823065117298839</v>
          </cell>
          <cell r="BO70">
            <v>0</v>
          </cell>
          <cell r="BP70">
            <v>0</v>
          </cell>
          <cell r="BY70">
            <v>2032.2</v>
          </cell>
          <cell r="CF70">
            <v>3935.8150000000001</v>
          </cell>
          <cell r="CG70">
            <v>2134.52</v>
          </cell>
          <cell r="CJ70">
            <v>0</v>
          </cell>
          <cell r="CK70">
            <v>0</v>
          </cell>
          <cell r="CL70">
            <v>0</v>
          </cell>
          <cell r="CM70">
            <v>0</v>
          </cell>
          <cell r="CN70">
            <v>0</v>
          </cell>
          <cell r="CO70">
            <v>0</v>
          </cell>
          <cell r="CX70">
            <v>0</v>
          </cell>
          <cell r="CY70">
            <v>0</v>
          </cell>
          <cell r="DB70">
            <v>0</v>
          </cell>
          <cell r="DC70">
            <v>0</v>
          </cell>
          <cell r="DJ70" t="str">
            <v>НКРКП</v>
          </cell>
          <cell r="DL70">
            <v>40816</v>
          </cell>
          <cell r="DM70">
            <v>14</v>
          </cell>
          <cell r="DT70">
            <v>768.32</v>
          </cell>
        </row>
        <row r="71">
          <cell r="W71">
            <v>725.57</v>
          </cell>
          <cell r="AF71">
            <v>39966</v>
          </cell>
          <cell r="AG71" t="str">
            <v>6/1/2-258</v>
          </cell>
          <cell r="AH71">
            <v>483.70944051275205</v>
          </cell>
          <cell r="AM71">
            <v>14978</v>
          </cell>
          <cell r="AO71">
            <v>10867587.460000001</v>
          </cell>
          <cell r="AQ71">
            <v>7245000</v>
          </cell>
          <cell r="AU71">
            <v>0</v>
          </cell>
          <cell r="AW71">
            <v>0</v>
          </cell>
          <cell r="AY71">
            <v>5517782.4834000003</v>
          </cell>
          <cell r="AZ71">
            <v>368.39247452263322</v>
          </cell>
          <cell r="BA71">
            <v>0</v>
          </cell>
          <cell r="BB71">
            <v>0</v>
          </cell>
          <cell r="BC71">
            <v>0</v>
          </cell>
          <cell r="BD71">
            <v>0</v>
          </cell>
          <cell r="BG71">
            <v>252606</v>
          </cell>
          <cell r="BH71">
            <v>16.865135532113769</v>
          </cell>
          <cell r="BI71">
            <v>106068</v>
          </cell>
          <cell r="BJ71">
            <v>7.0815863266123644</v>
          </cell>
          <cell r="BK71">
            <v>0</v>
          </cell>
          <cell r="BL71">
            <v>0</v>
          </cell>
          <cell r="BM71">
            <v>1060700</v>
          </cell>
          <cell r="BN71">
            <v>70.817198557884893</v>
          </cell>
          <cell r="BO71">
            <v>0</v>
          </cell>
          <cell r="BP71">
            <v>0</v>
          </cell>
          <cell r="BY71">
            <v>2032.2</v>
          </cell>
          <cell r="CF71">
            <v>2586.21</v>
          </cell>
          <cell r="CG71">
            <v>2133.54</v>
          </cell>
          <cell r="CJ71">
            <v>0</v>
          </cell>
          <cell r="CK71">
            <v>0</v>
          </cell>
          <cell r="CL71">
            <v>0</v>
          </cell>
          <cell r="CM71">
            <v>0</v>
          </cell>
          <cell r="CN71">
            <v>0</v>
          </cell>
          <cell r="CO71">
            <v>0</v>
          </cell>
          <cell r="CX71">
            <v>0</v>
          </cell>
          <cell r="CY71">
            <v>0</v>
          </cell>
          <cell r="DB71">
            <v>0</v>
          </cell>
          <cell r="DC71">
            <v>0</v>
          </cell>
          <cell r="DJ71" t="str">
            <v>НКРКП</v>
          </cell>
          <cell r="DL71">
            <v>40816</v>
          </cell>
          <cell r="DM71">
            <v>14</v>
          </cell>
          <cell r="DT71">
            <v>999.9</v>
          </cell>
        </row>
        <row r="72">
          <cell r="W72">
            <v>200.88</v>
          </cell>
          <cell r="AF72">
            <v>39689</v>
          </cell>
          <cell r="AG72">
            <v>94</v>
          </cell>
          <cell r="AH72">
            <v>195.0258260227925</v>
          </cell>
          <cell r="AM72">
            <v>121970</v>
          </cell>
          <cell r="AO72">
            <v>24501333.599999998</v>
          </cell>
          <cell r="AQ72">
            <v>23787300</v>
          </cell>
          <cell r="AU72">
            <v>0</v>
          </cell>
          <cell r="AW72">
            <v>0</v>
          </cell>
          <cell r="AY72">
            <v>15058869.672</v>
          </cell>
          <cell r="AZ72">
            <v>123.46371789784374</v>
          </cell>
          <cell r="BA72">
            <v>0</v>
          </cell>
          <cell r="BB72">
            <v>0</v>
          </cell>
          <cell r="BC72">
            <v>0</v>
          </cell>
          <cell r="BD72">
            <v>0</v>
          </cell>
          <cell r="BG72">
            <v>0</v>
          </cell>
          <cell r="BH72">
            <v>0</v>
          </cell>
          <cell r="BI72">
            <v>2548000</v>
          </cell>
          <cell r="BJ72">
            <v>20.89038288103632</v>
          </cell>
          <cell r="BK72">
            <v>0</v>
          </cell>
          <cell r="BL72">
            <v>0</v>
          </cell>
          <cell r="BM72">
            <v>4393800</v>
          </cell>
          <cell r="BN72">
            <v>36.023612363695989</v>
          </cell>
          <cell r="BO72">
            <v>0</v>
          </cell>
          <cell r="BP72">
            <v>0</v>
          </cell>
          <cell r="BY72">
            <v>1311.6</v>
          </cell>
          <cell r="CF72">
            <v>20704.599999999999</v>
          </cell>
          <cell r="CG72">
            <v>727.32</v>
          </cell>
          <cell r="CJ72">
            <v>0</v>
          </cell>
          <cell r="CK72">
            <v>0</v>
          </cell>
          <cell r="CL72">
            <v>0</v>
          </cell>
          <cell r="CM72">
            <v>0</v>
          </cell>
          <cell r="CN72">
            <v>0</v>
          </cell>
          <cell r="CO72">
            <v>0</v>
          </cell>
          <cell r="CX72">
            <v>0</v>
          </cell>
          <cell r="CY72">
            <v>0</v>
          </cell>
          <cell r="DB72">
            <v>0</v>
          </cell>
          <cell r="DC72">
            <v>0</v>
          </cell>
          <cell r="DJ72" t="str">
            <v>НКРЕ</v>
          </cell>
          <cell r="DL72">
            <v>40526</v>
          </cell>
          <cell r="DM72">
            <v>1848</v>
          </cell>
          <cell r="DO72" t="str">
            <v xml:space="preserve"> тариф на теплову енергію </v>
          </cell>
          <cell r="DT72">
            <v>220.97</v>
          </cell>
        </row>
        <row r="73">
          <cell r="W73">
            <v>455.57</v>
          </cell>
          <cell r="AF73">
            <v>39864</v>
          </cell>
          <cell r="AG73">
            <v>32</v>
          </cell>
          <cell r="AH73">
            <v>438.05308502633557</v>
          </cell>
          <cell r="AM73">
            <v>26580</v>
          </cell>
          <cell r="AO73">
            <v>12109050.6</v>
          </cell>
          <cell r="AQ73">
            <v>11643451</v>
          </cell>
          <cell r="AU73">
            <v>0</v>
          </cell>
          <cell r="AW73">
            <v>0</v>
          </cell>
          <cell r="AY73">
            <v>9664760.875</v>
          </cell>
          <cell r="AZ73">
            <v>363.6102661775771</v>
          </cell>
          <cell r="BA73">
            <v>0</v>
          </cell>
          <cell r="BB73">
            <v>0</v>
          </cell>
          <cell r="BC73">
            <v>0</v>
          </cell>
          <cell r="BD73">
            <v>0</v>
          </cell>
          <cell r="BG73">
            <v>0</v>
          </cell>
          <cell r="BH73">
            <v>0</v>
          </cell>
          <cell r="BI73">
            <v>636000</v>
          </cell>
          <cell r="BJ73">
            <v>23.927765237020317</v>
          </cell>
          <cell r="BK73">
            <v>0</v>
          </cell>
          <cell r="BL73">
            <v>0</v>
          </cell>
          <cell r="BM73">
            <v>957800</v>
          </cell>
          <cell r="BN73">
            <v>36.034612490594434</v>
          </cell>
          <cell r="BO73">
            <v>0</v>
          </cell>
          <cell r="BP73">
            <v>0</v>
          </cell>
          <cell r="BY73">
            <v>1311.6</v>
          </cell>
          <cell r="CF73">
            <v>4511.5</v>
          </cell>
          <cell r="CG73">
            <v>2142.25</v>
          </cell>
          <cell r="CJ73">
            <v>0</v>
          </cell>
          <cell r="CK73">
            <v>0</v>
          </cell>
          <cell r="CL73">
            <v>0</v>
          </cell>
          <cell r="CM73">
            <v>0</v>
          </cell>
          <cell r="CN73">
            <v>0</v>
          </cell>
          <cell r="CO73">
            <v>0</v>
          </cell>
          <cell r="CX73">
            <v>0</v>
          </cell>
          <cell r="CY73">
            <v>0</v>
          </cell>
          <cell r="DB73">
            <v>0</v>
          </cell>
          <cell r="DC73">
            <v>0</v>
          </cell>
          <cell r="DJ73" t="str">
            <v>НКРКП</v>
          </cell>
          <cell r="DL73">
            <v>40816</v>
          </cell>
          <cell r="DM73">
            <v>8</v>
          </cell>
          <cell r="DT73">
            <v>728.82</v>
          </cell>
        </row>
        <row r="74">
          <cell r="W74">
            <v>503.76</v>
          </cell>
          <cell r="AF74">
            <v>39864</v>
          </cell>
          <cell r="AG74">
            <v>31</v>
          </cell>
          <cell r="AH74">
            <v>438.05384615384617</v>
          </cell>
          <cell r="AM74">
            <v>13000</v>
          </cell>
          <cell r="AO74">
            <v>6548880</v>
          </cell>
          <cell r="AQ74">
            <v>5694700</v>
          </cell>
          <cell r="AU74">
            <v>0</v>
          </cell>
          <cell r="AW74">
            <v>0</v>
          </cell>
          <cell r="AY74">
            <v>4726874.625</v>
          </cell>
          <cell r="AZ74">
            <v>363.60574038461539</v>
          </cell>
          <cell r="BA74">
            <v>0</v>
          </cell>
          <cell r="BB74">
            <v>0</v>
          </cell>
          <cell r="BC74">
            <v>0</v>
          </cell>
          <cell r="BD74">
            <v>0</v>
          </cell>
          <cell r="BG74">
            <v>0</v>
          </cell>
          <cell r="BH74">
            <v>0</v>
          </cell>
          <cell r="BI74">
            <v>311400</v>
          </cell>
          <cell r="BJ74">
            <v>23.953846153846154</v>
          </cell>
          <cell r="BK74">
            <v>0</v>
          </cell>
          <cell r="BL74">
            <v>0</v>
          </cell>
          <cell r="BM74">
            <v>468500</v>
          </cell>
          <cell r="BN74">
            <v>36.03846153846154</v>
          </cell>
          <cell r="BO74">
            <v>0</v>
          </cell>
          <cell r="BP74">
            <v>0</v>
          </cell>
          <cell r="BY74">
            <v>1311.6</v>
          </cell>
          <cell r="CF74">
            <v>2206.5</v>
          </cell>
          <cell r="CG74">
            <v>2142.25</v>
          </cell>
          <cell r="CJ74">
            <v>0</v>
          </cell>
          <cell r="CK74">
            <v>0</v>
          </cell>
          <cell r="CL74">
            <v>0</v>
          </cell>
          <cell r="CM74">
            <v>0</v>
          </cell>
          <cell r="CN74">
            <v>0</v>
          </cell>
          <cell r="CO74">
            <v>0</v>
          </cell>
          <cell r="CX74">
            <v>0</v>
          </cell>
          <cell r="CY74">
            <v>0</v>
          </cell>
          <cell r="DB74">
            <v>0</v>
          </cell>
          <cell r="DC74">
            <v>0</v>
          </cell>
          <cell r="DJ74" t="str">
            <v>НКРКП</v>
          </cell>
          <cell r="DL74">
            <v>40816</v>
          </cell>
          <cell r="DM74">
            <v>8</v>
          </cell>
          <cell r="DT74">
            <v>777.01</v>
          </cell>
        </row>
        <row r="75">
          <cell r="W75">
            <v>179.83</v>
          </cell>
          <cell r="AF75">
            <v>39874</v>
          </cell>
          <cell r="AG75" t="str">
            <v>№25/447-35</v>
          </cell>
          <cell r="AH75">
            <v>201.13303064549174</v>
          </cell>
          <cell r="AM75">
            <v>75655.5</v>
          </cell>
          <cell r="AO75">
            <v>13605128.565000001</v>
          </cell>
          <cell r="AQ75">
            <v>15216820</v>
          </cell>
          <cell r="AU75">
            <v>0</v>
          </cell>
          <cell r="AW75">
            <v>0</v>
          </cell>
          <cell r="AY75">
            <v>8401807.9002000019</v>
          </cell>
          <cell r="AZ75">
            <v>111.0534977655293</v>
          </cell>
          <cell r="BA75">
            <v>0</v>
          </cell>
          <cell r="BB75">
            <v>0</v>
          </cell>
          <cell r="BC75">
            <v>0</v>
          </cell>
          <cell r="BD75">
            <v>0</v>
          </cell>
          <cell r="BG75">
            <v>0</v>
          </cell>
          <cell r="BH75">
            <v>0</v>
          </cell>
          <cell r="BI75">
            <v>1739090</v>
          </cell>
          <cell r="BJ75">
            <v>22.986960630753877</v>
          </cell>
          <cell r="BK75">
            <v>0</v>
          </cell>
          <cell r="BL75">
            <v>0</v>
          </cell>
          <cell r="BM75">
            <v>3802110</v>
          </cell>
          <cell r="BN75">
            <v>50.255566350100125</v>
          </cell>
          <cell r="BO75">
            <v>0</v>
          </cell>
          <cell r="BP75">
            <v>0</v>
          </cell>
          <cell r="BY75">
            <v>1476</v>
          </cell>
          <cell r="CF75">
            <v>11551.735000000001</v>
          </cell>
          <cell r="CG75">
            <v>727.32</v>
          </cell>
          <cell r="CJ75">
            <v>0</v>
          </cell>
          <cell r="CK75">
            <v>0</v>
          </cell>
          <cell r="CL75">
            <v>0</v>
          </cell>
          <cell r="CM75">
            <v>0</v>
          </cell>
          <cell r="CN75">
            <v>0</v>
          </cell>
          <cell r="CO75">
            <v>0</v>
          </cell>
          <cell r="CX75">
            <v>0</v>
          </cell>
          <cell r="CY75">
            <v>0</v>
          </cell>
          <cell r="DB75">
            <v>0</v>
          </cell>
          <cell r="DC75">
            <v>0</v>
          </cell>
          <cell r="DJ75" t="str">
            <v>НКРЕ</v>
          </cell>
          <cell r="DL75">
            <v>40526</v>
          </cell>
          <cell r="DM75">
            <v>1819</v>
          </cell>
          <cell r="DO75" t="str">
            <v>тариф на теплову енергію</v>
          </cell>
          <cell r="DT75">
            <v>224.79</v>
          </cell>
        </row>
        <row r="76">
          <cell r="W76">
            <v>425.04</v>
          </cell>
          <cell r="AF76">
            <v>39874</v>
          </cell>
          <cell r="AG76" t="str">
            <v>№25/448-36</v>
          </cell>
          <cell r="AH76">
            <v>412.95634507188998</v>
          </cell>
          <cell r="AM76">
            <v>19196</v>
          </cell>
          <cell r="AO76">
            <v>8159067.8400000008</v>
          </cell>
          <cell r="AQ76">
            <v>7927110</v>
          </cell>
          <cell r="AU76">
            <v>0</v>
          </cell>
          <cell r="AW76">
            <v>0</v>
          </cell>
          <cell r="AY76">
            <v>6220219.9620000003</v>
          </cell>
          <cell r="AZ76">
            <v>324.03729745780373</v>
          </cell>
          <cell r="BA76">
            <v>0</v>
          </cell>
          <cell r="BB76">
            <v>0</v>
          </cell>
          <cell r="BC76">
            <v>0</v>
          </cell>
          <cell r="BD76">
            <v>0</v>
          </cell>
          <cell r="BG76">
            <v>0</v>
          </cell>
          <cell r="BH76">
            <v>0</v>
          </cell>
          <cell r="BI76">
            <v>441260</v>
          </cell>
          <cell r="BJ76">
            <v>22.987080641800375</v>
          </cell>
          <cell r="BK76">
            <v>0</v>
          </cell>
          <cell r="BL76">
            <v>0</v>
          </cell>
          <cell r="BM76">
            <v>964710</v>
          </cell>
          <cell r="BN76">
            <v>50.255782454678055</v>
          </cell>
          <cell r="BO76">
            <v>0</v>
          </cell>
          <cell r="BP76">
            <v>0</v>
          </cell>
          <cell r="BY76">
            <v>1476</v>
          </cell>
          <cell r="CF76">
            <v>2903.5920000000001</v>
          </cell>
          <cell r="CG76">
            <v>2142.25</v>
          </cell>
          <cell r="CJ76">
            <v>0</v>
          </cell>
          <cell r="CK76">
            <v>0</v>
          </cell>
          <cell r="CL76">
            <v>0</v>
          </cell>
          <cell r="CM76">
            <v>0</v>
          </cell>
          <cell r="CN76">
            <v>0</v>
          </cell>
          <cell r="CO76">
            <v>0</v>
          </cell>
          <cell r="CX76">
            <v>0</v>
          </cell>
          <cell r="CY76">
            <v>0</v>
          </cell>
          <cell r="DB76">
            <v>0</v>
          </cell>
          <cell r="DC76">
            <v>0</v>
          </cell>
          <cell r="DJ76" t="str">
            <v>НКРКП</v>
          </cell>
          <cell r="DL76">
            <v>40816</v>
          </cell>
          <cell r="DM76">
            <v>32</v>
          </cell>
          <cell r="DT76">
            <v>668.51</v>
          </cell>
        </row>
        <row r="77">
          <cell r="W77">
            <v>429.71</v>
          </cell>
          <cell r="AF77">
            <v>39874</v>
          </cell>
          <cell r="AG77" t="str">
            <v>№25/449-37</v>
          </cell>
          <cell r="AH77">
            <v>417.62857025213083</v>
          </cell>
          <cell r="AM77">
            <v>7285.9</v>
          </cell>
          <cell r="AO77">
            <v>3130824.0889999997</v>
          </cell>
          <cell r="AQ77">
            <v>3042800</v>
          </cell>
          <cell r="AU77">
            <v>0</v>
          </cell>
          <cell r="AW77">
            <v>0</v>
          </cell>
          <cell r="AY77">
            <v>2394943.3832500004</v>
          </cell>
          <cell r="AZ77">
            <v>328.7093404040682</v>
          </cell>
          <cell r="BA77">
            <v>0</v>
          </cell>
          <cell r="BB77">
            <v>0</v>
          </cell>
          <cell r="BC77">
            <v>0</v>
          </cell>
          <cell r="BD77">
            <v>0</v>
          </cell>
          <cell r="BG77">
            <v>0</v>
          </cell>
          <cell r="BH77">
            <v>0</v>
          </cell>
          <cell r="BI77">
            <v>167480</v>
          </cell>
          <cell r="BJ77">
            <v>22.986865040695044</v>
          </cell>
          <cell r="BK77">
            <v>0</v>
          </cell>
          <cell r="BL77">
            <v>0</v>
          </cell>
          <cell r="BM77">
            <v>366160</v>
          </cell>
          <cell r="BN77">
            <v>50.255973867332798</v>
          </cell>
          <cell r="BO77">
            <v>0</v>
          </cell>
          <cell r="BP77">
            <v>0</v>
          </cell>
          <cell r="BY77">
            <v>1476</v>
          </cell>
          <cell r="CF77">
            <v>1117.9570000000001</v>
          </cell>
          <cell r="CG77">
            <v>2142.25</v>
          </cell>
          <cell r="CJ77">
            <v>0</v>
          </cell>
          <cell r="CK77">
            <v>0</v>
          </cell>
          <cell r="CL77">
            <v>0</v>
          </cell>
          <cell r="CM77">
            <v>0</v>
          </cell>
          <cell r="CN77">
            <v>0</v>
          </cell>
          <cell r="CO77">
            <v>0</v>
          </cell>
          <cell r="CX77">
            <v>0</v>
          </cell>
          <cell r="CY77">
            <v>0</v>
          </cell>
          <cell r="DB77">
            <v>0</v>
          </cell>
          <cell r="DC77">
            <v>0</v>
          </cell>
          <cell r="DJ77" t="str">
            <v>НКРКП</v>
          </cell>
          <cell r="DL77">
            <v>40816</v>
          </cell>
          <cell r="DM77">
            <v>32</v>
          </cell>
          <cell r="DT77">
            <v>676.7</v>
          </cell>
        </row>
        <row r="78">
          <cell r="W78">
            <v>240.09</v>
          </cell>
          <cell r="AF78">
            <v>40415</v>
          </cell>
          <cell r="AG78">
            <v>82</v>
          </cell>
          <cell r="AH78">
            <v>220.27331849456581</v>
          </cell>
          <cell r="AM78">
            <v>35007.001541088757</v>
          </cell>
          <cell r="AO78">
            <v>8404831</v>
          </cell>
          <cell r="AQ78">
            <v>7711108.4000000004</v>
          </cell>
          <cell r="AU78">
            <v>0</v>
          </cell>
          <cell r="AW78">
            <v>0</v>
          </cell>
          <cell r="AY78">
            <v>4257082</v>
          </cell>
          <cell r="AZ78">
            <v>121.60658761371883</v>
          </cell>
          <cell r="BA78">
            <v>0</v>
          </cell>
          <cell r="BB78">
            <v>0</v>
          </cell>
          <cell r="BC78">
            <v>0</v>
          </cell>
          <cell r="BD78">
            <v>0</v>
          </cell>
          <cell r="BG78">
            <v>0</v>
          </cell>
          <cell r="BH78">
            <v>0</v>
          </cell>
          <cell r="BI78">
            <v>732389</v>
          </cell>
          <cell r="BJ78">
            <v>20.921214835848573</v>
          </cell>
          <cell r="BK78">
            <v>0</v>
          </cell>
          <cell r="BL78">
            <v>0</v>
          </cell>
          <cell r="BM78">
            <v>2179068</v>
          </cell>
          <cell r="BN78">
            <v>62.246633646768153</v>
          </cell>
          <cell r="BO78">
            <v>0</v>
          </cell>
          <cell r="BP78">
            <v>0</v>
          </cell>
          <cell r="BY78">
            <v>2481.4299999999998</v>
          </cell>
          <cell r="CF78">
            <v>3902</v>
          </cell>
          <cell r="CG78">
            <v>1091</v>
          </cell>
          <cell r="CJ78">
            <v>0</v>
          </cell>
          <cell r="CK78">
            <v>0</v>
          </cell>
          <cell r="CL78">
            <v>0</v>
          </cell>
          <cell r="CM78">
            <v>0</v>
          </cell>
          <cell r="CN78">
            <v>0</v>
          </cell>
          <cell r="CO78">
            <v>0</v>
          </cell>
          <cell r="CX78">
            <v>0</v>
          </cell>
          <cell r="CY78">
            <v>0</v>
          </cell>
          <cell r="DB78">
            <v>0</v>
          </cell>
          <cell r="DC78">
            <v>0</v>
          </cell>
          <cell r="DJ78" t="str">
            <v>МОС</v>
          </cell>
          <cell r="DL78">
            <v>40430</v>
          </cell>
          <cell r="DM78">
            <v>262</v>
          </cell>
          <cell r="DO78" t="str">
            <v xml:space="preserve"> на теплову енергію для І групи споживачів (населення)</v>
          </cell>
          <cell r="DT78">
            <v>240.09</v>
          </cell>
        </row>
        <row r="79">
          <cell r="W79">
            <v>713.9</v>
          </cell>
          <cell r="AF79">
            <v>40443</v>
          </cell>
          <cell r="AG79">
            <v>124</v>
          </cell>
          <cell r="AH79">
            <v>620.7847851793457</v>
          </cell>
          <cell r="AM79">
            <v>10148</v>
          </cell>
          <cell r="AO79">
            <v>7244657.2000000002</v>
          </cell>
          <cell r="AQ79">
            <v>6299724</v>
          </cell>
          <cell r="AU79">
            <v>0</v>
          </cell>
          <cell r="AW79">
            <v>0</v>
          </cell>
          <cell r="AY79">
            <v>5257882</v>
          </cell>
          <cell r="AZ79">
            <v>518.12002364998034</v>
          </cell>
          <cell r="BA79">
            <v>0</v>
          </cell>
          <cell r="BB79">
            <v>0</v>
          </cell>
          <cell r="BC79">
            <v>0</v>
          </cell>
          <cell r="BD79">
            <v>0</v>
          </cell>
          <cell r="BG79">
            <v>0</v>
          </cell>
          <cell r="BH79">
            <v>0</v>
          </cell>
          <cell r="BI79">
            <v>211170</v>
          </cell>
          <cell r="BJ79">
            <v>20.809026409144661</v>
          </cell>
          <cell r="BK79">
            <v>0</v>
          </cell>
          <cell r="BL79">
            <v>0</v>
          </cell>
          <cell r="BM79">
            <v>631671</v>
          </cell>
          <cell r="BN79">
            <v>62.245861253448957</v>
          </cell>
          <cell r="BO79">
            <v>0</v>
          </cell>
          <cell r="BP79">
            <v>0</v>
          </cell>
          <cell r="BY79">
            <v>2481.4299999999998</v>
          </cell>
          <cell r="CF79">
            <v>2133.0669306352283</v>
          </cell>
          <cell r="CG79">
            <v>2464.94</v>
          </cell>
          <cell r="CJ79">
            <v>0</v>
          </cell>
          <cell r="CK79">
            <v>0</v>
          </cell>
          <cell r="CL79">
            <v>0</v>
          </cell>
          <cell r="CM79">
            <v>0</v>
          </cell>
          <cell r="CN79">
            <v>0</v>
          </cell>
          <cell r="CO79">
            <v>0</v>
          </cell>
          <cell r="CX79">
            <v>0</v>
          </cell>
          <cell r="CY79">
            <v>0</v>
          </cell>
          <cell r="DB79">
            <v>0</v>
          </cell>
          <cell r="DC79">
            <v>0</v>
          </cell>
          <cell r="DJ79" t="str">
            <v>НКРКП</v>
          </cell>
          <cell r="DL79">
            <v>40942</v>
          </cell>
          <cell r="DM79">
            <v>29</v>
          </cell>
          <cell r="DT79">
            <v>999.9</v>
          </cell>
        </row>
        <row r="80">
          <cell r="W80">
            <v>713.9</v>
          </cell>
          <cell r="AF80">
            <v>40443</v>
          </cell>
          <cell r="AG80">
            <v>124</v>
          </cell>
          <cell r="AH80">
            <v>620.7845382963493</v>
          </cell>
          <cell r="AM80">
            <v>1397</v>
          </cell>
          <cell r="AO80">
            <v>997318.29999999993</v>
          </cell>
          <cell r="AQ80">
            <v>867236</v>
          </cell>
          <cell r="AU80">
            <v>0</v>
          </cell>
          <cell r="AW80">
            <v>0</v>
          </cell>
          <cell r="AY80">
            <v>723814</v>
          </cell>
          <cell r="AZ80">
            <v>518.1202576950609</v>
          </cell>
          <cell r="BA80">
            <v>0</v>
          </cell>
          <cell r="BB80">
            <v>0</v>
          </cell>
          <cell r="BC80">
            <v>0</v>
          </cell>
          <cell r="BD80">
            <v>0</v>
          </cell>
          <cell r="BG80">
            <v>0</v>
          </cell>
          <cell r="BH80">
            <v>0</v>
          </cell>
          <cell r="BI80">
            <v>29069</v>
          </cell>
          <cell r="BJ80">
            <v>20.808160343593414</v>
          </cell>
          <cell r="BK80">
            <v>0</v>
          </cell>
          <cell r="BL80">
            <v>0</v>
          </cell>
          <cell r="BM80">
            <v>86958</v>
          </cell>
          <cell r="BN80">
            <v>62.246241947029347</v>
          </cell>
          <cell r="BO80">
            <v>0</v>
          </cell>
          <cell r="BP80">
            <v>0</v>
          </cell>
          <cell r="BY80">
            <v>2481.4299999999998</v>
          </cell>
          <cell r="CF80">
            <v>293.64365866917655</v>
          </cell>
          <cell r="CG80">
            <v>2464.94</v>
          </cell>
          <cell r="CJ80">
            <v>0</v>
          </cell>
          <cell r="CK80">
            <v>0</v>
          </cell>
          <cell r="CL80">
            <v>0</v>
          </cell>
          <cell r="CM80">
            <v>0</v>
          </cell>
          <cell r="CN80">
            <v>0</v>
          </cell>
          <cell r="CO80">
            <v>0</v>
          </cell>
          <cell r="CX80">
            <v>0</v>
          </cell>
          <cell r="CY80">
            <v>0</v>
          </cell>
          <cell r="DB80">
            <v>0</v>
          </cell>
          <cell r="DC80">
            <v>0</v>
          </cell>
          <cell r="DJ80" t="str">
            <v>НКРКП</v>
          </cell>
          <cell r="DL80">
            <v>40942</v>
          </cell>
          <cell r="DM80">
            <v>29</v>
          </cell>
          <cell r="DT80">
            <v>999.9</v>
          </cell>
        </row>
        <row r="81">
          <cell r="W81">
            <v>190.49</v>
          </cell>
          <cell r="AF81">
            <v>39612</v>
          </cell>
          <cell r="AG81" t="str">
            <v>4/6-5/1790</v>
          </cell>
          <cell r="AH81">
            <v>170.08501792114694</v>
          </cell>
          <cell r="AM81">
            <v>69750</v>
          </cell>
          <cell r="AO81">
            <v>13286677.5</v>
          </cell>
          <cell r="AQ81">
            <v>11863430</v>
          </cell>
          <cell r="AU81">
            <v>0</v>
          </cell>
          <cell r="AW81">
            <v>0</v>
          </cell>
          <cell r="AY81">
            <v>6460210.4602229996</v>
          </cell>
          <cell r="AZ81">
            <v>92.619504806064512</v>
          </cell>
          <cell r="BA81">
            <v>0</v>
          </cell>
          <cell r="BB81">
            <v>0</v>
          </cell>
          <cell r="BC81">
            <v>0</v>
          </cell>
          <cell r="BD81">
            <v>0</v>
          </cell>
          <cell r="BG81">
            <v>0</v>
          </cell>
          <cell r="BH81">
            <v>0</v>
          </cell>
          <cell r="BI81">
            <v>1429993.7531296946</v>
          </cell>
          <cell r="BJ81">
            <v>20.501702553830746</v>
          </cell>
          <cell r="BK81">
            <v>0</v>
          </cell>
          <cell r="BL81">
            <v>0</v>
          </cell>
          <cell r="BM81">
            <v>2020357.7601151727</v>
          </cell>
          <cell r="BN81">
            <v>28.965702653980969</v>
          </cell>
          <cell r="BO81">
            <v>0</v>
          </cell>
          <cell r="BP81">
            <v>0</v>
          </cell>
          <cell r="BY81">
            <v>1324.11</v>
          </cell>
          <cell r="CF81">
            <v>11148.11</v>
          </cell>
          <cell r="CG81">
            <v>579.48929999999996</v>
          </cell>
          <cell r="CJ81">
            <v>0</v>
          </cell>
          <cell r="CK81">
            <v>0</v>
          </cell>
          <cell r="CL81">
            <v>0</v>
          </cell>
          <cell r="CM81">
            <v>0</v>
          </cell>
          <cell r="CN81">
            <v>0</v>
          </cell>
          <cell r="CO81">
            <v>0</v>
          </cell>
          <cell r="CX81">
            <v>0</v>
          </cell>
          <cell r="CY81">
            <v>0</v>
          </cell>
          <cell r="DB81">
            <v>0</v>
          </cell>
          <cell r="DC81">
            <v>0</v>
          </cell>
          <cell r="DJ81" t="str">
            <v>НКРЕ</v>
          </cell>
          <cell r="DL81">
            <v>40526</v>
          </cell>
          <cell r="DM81">
            <v>1720</v>
          </cell>
          <cell r="DO81" t="str">
            <v>тариф на теплову енергію</v>
          </cell>
          <cell r="DT81">
            <v>238.11</v>
          </cell>
        </row>
        <row r="82">
          <cell r="W82">
            <v>254.27</v>
          </cell>
          <cell r="AF82">
            <v>39612</v>
          </cell>
          <cell r="AG82" t="str">
            <v>4/6-5/1790</v>
          </cell>
          <cell r="AH82">
            <v>275.41658341658342</v>
          </cell>
          <cell r="AM82">
            <v>10010</v>
          </cell>
          <cell r="AO82">
            <v>2545242.7000000002</v>
          </cell>
          <cell r="AQ82">
            <v>2756920</v>
          </cell>
          <cell r="AU82">
            <v>0</v>
          </cell>
          <cell r="AW82">
            <v>0</v>
          </cell>
          <cell r="AY82">
            <v>1812979.3491000002</v>
          </cell>
          <cell r="AZ82">
            <v>181.1168180919081</v>
          </cell>
          <cell r="BA82">
            <v>0</v>
          </cell>
          <cell r="BB82">
            <v>0</v>
          </cell>
          <cell r="BC82">
            <v>0</v>
          </cell>
          <cell r="BD82">
            <v>0</v>
          </cell>
          <cell r="BG82">
            <v>0</v>
          </cell>
          <cell r="BH82">
            <v>0</v>
          </cell>
          <cell r="BI82">
            <v>205222.04256384575</v>
          </cell>
          <cell r="BJ82">
            <v>20.501702553830743</v>
          </cell>
          <cell r="BK82">
            <v>0</v>
          </cell>
          <cell r="BL82">
            <v>0</v>
          </cell>
          <cell r="BM82">
            <v>289946.6835663495</v>
          </cell>
          <cell r="BN82">
            <v>28.965702653980969</v>
          </cell>
          <cell r="BO82">
            <v>0</v>
          </cell>
          <cell r="BP82">
            <v>0</v>
          </cell>
          <cell r="BY82">
            <v>1324.11</v>
          </cell>
          <cell r="CF82">
            <v>1599.89</v>
          </cell>
          <cell r="CG82">
            <v>1133.19</v>
          </cell>
          <cell r="CJ82">
            <v>0</v>
          </cell>
          <cell r="CK82">
            <v>0</v>
          </cell>
          <cell r="CL82">
            <v>0</v>
          </cell>
          <cell r="CM82">
            <v>0</v>
          </cell>
          <cell r="CN82">
            <v>0</v>
          </cell>
          <cell r="CO82">
            <v>0</v>
          </cell>
          <cell r="CX82">
            <v>0</v>
          </cell>
          <cell r="CY82">
            <v>0</v>
          </cell>
          <cell r="DB82">
            <v>0</v>
          </cell>
          <cell r="DC82">
            <v>0</v>
          </cell>
          <cell r="DJ82" t="str">
            <v>НКРКП</v>
          </cell>
          <cell r="DL82">
            <v>40816</v>
          </cell>
          <cell r="DM82">
            <v>18</v>
          </cell>
          <cell r="DT82">
            <v>633.46</v>
          </cell>
        </row>
        <row r="83">
          <cell r="W83">
            <v>430.39</v>
          </cell>
          <cell r="AF83">
            <v>39612</v>
          </cell>
          <cell r="AG83" t="str">
            <v>4/6-5/1790</v>
          </cell>
          <cell r="AH83">
            <v>278.95520159283228</v>
          </cell>
          <cell r="AM83">
            <v>20090</v>
          </cell>
          <cell r="AO83">
            <v>8646535.0999999996</v>
          </cell>
          <cell r="AQ83">
            <v>5604210</v>
          </cell>
          <cell r="AU83">
            <v>0</v>
          </cell>
          <cell r="AW83">
            <v>0</v>
          </cell>
          <cell r="AY83">
            <v>3711764.4408</v>
          </cell>
          <cell r="AZ83">
            <v>184.75681636635142</v>
          </cell>
          <cell r="BA83">
            <v>0</v>
          </cell>
          <cell r="BB83">
            <v>0</v>
          </cell>
          <cell r="BC83">
            <v>0</v>
          </cell>
          <cell r="BD83">
            <v>0</v>
          </cell>
          <cell r="BG83">
            <v>0</v>
          </cell>
          <cell r="BH83">
            <v>0</v>
          </cell>
          <cell r="BI83">
            <v>411879.20430645969</v>
          </cell>
          <cell r="BJ83">
            <v>20.501702553830746</v>
          </cell>
          <cell r="BK83">
            <v>0</v>
          </cell>
          <cell r="BL83">
            <v>0</v>
          </cell>
          <cell r="BM83">
            <v>581920.96631847776</v>
          </cell>
          <cell r="BN83">
            <v>28.965702653980973</v>
          </cell>
          <cell r="BO83">
            <v>0</v>
          </cell>
          <cell r="BP83">
            <v>0</v>
          </cell>
          <cell r="BY83">
            <v>1324.11</v>
          </cell>
          <cell r="CF83">
            <v>3210.98</v>
          </cell>
          <cell r="CG83">
            <v>1155.96</v>
          </cell>
          <cell r="CJ83">
            <v>0</v>
          </cell>
          <cell r="CK83">
            <v>0</v>
          </cell>
          <cell r="CL83">
            <v>0</v>
          </cell>
          <cell r="CM83">
            <v>0</v>
          </cell>
          <cell r="CN83">
            <v>0</v>
          </cell>
          <cell r="CO83">
            <v>0</v>
          </cell>
          <cell r="CX83">
            <v>0</v>
          </cell>
          <cell r="CY83">
            <v>0</v>
          </cell>
          <cell r="DB83">
            <v>0</v>
          </cell>
          <cell r="DC83">
            <v>0</v>
          </cell>
          <cell r="DJ83" t="str">
            <v>НКРКП</v>
          </cell>
          <cell r="DL83">
            <v>40816</v>
          </cell>
          <cell r="DM83">
            <v>18</v>
          </cell>
          <cell r="DT83">
            <v>797.95</v>
          </cell>
        </row>
        <row r="84">
          <cell r="W84">
            <v>125.47</v>
          </cell>
          <cell r="AF84">
            <v>40380</v>
          </cell>
          <cell r="AG84">
            <v>39</v>
          </cell>
          <cell r="AH84">
            <v>272.3899941656943</v>
          </cell>
          <cell r="AM84">
            <v>34280</v>
          </cell>
          <cell r="AO84">
            <v>4301111.5999999996</v>
          </cell>
          <cell r="AQ84">
            <v>9337529</v>
          </cell>
          <cell r="AU84">
            <v>0</v>
          </cell>
          <cell r="AW84">
            <v>0</v>
          </cell>
          <cell r="AY84">
            <v>5865216</v>
          </cell>
          <cell r="AZ84">
            <v>171.0973162193699</v>
          </cell>
          <cell r="BA84">
            <v>0</v>
          </cell>
          <cell r="BB84">
            <v>0</v>
          </cell>
          <cell r="BC84">
            <v>0</v>
          </cell>
          <cell r="BD84">
            <v>0</v>
          </cell>
          <cell r="BG84">
            <v>0</v>
          </cell>
          <cell r="BH84">
            <v>0</v>
          </cell>
          <cell r="BI84">
            <v>876673</v>
          </cell>
          <cell r="BJ84">
            <v>25.573891481913652</v>
          </cell>
          <cell r="BK84">
            <v>0</v>
          </cell>
          <cell r="BL84">
            <v>0</v>
          </cell>
          <cell r="BM84">
            <v>2420074</v>
          </cell>
          <cell r="BN84">
            <v>70.597257876312725</v>
          </cell>
          <cell r="BO84">
            <v>0</v>
          </cell>
          <cell r="BP84">
            <v>0</v>
          </cell>
          <cell r="BY84">
            <v>5021.74</v>
          </cell>
          <cell r="CF84">
            <v>5376</v>
          </cell>
          <cell r="CG84">
            <v>1091</v>
          </cell>
          <cell r="CJ84">
            <v>0</v>
          </cell>
          <cell r="CK84">
            <v>0</v>
          </cell>
          <cell r="CL84">
            <v>0</v>
          </cell>
          <cell r="CM84">
            <v>0</v>
          </cell>
          <cell r="CN84">
            <v>0</v>
          </cell>
          <cell r="CO84">
            <v>0</v>
          </cell>
          <cell r="CX84">
            <v>0</v>
          </cell>
          <cell r="CY84">
            <v>0</v>
          </cell>
          <cell r="DB84">
            <v>0</v>
          </cell>
          <cell r="DC84">
            <v>0</v>
          </cell>
          <cell r="DJ84" t="str">
            <v>МОС</v>
          </cell>
          <cell r="DL84">
            <v>40694</v>
          </cell>
          <cell r="DM84">
            <v>857</v>
          </cell>
          <cell r="DO84" t="str">
            <v>Тариф на теплову енергію, що виробляється підприємствами, установами та організаціями, на балансі яких знаходяться котельні, для потреб населення</v>
          </cell>
          <cell r="DT84">
            <v>169.38</v>
          </cell>
        </row>
        <row r="85">
          <cell r="W85">
            <v>460.68</v>
          </cell>
          <cell r="AF85">
            <v>40380</v>
          </cell>
          <cell r="AG85">
            <v>39</v>
          </cell>
          <cell r="AH85">
            <v>460.67738095238093</v>
          </cell>
          <cell r="AM85">
            <v>6720</v>
          </cell>
          <cell r="AO85">
            <v>3095769.6</v>
          </cell>
          <cell r="AQ85">
            <v>3095752</v>
          </cell>
          <cell r="AU85">
            <v>0</v>
          </cell>
          <cell r="AW85">
            <v>0</v>
          </cell>
          <cell r="AY85">
            <v>2316850.1</v>
          </cell>
          <cell r="AZ85">
            <v>344.76936011904763</v>
          </cell>
          <cell r="BA85">
            <v>0</v>
          </cell>
          <cell r="BB85">
            <v>0</v>
          </cell>
          <cell r="BC85">
            <v>0</v>
          </cell>
          <cell r="BD85">
            <v>0</v>
          </cell>
          <cell r="BG85">
            <v>0</v>
          </cell>
          <cell r="BH85">
            <v>0</v>
          </cell>
          <cell r="BI85">
            <v>171857</v>
          </cell>
          <cell r="BJ85">
            <v>25.573958333333334</v>
          </cell>
          <cell r="BK85">
            <v>0</v>
          </cell>
          <cell r="BL85">
            <v>0</v>
          </cell>
          <cell r="BM85">
            <v>474633</v>
          </cell>
          <cell r="BN85">
            <v>70.629910714285714</v>
          </cell>
          <cell r="BO85">
            <v>0</v>
          </cell>
          <cell r="BP85">
            <v>0</v>
          </cell>
          <cell r="BY85">
            <v>5021.74</v>
          </cell>
          <cell r="CF85">
            <v>1054</v>
          </cell>
          <cell r="CG85">
            <v>2198.15</v>
          </cell>
          <cell r="CJ85">
            <v>0</v>
          </cell>
          <cell r="CK85">
            <v>0</v>
          </cell>
          <cell r="CL85">
            <v>0</v>
          </cell>
          <cell r="CM85">
            <v>0</v>
          </cell>
          <cell r="CN85">
            <v>0</v>
          </cell>
          <cell r="CO85">
            <v>0</v>
          </cell>
          <cell r="CX85">
            <v>0</v>
          </cell>
          <cell r="CY85">
            <v>0</v>
          </cell>
          <cell r="DB85">
            <v>0</v>
          </cell>
          <cell r="DC85">
            <v>0</v>
          </cell>
          <cell r="DJ85" t="str">
            <v>НКРКП</v>
          </cell>
          <cell r="DL85">
            <v>40984</v>
          </cell>
          <cell r="DM85">
            <v>135</v>
          </cell>
          <cell r="DT85">
            <v>725.18</v>
          </cell>
        </row>
        <row r="86">
          <cell r="W86">
            <v>232.41</v>
          </cell>
          <cell r="AF86">
            <v>39868</v>
          </cell>
          <cell r="AG86">
            <v>17</v>
          </cell>
          <cell r="AH86">
            <v>232.4059980725398</v>
          </cell>
          <cell r="AM86">
            <v>130742</v>
          </cell>
          <cell r="AO86">
            <v>30385748.219999999</v>
          </cell>
          <cell r="AQ86">
            <v>30385225</v>
          </cell>
          <cell r="AU86">
            <v>0</v>
          </cell>
          <cell r="AW86">
            <v>0</v>
          </cell>
          <cell r="AY86">
            <v>16099228.200000001</v>
          </cell>
          <cell r="AZ86">
            <v>123.13738660874088</v>
          </cell>
          <cell r="BA86">
            <v>0</v>
          </cell>
          <cell r="BB86">
            <v>0</v>
          </cell>
          <cell r="BC86">
            <v>0</v>
          </cell>
          <cell r="BD86">
            <v>0</v>
          </cell>
          <cell r="BG86">
            <v>0</v>
          </cell>
          <cell r="BH86">
            <v>0</v>
          </cell>
          <cell r="BI86">
            <v>3408942</v>
          </cell>
          <cell r="BJ86">
            <v>26.073809487387372</v>
          </cell>
          <cell r="BK86">
            <v>0</v>
          </cell>
          <cell r="BL86">
            <v>0</v>
          </cell>
          <cell r="BM86">
            <v>7795277</v>
          </cell>
          <cell r="BN86">
            <v>59.623357452081201</v>
          </cell>
          <cell r="BO86">
            <v>0</v>
          </cell>
          <cell r="BP86">
            <v>0</v>
          </cell>
          <cell r="BY86">
            <v>1954.06</v>
          </cell>
          <cell r="CF86">
            <v>22135</v>
          </cell>
          <cell r="CG86">
            <v>727.32</v>
          </cell>
          <cell r="CJ86">
            <v>0</v>
          </cell>
          <cell r="CK86">
            <v>0</v>
          </cell>
          <cell r="CL86">
            <v>0</v>
          </cell>
          <cell r="CM86">
            <v>0</v>
          </cell>
          <cell r="CN86">
            <v>0</v>
          </cell>
          <cell r="CO86">
            <v>0</v>
          </cell>
          <cell r="CX86">
            <v>0</v>
          </cell>
          <cell r="CY86">
            <v>0</v>
          </cell>
          <cell r="DB86">
            <v>0</v>
          </cell>
          <cell r="DC86">
            <v>0</v>
          </cell>
          <cell r="DJ86" t="str">
            <v>НКРЕ</v>
          </cell>
          <cell r="DL86">
            <v>40526</v>
          </cell>
          <cell r="DM86">
            <v>1731</v>
          </cell>
          <cell r="DO86" t="str">
            <v>Тариф на теплову енергію для населення</v>
          </cell>
          <cell r="DT86">
            <v>255.65</v>
          </cell>
        </row>
        <row r="87">
          <cell r="W87">
            <v>523.32000000000005</v>
          </cell>
          <cell r="AF87">
            <v>39868</v>
          </cell>
          <cell r="AG87">
            <v>18</v>
          </cell>
          <cell r="AH87">
            <v>482.00243399576198</v>
          </cell>
          <cell r="AM87">
            <v>34922</v>
          </cell>
          <cell r="AO87">
            <v>18275381.040000003</v>
          </cell>
          <cell r="AQ87">
            <v>16832489</v>
          </cell>
          <cell r="AU87">
            <v>0</v>
          </cell>
          <cell r="AW87">
            <v>0</v>
          </cell>
          <cell r="AY87">
            <v>13016311</v>
          </cell>
          <cell r="AZ87">
            <v>372.72524483133839</v>
          </cell>
          <cell r="BA87">
            <v>0</v>
          </cell>
          <cell r="BB87">
            <v>0</v>
          </cell>
          <cell r="BC87">
            <v>0</v>
          </cell>
          <cell r="BD87">
            <v>0</v>
          </cell>
          <cell r="BG87">
            <v>0</v>
          </cell>
          <cell r="BH87">
            <v>0</v>
          </cell>
          <cell r="BI87">
            <v>910550</v>
          </cell>
          <cell r="BJ87">
            <v>26.073821659698758</v>
          </cell>
          <cell r="BK87">
            <v>0</v>
          </cell>
          <cell r="BL87">
            <v>0</v>
          </cell>
          <cell r="BM87">
            <v>2082167</v>
          </cell>
          <cell r="BN87">
            <v>59.623360632266191</v>
          </cell>
          <cell r="BO87">
            <v>0</v>
          </cell>
          <cell r="BP87">
            <v>0</v>
          </cell>
          <cell r="BY87">
            <v>1954.06</v>
          </cell>
          <cell r="CF87">
            <v>6076</v>
          </cell>
          <cell r="CG87">
            <v>2142.25</v>
          </cell>
          <cell r="CJ87">
            <v>0</v>
          </cell>
          <cell r="CK87">
            <v>0</v>
          </cell>
          <cell r="CL87">
            <v>0</v>
          </cell>
          <cell r="CM87">
            <v>0</v>
          </cell>
          <cell r="CN87">
            <v>0</v>
          </cell>
          <cell r="CO87">
            <v>0</v>
          </cell>
          <cell r="CX87">
            <v>0</v>
          </cell>
          <cell r="CY87">
            <v>0</v>
          </cell>
          <cell r="DB87">
            <v>0</v>
          </cell>
          <cell r="DC87">
            <v>0</v>
          </cell>
          <cell r="DJ87" t="str">
            <v>НКРКП</v>
          </cell>
          <cell r="DL87">
            <v>40970</v>
          </cell>
          <cell r="DM87">
            <v>50</v>
          </cell>
          <cell r="DT87">
            <v>834.47</v>
          </cell>
        </row>
        <row r="88">
          <cell r="W88">
            <v>562.25</v>
          </cell>
          <cell r="AF88">
            <v>39868</v>
          </cell>
          <cell r="AG88">
            <v>18</v>
          </cell>
          <cell r="AH88">
            <v>482.00137241446919</v>
          </cell>
          <cell r="AM88">
            <v>10201</v>
          </cell>
          <cell r="AO88">
            <v>5735512.25</v>
          </cell>
          <cell r="AQ88">
            <v>4916896</v>
          </cell>
          <cell r="AU88">
            <v>0</v>
          </cell>
          <cell r="AW88">
            <v>0</v>
          </cell>
          <cell r="AY88">
            <v>3802279.5250000004</v>
          </cell>
          <cell r="AZ88">
            <v>372.7359597098324</v>
          </cell>
          <cell r="BA88">
            <v>0</v>
          </cell>
          <cell r="BB88">
            <v>0</v>
          </cell>
          <cell r="BC88">
            <v>0</v>
          </cell>
          <cell r="BD88">
            <v>0</v>
          </cell>
          <cell r="BG88">
            <v>0</v>
          </cell>
          <cell r="BH88">
            <v>0</v>
          </cell>
          <cell r="BI88">
            <v>265979</v>
          </cell>
          <cell r="BJ88">
            <v>26.073816292520341</v>
          </cell>
          <cell r="BK88">
            <v>0</v>
          </cell>
          <cell r="BL88">
            <v>0</v>
          </cell>
          <cell r="BM88">
            <v>608218</v>
          </cell>
          <cell r="BN88">
            <v>59.623370257817861</v>
          </cell>
          <cell r="BO88">
            <v>0</v>
          </cell>
          <cell r="BP88">
            <v>0</v>
          </cell>
          <cell r="BY88">
            <v>1954.06</v>
          </cell>
          <cell r="CF88">
            <v>1774.9</v>
          </cell>
          <cell r="CG88">
            <v>2142.25</v>
          </cell>
          <cell r="CJ88">
            <v>0</v>
          </cell>
          <cell r="CK88">
            <v>0</v>
          </cell>
          <cell r="CL88">
            <v>0</v>
          </cell>
          <cell r="CM88">
            <v>0</v>
          </cell>
          <cell r="CN88">
            <v>0</v>
          </cell>
          <cell r="CO88">
            <v>0</v>
          </cell>
          <cell r="CX88">
            <v>0</v>
          </cell>
          <cell r="CY88">
            <v>0</v>
          </cell>
          <cell r="DB88">
            <v>0</v>
          </cell>
          <cell r="DC88">
            <v>0</v>
          </cell>
          <cell r="DJ88" t="str">
            <v>НКРКП</v>
          </cell>
          <cell r="DL88">
            <v>40970</v>
          </cell>
          <cell r="DM88">
            <v>50</v>
          </cell>
          <cell r="DT88">
            <v>873.4</v>
          </cell>
        </row>
        <row r="89">
          <cell r="W89">
            <v>232.42</v>
          </cell>
          <cell r="AF89">
            <v>40344</v>
          </cell>
          <cell r="AG89" t="str">
            <v>припис 01-15/1907</v>
          </cell>
          <cell r="AH89">
            <v>232.42000000008787</v>
          </cell>
          <cell r="AM89">
            <v>34853.584028899997</v>
          </cell>
          <cell r="AO89">
            <v>8100669.9999969369</v>
          </cell>
          <cell r="AQ89">
            <v>8100670</v>
          </cell>
          <cell r="AU89">
            <v>0</v>
          </cell>
          <cell r="AW89">
            <v>0</v>
          </cell>
          <cell r="AY89">
            <v>4114420.1472000005</v>
          </cell>
          <cell r="AZ89">
            <v>118.04869604768318</v>
          </cell>
          <cell r="BA89">
            <v>0</v>
          </cell>
          <cell r="BB89">
            <v>0</v>
          </cell>
          <cell r="BC89">
            <v>0</v>
          </cell>
          <cell r="BD89">
            <v>0</v>
          </cell>
          <cell r="BG89">
            <v>829610</v>
          </cell>
          <cell r="BH89">
            <v>23.802717083904529</v>
          </cell>
          <cell r="BI89">
            <v>44380</v>
          </cell>
          <cell r="BJ89">
            <v>1.2733267248269464</v>
          </cell>
          <cell r="BK89">
            <v>0</v>
          </cell>
          <cell r="BL89">
            <v>0</v>
          </cell>
          <cell r="BM89">
            <v>2457230</v>
          </cell>
          <cell r="BN89">
            <v>70.501501307943158</v>
          </cell>
          <cell r="BO89">
            <v>0</v>
          </cell>
          <cell r="BP89">
            <v>0</v>
          </cell>
          <cell r="BY89">
            <v>2063.9899999999998</v>
          </cell>
          <cell r="CF89">
            <v>5656.96</v>
          </cell>
          <cell r="CG89">
            <v>727.32</v>
          </cell>
          <cell r="CJ89">
            <v>0</v>
          </cell>
          <cell r="CK89">
            <v>0</v>
          </cell>
          <cell r="CL89">
            <v>0</v>
          </cell>
          <cell r="CM89">
            <v>0</v>
          </cell>
          <cell r="CN89">
            <v>0</v>
          </cell>
          <cell r="CO89">
            <v>0</v>
          </cell>
          <cell r="CX89">
            <v>0</v>
          </cell>
          <cell r="CY89">
            <v>0</v>
          </cell>
          <cell r="DB89">
            <v>0</v>
          </cell>
          <cell r="DC89">
            <v>0</v>
          </cell>
          <cell r="DJ89" t="str">
            <v>НКРЕ</v>
          </cell>
          <cell r="DL89">
            <v>40526</v>
          </cell>
          <cell r="DM89" t="str">
            <v>№ 1725</v>
          </cell>
          <cell r="DO89" t="str">
            <v xml:space="preserve"> тариф на теплову енергію</v>
          </cell>
          <cell r="DT89">
            <v>255.66</v>
          </cell>
        </row>
        <row r="90">
          <cell r="W90">
            <v>538.37</v>
          </cell>
          <cell r="AF90">
            <v>40344</v>
          </cell>
          <cell r="AG90" t="str">
            <v>припис 01-15/1907</v>
          </cell>
          <cell r="AH90">
            <v>467.90343382234403</v>
          </cell>
          <cell r="AM90">
            <v>12406</v>
          </cell>
          <cell r="AO90">
            <v>6679018.2199999997</v>
          </cell>
          <cell r="AQ90">
            <v>5804810</v>
          </cell>
          <cell r="AU90">
            <v>0</v>
          </cell>
          <cell r="AW90">
            <v>0</v>
          </cell>
          <cell r="AY90">
            <v>4385880.6572000002</v>
          </cell>
          <cell r="AZ90">
            <v>353.52899058520075</v>
          </cell>
          <cell r="BA90">
            <v>0</v>
          </cell>
          <cell r="BB90">
            <v>0</v>
          </cell>
          <cell r="BC90">
            <v>0</v>
          </cell>
          <cell r="BD90">
            <v>0</v>
          </cell>
          <cell r="BG90">
            <v>295300</v>
          </cell>
          <cell r="BH90">
            <v>23.80299854908915</v>
          </cell>
          <cell r="BI90">
            <v>15800</v>
          </cell>
          <cell r="BJ90">
            <v>1.2735773013058198</v>
          </cell>
          <cell r="BK90">
            <v>0</v>
          </cell>
          <cell r="BL90">
            <v>0</v>
          </cell>
          <cell r="BM90">
            <v>874670</v>
          </cell>
          <cell r="BN90">
            <v>70.503788489440595</v>
          </cell>
          <cell r="BO90">
            <v>0</v>
          </cell>
          <cell r="BP90">
            <v>0</v>
          </cell>
          <cell r="BY90">
            <v>2063.9899999999998</v>
          </cell>
          <cell r="CF90">
            <v>2009.42</v>
          </cell>
          <cell r="CG90">
            <v>2182.66</v>
          </cell>
          <cell r="CJ90">
            <v>0</v>
          </cell>
          <cell r="CK90">
            <v>0</v>
          </cell>
          <cell r="CL90">
            <v>0</v>
          </cell>
          <cell r="CM90">
            <v>0</v>
          </cell>
          <cell r="CN90">
            <v>0</v>
          </cell>
          <cell r="CO90">
            <v>0</v>
          </cell>
          <cell r="CX90">
            <v>0</v>
          </cell>
          <cell r="CY90">
            <v>0</v>
          </cell>
          <cell r="DB90">
            <v>0</v>
          </cell>
          <cell r="DC90">
            <v>0</v>
          </cell>
          <cell r="DJ90" t="str">
            <v>НКРКП</v>
          </cell>
          <cell r="DL90">
            <v>41558</v>
          </cell>
          <cell r="DM90" t="str">
            <v>№ 201</v>
          </cell>
          <cell r="DT90">
            <v>792.55</v>
          </cell>
        </row>
        <row r="91">
          <cell r="W91">
            <v>585.34</v>
          </cell>
          <cell r="AF91">
            <v>40344</v>
          </cell>
          <cell r="AG91" t="str">
            <v>припис 01-15/1907</v>
          </cell>
          <cell r="AH91">
            <v>467.90140225612612</v>
          </cell>
          <cell r="AM91">
            <v>2298.98862199</v>
          </cell>
          <cell r="AO91">
            <v>1345689.9999956267</v>
          </cell>
          <cell r="AQ91">
            <v>1075700</v>
          </cell>
          <cell r="AU91">
            <v>0</v>
          </cell>
          <cell r="AW91">
            <v>0</v>
          </cell>
          <cell r="AY91">
            <v>812757.10419999994</v>
          </cell>
          <cell r="AZ91">
            <v>353.52811076397541</v>
          </cell>
          <cell r="BA91">
            <v>0</v>
          </cell>
          <cell r="BB91">
            <v>0</v>
          </cell>
          <cell r="BC91">
            <v>0</v>
          </cell>
          <cell r="BD91">
            <v>0</v>
          </cell>
          <cell r="BG91">
            <v>54720</v>
          </cell>
          <cell r="BH91">
            <v>23.801770690206581</v>
          </cell>
          <cell r="BI91">
            <v>2930</v>
          </cell>
          <cell r="BJ91">
            <v>1.2744734671473918</v>
          </cell>
          <cell r="BK91">
            <v>0</v>
          </cell>
          <cell r="BL91">
            <v>0</v>
          </cell>
          <cell r="BM91">
            <v>162070</v>
          </cell>
          <cell r="BN91">
            <v>70.496216662313245</v>
          </cell>
          <cell r="BO91">
            <v>0</v>
          </cell>
          <cell r="BP91">
            <v>0</v>
          </cell>
          <cell r="BY91">
            <v>2063.9899999999998</v>
          </cell>
          <cell r="CF91">
            <v>372.37</v>
          </cell>
          <cell r="CG91">
            <v>2182.66</v>
          </cell>
          <cell r="CJ91">
            <v>0</v>
          </cell>
          <cell r="CK91">
            <v>0</v>
          </cell>
          <cell r="CL91">
            <v>0</v>
          </cell>
          <cell r="CM91">
            <v>0</v>
          </cell>
          <cell r="CN91">
            <v>0</v>
          </cell>
          <cell r="CO91">
            <v>0</v>
          </cell>
          <cell r="CX91">
            <v>0</v>
          </cell>
          <cell r="CY91">
            <v>0</v>
          </cell>
          <cell r="DB91">
            <v>0</v>
          </cell>
          <cell r="DC91">
            <v>0</v>
          </cell>
          <cell r="DJ91" t="str">
            <v>НКРКП</v>
          </cell>
          <cell r="DL91">
            <v>41558</v>
          </cell>
          <cell r="DM91" t="str">
            <v>№ 201</v>
          </cell>
          <cell r="DT91">
            <v>839.52</v>
          </cell>
        </row>
        <row r="92">
          <cell r="W92">
            <v>239.52</v>
          </cell>
          <cell r="AF92">
            <v>39784</v>
          </cell>
          <cell r="AG92">
            <v>560</v>
          </cell>
          <cell r="AH92">
            <v>232.54016653449642</v>
          </cell>
          <cell r="AM92">
            <v>25220</v>
          </cell>
          <cell r="AO92">
            <v>6040694.4000000004</v>
          </cell>
          <cell r="AQ92">
            <v>5864663</v>
          </cell>
          <cell r="AU92">
            <v>0</v>
          </cell>
          <cell r="AW92">
            <v>0</v>
          </cell>
          <cell r="AY92">
            <v>2916989.9999974277</v>
          </cell>
          <cell r="AZ92">
            <v>115.66177636785994</v>
          </cell>
          <cell r="BA92">
            <v>0</v>
          </cell>
          <cell r="BB92">
            <v>0</v>
          </cell>
          <cell r="BC92">
            <v>0</v>
          </cell>
          <cell r="BD92">
            <v>0</v>
          </cell>
          <cell r="BG92">
            <v>0</v>
          </cell>
          <cell r="BH92">
            <v>0</v>
          </cell>
          <cell r="BI92">
            <v>594941</v>
          </cell>
          <cell r="BJ92">
            <v>23.590047581284693</v>
          </cell>
          <cell r="BK92">
            <v>0</v>
          </cell>
          <cell r="BL92">
            <v>0</v>
          </cell>
          <cell r="BM92">
            <v>1960976</v>
          </cell>
          <cell r="BN92">
            <v>77.754797779540041</v>
          </cell>
          <cell r="BO92">
            <v>0</v>
          </cell>
          <cell r="BP92">
            <v>0</v>
          </cell>
          <cell r="BY92">
            <v>1480.39</v>
          </cell>
          <cell r="CF92">
            <v>4010.6005609600002</v>
          </cell>
          <cell r="CG92">
            <v>727.32</v>
          </cell>
          <cell r="CJ92">
            <v>0</v>
          </cell>
          <cell r="CK92">
            <v>0</v>
          </cell>
          <cell r="CL92">
            <v>0</v>
          </cell>
          <cell r="CM92">
            <v>0</v>
          </cell>
          <cell r="CN92">
            <v>0</v>
          </cell>
          <cell r="CO92">
            <v>0</v>
          </cell>
          <cell r="CX92">
            <v>0</v>
          </cell>
          <cell r="CY92">
            <v>0</v>
          </cell>
          <cell r="DB92">
            <v>0</v>
          </cell>
          <cell r="DC92">
            <v>0</v>
          </cell>
          <cell r="DJ92" t="str">
            <v>НКРЕ</v>
          </cell>
          <cell r="DL92">
            <v>40526</v>
          </cell>
          <cell r="DM92" t="str">
            <v>№ 1708</v>
          </cell>
          <cell r="DO92" t="str">
            <v>тариф на теплову енергію</v>
          </cell>
          <cell r="DT92">
            <v>263.47000000000003</v>
          </cell>
        </row>
        <row r="93">
          <cell r="W93">
            <v>526.16</v>
          </cell>
          <cell r="AF93">
            <v>39857</v>
          </cell>
          <cell r="AG93">
            <v>49</v>
          </cell>
          <cell r="AH93">
            <v>457.53057553956836</v>
          </cell>
          <cell r="AM93">
            <v>5560</v>
          </cell>
          <cell r="AO93">
            <v>2925449.5999999996</v>
          </cell>
          <cell r="AQ93">
            <v>2543870</v>
          </cell>
          <cell r="AU93">
            <v>0</v>
          </cell>
          <cell r="AW93">
            <v>0</v>
          </cell>
          <cell r="AY93">
            <v>1894026.9997825001</v>
          </cell>
          <cell r="AZ93">
            <v>340.65233809037773</v>
          </cell>
          <cell r="BA93">
            <v>0</v>
          </cell>
          <cell r="BB93">
            <v>0</v>
          </cell>
          <cell r="BC93">
            <v>0</v>
          </cell>
          <cell r="BD93">
            <v>0</v>
          </cell>
          <cell r="BG93">
            <v>0</v>
          </cell>
          <cell r="BH93">
            <v>0</v>
          </cell>
          <cell r="BI93">
            <v>131160</v>
          </cell>
          <cell r="BJ93">
            <v>23.589928057553958</v>
          </cell>
          <cell r="BK93">
            <v>0</v>
          </cell>
          <cell r="BL93">
            <v>0</v>
          </cell>
          <cell r="BM93">
            <v>432317</v>
          </cell>
          <cell r="BN93">
            <v>77.754856115107913</v>
          </cell>
          <cell r="BO93">
            <v>0</v>
          </cell>
          <cell r="BP93">
            <v>0</v>
          </cell>
          <cell r="BY93">
            <v>1480.39</v>
          </cell>
          <cell r="CF93">
            <v>884.12977000000001</v>
          </cell>
          <cell r="CG93">
            <v>2142.25</v>
          </cell>
          <cell r="CJ93">
            <v>0</v>
          </cell>
          <cell r="CK93">
            <v>0</v>
          </cell>
          <cell r="CL93">
            <v>0</v>
          </cell>
          <cell r="CM93">
            <v>0</v>
          </cell>
          <cell r="CN93">
            <v>0</v>
          </cell>
          <cell r="CO93">
            <v>0</v>
          </cell>
          <cell r="CX93">
            <v>0</v>
          </cell>
          <cell r="CY93">
            <v>0</v>
          </cell>
          <cell r="DB93">
            <v>0</v>
          </cell>
          <cell r="DC93">
            <v>0</v>
          </cell>
          <cell r="DJ93" t="str">
            <v>НКРКП</v>
          </cell>
          <cell r="DL93">
            <v>40816</v>
          </cell>
          <cell r="DM93" t="str">
            <v>№ 73</v>
          </cell>
          <cell r="DT93">
            <v>782.12</v>
          </cell>
        </row>
        <row r="94">
          <cell r="W94">
            <v>571.91999999999996</v>
          </cell>
          <cell r="AF94">
            <v>39857</v>
          </cell>
          <cell r="AG94">
            <v>49</v>
          </cell>
          <cell r="AH94">
            <v>457.53034482758619</v>
          </cell>
          <cell r="AM94">
            <v>1450</v>
          </cell>
          <cell r="AO94">
            <v>829283.99999999988</v>
          </cell>
          <cell r="AQ94">
            <v>663419</v>
          </cell>
          <cell r="AU94">
            <v>0</v>
          </cell>
          <cell r="AW94">
            <v>0</v>
          </cell>
          <cell r="AY94">
            <v>493938.58249999996</v>
          </cell>
          <cell r="AZ94">
            <v>340.64729827586206</v>
          </cell>
          <cell r="BA94">
            <v>0</v>
          </cell>
          <cell r="BB94">
            <v>0</v>
          </cell>
          <cell r="BC94">
            <v>0</v>
          </cell>
          <cell r="BD94">
            <v>0</v>
          </cell>
          <cell r="BG94">
            <v>0</v>
          </cell>
          <cell r="BH94">
            <v>0</v>
          </cell>
          <cell r="BI94">
            <v>34207</v>
          </cell>
          <cell r="BJ94">
            <v>23.591034482758619</v>
          </cell>
          <cell r="BK94">
            <v>0</v>
          </cell>
          <cell r="BL94">
            <v>0</v>
          </cell>
          <cell r="BM94">
            <v>112746</v>
          </cell>
          <cell r="BN94">
            <v>77.755862068965513</v>
          </cell>
          <cell r="BO94">
            <v>0</v>
          </cell>
          <cell r="BP94">
            <v>0</v>
          </cell>
          <cell r="BY94">
            <v>1480.39</v>
          </cell>
          <cell r="CF94">
            <v>230.57</v>
          </cell>
          <cell r="CG94">
            <v>2142.25</v>
          </cell>
          <cell r="CJ94">
            <v>0</v>
          </cell>
          <cell r="CK94">
            <v>0</v>
          </cell>
          <cell r="CL94">
            <v>0</v>
          </cell>
          <cell r="CM94">
            <v>0</v>
          </cell>
          <cell r="CN94">
            <v>0</v>
          </cell>
          <cell r="CO94">
            <v>0</v>
          </cell>
          <cell r="CX94">
            <v>0</v>
          </cell>
          <cell r="CY94">
            <v>0</v>
          </cell>
          <cell r="DB94">
            <v>0</v>
          </cell>
          <cell r="DC94">
            <v>0</v>
          </cell>
          <cell r="DJ94" t="str">
            <v>НКРКП</v>
          </cell>
          <cell r="DL94">
            <v>40816</v>
          </cell>
          <cell r="DM94" t="str">
            <v>№ 73</v>
          </cell>
          <cell r="DT94">
            <v>827.88</v>
          </cell>
        </row>
        <row r="95">
          <cell r="W95">
            <v>223.46</v>
          </cell>
          <cell r="AF95">
            <v>39974</v>
          </cell>
          <cell r="AG95">
            <v>127</v>
          </cell>
          <cell r="AH95">
            <v>222.55789822383741</v>
          </cell>
          <cell r="AM95">
            <v>102637</v>
          </cell>
          <cell r="AO95">
            <v>22935264.02</v>
          </cell>
          <cell r="AQ95">
            <v>22842675</v>
          </cell>
          <cell r="AU95">
            <v>0</v>
          </cell>
          <cell r="AW95">
            <v>0</v>
          </cell>
          <cell r="AY95">
            <v>12209375.376</v>
          </cell>
          <cell r="AZ95">
            <v>118.95686132681197</v>
          </cell>
          <cell r="BA95">
            <v>0</v>
          </cell>
          <cell r="BB95">
            <v>0</v>
          </cell>
          <cell r="BC95">
            <v>0</v>
          </cell>
          <cell r="BD95">
            <v>0</v>
          </cell>
          <cell r="BG95">
            <v>0</v>
          </cell>
          <cell r="BH95">
            <v>0</v>
          </cell>
          <cell r="BI95">
            <v>2076000</v>
          </cell>
          <cell r="BJ95">
            <v>20.226623927043853</v>
          </cell>
          <cell r="BK95">
            <v>0</v>
          </cell>
          <cell r="BL95">
            <v>0</v>
          </cell>
          <cell r="BM95">
            <v>4820300</v>
          </cell>
          <cell r="BN95">
            <v>46.96454494967702</v>
          </cell>
          <cell r="BO95">
            <v>0</v>
          </cell>
          <cell r="BP95">
            <v>0</v>
          </cell>
          <cell r="BY95">
            <v>1943</v>
          </cell>
          <cell r="CF95">
            <v>16786.8</v>
          </cell>
          <cell r="CG95">
            <v>727.32</v>
          </cell>
          <cell r="CJ95">
            <v>0</v>
          </cell>
          <cell r="CK95">
            <v>0</v>
          </cell>
          <cell r="CL95">
            <v>0</v>
          </cell>
          <cell r="CM95">
            <v>0</v>
          </cell>
          <cell r="CN95">
            <v>0</v>
          </cell>
          <cell r="CO95">
            <v>0</v>
          </cell>
          <cell r="CX95">
            <v>0</v>
          </cell>
          <cell r="CY95">
            <v>0</v>
          </cell>
          <cell r="DB95">
            <v>0</v>
          </cell>
          <cell r="DC95">
            <v>0</v>
          </cell>
          <cell r="DJ95" t="str">
            <v>НКРКП</v>
          </cell>
          <cell r="DL95">
            <v>41243</v>
          </cell>
          <cell r="DM95">
            <v>372</v>
          </cell>
          <cell r="DO95" t="str">
            <v>Тариф на теплову енергію</v>
          </cell>
          <cell r="DT95">
            <v>245.8</v>
          </cell>
        </row>
        <row r="96">
          <cell r="W96">
            <v>518.54</v>
          </cell>
          <cell r="AF96">
            <v>39974</v>
          </cell>
          <cell r="AG96">
            <v>128</v>
          </cell>
          <cell r="AH96">
            <v>455.8217717838973</v>
          </cell>
          <cell r="AM96">
            <v>12383</v>
          </cell>
          <cell r="AO96">
            <v>6421080.8199999994</v>
          </cell>
          <cell r="AQ96">
            <v>5644441</v>
          </cell>
          <cell r="AU96">
            <v>0</v>
          </cell>
          <cell r="AW96">
            <v>0</v>
          </cell>
          <cell r="AY96">
            <v>4420584.9512</v>
          </cell>
          <cell r="AZ96">
            <v>356.98820570136479</v>
          </cell>
          <cell r="BA96">
            <v>0</v>
          </cell>
          <cell r="BB96">
            <v>0</v>
          </cell>
          <cell r="BC96">
            <v>0</v>
          </cell>
          <cell r="BD96">
            <v>0</v>
          </cell>
          <cell r="BG96">
            <v>0</v>
          </cell>
          <cell r="BH96">
            <v>0</v>
          </cell>
          <cell r="BI96">
            <v>250500</v>
          </cell>
          <cell r="BJ96">
            <v>20.229346684971333</v>
          </cell>
          <cell r="BK96">
            <v>0</v>
          </cell>
          <cell r="BL96">
            <v>0</v>
          </cell>
          <cell r="BM96">
            <v>581600</v>
          </cell>
          <cell r="BN96">
            <v>46.967616894129051</v>
          </cell>
          <cell r="BO96">
            <v>0</v>
          </cell>
          <cell r="BP96">
            <v>0</v>
          </cell>
          <cell r="BY96">
            <v>1943</v>
          </cell>
          <cell r="CF96">
            <v>2025.32</v>
          </cell>
          <cell r="CG96">
            <v>2182.66</v>
          </cell>
          <cell r="CJ96">
            <v>0</v>
          </cell>
          <cell r="CK96">
            <v>0</v>
          </cell>
          <cell r="CL96">
            <v>0</v>
          </cell>
          <cell r="CM96">
            <v>0</v>
          </cell>
          <cell r="CN96">
            <v>0</v>
          </cell>
          <cell r="CO96">
            <v>0</v>
          </cell>
          <cell r="CX96">
            <v>0</v>
          </cell>
          <cell r="CY96">
            <v>0</v>
          </cell>
          <cell r="DB96">
            <v>0</v>
          </cell>
          <cell r="DC96">
            <v>0</v>
          </cell>
          <cell r="DJ96" t="str">
            <v>НКРКП</v>
          </cell>
          <cell r="DL96">
            <v>41243</v>
          </cell>
          <cell r="DM96">
            <v>372</v>
          </cell>
          <cell r="DT96">
            <v>775.2</v>
          </cell>
        </row>
        <row r="97">
          <cell r="W97">
            <v>554.66</v>
          </cell>
          <cell r="AF97">
            <v>39974</v>
          </cell>
          <cell r="AG97">
            <v>129</v>
          </cell>
          <cell r="AH97">
            <v>455.81497035573125</v>
          </cell>
          <cell r="AM97">
            <v>4048</v>
          </cell>
          <cell r="AO97">
            <v>2245263.6799999997</v>
          </cell>
          <cell r="AQ97">
            <v>1845139</v>
          </cell>
          <cell r="AU97">
            <v>0</v>
          </cell>
          <cell r="AW97">
            <v>0</v>
          </cell>
          <cell r="AY97">
            <v>1445095.5327999999</v>
          </cell>
          <cell r="AZ97">
            <v>356.9900031620553</v>
          </cell>
          <cell r="BA97">
            <v>0</v>
          </cell>
          <cell r="BB97">
            <v>0</v>
          </cell>
          <cell r="BC97">
            <v>0</v>
          </cell>
          <cell r="BD97">
            <v>0</v>
          </cell>
          <cell r="BG97">
            <v>0</v>
          </cell>
          <cell r="BH97">
            <v>0</v>
          </cell>
          <cell r="BI97">
            <v>81800</v>
          </cell>
          <cell r="BJ97">
            <v>20.207509881422926</v>
          </cell>
          <cell r="BK97">
            <v>0</v>
          </cell>
          <cell r="BL97">
            <v>0</v>
          </cell>
          <cell r="BM97">
            <v>190200</v>
          </cell>
          <cell r="BN97">
            <v>46.98616600790514</v>
          </cell>
          <cell r="BO97">
            <v>0</v>
          </cell>
          <cell r="BP97">
            <v>0</v>
          </cell>
          <cell r="BY97">
            <v>1943</v>
          </cell>
          <cell r="CF97">
            <v>662.08</v>
          </cell>
          <cell r="CG97">
            <v>2182.66</v>
          </cell>
          <cell r="CJ97">
            <v>0</v>
          </cell>
          <cell r="CK97">
            <v>0</v>
          </cell>
          <cell r="CL97">
            <v>0</v>
          </cell>
          <cell r="CM97">
            <v>0</v>
          </cell>
          <cell r="CN97">
            <v>0</v>
          </cell>
          <cell r="CO97">
            <v>0</v>
          </cell>
          <cell r="CX97">
            <v>0</v>
          </cell>
          <cell r="CY97">
            <v>0</v>
          </cell>
          <cell r="DB97">
            <v>0</v>
          </cell>
          <cell r="DC97">
            <v>0</v>
          </cell>
          <cell r="DJ97" t="str">
            <v>НКРКП</v>
          </cell>
          <cell r="DL97">
            <v>41243</v>
          </cell>
          <cell r="DM97">
            <v>372</v>
          </cell>
          <cell r="DT97">
            <v>811.33</v>
          </cell>
        </row>
        <row r="98">
          <cell r="W98">
            <v>238.76</v>
          </cell>
          <cell r="AF98">
            <v>39710</v>
          </cell>
          <cell r="AG98">
            <v>222</v>
          </cell>
          <cell r="AH98">
            <v>238.76000055914602</v>
          </cell>
          <cell r="AM98">
            <v>38630.339999999997</v>
          </cell>
          <cell r="AO98">
            <v>9223379.9783999994</v>
          </cell>
          <cell r="AQ98">
            <v>9223380</v>
          </cell>
          <cell r="AU98">
            <v>0</v>
          </cell>
          <cell r="AW98">
            <v>0</v>
          </cell>
          <cell r="AY98">
            <v>4457699.9336640006</v>
          </cell>
          <cell r="AZ98">
            <v>115.39375355391645</v>
          </cell>
          <cell r="BA98">
            <v>0</v>
          </cell>
          <cell r="BB98">
            <v>0</v>
          </cell>
          <cell r="BC98">
            <v>0</v>
          </cell>
          <cell r="BD98">
            <v>0</v>
          </cell>
          <cell r="BG98">
            <v>0</v>
          </cell>
          <cell r="BH98">
            <v>0</v>
          </cell>
          <cell r="BI98">
            <v>994950</v>
          </cell>
          <cell r="BJ98">
            <v>25.755662518114004</v>
          </cell>
          <cell r="BK98">
            <v>0</v>
          </cell>
          <cell r="BL98">
            <v>0</v>
          </cell>
          <cell r="BM98">
            <v>2391860</v>
          </cell>
          <cell r="BN98">
            <v>61.916617870823821</v>
          </cell>
          <cell r="BO98">
            <v>0</v>
          </cell>
          <cell r="BP98">
            <v>0</v>
          </cell>
          <cell r="BY98">
            <v>2249.4</v>
          </cell>
          <cell r="CF98">
            <v>6183.0059000000001</v>
          </cell>
          <cell r="CG98">
            <v>720.96</v>
          </cell>
          <cell r="CJ98">
            <v>0</v>
          </cell>
          <cell r="CK98">
            <v>0</v>
          </cell>
          <cell r="CL98">
            <v>0</v>
          </cell>
          <cell r="CM98">
            <v>0</v>
          </cell>
          <cell r="CN98">
            <v>0</v>
          </cell>
          <cell r="CO98">
            <v>0</v>
          </cell>
          <cell r="CX98">
            <v>0</v>
          </cell>
          <cell r="CY98">
            <v>0</v>
          </cell>
          <cell r="DB98">
            <v>0</v>
          </cell>
          <cell r="DC98">
            <v>0</v>
          </cell>
          <cell r="DJ98" t="str">
            <v>НКРЕ</v>
          </cell>
          <cell r="DL98">
            <v>40526</v>
          </cell>
          <cell r="DM98" t="str">
            <v>№ 1795</v>
          </cell>
          <cell r="DO98" t="str">
            <v>Тариф на теплову енергію</v>
          </cell>
          <cell r="DT98">
            <v>262.64</v>
          </cell>
        </row>
        <row r="99">
          <cell r="W99">
            <v>583.08000000000004</v>
          </cell>
          <cell r="AF99">
            <v>39856</v>
          </cell>
          <cell r="AG99">
            <v>90</v>
          </cell>
          <cell r="AH99">
            <v>429.78065241844769</v>
          </cell>
          <cell r="AM99">
            <v>8890</v>
          </cell>
          <cell r="AO99">
            <v>5183581.2</v>
          </cell>
          <cell r="AQ99">
            <v>3820750</v>
          </cell>
          <cell r="AU99">
            <v>0</v>
          </cell>
          <cell r="AW99">
            <v>0</v>
          </cell>
          <cell r="AY99">
            <v>2690439.9926250004</v>
          </cell>
          <cell r="AZ99">
            <v>302.63666958661423</v>
          </cell>
          <cell r="BA99">
            <v>0</v>
          </cell>
          <cell r="BB99">
            <v>0</v>
          </cell>
          <cell r="BC99">
            <v>0</v>
          </cell>
          <cell r="BD99">
            <v>0</v>
          </cell>
          <cell r="BG99">
            <v>0</v>
          </cell>
          <cell r="BH99">
            <v>0</v>
          </cell>
          <cell r="BI99">
            <v>262360</v>
          </cell>
          <cell r="BJ99">
            <v>29.511811023622048</v>
          </cell>
          <cell r="BK99">
            <v>0</v>
          </cell>
          <cell r="BL99">
            <v>0</v>
          </cell>
          <cell r="BM99">
            <v>550470</v>
          </cell>
          <cell r="BN99">
            <v>61.920134983127106</v>
          </cell>
          <cell r="BO99">
            <v>0</v>
          </cell>
          <cell r="BP99">
            <v>0</v>
          </cell>
          <cell r="BY99">
            <v>2249.4</v>
          </cell>
          <cell r="CF99">
            <v>1255.8945000000001</v>
          </cell>
          <cell r="CG99">
            <v>2142.25</v>
          </cell>
          <cell r="CJ99">
            <v>0</v>
          </cell>
          <cell r="CK99">
            <v>0</v>
          </cell>
          <cell r="CL99">
            <v>0</v>
          </cell>
          <cell r="CM99">
            <v>0</v>
          </cell>
          <cell r="CN99">
            <v>0</v>
          </cell>
          <cell r="CO99">
            <v>0</v>
          </cell>
          <cell r="CX99">
            <v>0</v>
          </cell>
          <cell r="CY99">
            <v>0</v>
          </cell>
          <cell r="DB99">
            <v>0</v>
          </cell>
          <cell r="DC99">
            <v>0</v>
          </cell>
          <cell r="DJ99" t="str">
            <v>НКРКП</v>
          </cell>
          <cell r="DL99">
            <v>40816</v>
          </cell>
          <cell r="DM99" t="str">
            <v>№ 59</v>
          </cell>
          <cell r="DT99">
            <v>848.15</v>
          </cell>
        </row>
        <row r="100">
          <cell r="W100">
            <v>583.08000000000004</v>
          </cell>
          <cell r="AF100">
            <v>39856</v>
          </cell>
          <cell r="AG100">
            <v>91</v>
          </cell>
          <cell r="AH100">
            <v>429.78160919540232</v>
          </cell>
          <cell r="AM100">
            <v>870</v>
          </cell>
          <cell r="AO100">
            <v>507279.60000000003</v>
          </cell>
          <cell r="AQ100">
            <v>373910</v>
          </cell>
          <cell r="AU100">
            <v>0</v>
          </cell>
          <cell r="AW100">
            <v>0</v>
          </cell>
          <cell r="AY100">
            <v>263292.80780000001</v>
          </cell>
          <cell r="AZ100">
            <v>302.6354112643678</v>
          </cell>
          <cell r="BA100">
            <v>0</v>
          </cell>
          <cell r="BB100">
            <v>0</v>
          </cell>
          <cell r="BC100">
            <v>0</v>
          </cell>
          <cell r="BD100">
            <v>0</v>
          </cell>
          <cell r="BG100">
            <v>0</v>
          </cell>
          <cell r="BH100">
            <v>0</v>
          </cell>
          <cell r="BI100">
            <v>25670</v>
          </cell>
          <cell r="BJ100">
            <v>29.505747126436781</v>
          </cell>
          <cell r="BK100">
            <v>0</v>
          </cell>
          <cell r="BL100">
            <v>0</v>
          </cell>
          <cell r="BM100">
            <v>53870</v>
          </cell>
          <cell r="BN100">
            <v>61.919540229885058</v>
          </cell>
          <cell r="BO100">
            <v>0</v>
          </cell>
          <cell r="BP100">
            <v>0</v>
          </cell>
          <cell r="BY100">
            <v>2249.4</v>
          </cell>
          <cell r="CF100">
            <v>122.90479999999999</v>
          </cell>
          <cell r="CG100">
            <v>2142.25</v>
          </cell>
          <cell r="CJ100">
            <v>0</v>
          </cell>
          <cell r="CK100">
            <v>0</v>
          </cell>
          <cell r="CL100">
            <v>0</v>
          </cell>
          <cell r="CM100">
            <v>0</v>
          </cell>
          <cell r="CN100">
            <v>0</v>
          </cell>
          <cell r="CO100">
            <v>0</v>
          </cell>
          <cell r="CX100">
            <v>0</v>
          </cell>
          <cell r="CY100">
            <v>0</v>
          </cell>
          <cell r="DB100">
            <v>0</v>
          </cell>
          <cell r="DC100">
            <v>0</v>
          </cell>
          <cell r="DJ100" t="str">
            <v>НКРКП</v>
          </cell>
          <cell r="DL100">
            <v>40816</v>
          </cell>
          <cell r="DM100" t="str">
            <v>№ 59</v>
          </cell>
          <cell r="DT100">
            <v>848.15</v>
          </cell>
        </row>
        <row r="101">
          <cell r="W101">
            <v>272.67</v>
          </cell>
          <cell r="AF101">
            <v>40091</v>
          </cell>
          <cell r="AG101">
            <v>443</v>
          </cell>
          <cell r="AH101">
            <v>259.18999059810517</v>
          </cell>
          <cell r="AM101">
            <v>69135</v>
          </cell>
          <cell r="AO101">
            <v>18851040.449999999</v>
          </cell>
          <cell r="AQ101">
            <v>17919100</v>
          </cell>
          <cell r="AU101">
            <v>0</v>
          </cell>
          <cell r="AW101">
            <v>0</v>
          </cell>
          <cell r="AY101">
            <v>7869602.4000000004</v>
          </cell>
          <cell r="AZ101">
            <v>113.82949880668258</v>
          </cell>
          <cell r="BA101">
            <v>0</v>
          </cell>
          <cell r="BB101">
            <v>0</v>
          </cell>
          <cell r="BC101">
            <v>0</v>
          </cell>
          <cell r="BD101">
            <v>0</v>
          </cell>
          <cell r="BG101">
            <v>0</v>
          </cell>
          <cell r="BH101">
            <v>0</v>
          </cell>
          <cell r="BI101">
            <v>1519683</v>
          </cell>
          <cell r="BJ101">
            <v>21.981384248210023</v>
          </cell>
          <cell r="BK101">
            <v>0</v>
          </cell>
          <cell r="BL101">
            <v>0</v>
          </cell>
          <cell r="BM101">
            <v>6535567</v>
          </cell>
          <cell r="BN101">
            <v>94.533405655601356</v>
          </cell>
          <cell r="BO101">
            <v>0</v>
          </cell>
          <cell r="BP101">
            <v>0</v>
          </cell>
          <cell r="BY101">
            <v>2309.48</v>
          </cell>
          <cell r="CF101">
            <v>10820</v>
          </cell>
          <cell r="CG101">
            <v>727.32</v>
          </cell>
          <cell r="CJ101">
            <v>0</v>
          </cell>
          <cell r="CK101">
            <v>0</v>
          </cell>
          <cell r="CL101">
            <v>0</v>
          </cell>
          <cell r="CM101">
            <v>0</v>
          </cell>
          <cell r="CN101">
            <v>0</v>
          </cell>
          <cell r="CO101">
            <v>0</v>
          </cell>
          <cell r="CX101">
            <v>0</v>
          </cell>
          <cell r="CY101">
            <v>0</v>
          </cell>
          <cell r="DB101">
            <v>0</v>
          </cell>
          <cell r="DC101">
            <v>0</v>
          </cell>
          <cell r="DJ101" t="str">
            <v>НКРЕ</v>
          </cell>
          <cell r="DL101">
            <v>40526</v>
          </cell>
          <cell r="DM101" t="str">
            <v>№ 1798</v>
          </cell>
          <cell r="DO101" t="str">
            <v>Тариф на теплову енергію</v>
          </cell>
          <cell r="DT101">
            <v>299.94</v>
          </cell>
        </row>
        <row r="102">
          <cell r="W102">
            <v>555.5</v>
          </cell>
          <cell r="AF102">
            <v>40091</v>
          </cell>
          <cell r="AG102">
            <v>444</v>
          </cell>
          <cell r="AH102">
            <v>483.06002670977716</v>
          </cell>
          <cell r="AM102">
            <v>14227</v>
          </cell>
          <cell r="AO102">
            <v>7903098.5</v>
          </cell>
          <cell r="AQ102">
            <v>6872495</v>
          </cell>
          <cell r="AU102">
            <v>0</v>
          </cell>
          <cell r="AW102">
            <v>0</v>
          </cell>
          <cell r="AY102">
            <v>4838937.7943259999</v>
          </cell>
          <cell r="AZ102">
            <v>340.1235534073241</v>
          </cell>
          <cell r="BA102">
            <v>0</v>
          </cell>
          <cell r="BB102">
            <v>0</v>
          </cell>
          <cell r="BC102">
            <v>0</v>
          </cell>
          <cell r="BD102">
            <v>0</v>
          </cell>
          <cell r="BG102">
            <v>0</v>
          </cell>
          <cell r="BH102">
            <v>0</v>
          </cell>
          <cell r="BI102">
            <v>312729</v>
          </cell>
          <cell r="BJ102">
            <v>21.981373444858367</v>
          </cell>
          <cell r="BK102">
            <v>0</v>
          </cell>
          <cell r="BL102">
            <v>0</v>
          </cell>
          <cell r="BM102">
            <v>1335517</v>
          </cell>
          <cell r="BN102">
            <v>93.872003936177691</v>
          </cell>
          <cell r="BO102">
            <v>0</v>
          </cell>
          <cell r="BP102">
            <v>0</v>
          </cell>
          <cell r="BY102">
            <v>2309.48</v>
          </cell>
          <cell r="CF102">
            <v>2216.9911000000002</v>
          </cell>
          <cell r="CG102">
            <v>2182.66</v>
          </cell>
          <cell r="CJ102">
            <v>0</v>
          </cell>
          <cell r="CK102">
            <v>0</v>
          </cell>
          <cell r="CL102">
            <v>0</v>
          </cell>
          <cell r="CM102">
            <v>0</v>
          </cell>
          <cell r="CN102">
            <v>0</v>
          </cell>
          <cell r="CO102">
            <v>0</v>
          </cell>
          <cell r="CX102">
            <v>0</v>
          </cell>
          <cell r="CY102">
            <v>0</v>
          </cell>
          <cell r="DB102">
            <v>0</v>
          </cell>
          <cell r="DC102">
            <v>0</v>
          </cell>
          <cell r="DJ102" t="str">
            <v>НКРКП</v>
          </cell>
          <cell r="DL102">
            <v>40816</v>
          </cell>
          <cell r="DM102" t="str">
            <v>№ 57</v>
          </cell>
          <cell r="DT102">
            <v>798.08</v>
          </cell>
        </row>
        <row r="103">
          <cell r="W103">
            <v>724.58</v>
          </cell>
          <cell r="AF103">
            <v>40091</v>
          </cell>
          <cell r="AG103">
            <v>445</v>
          </cell>
          <cell r="AH103">
            <v>483.06002928257686</v>
          </cell>
          <cell r="AM103">
            <v>2049</v>
          </cell>
          <cell r="AO103">
            <v>1484664.4200000002</v>
          </cell>
          <cell r="AQ103">
            <v>989790</v>
          </cell>
          <cell r="AU103">
            <v>0</v>
          </cell>
          <cell r="AW103">
            <v>0</v>
          </cell>
          <cell r="AY103">
            <v>696911.98816800001</v>
          </cell>
          <cell r="AZ103">
            <v>340.12298104831626</v>
          </cell>
          <cell r="BA103">
            <v>0</v>
          </cell>
          <cell r="BB103">
            <v>0</v>
          </cell>
          <cell r="BC103">
            <v>0</v>
          </cell>
          <cell r="BD103">
            <v>0</v>
          </cell>
          <cell r="BG103">
            <v>0</v>
          </cell>
          <cell r="BH103">
            <v>0</v>
          </cell>
          <cell r="BI103">
            <v>45041</v>
          </cell>
          <cell r="BJ103">
            <v>21.981942410932163</v>
          </cell>
          <cell r="BK103">
            <v>0</v>
          </cell>
          <cell r="BL103">
            <v>0</v>
          </cell>
          <cell r="BM103">
            <v>192344</v>
          </cell>
          <cell r="BN103">
            <v>93.872132747681789</v>
          </cell>
          <cell r="BO103">
            <v>0</v>
          </cell>
          <cell r="BP103">
            <v>0</v>
          </cell>
          <cell r="BY103">
            <v>2309.48</v>
          </cell>
          <cell r="CF103">
            <v>319.29480000000001</v>
          </cell>
          <cell r="CG103">
            <v>2182.66</v>
          </cell>
          <cell r="CJ103">
            <v>0</v>
          </cell>
          <cell r="CK103">
            <v>0</v>
          </cell>
          <cell r="CL103">
            <v>0</v>
          </cell>
          <cell r="CM103">
            <v>0</v>
          </cell>
          <cell r="CN103">
            <v>0</v>
          </cell>
          <cell r="CO103">
            <v>0</v>
          </cell>
          <cell r="CX103">
            <v>0</v>
          </cell>
          <cell r="CY103">
            <v>0</v>
          </cell>
          <cell r="DB103">
            <v>0</v>
          </cell>
          <cell r="DC103">
            <v>0</v>
          </cell>
          <cell r="DJ103" t="str">
            <v>НКРКП</v>
          </cell>
          <cell r="DL103">
            <v>40816</v>
          </cell>
          <cell r="DM103" t="str">
            <v>№ 57</v>
          </cell>
          <cell r="DT103">
            <v>967.16</v>
          </cell>
        </row>
        <row r="104">
          <cell r="W104">
            <v>199.83</v>
          </cell>
          <cell r="AF104">
            <v>39758</v>
          </cell>
          <cell r="AG104">
            <v>431</v>
          </cell>
          <cell r="AH104">
            <v>199.83018429845083</v>
          </cell>
          <cell r="AM104">
            <v>192090.6</v>
          </cell>
          <cell r="AO104">
            <v>38385464.598000005</v>
          </cell>
          <cell r="AQ104">
            <v>38385500</v>
          </cell>
          <cell r="AU104">
            <v>0</v>
          </cell>
          <cell r="AW104">
            <v>0</v>
          </cell>
          <cell r="AY104">
            <v>22326499.983257998</v>
          </cell>
          <cell r="AZ104">
            <v>116.22900851607521</v>
          </cell>
          <cell r="BA104">
            <v>0</v>
          </cell>
          <cell r="BB104">
            <v>0</v>
          </cell>
          <cell r="BC104">
            <v>0</v>
          </cell>
          <cell r="BD104">
            <v>0</v>
          </cell>
          <cell r="BG104">
            <v>1249400</v>
          </cell>
          <cell r="BH104">
            <v>6.5042224866807636</v>
          </cell>
          <cell r="BI104">
            <v>2356500</v>
          </cell>
          <cell r="BJ104">
            <v>12.267648703268145</v>
          </cell>
          <cell r="BK104">
            <v>0</v>
          </cell>
          <cell r="BL104">
            <v>0</v>
          </cell>
          <cell r="BM104">
            <v>8053000</v>
          </cell>
          <cell r="BN104">
            <v>41.922925952649429</v>
          </cell>
          <cell r="BO104">
            <v>0</v>
          </cell>
          <cell r="BP104">
            <v>0</v>
          </cell>
          <cell r="BY104">
            <v>1697.14</v>
          </cell>
          <cell r="CF104">
            <v>30974.181799999998</v>
          </cell>
          <cell r="CG104">
            <v>720.81</v>
          </cell>
          <cell r="CJ104">
            <v>0</v>
          </cell>
          <cell r="CK104">
            <v>0</v>
          </cell>
          <cell r="CL104">
            <v>0</v>
          </cell>
          <cell r="CM104">
            <v>0</v>
          </cell>
          <cell r="CN104">
            <v>0</v>
          </cell>
          <cell r="CO104">
            <v>0</v>
          </cell>
          <cell r="CX104">
            <v>0</v>
          </cell>
          <cell r="CY104">
            <v>0</v>
          </cell>
          <cell r="DB104">
            <v>0</v>
          </cell>
          <cell r="DC104">
            <v>0</v>
          </cell>
          <cell r="DJ104" t="str">
            <v>НКРЕ</v>
          </cell>
          <cell r="DL104">
            <v>40526</v>
          </cell>
          <cell r="DM104" t="str">
            <v>№ 1799</v>
          </cell>
          <cell r="DO104" t="str">
            <v>Тариф на теплову енергію</v>
          </cell>
          <cell r="DT104">
            <v>219.81</v>
          </cell>
        </row>
        <row r="105">
          <cell r="W105">
            <v>538.44000000000005</v>
          </cell>
          <cell r="AF105">
            <v>39876</v>
          </cell>
          <cell r="AG105">
            <v>143</v>
          </cell>
          <cell r="AH105">
            <v>375.93486104490512</v>
          </cell>
          <cell r="AM105">
            <v>25803.3</v>
          </cell>
          <cell r="AO105">
            <v>13893528.852000002</v>
          </cell>
          <cell r="AQ105">
            <v>9700360</v>
          </cell>
          <cell r="AU105">
            <v>0</v>
          </cell>
          <cell r="AW105">
            <v>0</v>
          </cell>
          <cell r="AY105">
            <v>7532097</v>
          </cell>
          <cell r="AZ105">
            <v>291.90440757577522</v>
          </cell>
          <cell r="BA105">
            <v>0</v>
          </cell>
          <cell r="BB105">
            <v>0</v>
          </cell>
          <cell r="BC105">
            <v>0</v>
          </cell>
          <cell r="BD105">
            <v>0</v>
          </cell>
          <cell r="BG105">
            <v>173500</v>
          </cell>
          <cell r="BH105">
            <v>6.7239461619250251</v>
          </cell>
          <cell r="BI105">
            <v>321900</v>
          </cell>
          <cell r="BJ105">
            <v>12.475148527513923</v>
          </cell>
          <cell r="BK105">
            <v>0</v>
          </cell>
          <cell r="BL105">
            <v>0</v>
          </cell>
          <cell r="BM105">
            <v>1081700</v>
          </cell>
          <cell r="BN105">
            <v>41.920994601465708</v>
          </cell>
          <cell r="BO105">
            <v>0</v>
          </cell>
          <cell r="BP105">
            <v>0</v>
          </cell>
          <cell r="BY105">
            <v>1697.14</v>
          </cell>
          <cell r="CF105">
            <v>3515.9747928579764</v>
          </cell>
          <cell r="CG105">
            <v>2142.25</v>
          </cell>
          <cell r="CJ105">
            <v>0</v>
          </cell>
          <cell r="CK105">
            <v>0</v>
          </cell>
          <cell r="CL105">
            <v>0</v>
          </cell>
          <cell r="CM105">
            <v>0</v>
          </cell>
          <cell r="CN105">
            <v>0</v>
          </cell>
          <cell r="CO105">
            <v>0</v>
          </cell>
          <cell r="CX105">
            <v>0</v>
          </cell>
          <cell r="CY105">
            <v>0</v>
          </cell>
          <cell r="DB105">
            <v>0</v>
          </cell>
          <cell r="DC105">
            <v>0</v>
          </cell>
          <cell r="DJ105" t="str">
            <v>НКРКП</v>
          </cell>
          <cell r="DL105">
            <v>40816</v>
          </cell>
          <cell r="DM105" t="str">
            <v>№ 56</v>
          </cell>
          <cell r="DT105">
            <v>797.94</v>
          </cell>
        </row>
        <row r="106">
          <cell r="W106">
            <v>538.44000000000005</v>
          </cell>
          <cell r="AF106">
            <v>39876</v>
          </cell>
          <cell r="AG106">
            <v>144</v>
          </cell>
          <cell r="AH106">
            <v>375.93141575194301</v>
          </cell>
          <cell r="AM106">
            <v>4992.3999999999996</v>
          </cell>
          <cell r="AO106">
            <v>2688107.8560000001</v>
          </cell>
          <cell r="AQ106">
            <v>1876800</v>
          </cell>
          <cell r="AU106">
            <v>0</v>
          </cell>
          <cell r="AW106">
            <v>0</v>
          </cell>
          <cell r="AY106">
            <v>1457303</v>
          </cell>
          <cell r="AZ106">
            <v>291.90429452768211</v>
          </cell>
          <cell r="BA106">
            <v>0</v>
          </cell>
          <cell r="BB106">
            <v>0</v>
          </cell>
          <cell r="BC106">
            <v>0</v>
          </cell>
          <cell r="BD106">
            <v>0</v>
          </cell>
          <cell r="BG106">
            <v>33530</v>
          </cell>
          <cell r="BH106">
            <v>6.7162086371284353</v>
          </cell>
          <cell r="BI106">
            <v>62300</v>
          </cell>
          <cell r="BJ106">
            <v>12.47896803140774</v>
          </cell>
          <cell r="BK106">
            <v>0</v>
          </cell>
          <cell r="BL106">
            <v>0</v>
          </cell>
          <cell r="BM106">
            <v>209300</v>
          </cell>
          <cell r="BN106">
            <v>41.92372406057207</v>
          </cell>
          <cell r="BO106">
            <v>0</v>
          </cell>
          <cell r="BP106">
            <v>0</v>
          </cell>
          <cell r="BY106">
            <v>1697.14</v>
          </cell>
          <cell r="CF106">
            <v>680.2674757848057</v>
          </cell>
          <cell r="CG106">
            <v>2142.25</v>
          </cell>
          <cell r="CJ106">
            <v>0</v>
          </cell>
          <cell r="CK106">
            <v>0</v>
          </cell>
          <cell r="CL106">
            <v>0</v>
          </cell>
          <cell r="CM106">
            <v>0</v>
          </cell>
          <cell r="CN106">
            <v>0</v>
          </cell>
          <cell r="CO106">
            <v>0</v>
          </cell>
          <cell r="CX106">
            <v>0</v>
          </cell>
          <cell r="CY106">
            <v>0</v>
          </cell>
          <cell r="DB106">
            <v>0</v>
          </cell>
          <cell r="DC106">
            <v>0</v>
          </cell>
          <cell r="DJ106" t="str">
            <v>НКРКП</v>
          </cell>
          <cell r="DL106">
            <v>40816</v>
          </cell>
          <cell r="DM106" t="str">
            <v>№ 56</v>
          </cell>
          <cell r="DT106">
            <v>797.94</v>
          </cell>
        </row>
        <row r="107">
          <cell r="W107">
            <v>160.16</v>
          </cell>
          <cell r="AF107">
            <v>39013</v>
          </cell>
          <cell r="AG107" t="str">
            <v>Акт ДЦІ від 23.10.06</v>
          </cell>
          <cell r="AH107">
            <v>148.29702557932367</v>
          </cell>
          <cell r="AM107">
            <v>172874</v>
          </cell>
          <cell r="AO107">
            <v>27687499.84</v>
          </cell>
          <cell r="AQ107">
            <v>25636700</v>
          </cell>
          <cell r="AU107">
            <v>0</v>
          </cell>
          <cell r="AW107">
            <v>0</v>
          </cell>
          <cell r="AY107">
            <v>16268013.189999999</v>
          </cell>
          <cell r="AZ107">
            <v>94.103295984358553</v>
          </cell>
          <cell r="BA107">
            <v>0</v>
          </cell>
          <cell r="BB107">
            <v>0</v>
          </cell>
          <cell r="BC107">
            <v>0</v>
          </cell>
          <cell r="BD107">
            <v>0</v>
          </cell>
          <cell r="BG107">
            <v>0</v>
          </cell>
          <cell r="BH107">
            <v>0</v>
          </cell>
          <cell r="BI107">
            <v>2676307</v>
          </cell>
          <cell r="BJ107">
            <v>15.481258026076796</v>
          </cell>
          <cell r="BK107">
            <v>0</v>
          </cell>
          <cell r="BL107">
            <v>0</v>
          </cell>
          <cell r="BM107">
            <v>4232240</v>
          </cell>
          <cell r="BN107">
            <v>24.481645591586936</v>
          </cell>
          <cell r="BO107">
            <v>0</v>
          </cell>
          <cell r="BP107">
            <v>0</v>
          </cell>
          <cell r="BY107">
            <v>789.69</v>
          </cell>
          <cell r="CF107">
            <v>28457</v>
          </cell>
          <cell r="CG107">
            <v>571.66999999999996</v>
          </cell>
          <cell r="CJ107">
            <v>0</v>
          </cell>
          <cell r="CK107">
            <v>0</v>
          </cell>
          <cell r="CL107">
            <v>0</v>
          </cell>
          <cell r="CM107">
            <v>0</v>
          </cell>
          <cell r="CN107">
            <v>0</v>
          </cell>
          <cell r="CO107">
            <v>0</v>
          </cell>
          <cell r="CX107">
            <v>0</v>
          </cell>
          <cell r="CY107">
            <v>0</v>
          </cell>
          <cell r="DB107">
            <v>0</v>
          </cell>
          <cell r="DC107">
            <v>0</v>
          </cell>
          <cell r="DJ107" t="str">
            <v>НКРЕ</v>
          </cell>
          <cell r="DL107">
            <v>40526</v>
          </cell>
          <cell r="DM107" t="str">
            <v>№ 1801</v>
          </cell>
          <cell r="DO107" t="str">
            <v>Тариф на теплову енергію</v>
          </cell>
          <cell r="DT107">
            <v>200.2</v>
          </cell>
        </row>
        <row r="108">
          <cell r="W108">
            <v>519.54999999999995</v>
          </cell>
          <cell r="AF108">
            <v>39988</v>
          </cell>
          <cell r="AG108">
            <v>82</v>
          </cell>
          <cell r="AH108">
            <v>451.78245411038893</v>
          </cell>
          <cell r="AM108">
            <v>37672.782209999998</v>
          </cell>
          <cell r="AO108">
            <v>19572893.997205496</v>
          </cell>
          <cell r="AQ108">
            <v>17019902</v>
          </cell>
          <cell r="AU108">
            <v>0</v>
          </cell>
          <cell r="AW108">
            <v>0</v>
          </cell>
          <cell r="AY108">
            <v>13130882.559999999</v>
          </cell>
          <cell r="AZ108">
            <v>348.55091102123299</v>
          </cell>
          <cell r="BA108">
            <v>0</v>
          </cell>
          <cell r="BB108">
            <v>0</v>
          </cell>
          <cell r="BC108">
            <v>0</v>
          </cell>
          <cell r="BD108">
            <v>0</v>
          </cell>
          <cell r="BG108">
            <v>0</v>
          </cell>
          <cell r="BH108">
            <v>0</v>
          </cell>
          <cell r="BI108">
            <v>895526</v>
          </cell>
          <cell r="BJ108">
            <v>23.771167072504891</v>
          </cell>
          <cell r="BK108">
            <v>0</v>
          </cell>
          <cell r="BL108">
            <v>0</v>
          </cell>
          <cell r="BM108">
            <v>1876215</v>
          </cell>
          <cell r="BN108">
            <v>49.802931717158145</v>
          </cell>
          <cell r="BO108">
            <v>0</v>
          </cell>
          <cell r="BP108">
            <v>0</v>
          </cell>
          <cell r="BY108">
            <v>1686</v>
          </cell>
          <cell r="CF108">
            <v>6016</v>
          </cell>
          <cell r="CG108">
            <v>2182.66</v>
          </cell>
          <cell r="CJ108">
            <v>0</v>
          </cell>
          <cell r="CK108">
            <v>0</v>
          </cell>
          <cell r="CL108">
            <v>0</v>
          </cell>
          <cell r="CM108">
            <v>0</v>
          </cell>
          <cell r="CN108">
            <v>0</v>
          </cell>
          <cell r="CO108">
            <v>0</v>
          </cell>
          <cell r="CX108">
            <v>0</v>
          </cell>
          <cell r="CY108">
            <v>0</v>
          </cell>
          <cell r="DB108">
            <v>0</v>
          </cell>
          <cell r="DC108">
            <v>0</v>
          </cell>
          <cell r="DJ108" t="str">
            <v>НКРКП</v>
          </cell>
          <cell r="DL108">
            <v>40816</v>
          </cell>
          <cell r="DM108" t="str">
            <v>№ 55</v>
          </cell>
          <cell r="DT108">
            <v>770.15</v>
          </cell>
        </row>
        <row r="109">
          <cell r="W109">
            <v>542.15</v>
          </cell>
          <cell r="AF109">
            <v>39988</v>
          </cell>
          <cell r="AG109">
            <v>82</v>
          </cell>
          <cell r="AH109">
            <v>451.78471711976488</v>
          </cell>
          <cell r="AM109">
            <v>8166</v>
          </cell>
          <cell r="AO109">
            <v>4427196.8999999994</v>
          </cell>
          <cell r="AQ109">
            <v>3689274</v>
          </cell>
          <cell r="AU109">
            <v>0</v>
          </cell>
          <cell r="AW109">
            <v>0</v>
          </cell>
          <cell r="AY109">
            <v>2846188.6399999997</v>
          </cell>
          <cell r="AZ109">
            <v>348.54134704873866</v>
          </cell>
          <cell r="BA109">
            <v>0</v>
          </cell>
          <cell r="BB109">
            <v>0</v>
          </cell>
          <cell r="BC109">
            <v>0</v>
          </cell>
          <cell r="BD109">
            <v>0</v>
          </cell>
          <cell r="BG109">
            <v>0</v>
          </cell>
          <cell r="BH109">
            <v>0</v>
          </cell>
          <cell r="BI109">
            <v>194114</v>
          </cell>
          <cell r="BJ109">
            <v>23.771001714425669</v>
          </cell>
          <cell r="BK109">
            <v>0</v>
          </cell>
          <cell r="BL109">
            <v>0</v>
          </cell>
          <cell r="BM109">
            <v>406688</v>
          </cell>
          <cell r="BN109">
            <v>49.802596130296351</v>
          </cell>
          <cell r="BO109">
            <v>0</v>
          </cell>
          <cell r="BP109">
            <v>0</v>
          </cell>
          <cell r="BY109">
            <v>1686</v>
          </cell>
          <cell r="CF109">
            <v>1304</v>
          </cell>
          <cell r="CG109">
            <v>2182.66</v>
          </cell>
          <cell r="CJ109">
            <v>0</v>
          </cell>
          <cell r="CK109">
            <v>0</v>
          </cell>
          <cell r="CL109">
            <v>0</v>
          </cell>
          <cell r="CM109">
            <v>0</v>
          </cell>
          <cell r="CN109">
            <v>0</v>
          </cell>
          <cell r="CO109">
            <v>0</v>
          </cell>
          <cell r="CX109">
            <v>0</v>
          </cell>
          <cell r="CY109">
            <v>0</v>
          </cell>
          <cell r="DB109">
            <v>0</v>
          </cell>
          <cell r="DC109">
            <v>0</v>
          </cell>
          <cell r="DJ109" t="str">
            <v>НКРКП</v>
          </cell>
          <cell r="DL109">
            <v>40816</v>
          </cell>
          <cell r="DM109" t="str">
            <v>№ 55</v>
          </cell>
          <cell r="DT109">
            <v>792.73</v>
          </cell>
        </row>
        <row r="110">
          <cell r="W110">
            <v>226.03</v>
          </cell>
          <cell r="AF110">
            <v>39800</v>
          </cell>
          <cell r="AG110">
            <v>173</v>
          </cell>
          <cell r="AH110">
            <v>231.43570712420768</v>
          </cell>
          <cell r="AM110">
            <v>27540.892800000001</v>
          </cell>
          <cell r="AO110">
            <v>6225067.9995840006</v>
          </cell>
          <cell r="AQ110">
            <v>6373946</v>
          </cell>
          <cell r="AU110">
            <v>0</v>
          </cell>
          <cell r="AW110">
            <v>0</v>
          </cell>
          <cell r="AY110">
            <v>2857722.9999946319</v>
          </cell>
          <cell r="AZ110">
            <v>103.76290343044477</v>
          </cell>
          <cell r="BA110">
            <v>0</v>
          </cell>
          <cell r="BB110">
            <v>0</v>
          </cell>
          <cell r="BC110">
            <v>0</v>
          </cell>
          <cell r="BD110">
            <v>0</v>
          </cell>
          <cell r="BG110">
            <v>0</v>
          </cell>
          <cell r="BH110">
            <v>0</v>
          </cell>
          <cell r="BI110">
            <v>400557</v>
          </cell>
          <cell r="BJ110">
            <v>14.54408188248712</v>
          </cell>
          <cell r="BK110">
            <v>0</v>
          </cell>
          <cell r="BL110">
            <v>0</v>
          </cell>
          <cell r="BM110">
            <v>1375404</v>
          </cell>
          <cell r="BN110">
            <v>49.940428946442864</v>
          </cell>
          <cell r="BO110">
            <v>0</v>
          </cell>
          <cell r="BP110">
            <v>0</v>
          </cell>
          <cell r="BY110">
            <v>1792</v>
          </cell>
          <cell r="CF110">
            <v>3929.1137325999998</v>
          </cell>
          <cell r="CG110">
            <v>727.32</v>
          </cell>
          <cell r="CJ110">
            <v>0</v>
          </cell>
          <cell r="CK110">
            <v>0</v>
          </cell>
          <cell r="CL110">
            <v>0</v>
          </cell>
          <cell r="CM110">
            <v>0</v>
          </cell>
          <cell r="CN110">
            <v>0</v>
          </cell>
          <cell r="CO110">
            <v>0</v>
          </cell>
          <cell r="CX110">
            <v>0</v>
          </cell>
          <cell r="CY110">
            <v>0</v>
          </cell>
          <cell r="DB110">
            <v>0</v>
          </cell>
          <cell r="DC110">
            <v>0</v>
          </cell>
          <cell r="DJ110" t="str">
            <v>НКРЕ</v>
          </cell>
          <cell r="DL110">
            <v>40526</v>
          </cell>
          <cell r="DM110" t="str">
            <v>№ 1713</v>
          </cell>
          <cell r="DO110" t="str">
            <v>Тариф на теплову енергію</v>
          </cell>
          <cell r="DT110">
            <v>248.63</v>
          </cell>
        </row>
        <row r="111">
          <cell r="W111">
            <v>451.92</v>
          </cell>
          <cell r="AF111">
            <v>39862</v>
          </cell>
          <cell r="AG111">
            <v>36</v>
          </cell>
          <cell r="AH111">
            <v>429.3131228538054</v>
          </cell>
          <cell r="AM111">
            <v>5903.4719999999998</v>
          </cell>
          <cell r="AO111">
            <v>2667897.0662400001</v>
          </cell>
          <cell r="AQ111">
            <v>2534438</v>
          </cell>
          <cell r="AU111">
            <v>0</v>
          </cell>
          <cell r="AW111">
            <v>0</v>
          </cell>
          <cell r="AY111">
            <v>1780819.9913349999</v>
          </cell>
          <cell r="AZ111">
            <v>301.65637972620181</v>
          </cell>
          <cell r="BA111">
            <v>0</v>
          </cell>
          <cell r="BB111">
            <v>0</v>
          </cell>
          <cell r="BC111">
            <v>0</v>
          </cell>
          <cell r="BD111">
            <v>0</v>
          </cell>
          <cell r="BG111">
            <v>0</v>
          </cell>
          <cell r="BH111">
            <v>0</v>
          </cell>
          <cell r="BI111">
            <v>85862</v>
          </cell>
          <cell r="BJ111">
            <v>14.544322391975435</v>
          </cell>
          <cell r="BK111">
            <v>0</v>
          </cell>
          <cell r="BL111">
            <v>0</v>
          </cell>
          <cell r="BM111">
            <v>294827</v>
          </cell>
          <cell r="BN111">
            <v>49.941288787344128</v>
          </cell>
          <cell r="BO111">
            <v>0</v>
          </cell>
          <cell r="BP111">
            <v>0</v>
          </cell>
          <cell r="BY111">
            <v>1792</v>
          </cell>
          <cell r="CF111">
            <v>831.28485999999998</v>
          </cell>
          <cell r="CG111">
            <v>2142.25</v>
          </cell>
          <cell r="CJ111">
            <v>0</v>
          </cell>
          <cell r="CK111">
            <v>0</v>
          </cell>
          <cell r="CL111">
            <v>0</v>
          </cell>
          <cell r="CM111">
            <v>0</v>
          </cell>
          <cell r="CN111">
            <v>0</v>
          </cell>
          <cell r="CO111">
            <v>0</v>
          </cell>
          <cell r="CX111">
            <v>0</v>
          </cell>
          <cell r="CY111">
            <v>0</v>
          </cell>
          <cell r="DB111">
            <v>0</v>
          </cell>
          <cell r="DC111">
            <v>0</v>
          </cell>
          <cell r="DJ111" t="str">
            <v>НКРКП</v>
          </cell>
          <cell r="DL111">
            <v>40816</v>
          </cell>
          <cell r="DM111" t="str">
            <v>№ 54</v>
          </cell>
          <cell r="DT111">
            <v>678.57</v>
          </cell>
        </row>
        <row r="112">
          <cell r="W112">
            <v>451.92</v>
          </cell>
          <cell r="AF112">
            <v>39862</v>
          </cell>
          <cell r="AG112">
            <v>36</v>
          </cell>
          <cell r="AH112">
            <v>429.3132551679962</v>
          </cell>
          <cell r="AM112">
            <v>1754.742</v>
          </cell>
          <cell r="AO112">
            <v>793003.00464000006</v>
          </cell>
          <cell r="AQ112">
            <v>753334</v>
          </cell>
          <cell r="AU112">
            <v>0</v>
          </cell>
          <cell r="AW112">
            <v>0</v>
          </cell>
          <cell r="AY112">
            <v>529312.99976499996</v>
          </cell>
          <cell r="AZ112">
            <v>301.64719358458393</v>
          </cell>
          <cell r="BA112">
            <v>0</v>
          </cell>
          <cell r="BB112">
            <v>0</v>
          </cell>
          <cell r="BC112">
            <v>0</v>
          </cell>
          <cell r="BD112">
            <v>0</v>
          </cell>
          <cell r="BG112">
            <v>0</v>
          </cell>
          <cell r="BH112">
            <v>0</v>
          </cell>
          <cell r="BI112">
            <v>25521</v>
          </cell>
          <cell r="BJ112">
            <v>14.544018436898416</v>
          </cell>
          <cell r="BK112">
            <v>0</v>
          </cell>
          <cell r="BL112">
            <v>0</v>
          </cell>
          <cell r="BM112">
            <v>87634</v>
          </cell>
          <cell r="BN112">
            <v>49.941244923755171</v>
          </cell>
          <cell r="BO112">
            <v>0</v>
          </cell>
          <cell r="BP112">
            <v>0</v>
          </cell>
          <cell r="BY112">
            <v>1792</v>
          </cell>
          <cell r="CF112">
            <v>247.08274</v>
          </cell>
          <cell r="CG112">
            <v>2142.25</v>
          </cell>
          <cell r="CJ112">
            <v>0</v>
          </cell>
          <cell r="CK112">
            <v>0</v>
          </cell>
          <cell r="CL112">
            <v>0</v>
          </cell>
          <cell r="CM112">
            <v>0</v>
          </cell>
          <cell r="CN112">
            <v>0</v>
          </cell>
          <cell r="CO112">
            <v>0</v>
          </cell>
          <cell r="CX112">
            <v>0</v>
          </cell>
          <cell r="CY112">
            <v>0</v>
          </cell>
          <cell r="DB112">
            <v>0</v>
          </cell>
          <cell r="DC112">
            <v>0</v>
          </cell>
          <cell r="DJ112" t="str">
            <v>НКРКП</v>
          </cell>
          <cell r="DL112">
            <v>40816</v>
          </cell>
          <cell r="DM112" t="str">
            <v>№ 54</v>
          </cell>
          <cell r="DT112">
            <v>678.57</v>
          </cell>
        </row>
        <row r="113">
          <cell r="W113">
            <v>206.3</v>
          </cell>
          <cell r="AF113">
            <v>40092</v>
          </cell>
          <cell r="AG113">
            <v>745</v>
          </cell>
          <cell r="AH113">
            <v>213.18598045898659</v>
          </cell>
          <cell r="AM113">
            <v>88020</v>
          </cell>
          <cell r="AO113">
            <v>18158526</v>
          </cell>
          <cell r="AQ113">
            <v>18764630</v>
          </cell>
          <cell r="AU113">
            <v>0</v>
          </cell>
          <cell r="AW113">
            <v>0</v>
          </cell>
          <cell r="AY113">
            <v>10024651.999955868</v>
          </cell>
          <cell r="AZ113">
            <v>113.89061576864199</v>
          </cell>
          <cell r="BA113">
            <v>0</v>
          </cell>
          <cell r="BB113">
            <v>0</v>
          </cell>
          <cell r="BC113">
            <v>0</v>
          </cell>
          <cell r="BD113">
            <v>0</v>
          </cell>
          <cell r="BG113">
            <v>0</v>
          </cell>
          <cell r="BH113">
            <v>0</v>
          </cell>
          <cell r="BI113">
            <v>1713940</v>
          </cell>
          <cell r="BJ113">
            <v>19.472165416950691</v>
          </cell>
          <cell r="BK113">
            <v>0</v>
          </cell>
          <cell r="BL113">
            <v>0</v>
          </cell>
          <cell r="BM113">
            <v>2579090</v>
          </cell>
          <cell r="BN113">
            <v>29.301181549647808</v>
          </cell>
          <cell r="BO113">
            <v>0</v>
          </cell>
          <cell r="BP113">
            <v>0</v>
          </cell>
          <cell r="BY113">
            <v>1760.26</v>
          </cell>
          <cell r="CF113">
            <v>13783.0006049</v>
          </cell>
          <cell r="CG113">
            <v>727.32</v>
          </cell>
          <cell r="CJ113">
            <v>0</v>
          </cell>
          <cell r="CK113">
            <v>0</v>
          </cell>
          <cell r="CL113">
            <v>0</v>
          </cell>
          <cell r="CM113">
            <v>0</v>
          </cell>
          <cell r="CN113">
            <v>0</v>
          </cell>
          <cell r="CO113">
            <v>0</v>
          </cell>
          <cell r="CX113">
            <v>0</v>
          </cell>
          <cell r="CY113">
            <v>0</v>
          </cell>
          <cell r="DB113">
            <v>0</v>
          </cell>
          <cell r="DC113">
            <v>0</v>
          </cell>
          <cell r="DJ113" t="str">
            <v>НКРЕ</v>
          </cell>
          <cell r="DL113">
            <v>40526</v>
          </cell>
          <cell r="DM113" t="str">
            <v>№ 1718</v>
          </cell>
          <cell r="DO113" t="str">
            <v>тариф на теплову енергію</v>
          </cell>
          <cell r="DT113">
            <v>226.93</v>
          </cell>
        </row>
        <row r="114">
          <cell r="W114">
            <v>486.49</v>
          </cell>
          <cell r="AF114">
            <v>40092</v>
          </cell>
          <cell r="AG114">
            <v>746</v>
          </cell>
          <cell r="AH114">
            <v>441.66814133191764</v>
          </cell>
          <cell r="AM114">
            <v>16953</v>
          </cell>
          <cell r="AO114">
            <v>8247464.9699999997</v>
          </cell>
          <cell r="AQ114">
            <v>7487600</v>
          </cell>
          <cell r="AU114">
            <v>0</v>
          </cell>
          <cell r="AW114">
            <v>0</v>
          </cell>
          <cell r="AY114">
            <v>5794962.2999999998</v>
          </cell>
          <cell r="AZ114">
            <v>341.82518138382585</v>
          </cell>
          <cell r="BA114">
            <v>0</v>
          </cell>
          <cell r="BB114">
            <v>0</v>
          </cell>
          <cell r="BC114">
            <v>0</v>
          </cell>
          <cell r="BD114">
            <v>0</v>
          </cell>
          <cell r="BG114">
            <v>0</v>
          </cell>
          <cell r="BH114">
            <v>0</v>
          </cell>
          <cell r="BI114">
            <v>330110</v>
          </cell>
          <cell r="BJ114">
            <v>19.472069840146286</v>
          </cell>
          <cell r="BK114">
            <v>0</v>
          </cell>
          <cell r="BL114">
            <v>0</v>
          </cell>
          <cell r="BM114">
            <v>496740</v>
          </cell>
          <cell r="BN114">
            <v>29.301008671031674</v>
          </cell>
          <cell r="BO114">
            <v>0</v>
          </cell>
          <cell r="BP114">
            <v>0</v>
          </cell>
          <cell r="BY114">
            <v>1760.26</v>
          </cell>
          <cell r="CF114">
            <v>2655</v>
          </cell>
          <cell r="CG114">
            <v>2182.66</v>
          </cell>
          <cell r="CJ114">
            <v>0</v>
          </cell>
          <cell r="CK114">
            <v>0</v>
          </cell>
          <cell r="CL114">
            <v>0</v>
          </cell>
          <cell r="CM114">
            <v>0</v>
          </cell>
          <cell r="CN114">
            <v>0</v>
          </cell>
          <cell r="CO114">
            <v>0</v>
          </cell>
          <cell r="CX114">
            <v>0</v>
          </cell>
          <cell r="CY114">
            <v>0</v>
          </cell>
          <cell r="DB114">
            <v>0</v>
          </cell>
          <cell r="DC114">
            <v>0</v>
          </cell>
          <cell r="DJ114" t="str">
            <v>НКРКП</v>
          </cell>
          <cell r="DL114">
            <v>40816</v>
          </cell>
          <cell r="DM114" t="str">
            <v>№ 44</v>
          </cell>
          <cell r="DT114">
            <v>732.26</v>
          </cell>
        </row>
        <row r="115">
          <cell r="W115">
            <v>486.49</v>
          </cell>
          <cell r="AF115">
            <v>40092</v>
          </cell>
          <cell r="AG115">
            <v>746</v>
          </cell>
          <cell r="AH115">
            <v>441.66771422585379</v>
          </cell>
          <cell r="AM115">
            <v>9546</v>
          </cell>
          <cell r="AO115">
            <v>4644033.54</v>
          </cell>
          <cell r="AQ115">
            <v>4216160</v>
          </cell>
          <cell r="AU115">
            <v>0</v>
          </cell>
          <cell r="AW115">
            <v>0</v>
          </cell>
          <cell r="AY115">
            <v>3263076.6999999997</v>
          </cell>
          <cell r="AZ115">
            <v>341.82659752776027</v>
          </cell>
          <cell r="BA115">
            <v>0</v>
          </cell>
          <cell r="BB115">
            <v>0</v>
          </cell>
          <cell r="BC115">
            <v>0</v>
          </cell>
          <cell r="BD115">
            <v>0</v>
          </cell>
          <cell r="BG115">
            <v>0</v>
          </cell>
          <cell r="BH115">
            <v>0</v>
          </cell>
          <cell r="BI115">
            <v>185880</v>
          </cell>
          <cell r="BJ115">
            <v>19.472030169704588</v>
          </cell>
          <cell r="BK115">
            <v>0</v>
          </cell>
          <cell r="BL115">
            <v>0</v>
          </cell>
          <cell r="BM115">
            <v>279710</v>
          </cell>
          <cell r="BN115">
            <v>29.301278022208255</v>
          </cell>
          <cell r="BO115">
            <v>0</v>
          </cell>
          <cell r="BP115">
            <v>0</v>
          </cell>
          <cell r="BY115">
            <v>1760.26</v>
          </cell>
          <cell r="CF115">
            <v>1495</v>
          </cell>
          <cell r="CG115">
            <v>2182.66</v>
          </cell>
          <cell r="CJ115">
            <v>0</v>
          </cell>
          <cell r="CK115">
            <v>0</v>
          </cell>
          <cell r="CL115">
            <v>0</v>
          </cell>
          <cell r="CM115">
            <v>0</v>
          </cell>
          <cell r="CN115">
            <v>0</v>
          </cell>
          <cell r="CO115">
            <v>0</v>
          </cell>
          <cell r="CX115">
            <v>0</v>
          </cell>
          <cell r="CY115">
            <v>0</v>
          </cell>
          <cell r="DB115">
            <v>0</v>
          </cell>
          <cell r="DC115">
            <v>0</v>
          </cell>
          <cell r="DJ115" t="str">
            <v>НКРКП</v>
          </cell>
          <cell r="DL115">
            <v>40816</v>
          </cell>
          <cell r="DM115" t="str">
            <v>№ 44</v>
          </cell>
          <cell r="DT115">
            <v>732.26</v>
          </cell>
        </row>
        <row r="116">
          <cell r="W116">
            <v>277.08</v>
          </cell>
          <cell r="AF116">
            <v>39692</v>
          </cell>
          <cell r="AG116">
            <v>429</v>
          </cell>
          <cell r="AH116">
            <v>263.87723154134028</v>
          </cell>
          <cell r="AM116">
            <v>61637.33</v>
          </cell>
          <cell r="AO116">
            <v>17078471.396400001</v>
          </cell>
          <cell r="AQ116">
            <v>16264688</v>
          </cell>
          <cell r="AU116">
            <v>0</v>
          </cell>
          <cell r="AW116">
            <v>0</v>
          </cell>
          <cell r="AY116">
            <v>7326048.7746000001</v>
          </cell>
          <cell r="AZ116">
            <v>118.85733490727129</v>
          </cell>
          <cell r="BA116">
            <v>0</v>
          </cell>
          <cell r="BB116">
            <v>0</v>
          </cell>
          <cell r="BC116">
            <v>0</v>
          </cell>
          <cell r="BD116">
            <v>0</v>
          </cell>
          <cell r="BG116">
            <v>0</v>
          </cell>
          <cell r="BH116">
            <v>0</v>
          </cell>
          <cell r="BI116">
            <v>1302091</v>
          </cell>
          <cell r="BJ116">
            <v>21.125038998282371</v>
          </cell>
          <cell r="BK116">
            <v>0</v>
          </cell>
          <cell r="BL116">
            <v>0</v>
          </cell>
          <cell r="BM116">
            <v>6698485</v>
          </cell>
          <cell r="BN116">
            <v>108.67578138118571</v>
          </cell>
          <cell r="BO116">
            <v>0</v>
          </cell>
          <cell r="BP116">
            <v>0</v>
          </cell>
          <cell r="BY116">
            <v>1844.47</v>
          </cell>
          <cell r="CF116">
            <v>10192.0545</v>
          </cell>
          <cell r="CG116">
            <v>718.8</v>
          </cell>
          <cell r="CJ116">
            <v>0</v>
          </cell>
          <cell r="CK116">
            <v>0</v>
          </cell>
          <cell r="CL116">
            <v>0</v>
          </cell>
          <cell r="CM116">
            <v>0</v>
          </cell>
          <cell r="CN116">
            <v>0</v>
          </cell>
          <cell r="CO116">
            <v>0</v>
          </cell>
          <cell r="CX116">
            <v>0</v>
          </cell>
          <cell r="CY116">
            <v>0</v>
          </cell>
          <cell r="DB116">
            <v>0</v>
          </cell>
          <cell r="DC116">
            <v>0</v>
          </cell>
          <cell r="DJ116" t="str">
            <v>НКРЕ</v>
          </cell>
          <cell r="DL116">
            <v>40526</v>
          </cell>
          <cell r="DM116">
            <v>1809</v>
          </cell>
          <cell r="DO116" t="str">
            <v>тариф на теплову енергію</v>
          </cell>
          <cell r="DT116">
            <v>304.79000000000002</v>
          </cell>
        </row>
        <row r="117">
          <cell r="W117">
            <v>588.33000000000004</v>
          </cell>
          <cell r="AF117">
            <v>39867</v>
          </cell>
          <cell r="AG117">
            <v>608</v>
          </cell>
          <cell r="AH117">
            <v>507.18039659115334</v>
          </cell>
          <cell r="AM117">
            <v>29131.26</v>
          </cell>
          <cell r="AO117">
            <v>17138794.195799999</v>
          </cell>
          <cell r="AQ117">
            <v>14774804</v>
          </cell>
          <cell r="AU117">
            <v>0</v>
          </cell>
          <cell r="AW117">
            <v>0</v>
          </cell>
          <cell r="AY117">
            <v>10224332.856099999</v>
          </cell>
          <cell r="AZ117">
            <v>350.97461819708445</v>
          </cell>
          <cell r="BA117">
            <v>0</v>
          </cell>
          <cell r="BB117">
            <v>0</v>
          </cell>
          <cell r="BC117">
            <v>0</v>
          </cell>
          <cell r="BD117">
            <v>0</v>
          </cell>
          <cell r="BG117">
            <v>0</v>
          </cell>
          <cell r="BH117">
            <v>0</v>
          </cell>
          <cell r="BI117">
            <v>813345</v>
          </cell>
          <cell r="BJ117">
            <v>27.920007579486779</v>
          </cell>
          <cell r="BK117">
            <v>0</v>
          </cell>
          <cell r="BL117">
            <v>0</v>
          </cell>
          <cell r="BM117">
            <v>3260185</v>
          </cell>
          <cell r="BN117">
            <v>111.9136281781152</v>
          </cell>
          <cell r="BO117">
            <v>0</v>
          </cell>
          <cell r="BP117">
            <v>0</v>
          </cell>
          <cell r="BY117">
            <v>1844.47</v>
          </cell>
          <cell r="CF117">
            <v>4772.7075999999997</v>
          </cell>
          <cell r="CG117">
            <v>2142.25</v>
          </cell>
          <cell r="CJ117">
            <v>0</v>
          </cell>
          <cell r="CK117">
            <v>0</v>
          </cell>
          <cell r="CL117">
            <v>0</v>
          </cell>
          <cell r="CM117">
            <v>0</v>
          </cell>
          <cell r="CN117">
            <v>0</v>
          </cell>
          <cell r="CO117">
            <v>0</v>
          </cell>
          <cell r="CX117">
            <v>0</v>
          </cell>
          <cell r="CY117">
            <v>0</v>
          </cell>
          <cell r="DB117">
            <v>0</v>
          </cell>
          <cell r="DC117">
            <v>0</v>
          </cell>
          <cell r="DJ117" t="str">
            <v>НКРКП</v>
          </cell>
          <cell r="DL117">
            <v>40816</v>
          </cell>
          <cell r="DM117" t="str">
            <v>№ 39</v>
          </cell>
          <cell r="DT117">
            <v>852.05</v>
          </cell>
        </row>
        <row r="118">
          <cell r="W118">
            <v>591.80999999999995</v>
          </cell>
          <cell r="AF118">
            <v>39867</v>
          </cell>
          <cell r="AG118">
            <v>609</v>
          </cell>
          <cell r="AH118">
            <v>510.1843964252194</v>
          </cell>
          <cell r="AM118">
            <v>5536.116</v>
          </cell>
          <cell r="AO118">
            <v>3276328.8099599998</v>
          </cell>
          <cell r="AQ118">
            <v>2824440</v>
          </cell>
          <cell r="AU118">
            <v>0</v>
          </cell>
          <cell r="AW118">
            <v>0</v>
          </cell>
          <cell r="AY118">
            <v>1967210.822775</v>
          </cell>
          <cell r="AZ118">
            <v>355.34133005431966</v>
          </cell>
          <cell r="BA118">
            <v>0</v>
          </cell>
          <cell r="BB118">
            <v>0</v>
          </cell>
          <cell r="BC118">
            <v>0</v>
          </cell>
          <cell r="BD118">
            <v>0</v>
          </cell>
          <cell r="BG118">
            <v>0</v>
          </cell>
          <cell r="BH118">
            <v>0</v>
          </cell>
          <cell r="BI118">
            <v>150250</v>
          </cell>
          <cell r="BJ118">
            <v>27.139965997822301</v>
          </cell>
          <cell r="BK118">
            <v>0</v>
          </cell>
          <cell r="BL118">
            <v>0</v>
          </cell>
          <cell r="BM118">
            <v>620988</v>
          </cell>
          <cell r="BN118">
            <v>112.17033747125241</v>
          </cell>
          <cell r="BO118">
            <v>0</v>
          </cell>
          <cell r="BP118">
            <v>0</v>
          </cell>
          <cell r="BY118">
            <v>1844.47</v>
          </cell>
          <cell r="CF118">
            <v>918.29190000000006</v>
          </cell>
          <cell r="CG118">
            <v>2142.25</v>
          </cell>
          <cell r="CJ118">
            <v>0</v>
          </cell>
          <cell r="CK118">
            <v>0</v>
          </cell>
          <cell r="CL118">
            <v>0</v>
          </cell>
          <cell r="CM118">
            <v>0</v>
          </cell>
          <cell r="CN118">
            <v>0</v>
          </cell>
          <cell r="CO118">
            <v>0</v>
          </cell>
          <cell r="CX118">
            <v>0</v>
          </cell>
          <cell r="CY118">
            <v>0</v>
          </cell>
          <cell r="DB118">
            <v>0</v>
          </cell>
          <cell r="DC118">
            <v>0</v>
          </cell>
          <cell r="DJ118" t="str">
            <v>НКРКП</v>
          </cell>
          <cell r="DL118">
            <v>40816</v>
          </cell>
          <cell r="DM118" t="str">
            <v>№ 39</v>
          </cell>
          <cell r="DT118">
            <v>858.81</v>
          </cell>
        </row>
        <row r="119">
          <cell r="W119">
            <v>228.4</v>
          </cell>
          <cell r="AF119">
            <v>39811</v>
          </cell>
          <cell r="AG119">
            <v>526</v>
          </cell>
          <cell r="AH119">
            <v>198.40881582861573</v>
          </cell>
          <cell r="AM119">
            <v>187955.74100000001</v>
          </cell>
          <cell r="AO119">
            <v>42929091.244400002</v>
          </cell>
          <cell r="AQ119">
            <v>37292076</v>
          </cell>
          <cell r="AU119">
            <v>0</v>
          </cell>
          <cell r="AW119">
            <v>0</v>
          </cell>
          <cell r="AY119">
            <v>22573502.999581002</v>
          </cell>
          <cell r="AZ119">
            <v>120.10009845658824</v>
          </cell>
          <cell r="BA119">
            <v>0</v>
          </cell>
          <cell r="BB119">
            <v>0</v>
          </cell>
          <cell r="BC119">
            <v>0</v>
          </cell>
          <cell r="BD119">
            <v>0</v>
          </cell>
          <cell r="BG119">
            <v>0</v>
          </cell>
          <cell r="BH119">
            <v>0</v>
          </cell>
          <cell r="BI119">
            <v>3151987</v>
          </cell>
          <cell r="BJ119">
            <v>16.769836256291846</v>
          </cell>
          <cell r="BK119">
            <v>0</v>
          </cell>
          <cell r="BL119">
            <v>0</v>
          </cell>
          <cell r="BM119">
            <v>7858693.5</v>
          </cell>
          <cell r="BN119">
            <v>41.811404419937347</v>
          </cell>
          <cell r="BO119">
            <v>0</v>
          </cell>
          <cell r="BP119">
            <v>0</v>
          </cell>
          <cell r="BY119">
            <v>2295.64</v>
          </cell>
          <cell r="CF119">
            <v>31291.243415000001</v>
          </cell>
          <cell r="CG119">
            <v>721.4</v>
          </cell>
          <cell r="CJ119">
            <v>0</v>
          </cell>
          <cell r="CK119">
            <v>0</v>
          </cell>
          <cell r="CL119">
            <v>0</v>
          </cell>
          <cell r="CM119">
            <v>0</v>
          </cell>
          <cell r="CN119">
            <v>0</v>
          </cell>
          <cell r="CO119">
            <v>0</v>
          </cell>
          <cell r="CX119">
            <v>0</v>
          </cell>
          <cell r="CY119">
            <v>0</v>
          </cell>
          <cell r="DB119">
            <v>0</v>
          </cell>
          <cell r="DC119">
            <v>0</v>
          </cell>
          <cell r="DJ119" t="str">
            <v>НКРЕ</v>
          </cell>
          <cell r="DL119">
            <v>40526</v>
          </cell>
          <cell r="DM119" t="str">
            <v>№ 1724</v>
          </cell>
          <cell r="DO119" t="str">
            <v>Тариф на теплову енергію</v>
          </cell>
          <cell r="DT119">
            <v>251.42</v>
          </cell>
        </row>
        <row r="120">
          <cell r="W120">
            <v>495.75</v>
          </cell>
          <cell r="AF120">
            <v>39876</v>
          </cell>
          <cell r="AG120">
            <v>145</v>
          </cell>
          <cell r="AH120">
            <v>367.22497131210474</v>
          </cell>
          <cell r="AM120">
            <v>9391.3302999999996</v>
          </cell>
          <cell r="AO120">
            <v>4655751.9962249994</v>
          </cell>
          <cell r="AQ120">
            <v>3448731</v>
          </cell>
          <cell r="AU120">
            <v>0</v>
          </cell>
          <cell r="AW120">
            <v>0</v>
          </cell>
          <cell r="AY120">
            <v>2731824.8350249999</v>
          </cell>
          <cell r="AZ120">
            <v>290.88795173405839</v>
          </cell>
          <cell r="BA120">
            <v>0</v>
          </cell>
          <cell r="BB120">
            <v>0</v>
          </cell>
          <cell r="BC120">
            <v>0</v>
          </cell>
          <cell r="BD120">
            <v>0</v>
          </cell>
          <cell r="BG120">
            <v>0</v>
          </cell>
          <cell r="BH120">
            <v>0</v>
          </cell>
          <cell r="BI120">
            <v>158113</v>
          </cell>
          <cell r="BJ120">
            <v>16.836059956276909</v>
          </cell>
          <cell r="BK120">
            <v>0</v>
          </cell>
          <cell r="BL120">
            <v>0</v>
          </cell>
          <cell r="BM120">
            <v>422044</v>
          </cell>
          <cell r="BN120">
            <v>44.939746182710664</v>
          </cell>
          <cell r="BO120">
            <v>0</v>
          </cell>
          <cell r="BP120">
            <v>0</v>
          </cell>
          <cell r="BY120">
            <v>2295.64</v>
          </cell>
          <cell r="CF120">
            <v>1275.2129</v>
          </cell>
          <cell r="CG120">
            <v>2142.25</v>
          </cell>
          <cell r="CJ120">
            <v>0</v>
          </cell>
          <cell r="CK120">
            <v>0</v>
          </cell>
          <cell r="CL120">
            <v>0</v>
          </cell>
          <cell r="CM120">
            <v>0</v>
          </cell>
          <cell r="CN120">
            <v>0</v>
          </cell>
          <cell r="CO120">
            <v>0</v>
          </cell>
          <cell r="CX120">
            <v>0</v>
          </cell>
          <cell r="CY120">
            <v>0</v>
          </cell>
          <cell r="DB120">
            <v>0</v>
          </cell>
          <cell r="DC120">
            <v>0</v>
          </cell>
          <cell r="DJ120" t="str">
            <v>НКРКП</v>
          </cell>
          <cell r="DL120">
            <v>40942</v>
          </cell>
          <cell r="DM120">
            <v>45</v>
          </cell>
          <cell r="DT120">
            <v>699.2</v>
          </cell>
        </row>
        <row r="121">
          <cell r="W121">
            <v>535.02</v>
          </cell>
          <cell r="AF121">
            <v>39876</v>
          </cell>
          <cell r="AG121">
            <v>146</v>
          </cell>
          <cell r="AH121">
            <v>368.95819140504523</v>
          </cell>
          <cell r="AM121">
            <v>4196.9552000000003</v>
          </cell>
          <cell r="AO121">
            <v>2245454.9711040002</v>
          </cell>
          <cell r="AQ121">
            <v>1548501</v>
          </cell>
          <cell r="AU121">
            <v>0</v>
          </cell>
          <cell r="AW121">
            <v>0</v>
          </cell>
          <cell r="AY121">
            <v>1227067.9465000001</v>
          </cell>
          <cell r="AZ121">
            <v>292.37098992622077</v>
          </cell>
          <cell r="BA121">
            <v>0</v>
          </cell>
          <cell r="BB121">
            <v>0</v>
          </cell>
          <cell r="BC121">
            <v>0</v>
          </cell>
          <cell r="BD121">
            <v>0</v>
          </cell>
          <cell r="BG121">
            <v>0</v>
          </cell>
          <cell r="BH121">
            <v>0</v>
          </cell>
          <cell r="BI121">
            <v>70660</v>
          </cell>
          <cell r="BJ121">
            <v>16.836014832848345</v>
          </cell>
          <cell r="BK121">
            <v>0</v>
          </cell>
          <cell r="BL121">
            <v>0</v>
          </cell>
          <cell r="BM121">
            <v>188610</v>
          </cell>
          <cell r="BN121">
            <v>44.939722015617413</v>
          </cell>
          <cell r="BO121">
            <v>0</v>
          </cell>
          <cell r="BP121">
            <v>0</v>
          </cell>
          <cell r="BY121">
            <v>2295.64</v>
          </cell>
          <cell r="CF121">
            <v>572.79399999999998</v>
          </cell>
          <cell r="CG121">
            <v>2142.25</v>
          </cell>
          <cell r="CJ121">
            <v>0</v>
          </cell>
          <cell r="CK121">
            <v>0</v>
          </cell>
          <cell r="CL121">
            <v>0</v>
          </cell>
          <cell r="CM121">
            <v>0</v>
          </cell>
          <cell r="CN121">
            <v>0</v>
          </cell>
          <cell r="CO121">
            <v>0</v>
          </cell>
          <cell r="CX121">
            <v>0</v>
          </cell>
          <cell r="CY121">
            <v>0</v>
          </cell>
          <cell r="DB121">
            <v>0</v>
          </cell>
          <cell r="DC121">
            <v>0</v>
          </cell>
          <cell r="DJ121" t="str">
            <v>НКРКП</v>
          </cell>
          <cell r="DL121">
            <v>40942</v>
          </cell>
          <cell r="DM121">
            <v>45</v>
          </cell>
          <cell r="DT121">
            <v>777.03</v>
          </cell>
        </row>
        <row r="122">
          <cell r="W122">
            <v>305.61</v>
          </cell>
          <cell r="AF122">
            <v>40417</v>
          </cell>
          <cell r="AG122">
            <v>108</v>
          </cell>
          <cell r="AH122">
            <v>291.06413392806411</v>
          </cell>
          <cell r="AM122">
            <v>12144.43</v>
          </cell>
          <cell r="AO122">
            <v>3711459.2523000003</v>
          </cell>
          <cell r="AQ122">
            <v>3534808</v>
          </cell>
          <cell r="AU122">
            <v>0</v>
          </cell>
          <cell r="AW122">
            <v>0</v>
          </cell>
          <cell r="AY122">
            <v>2070270.69</v>
          </cell>
          <cell r="AZ122">
            <v>170.47079937057563</v>
          </cell>
          <cell r="BA122">
            <v>0</v>
          </cell>
          <cell r="BB122">
            <v>0</v>
          </cell>
          <cell r="BC122">
            <v>0</v>
          </cell>
          <cell r="BD122">
            <v>0</v>
          </cell>
          <cell r="BG122">
            <v>0</v>
          </cell>
          <cell r="BH122">
            <v>0</v>
          </cell>
          <cell r="BI122">
            <v>318108</v>
          </cell>
          <cell r="BJ122">
            <v>26.193736552477144</v>
          </cell>
          <cell r="BK122">
            <v>0</v>
          </cell>
          <cell r="BL122">
            <v>0</v>
          </cell>
          <cell r="BM122">
            <v>1015427</v>
          </cell>
          <cell r="BN122">
            <v>83.612569713028932</v>
          </cell>
          <cell r="BO122">
            <v>0</v>
          </cell>
          <cell r="BP122">
            <v>0</v>
          </cell>
          <cell r="BY122">
            <v>1821.2</v>
          </cell>
          <cell r="CF122">
            <v>1897.59</v>
          </cell>
          <cell r="CG122">
            <v>1091</v>
          </cell>
          <cell r="CJ122">
            <v>0</v>
          </cell>
          <cell r="CK122">
            <v>0</v>
          </cell>
          <cell r="CL122">
            <v>0</v>
          </cell>
          <cell r="CM122">
            <v>0</v>
          </cell>
          <cell r="CN122">
            <v>0</v>
          </cell>
          <cell r="CO122">
            <v>0</v>
          </cell>
          <cell r="CX122">
            <v>0</v>
          </cell>
          <cell r="CY122">
            <v>0</v>
          </cell>
          <cell r="DB122">
            <v>0</v>
          </cell>
          <cell r="DC122">
            <v>0</v>
          </cell>
          <cell r="DJ122" t="str">
            <v>МОС</v>
          </cell>
          <cell r="DL122">
            <v>40843</v>
          </cell>
          <cell r="DM122" t="str">
            <v>№ 159</v>
          </cell>
          <cell r="DO122" t="str">
            <v>тариф на теплову енергію</v>
          </cell>
          <cell r="DT122">
            <v>305.61</v>
          </cell>
        </row>
        <row r="123">
          <cell r="W123">
            <v>576.67999999999995</v>
          </cell>
          <cell r="AF123">
            <v>40417</v>
          </cell>
          <cell r="AG123">
            <v>109</v>
          </cell>
          <cell r="AH123">
            <v>505.85658120815594</v>
          </cell>
          <cell r="AM123">
            <v>9451.76</v>
          </cell>
          <cell r="AO123">
            <v>5450640.9567999998</v>
          </cell>
          <cell r="AQ123">
            <v>4781235</v>
          </cell>
          <cell r="AU123">
            <v>0</v>
          </cell>
          <cell r="AW123">
            <v>0</v>
          </cell>
          <cell r="AY123">
            <v>3641381.9138000002</v>
          </cell>
          <cell r="AZ123">
            <v>385.25966738469873</v>
          </cell>
          <cell r="BA123">
            <v>0</v>
          </cell>
          <cell r="BB123">
            <v>0</v>
          </cell>
          <cell r="BC123">
            <v>0</v>
          </cell>
          <cell r="BD123">
            <v>0</v>
          </cell>
          <cell r="BG123">
            <v>0</v>
          </cell>
          <cell r="BH123">
            <v>0</v>
          </cell>
          <cell r="BI123">
            <v>247576</v>
          </cell>
          <cell r="BJ123">
            <v>26.193640126283359</v>
          </cell>
          <cell r="BK123">
            <v>0</v>
          </cell>
          <cell r="BL123">
            <v>0</v>
          </cell>
          <cell r="BM123">
            <v>790319</v>
          </cell>
          <cell r="BN123">
            <v>83.616067272127097</v>
          </cell>
          <cell r="BO123">
            <v>0</v>
          </cell>
          <cell r="BP123">
            <v>0</v>
          </cell>
          <cell r="BY123">
            <v>1821.2</v>
          </cell>
          <cell r="CF123">
            <v>1477.27</v>
          </cell>
          <cell r="CG123">
            <v>2464.94</v>
          </cell>
          <cell r="CJ123">
            <v>0</v>
          </cell>
          <cell r="CK123">
            <v>0</v>
          </cell>
          <cell r="CL123">
            <v>0</v>
          </cell>
          <cell r="CM123">
            <v>0</v>
          </cell>
          <cell r="CN123">
            <v>0</v>
          </cell>
          <cell r="CO123">
            <v>0</v>
          </cell>
          <cell r="CX123">
            <v>0</v>
          </cell>
          <cell r="CY123">
            <v>0</v>
          </cell>
          <cell r="DB123">
            <v>0</v>
          </cell>
          <cell r="DC123">
            <v>0</v>
          </cell>
          <cell r="DJ123" t="str">
            <v>МОС</v>
          </cell>
          <cell r="DL123">
            <v>40843</v>
          </cell>
          <cell r="DM123" t="str">
            <v>№ 159</v>
          </cell>
          <cell r="DT123">
            <v>771.81</v>
          </cell>
        </row>
        <row r="124">
          <cell r="W124">
            <v>632.32000000000005</v>
          </cell>
          <cell r="AF124">
            <v>40417</v>
          </cell>
          <cell r="AG124">
            <v>110</v>
          </cell>
          <cell r="AH124">
            <v>505.85727990934322</v>
          </cell>
          <cell r="AM124">
            <v>1553.11</v>
          </cell>
          <cell r="AO124">
            <v>982062.51520000002</v>
          </cell>
          <cell r="AQ124">
            <v>785652</v>
          </cell>
          <cell r="AU124">
            <v>0</v>
          </cell>
          <cell r="AW124">
            <v>0</v>
          </cell>
          <cell r="AY124">
            <v>598348.97632020002</v>
          </cell>
          <cell r="AZ124">
            <v>385.25859489681994</v>
          </cell>
          <cell r="BA124">
            <v>0</v>
          </cell>
          <cell r="BB124">
            <v>0</v>
          </cell>
          <cell r="BC124">
            <v>0</v>
          </cell>
          <cell r="BD124">
            <v>0</v>
          </cell>
          <cell r="BG124">
            <v>0</v>
          </cell>
          <cell r="BH124">
            <v>0</v>
          </cell>
          <cell r="BI124">
            <v>40681</v>
          </cell>
          <cell r="BJ124">
            <v>26.193250960975078</v>
          </cell>
          <cell r="BK124">
            <v>0</v>
          </cell>
          <cell r="BL124">
            <v>0</v>
          </cell>
          <cell r="BM124">
            <v>129862</v>
          </cell>
          <cell r="BN124">
            <v>83.614167702223284</v>
          </cell>
          <cell r="BO124">
            <v>0</v>
          </cell>
          <cell r="BP124">
            <v>0</v>
          </cell>
          <cell r="BY124">
            <v>1821.2</v>
          </cell>
          <cell r="CF124">
            <v>242.74383</v>
          </cell>
          <cell r="CG124">
            <v>2464.94</v>
          </cell>
          <cell r="CJ124">
            <v>0</v>
          </cell>
          <cell r="CK124">
            <v>0</v>
          </cell>
          <cell r="CL124">
            <v>0</v>
          </cell>
          <cell r="CM124">
            <v>0</v>
          </cell>
          <cell r="CN124">
            <v>0</v>
          </cell>
          <cell r="CO124">
            <v>0</v>
          </cell>
          <cell r="CX124">
            <v>0</v>
          </cell>
          <cell r="CY124">
            <v>0</v>
          </cell>
          <cell r="DB124">
            <v>0</v>
          </cell>
          <cell r="DC124">
            <v>0</v>
          </cell>
          <cell r="DJ124" t="str">
            <v>МОС</v>
          </cell>
          <cell r="DL124">
            <v>40843</v>
          </cell>
          <cell r="DM124" t="str">
            <v>№ 159</v>
          </cell>
          <cell r="DT124">
            <v>833.47</v>
          </cell>
        </row>
        <row r="125">
          <cell r="W125">
            <v>220.51</v>
          </cell>
          <cell r="AF125">
            <v>40093</v>
          </cell>
          <cell r="AG125">
            <v>696</v>
          </cell>
          <cell r="AH125">
            <v>220.51</v>
          </cell>
          <cell r="AM125">
            <v>41200</v>
          </cell>
          <cell r="AO125">
            <v>9085012</v>
          </cell>
          <cell r="AQ125">
            <v>9085012</v>
          </cell>
          <cell r="AU125">
            <v>0</v>
          </cell>
          <cell r="AW125">
            <v>0</v>
          </cell>
          <cell r="AY125">
            <v>4716524.7360000005</v>
          </cell>
          <cell r="AZ125">
            <v>114.47875572815535</v>
          </cell>
          <cell r="BA125">
            <v>0</v>
          </cell>
          <cell r="BB125">
            <v>0</v>
          </cell>
          <cell r="BC125">
            <v>0</v>
          </cell>
          <cell r="BD125">
            <v>0</v>
          </cell>
          <cell r="BG125">
            <v>0</v>
          </cell>
          <cell r="BH125">
            <v>0</v>
          </cell>
          <cell r="BI125">
            <v>909300</v>
          </cell>
          <cell r="BJ125">
            <v>22.070388349514563</v>
          </cell>
          <cell r="BK125">
            <v>0</v>
          </cell>
          <cell r="BL125">
            <v>0</v>
          </cell>
          <cell r="BM125">
            <v>2304847</v>
          </cell>
          <cell r="BN125">
            <v>55.942888349514561</v>
          </cell>
          <cell r="BO125">
            <v>0</v>
          </cell>
          <cell r="BP125">
            <v>0</v>
          </cell>
          <cell r="BY125">
            <v>1090</v>
          </cell>
          <cell r="CF125">
            <v>6484.8</v>
          </cell>
          <cell r="CG125">
            <v>727.32</v>
          </cell>
          <cell r="CJ125">
            <v>0</v>
          </cell>
          <cell r="CK125">
            <v>0</v>
          </cell>
          <cell r="CL125">
            <v>0</v>
          </cell>
          <cell r="CM125">
            <v>0</v>
          </cell>
          <cell r="CN125">
            <v>0</v>
          </cell>
          <cell r="CO125">
            <v>0</v>
          </cell>
          <cell r="CX125">
            <v>0</v>
          </cell>
          <cell r="CY125">
            <v>0</v>
          </cell>
          <cell r="DB125">
            <v>0</v>
          </cell>
          <cell r="DC125">
            <v>0</v>
          </cell>
          <cell r="DJ125" t="str">
            <v>МОС</v>
          </cell>
          <cell r="DL125">
            <v>40491</v>
          </cell>
          <cell r="DM125" t="str">
            <v>№ 338</v>
          </cell>
          <cell r="DO125" t="str">
            <v>тариф на послуги з теплопостачання для населення (споживачам з встановленими лічильниками)</v>
          </cell>
          <cell r="DT125">
            <v>220.51</v>
          </cell>
        </row>
        <row r="126">
          <cell r="W126">
            <v>576.38</v>
          </cell>
          <cell r="AF126">
            <v>40431</v>
          </cell>
          <cell r="AG126">
            <v>978</v>
          </cell>
          <cell r="AH126">
            <v>501.2</v>
          </cell>
          <cell r="AM126">
            <v>19300</v>
          </cell>
          <cell r="AO126">
            <v>11124134</v>
          </cell>
          <cell r="AQ126">
            <v>9673160</v>
          </cell>
          <cell r="AU126">
            <v>0</v>
          </cell>
          <cell r="AW126">
            <v>0</v>
          </cell>
          <cell r="AY126">
            <v>7598037.9965841984</v>
          </cell>
          <cell r="AZ126">
            <v>393.6807252116165</v>
          </cell>
          <cell r="BA126">
            <v>0</v>
          </cell>
          <cell r="BB126">
            <v>0</v>
          </cell>
          <cell r="BC126">
            <v>0</v>
          </cell>
          <cell r="BD126">
            <v>0</v>
          </cell>
          <cell r="BG126">
            <v>0</v>
          </cell>
          <cell r="BH126">
            <v>0</v>
          </cell>
          <cell r="BI126">
            <v>425877</v>
          </cell>
          <cell r="BJ126">
            <v>22.066165803108809</v>
          </cell>
          <cell r="BK126">
            <v>0</v>
          </cell>
          <cell r="BL126">
            <v>0</v>
          </cell>
          <cell r="BM126">
            <v>1079698</v>
          </cell>
          <cell r="BN126">
            <v>55.942901554404145</v>
          </cell>
          <cell r="BO126">
            <v>0</v>
          </cell>
          <cell r="BP126">
            <v>0</v>
          </cell>
          <cell r="BY126">
            <v>1090</v>
          </cell>
          <cell r="CF126">
            <v>3029.8348299999998</v>
          </cell>
          <cell r="CG126">
            <v>2507.7399999999998</v>
          </cell>
          <cell r="CJ126">
            <v>0</v>
          </cell>
          <cell r="CK126">
            <v>0</v>
          </cell>
          <cell r="CL126">
            <v>0</v>
          </cell>
          <cell r="CM126">
            <v>0</v>
          </cell>
          <cell r="CN126">
            <v>0</v>
          </cell>
          <cell r="CO126">
            <v>0</v>
          </cell>
          <cell r="CX126">
            <v>0</v>
          </cell>
          <cell r="CY126">
            <v>0</v>
          </cell>
          <cell r="DB126">
            <v>0</v>
          </cell>
          <cell r="DC126">
            <v>0</v>
          </cell>
          <cell r="DJ126" t="str">
            <v>НКРКП</v>
          </cell>
          <cell r="DL126">
            <v>40942</v>
          </cell>
          <cell r="DM126" t="str">
            <v>№ 48</v>
          </cell>
          <cell r="DT126">
            <v>799.35</v>
          </cell>
        </row>
        <row r="127">
          <cell r="W127">
            <v>732.99</v>
          </cell>
          <cell r="AF127">
            <v>40431</v>
          </cell>
          <cell r="AG127">
            <v>979</v>
          </cell>
          <cell r="AH127">
            <v>488.69</v>
          </cell>
          <cell r="AM127">
            <v>2600</v>
          </cell>
          <cell r="AO127">
            <v>1905774</v>
          </cell>
          <cell r="AQ127">
            <v>1270594</v>
          </cell>
          <cell r="AU127">
            <v>0</v>
          </cell>
          <cell r="AW127">
            <v>0</v>
          </cell>
          <cell r="AY127">
            <v>1023568.9999980448</v>
          </cell>
          <cell r="AZ127">
            <v>393.6803846146326</v>
          </cell>
          <cell r="BA127">
            <v>0</v>
          </cell>
          <cell r="BB127">
            <v>0</v>
          </cell>
          <cell r="BC127">
            <v>0</v>
          </cell>
          <cell r="BD127">
            <v>0</v>
          </cell>
          <cell r="BG127">
            <v>0</v>
          </cell>
          <cell r="BH127">
            <v>0</v>
          </cell>
          <cell r="BI127">
            <v>57372</v>
          </cell>
          <cell r="BJ127">
            <v>22.066153846153846</v>
          </cell>
          <cell r="BK127">
            <v>0</v>
          </cell>
          <cell r="BL127">
            <v>0</v>
          </cell>
          <cell r="BM127">
            <v>145451</v>
          </cell>
          <cell r="BN127">
            <v>55.942692307692305</v>
          </cell>
          <cell r="BO127">
            <v>0</v>
          </cell>
          <cell r="BP127">
            <v>0</v>
          </cell>
          <cell r="BY127">
            <v>1090</v>
          </cell>
          <cell r="CF127">
            <v>408.16392448900001</v>
          </cell>
          <cell r="CG127">
            <v>2507.7399999999998</v>
          </cell>
          <cell r="CJ127">
            <v>0</v>
          </cell>
          <cell r="CK127">
            <v>0</v>
          </cell>
          <cell r="CL127">
            <v>0</v>
          </cell>
          <cell r="CM127">
            <v>0</v>
          </cell>
          <cell r="CN127">
            <v>0</v>
          </cell>
          <cell r="CO127">
            <v>0</v>
          </cell>
          <cell r="CX127">
            <v>0</v>
          </cell>
          <cell r="CY127">
            <v>0</v>
          </cell>
          <cell r="DB127">
            <v>0</v>
          </cell>
          <cell r="DC127">
            <v>0</v>
          </cell>
          <cell r="DJ127" t="str">
            <v>НКРКП</v>
          </cell>
          <cell r="DL127">
            <v>40942</v>
          </cell>
          <cell r="DM127" t="str">
            <v>№ 48</v>
          </cell>
          <cell r="DT127">
            <v>955.96</v>
          </cell>
        </row>
        <row r="128">
          <cell r="W128">
            <v>217.78</v>
          </cell>
          <cell r="AF128">
            <v>39794</v>
          </cell>
          <cell r="AG128" t="str">
            <v>4/6-5/3952</v>
          </cell>
          <cell r="AH128">
            <v>201.65055097597383</v>
          </cell>
          <cell r="AM128">
            <v>105177</v>
          </cell>
          <cell r="AO128">
            <v>22905447.059999999</v>
          </cell>
          <cell r="AQ128">
            <v>21209000</v>
          </cell>
          <cell r="AU128">
            <v>0</v>
          </cell>
          <cell r="AW128">
            <v>0</v>
          </cell>
          <cell r="AY128">
            <v>12418989</v>
          </cell>
          <cell r="AZ128">
            <v>118.07704155851565</v>
          </cell>
          <cell r="BA128">
            <v>0</v>
          </cell>
          <cell r="BB128">
            <v>0</v>
          </cell>
          <cell r="BC128">
            <v>0</v>
          </cell>
          <cell r="BD128">
            <v>0</v>
          </cell>
          <cell r="BG128">
            <v>0</v>
          </cell>
          <cell r="BH128">
            <v>0</v>
          </cell>
          <cell r="BI128">
            <v>2355000</v>
          </cell>
          <cell r="BJ128">
            <v>22.390826891810946</v>
          </cell>
          <cell r="BK128">
            <v>0</v>
          </cell>
          <cell r="BL128">
            <v>0</v>
          </cell>
          <cell r="BM128">
            <v>874800</v>
          </cell>
          <cell r="BN128">
            <v>8.3174077982828951</v>
          </cell>
          <cell r="BO128">
            <v>0</v>
          </cell>
          <cell r="BP128">
            <v>0</v>
          </cell>
          <cell r="BY128">
            <v>1275</v>
          </cell>
          <cell r="CF128">
            <v>17075</v>
          </cell>
          <cell r="CG128">
            <v>727.32</v>
          </cell>
          <cell r="CJ128">
            <v>0</v>
          </cell>
          <cell r="CK128">
            <v>0</v>
          </cell>
          <cell r="CL128">
            <v>0</v>
          </cell>
          <cell r="CM128">
            <v>0</v>
          </cell>
          <cell r="CN128">
            <v>0</v>
          </cell>
          <cell r="CO128">
            <v>0</v>
          </cell>
          <cell r="CX128">
            <v>0</v>
          </cell>
          <cell r="CY128">
            <v>0</v>
          </cell>
          <cell r="DB128">
            <v>0</v>
          </cell>
          <cell r="DC128">
            <v>0</v>
          </cell>
          <cell r="DJ128" t="str">
            <v>НКРЕ</v>
          </cell>
          <cell r="DL128">
            <v>40526</v>
          </cell>
          <cell r="DM128" t="str">
            <v>№ 1840</v>
          </cell>
          <cell r="DO128" t="str">
            <v>Тариф на теплову енергію</v>
          </cell>
          <cell r="DT128">
            <v>239.56</v>
          </cell>
        </row>
        <row r="129">
          <cell r="W129">
            <v>510.67</v>
          </cell>
          <cell r="AF129">
            <v>39853</v>
          </cell>
          <cell r="AG129" t="str">
            <v>6/1/1-57</v>
          </cell>
          <cell r="AH129">
            <v>431.35162928208752</v>
          </cell>
          <cell r="AM129">
            <v>23338.5</v>
          </cell>
          <cell r="AO129">
            <v>11918271.795</v>
          </cell>
          <cell r="AQ129">
            <v>10067100</v>
          </cell>
          <cell r="AU129">
            <v>0</v>
          </cell>
          <cell r="AW129">
            <v>0</v>
          </cell>
          <cell r="AY129">
            <v>8116985.25</v>
          </cell>
          <cell r="AZ129">
            <v>347.79378494761875</v>
          </cell>
          <cell r="BA129">
            <v>0</v>
          </cell>
          <cell r="BB129">
            <v>0</v>
          </cell>
          <cell r="BC129">
            <v>0</v>
          </cell>
          <cell r="BD129">
            <v>0</v>
          </cell>
          <cell r="BG129">
            <v>0</v>
          </cell>
          <cell r="BH129">
            <v>0</v>
          </cell>
          <cell r="BI129">
            <v>522600</v>
          </cell>
          <cell r="BJ129">
            <v>22.392184587698438</v>
          </cell>
          <cell r="BK129">
            <v>0</v>
          </cell>
          <cell r="BL129">
            <v>0</v>
          </cell>
          <cell r="BM129">
            <v>194100</v>
          </cell>
          <cell r="BN129">
            <v>8.3167298669580312</v>
          </cell>
          <cell r="BO129">
            <v>0</v>
          </cell>
          <cell r="BP129">
            <v>0</v>
          </cell>
          <cell r="BY129">
            <v>1275</v>
          </cell>
          <cell r="CF129">
            <v>3789</v>
          </cell>
          <cell r="CG129">
            <v>2142.25</v>
          </cell>
          <cell r="CJ129">
            <v>0</v>
          </cell>
          <cell r="CK129">
            <v>0</v>
          </cell>
          <cell r="CL129">
            <v>0</v>
          </cell>
          <cell r="CM129">
            <v>0</v>
          </cell>
          <cell r="CN129">
            <v>0</v>
          </cell>
          <cell r="CO129">
            <v>0</v>
          </cell>
          <cell r="CX129">
            <v>0</v>
          </cell>
          <cell r="CY129">
            <v>0</v>
          </cell>
          <cell r="DB129">
            <v>0</v>
          </cell>
          <cell r="DC129">
            <v>0</v>
          </cell>
          <cell r="DJ129" t="str">
            <v>НКРКП</v>
          </cell>
          <cell r="DL129">
            <v>40816</v>
          </cell>
          <cell r="DM129" t="str">
            <v>№ 15</v>
          </cell>
          <cell r="DT129">
            <v>771.97</v>
          </cell>
        </row>
        <row r="130">
          <cell r="W130">
            <v>510.67</v>
          </cell>
          <cell r="AF130">
            <v>39853</v>
          </cell>
          <cell r="AG130" t="str">
            <v>6/1/1-57</v>
          </cell>
          <cell r="AH130">
            <v>431.34658421282626</v>
          </cell>
          <cell r="AM130">
            <v>7551.7</v>
          </cell>
          <cell r="AO130">
            <v>3856426.639</v>
          </cell>
          <cell r="AQ130">
            <v>3257400</v>
          </cell>
          <cell r="AU130">
            <v>0</v>
          </cell>
          <cell r="AW130">
            <v>0</v>
          </cell>
          <cell r="AY130">
            <v>2626398.5</v>
          </cell>
          <cell r="AZ130">
            <v>347.78904087821286</v>
          </cell>
          <cell r="BA130">
            <v>0</v>
          </cell>
          <cell r="BB130">
            <v>0</v>
          </cell>
          <cell r="BC130">
            <v>0</v>
          </cell>
          <cell r="BD130">
            <v>0</v>
          </cell>
          <cell r="BG130">
            <v>0</v>
          </cell>
          <cell r="BH130">
            <v>0</v>
          </cell>
          <cell r="BI130">
            <v>169100</v>
          </cell>
          <cell r="BJ130">
            <v>22.39230901651284</v>
          </cell>
          <cell r="BK130">
            <v>0</v>
          </cell>
          <cell r="BL130">
            <v>0</v>
          </cell>
          <cell r="BM130">
            <v>62800</v>
          </cell>
          <cell r="BN130">
            <v>8.3160083160083165</v>
          </cell>
          <cell r="BO130">
            <v>0</v>
          </cell>
          <cell r="BP130">
            <v>0</v>
          </cell>
          <cell r="BY130">
            <v>1275</v>
          </cell>
          <cell r="CF130">
            <v>1226</v>
          </cell>
          <cell r="CG130">
            <v>2142.25</v>
          </cell>
          <cell r="CJ130">
            <v>0</v>
          </cell>
          <cell r="CK130">
            <v>0</v>
          </cell>
          <cell r="CL130">
            <v>0</v>
          </cell>
          <cell r="CM130">
            <v>0</v>
          </cell>
          <cell r="CN130">
            <v>0</v>
          </cell>
          <cell r="CO130">
            <v>0</v>
          </cell>
          <cell r="CX130">
            <v>0</v>
          </cell>
          <cell r="CY130">
            <v>0</v>
          </cell>
          <cell r="DB130">
            <v>0</v>
          </cell>
          <cell r="DC130">
            <v>0</v>
          </cell>
          <cell r="DJ130" t="str">
            <v>НКРКП</v>
          </cell>
          <cell r="DL130">
            <v>40816</v>
          </cell>
          <cell r="DM130" t="str">
            <v>№ 15</v>
          </cell>
          <cell r="DT130">
            <v>771.97</v>
          </cell>
        </row>
        <row r="131">
          <cell r="W131">
            <v>247.38</v>
          </cell>
          <cell r="AF131">
            <v>39790</v>
          </cell>
          <cell r="AG131">
            <v>572</v>
          </cell>
          <cell r="AH131">
            <v>266.42802741812642</v>
          </cell>
          <cell r="AM131">
            <v>10504</v>
          </cell>
          <cell r="AO131">
            <v>2598479.52</v>
          </cell>
          <cell r="AQ131">
            <v>2798560</v>
          </cell>
          <cell r="AU131">
            <v>0</v>
          </cell>
          <cell r="AW131">
            <v>0</v>
          </cell>
          <cell r="AY131">
            <v>1291780</v>
          </cell>
          <cell r="AZ131">
            <v>122.97981721249047</v>
          </cell>
          <cell r="BA131">
            <v>0</v>
          </cell>
          <cell r="BB131">
            <v>0</v>
          </cell>
          <cell r="BC131">
            <v>0</v>
          </cell>
          <cell r="BD131">
            <v>0</v>
          </cell>
          <cell r="BG131">
            <v>0</v>
          </cell>
          <cell r="BH131">
            <v>0</v>
          </cell>
          <cell r="BI131">
            <v>230050</v>
          </cell>
          <cell r="BJ131">
            <v>21.90118050266565</v>
          </cell>
          <cell r="BK131">
            <v>0</v>
          </cell>
          <cell r="BL131">
            <v>0</v>
          </cell>
          <cell r="BM131">
            <v>1009690</v>
          </cell>
          <cell r="BN131">
            <v>96.124333587204873</v>
          </cell>
          <cell r="BO131">
            <v>0</v>
          </cell>
          <cell r="BP131">
            <v>0</v>
          </cell>
          <cell r="BY131">
            <v>2113.6</v>
          </cell>
          <cell r="CF131">
            <v>1776.0820546664465</v>
          </cell>
          <cell r="CG131">
            <v>727.32</v>
          </cell>
          <cell r="CJ131">
            <v>0</v>
          </cell>
          <cell r="CK131">
            <v>0</v>
          </cell>
          <cell r="CL131">
            <v>0</v>
          </cell>
          <cell r="CM131">
            <v>0</v>
          </cell>
          <cell r="CN131">
            <v>0</v>
          </cell>
          <cell r="CO131">
            <v>0</v>
          </cell>
          <cell r="CX131">
            <v>0</v>
          </cell>
          <cell r="CY131">
            <v>0</v>
          </cell>
          <cell r="DB131">
            <v>0</v>
          </cell>
          <cell r="DC131">
            <v>0</v>
          </cell>
          <cell r="DJ131" t="str">
            <v>НКРЕ</v>
          </cell>
          <cell r="DL131">
            <v>40526</v>
          </cell>
          <cell r="DM131">
            <v>1706</v>
          </cell>
          <cell r="DO131" t="str">
            <v>тариф на теплову енергію для населення</v>
          </cell>
          <cell r="DT131">
            <v>272.12</v>
          </cell>
        </row>
        <row r="132">
          <cell r="W132">
            <v>602.67499999999995</v>
          </cell>
          <cell r="AF132">
            <v>39856</v>
          </cell>
          <cell r="AG132">
            <v>44</v>
          </cell>
          <cell r="AH132">
            <v>506.45132743362831</v>
          </cell>
          <cell r="AM132">
            <v>12430</v>
          </cell>
          <cell r="AO132">
            <v>7491250.2499999991</v>
          </cell>
          <cell r="AQ132">
            <v>6295190</v>
          </cell>
          <cell r="AU132">
            <v>0</v>
          </cell>
          <cell r="AW132">
            <v>0</v>
          </cell>
          <cell r="AY132">
            <v>4502320</v>
          </cell>
          <cell r="AZ132">
            <v>362.21399839098956</v>
          </cell>
          <cell r="BA132">
            <v>0</v>
          </cell>
          <cell r="BB132">
            <v>0</v>
          </cell>
          <cell r="BC132">
            <v>0</v>
          </cell>
          <cell r="BD132">
            <v>0</v>
          </cell>
          <cell r="BG132">
            <v>0</v>
          </cell>
          <cell r="BH132">
            <v>0</v>
          </cell>
          <cell r="BI132">
            <v>272210</v>
          </cell>
          <cell r="BJ132">
            <v>21.899436846339501</v>
          </cell>
          <cell r="BK132">
            <v>0</v>
          </cell>
          <cell r="BL132">
            <v>0</v>
          </cell>
          <cell r="BM132">
            <v>1194760</v>
          </cell>
          <cell r="BN132">
            <v>96.119066773934037</v>
          </cell>
          <cell r="BO132">
            <v>0</v>
          </cell>
          <cell r="BP132">
            <v>0</v>
          </cell>
          <cell r="BY132">
            <v>2113.6</v>
          </cell>
          <cell r="CF132">
            <v>2101.6781421402729</v>
          </cell>
          <cell r="CG132">
            <v>2142.25</v>
          </cell>
          <cell r="CJ132">
            <v>0</v>
          </cell>
          <cell r="CK132">
            <v>0</v>
          </cell>
          <cell r="CL132">
            <v>0</v>
          </cell>
          <cell r="CM132">
            <v>0</v>
          </cell>
          <cell r="CN132">
            <v>0</v>
          </cell>
          <cell r="CO132">
            <v>0</v>
          </cell>
          <cell r="CX132">
            <v>0</v>
          </cell>
          <cell r="CY132">
            <v>0</v>
          </cell>
          <cell r="DB132">
            <v>0</v>
          </cell>
          <cell r="DC132">
            <v>0</v>
          </cell>
          <cell r="DJ132" t="str">
            <v>НКРКП</v>
          </cell>
          <cell r="DL132">
            <v>40816</v>
          </cell>
          <cell r="DM132">
            <v>75</v>
          </cell>
          <cell r="DT132">
            <v>874.81</v>
          </cell>
        </row>
        <row r="133">
          <cell r="W133">
            <v>602.67499999999995</v>
          </cell>
          <cell r="AF133">
            <v>39856</v>
          </cell>
          <cell r="AG133">
            <v>44</v>
          </cell>
          <cell r="AH133">
            <v>506.45278450363196</v>
          </cell>
          <cell r="AM133">
            <v>826</v>
          </cell>
          <cell r="AO133">
            <v>497809.55</v>
          </cell>
          <cell r="AQ133">
            <v>418330</v>
          </cell>
          <cell r="AU133">
            <v>0</v>
          </cell>
          <cell r="AW133">
            <v>0</v>
          </cell>
          <cell r="AY133">
            <v>299129.99999999994</v>
          </cell>
          <cell r="AZ133">
            <v>362.14285714285705</v>
          </cell>
          <cell r="BA133">
            <v>0</v>
          </cell>
          <cell r="BB133">
            <v>0</v>
          </cell>
          <cell r="BC133">
            <v>0</v>
          </cell>
          <cell r="BD133">
            <v>0</v>
          </cell>
          <cell r="BG133">
            <v>0</v>
          </cell>
          <cell r="BH133">
            <v>0</v>
          </cell>
          <cell r="BI133">
            <v>18090</v>
          </cell>
          <cell r="BJ133">
            <v>21.900726392251816</v>
          </cell>
          <cell r="BK133">
            <v>0</v>
          </cell>
          <cell r="BL133">
            <v>0</v>
          </cell>
          <cell r="BM133">
            <v>79410</v>
          </cell>
          <cell r="BN133">
            <v>96.13801452784503</v>
          </cell>
          <cell r="BO133">
            <v>0</v>
          </cell>
          <cell r="BP133">
            <v>0</v>
          </cell>
          <cell r="BY133">
            <v>2113.6</v>
          </cell>
          <cell r="CF133">
            <v>139.63356284280545</v>
          </cell>
          <cell r="CG133">
            <v>2142.25</v>
          </cell>
          <cell r="CJ133">
            <v>0</v>
          </cell>
          <cell r="CK133">
            <v>0</v>
          </cell>
          <cell r="CL133">
            <v>0</v>
          </cell>
          <cell r="CM133">
            <v>0</v>
          </cell>
          <cell r="CN133">
            <v>0</v>
          </cell>
          <cell r="CO133">
            <v>0</v>
          </cell>
          <cell r="CX133">
            <v>0</v>
          </cell>
          <cell r="CY133">
            <v>0</v>
          </cell>
          <cell r="DB133">
            <v>0</v>
          </cell>
          <cell r="DC133">
            <v>0</v>
          </cell>
          <cell r="DJ133" t="str">
            <v>НКРКП</v>
          </cell>
          <cell r="DL133">
            <v>40816</v>
          </cell>
          <cell r="DM133">
            <v>75</v>
          </cell>
          <cell r="DT133">
            <v>874.81</v>
          </cell>
        </row>
        <row r="134">
          <cell r="W134">
            <v>266.642</v>
          </cell>
          <cell r="AF134">
            <v>40427</v>
          </cell>
          <cell r="AG134">
            <v>117</v>
          </cell>
          <cell r="AH134">
            <v>242.39648158566669</v>
          </cell>
          <cell r="AM134">
            <v>46214</v>
          </cell>
          <cell r="AO134">
            <v>12322593.388</v>
          </cell>
          <cell r="AQ134">
            <v>11202111</v>
          </cell>
          <cell r="AU134">
            <v>0</v>
          </cell>
          <cell r="AW134">
            <v>0</v>
          </cell>
          <cell r="AY134">
            <v>8253585</v>
          </cell>
          <cell r="AZ134">
            <v>178.59490630544857</v>
          </cell>
          <cell r="BA134">
            <v>0</v>
          </cell>
          <cell r="BB134">
            <v>0</v>
          </cell>
          <cell r="BC134">
            <v>0</v>
          </cell>
          <cell r="BD134">
            <v>0</v>
          </cell>
          <cell r="BG134">
            <v>0</v>
          </cell>
          <cell r="BH134">
            <v>0</v>
          </cell>
          <cell r="BI134">
            <v>908652</v>
          </cell>
          <cell r="BJ134">
            <v>19.66183407625395</v>
          </cell>
          <cell r="BK134">
            <v>0</v>
          </cell>
          <cell r="BL134">
            <v>0</v>
          </cell>
          <cell r="BM134">
            <v>1459668</v>
          </cell>
          <cell r="BN134">
            <v>31.584974250227205</v>
          </cell>
          <cell r="BO134">
            <v>0</v>
          </cell>
          <cell r="BP134">
            <v>0</v>
          </cell>
          <cell r="BY134">
            <v>1275</v>
          </cell>
          <cell r="CF134">
            <v>7565.1558203483046</v>
          </cell>
          <cell r="CG134">
            <v>1091</v>
          </cell>
          <cell r="CJ134">
            <v>0</v>
          </cell>
          <cell r="CK134">
            <v>0</v>
          </cell>
          <cell r="CL134">
            <v>0</v>
          </cell>
          <cell r="CM134">
            <v>0</v>
          </cell>
          <cell r="CN134">
            <v>0</v>
          </cell>
          <cell r="CO134">
            <v>0</v>
          </cell>
          <cell r="CX134">
            <v>0</v>
          </cell>
          <cell r="CY134">
            <v>0</v>
          </cell>
          <cell r="DB134">
            <v>0</v>
          </cell>
          <cell r="DC134">
            <v>0</v>
          </cell>
          <cell r="DJ134" t="str">
            <v>МОС</v>
          </cell>
          <cell r="DL134">
            <v>40448</v>
          </cell>
          <cell r="DM134">
            <v>298</v>
          </cell>
          <cell r="DO134" t="str">
            <v>тариф на теплову енергію</v>
          </cell>
          <cell r="DT134">
            <v>266.642</v>
          </cell>
        </row>
        <row r="135">
          <cell r="W135">
            <v>511.23399999999998</v>
          </cell>
          <cell r="AF135">
            <v>40427</v>
          </cell>
          <cell r="AG135">
            <v>118</v>
          </cell>
          <cell r="AH135">
            <v>456.46159195801982</v>
          </cell>
          <cell r="AM135">
            <v>31634</v>
          </cell>
          <cell r="AO135">
            <v>16172376.355999999</v>
          </cell>
          <cell r="AQ135">
            <v>14439706</v>
          </cell>
          <cell r="AU135">
            <v>0</v>
          </cell>
          <cell r="AW135">
            <v>0</v>
          </cell>
          <cell r="AY135">
            <v>12421371</v>
          </cell>
          <cell r="AZ135">
            <v>392.65887968641334</v>
          </cell>
          <cell r="BA135">
            <v>0</v>
          </cell>
          <cell r="BB135">
            <v>0</v>
          </cell>
          <cell r="BC135">
            <v>0</v>
          </cell>
          <cell r="BD135">
            <v>0</v>
          </cell>
          <cell r="BG135">
            <v>0</v>
          </cell>
          <cell r="BH135">
            <v>0</v>
          </cell>
          <cell r="BI135">
            <v>621984</v>
          </cell>
          <cell r="BJ135">
            <v>19.661882784345956</v>
          </cell>
          <cell r="BK135">
            <v>0</v>
          </cell>
          <cell r="BL135">
            <v>0</v>
          </cell>
          <cell r="BM135">
            <v>999162</v>
          </cell>
          <cell r="BN135">
            <v>31.58506670038566</v>
          </cell>
          <cell r="BO135">
            <v>0</v>
          </cell>
          <cell r="BP135">
            <v>0</v>
          </cell>
          <cell r="BY135">
            <v>1275</v>
          </cell>
          <cell r="CF135">
            <v>5178.7216389970563</v>
          </cell>
          <cell r="CG135">
            <v>2398.54</v>
          </cell>
          <cell r="CJ135">
            <v>0</v>
          </cell>
          <cell r="CK135">
            <v>0</v>
          </cell>
          <cell r="CL135">
            <v>0</v>
          </cell>
          <cell r="CM135">
            <v>0</v>
          </cell>
          <cell r="CN135">
            <v>0</v>
          </cell>
          <cell r="CO135">
            <v>0</v>
          </cell>
          <cell r="CX135">
            <v>0</v>
          </cell>
          <cell r="CY135">
            <v>0</v>
          </cell>
          <cell r="DB135">
            <v>0</v>
          </cell>
          <cell r="DC135">
            <v>0</v>
          </cell>
          <cell r="DJ135" t="str">
            <v>НКРКП</v>
          </cell>
          <cell r="DL135">
            <v>40836</v>
          </cell>
          <cell r="DM135">
            <v>221</v>
          </cell>
          <cell r="DT135">
            <v>719.28</v>
          </cell>
        </row>
        <row r="136">
          <cell r="W136">
            <v>547.75</v>
          </cell>
          <cell r="AF136">
            <v>40427</v>
          </cell>
          <cell r="AG136">
            <v>119</v>
          </cell>
          <cell r="AH136">
            <v>456.46229581561869</v>
          </cell>
          <cell r="AM136">
            <v>4469</v>
          </cell>
          <cell r="AO136">
            <v>2447894.75</v>
          </cell>
          <cell r="AQ136">
            <v>2039930</v>
          </cell>
          <cell r="AU136">
            <v>0</v>
          </cell>
          <cell r="AW136">
            <v>0</v>
          </cell>
          <cell r="AY136">
            <v>1754794</v>
          </cell>
          <cell r="AZ136">
            <v>392.65920787648241</v>
          </cell>
          <cell r="BA136">
            <v>0</v>
          </cell>
          <cell r="BB136">
            <v>0</v>
          </cell>
          <cell r="BC136">
            <v>0</v>
          </cell>
          <cell r="BD136">
            <v>0</v>
          </cell>
          <cell r="BG136">
            <v>0</v>
          </cell>
          <cell r="BH136">
            <v>0</v>
          </cell>
          <cell r="BI136">
            <v>87869</v>
          </cell>
          <cell r="BJ136">
            <v>19.661893040948758</v>
          </cell>
          <cell r="BK136">
            <v>0</v>
          </cell>
          <cell r="BL136">
            <v>0</v>
          </cell>
          <cell r="BM136">
            <v>141154</v>
          </cell>
          <cell r="BN136">
            <v>31.58514208995301</v>
          </cell>
          <cell r="BO136">
            <v>0</v>
          </cell>
          <cell r="BP136">
            <v>0</v>
          </cell>
          <cell r="BY136">
            <v>1275</v>
          </cell>
          <cell r="CF136">
            <v>731.60922894760984</v>
          </cell>
          <cell r="CG136">
            <v>2398.54</v>
          </cell>
          <cell r="CJ136">
            <v>0</v>
          </cell>
          <cell r="CK136">
            <v>0</v>
          </cell>
          <cell r="CL136">
            <v>0</v>
          </cell>
          <cell r="CM136">
            <v>0</v>
          </cell>
          <cell r="CN136">
            <v>0</v>
          </cell>
          <cell r="CO136">
            <v>0</v>
          </cell>
          <cell r="CX136">
            <v>0</v>
          </cell>
          <cell r="CY136">
            <v>0</v>
          </cell>
          <cell r="DB136">
            <v>0</v>
          </cell>
          <cell r="DC136">
            <v>0</v>
          </cell>
          <cell r="DJ136" t="str">
            <v>НКРКП</v>
          </cell>
          <cell r="DL136">
            <v>40836</v>
          </cell>
          <cell r="DM136">
            <v>221</v>
          </cell>
          <cell r="DT136">
            <v>745.66</v>
          </cell>
        </row>
        <row r="137">
          <cell r="W137">
            <v>247.29</v>
          </cell>
          <cell r="AF137">
            <v>40122</v>
          </cell>
          <cell r="AG137">
            <v>260</v>
          </cell>
          <cell r="AH137">
            <v>235.70827285921627</v>
          </cell>
          <cell r="AM137">
            <v>68900</v>
          </cell>
          <cell r="AO137">
            <v>17038281</v>
          </cell>
          <cell r="AQ137">
            <v>16240300</v>
          </cell>
          <cell r="AU137">
            <v>0</v>
          </cell>
          <cell r="AW137">
            <v>0</v>
          </cell>
          <cell r="AY137">
            <v>9318309</v>
          </cell>
          <cell r="AZ137">
            <v>135.24396226415095</v>
          </cell>
          <cell r="BA137">
            <v>0</v>
          </cell>
          <cell r="BB137">
            <v>0</v>
          </cell>
          <cell r="BC137">
            <v>0</v>
          </cell>
          <cell r="BD137">
            <v>0</v>
          </cell>
          <cell r="BG137">
            <v>0</v>
          </cell>
          <cell r="BH137">
            <v>0</v>
          </cell>
          <cell r="BI137">
            <v>1141300</v>
          </cell>
          <cell r="BJ137">
            <v>16.564586357039186</v>
          </cell>
          <cell r="BK137">
            <v>0</v>
          </cell>
          <cell r="BL137">
            <v>0</v>
          </cell>
          <cell r="BM137">
            <v>3901300</v>
          </cell>
          <cell r="BN137">
            <v>56.622641509433961</v>
          </cell>
          <cell r="BO137">
            <v>0</v>
          </cell>
          <cell r="BP137">
            <v>0</v>
          </cell>
          <cell r="BY137">
            <v>1739</v>
          </cell>
          <cell r="CF137">
            <v>12811.842105263157</v>
          </cell>
          <cell r="CG137">
            <v>727.32</v>
          </cell>
          <cell r="CJ137">
            <v>0</v>
          </cell>
          <cell r="CK137">
            <v>0</v>
          </cell>
          <cell r="CL137">
            <v>0</v>
          </cell>
          <cell r="CM137">
            <v>0</v>
          </cell>
          <cell r="CN137">
            <v>0</v>
          </cell>
          <cell r="CO137">
            <v>0</v>
          </cell>
          <cell r="CX137">
            <v>0</v>
          </cell>
          <cell r="CY137">
            <v>0</v>
          </cell>
          <cell r="DB137">
            <v>0</v>
          </cell>
          <cell r="DC137">
            <v>0</v>
          </cell>
          <cell r="DJ137" t="str">
            <v>НКРЕ</v>
          </cell>
          <cell r="DL137">
            <v>40526</v>
          </cell>
          <cell r="DM137">
            <v>1782</v>
          </cell>
          <cell r="DO137" t="str">
            <v>тариф на теплову енергію для населення</v>
          </cell>
          <cell r="DT137">
            <v>272.02</v>
          </cell>
        </row>
        <row r="138">
          <cell r="W138">
            <v>580.47500000000002</v>
          </cell>
          <cell r="AF138">
            <v>40122</v>
          </cell>
          <cell r="AG138">
            <v>261</v>
          </cell>
          <cell r="AH138">
            <v>505.26950354609932</v>
          </cell>
          <cell r="AM138">
            <v>14100</v>
          </cell>
          <cell r="AO138">
            <v>8184697.5</v>
          </cell>
          <cell r="AQ138">
            <v>7124300</v>
          </cell>
          <cell r="AU138">
            <v>0</v>
          </cell>
          <cell r="AW138">
            <v>0</v>
          </cell>
          <cell r="AY138">
            <v>5722655</v>
          </cell>
          <cell r="AZ138">
            <v>405.86205673758866</v>
          </cell>
          <cell r="BA138">
            <v>0</v>
          </cell>
          <cell r="BB138">
            <v>0</v>
          </cell>
          <cell r="BC138">
            <v>0</v>
          </cell>
          <cell r="BD138">
            <v>0</v>
          </cell>
          <cell r="BG138">
            <v>0</v>
          </cell>
          <cell r="BH138">
            <v>0</v>
          </cell>
          <cell r="BI138">
            <v>233566</v>
          </cell>
          <cell r="BJ138">
            <v>16.564964539007093</v>
          </cell>
          <cell r="BK138">
            <v>0</v>
          </cell>
          <cell r="BL138">
            <v>0</v>
          </cell>
          <cell r="BM138">
            <v>800860</v>
          </cell>
          <cell r="BN138">
            <v>56.798581560283687</v>
          </cell>
          <cell r="BO138">
            <v>0</v>
          </cell>
          <cell r="BP138">
            <v>0</v>
          </cell>
          <cell r="BY138">
            <v>1739</v>
          </cell>
          <cell r="CF138">
            <v>2621.8719360779969</v>
          </cell>
          <cell r="CG138">
            <v>2182.66</v>
          </cell>
          <cell r="CJ138">
            <v>0</v>
          </cell>
          <cell r="CK138">
            <v>0</v>
          </cell>
          <cell r="CL138">
            <v>0</v>
          </cell>
          <cell r="CM138">
            <v>0</v>
          </cell>
          <cell r="CN138">
            <v>0</v>
          </cell>
          <cell r="CO138">
            <v>0</v>
          </cell>
          <cell r="CX138">
            <v>0</v>
          </cell>
          <cell r="CY138">
            <v>0</v>
          </cell>
          <cell r="DB138">
            <v>0</v>
          </cell>
          <cell r="DC138">
            <v>0</v>
          </cell>
          <cell r="DJ138" t="str">
            <v>НКРКП</v>
          </cell>
          <cell r="DL138">
            <v>40816</v>
          </cell>
          <cell r="DM138">
            <v>69</v>
          </cell>
          <cell r="DT138">
            <v>872.28</v>
          </cell>
        </row>
        <row r="139">
          <cell r="W139">
            <v>605.63</v>
          </cell>
          <cell r="AF139">
            <v>40122</v>
          </cell>
          <cell r="AG139">
            <v>261</v>
          </cell>
          <cell r="AH139">
            <v>505.26923076923077</v>
          </cell>
          <cell r="AM139">
            <v>1300</v>
          </cell>
          <cell r="AO139">
            <v>787319</v>
          </cell>
          <cell r="AQ139">
            <v>656850</v>
          </cell>
          <cell r="AU139">
            <v>0</v>
          </cell>
          <cell r="AW139">
            <v>0</v>
          </cell>
          <cell r="AY139">
            <v>527620.99999999988</v>
          </cell>
          <cell r="AZ139">
            <v>405.86230769230758</v>
          </cell>
          <cell r="BA139">
            <v>0</v>
          </cell>
          <cell r="BB139">
            <v>0</v>
          </cell>
          <cell r="BC139">
            <v>0</v>
          </cell>
          <cell r="BD139">
            <v>0</v>
          </cell>
          <cell r="BG139">
            <v>0</v>
          </cell>
          <cell r="BH139">
            <v>0</v>
          </cell>
          <cell r="BI139">
            <v>21534</v>
          </cell>
          <cell r="BJ139">
            <v>16.564615384615383</v>
          </cell>
          <cell r="BK139">
            <v>0</v>
          </cell>
          <cell r="BL139">
            <v>0</v>
          </cell>
          <cell r="BM139">
            <v>73840</v>
          </cell>
          <cell r="BN139">
            <v>56.8</v>
          </cell>
          <cell r="BO139">
            <v>0</v>
          </cell>
          <cell r="BP139">
            <v>0</v>
          </cell>
          <cell r="BY139">
            <v>1739</v>
          </cell>
          <cell r="CF139">
            <v>241.7330230086225</v>
          </cell>
          <cell r="CG139">
            <v>2182.66</v>
          </cell>
          <cell r="CJ139">
            <v>0</v>
          </cell>
          <cell r="CK139">
            <v>0</v>
          </cell>
          <cell r="CL139">
            <v>0</v>
          </cell>
          <cell r="CM139">
            <v>0</v>
          </cell>
          <cell r="CN139">
            <v>0</v>
          </cell>
          <cell r="CO139">
            <v>0</v>
          </cell>
          <cell r="CX139">
            <v>0</v>
          </cell>
          <cell r="CY139">
            <v>0</v>
          </cell>
          <cell r="DB139">
            <v>0</v>
          </cell>
          <cell r="DC139">
            <v>0</v>
          </cell>
          <cell r="DJ139" t="str">
            <v>НКРКП</v>
          </cell>
          <cell r="DL139">
            <v>40816</v>
          </cell>
          <cell r="DM139">
            <v>69</v>
          </cell>
          <cell r="DT139">
            <v>897.43</v>
          </cell>
        </row>
        <row r="140">
          <cell r="W140">
            <v>222.83</v>
          </cell>
          <cell r="AF140">
            <v>39749</v>
          </cell>
          <cell r="AG140">
            <v>480</v>
          </cell>
          <cell r="AH140">
            <v>222.82665535719013</v>
          </cell>
          <cell r="AM140">
            <v>29001.602118206702</v>
          </cell>
          <cell r="AO140">
            <v>6462427</v>
          </cell>
          <cell r="AQ140">
            <v>6462330</v>
          </cell>
          <cell r="AU140">
            <v>0</v>
          </cell>
          <cell r="AW140">
            <v>0</v>
          </cell>
          <cell r="AY140">
            <v>3129100</v>
          </cell>
          <cell r="AZ140">
            <v>107.89403934466108</v>
          </cell>
          <cell r="BA140">
            <v>0</v>
          </cell>
          <cell r="BB140">
            <v>0</v>
          </cell>
          <cell r="BC140">
            <v>0</v>
          </cell>
          <cell r="BD140">
            <v>0</v>
          </cell>
          <cell r="BG140">
            <v>0</v>
          </cell>
          <cell r="BH140">
            <v>0</v>
          </cell>
          <cell r="BI140">
            <v>471410</v>
          </cell>
          <cell r="BJ140">
            <v>16.254619247536571</v>
          </cell>
          <cell r="BK140">
            <v>0</v>
          </cell>
          <cell r="BL140">
            <v>0</v>
          </cell>
          <cell r="BM140">
            <v>2416700</v>
          </cell>
          <cell r="BN140">
            <v>83.329879161497701</v>
          </cell>
          <cell r="BO140">
            <v>0</v>
          </cell>
          <cell r="BP140">
            <v>0</v>
          </cell>
          <cell r="BY140">
            <v>1930</v>
          </cell>
          <cell r="CF140">
            <v>4610.0920810313073</v>
          </cell>
          <cell r="CG140">
            <v>678.75</v>
          </cell>
          <cell r="CJ140">
            <v>0</v>
          </cell>
          <cell r="CK140">
            <v>0</v>
          </cell>
          <cell r="CL140">
            <v>0</v>
          </cell>
          <cell r="CM140">
            <v>0</v>
          </cell>
          <cell r="CN140">
            <v>0</v>
          </cell>
          <cell r="CO140">
            <v>0</v>
          </cell>
          <cell r="CX140">
            <v>0</v>
          </cell>
          <cell r="CY140">
            <v>0</v>
          </cell>
          <cell r="DB140">
            <v>0</v>
          </cell>
          <cell r="DC140">
            <v>0</v>
          </cell>
          <cell r="DJ140" t="str">
            <v>НКРЕ</v>
          </cell>
          <cell r="DL140">
            <v>40526</v>
          </cell>
          <cell r="DM140">
            <v>1707</v>
          </cell>
          <cell r="DO140" t="str">
            <v>тариф на теплову енергію для населення</v>
          </cell>
          <cell r="DT140">
            <v>245.10635553949004</v>
          </cell>
        </row>
        <row r="141">
          <cell r="W141">
            <v>530.65</v>
          </cell>
          <cell r="AF141">
            <v>39867</v>
          </cell>
          <cell r="AG141">
            <v>86</v>
          </cell>
          <cell r="AH141">
            <v>466.53534482758619</v>
          </cell>
          <cell r="AM141">
            <v>11600</v>
          </cell>
          <cell r="AO141">
            <v>6155540</v>
          </cell>
          <cell r="AQ141">
            <v>5411810</v>
          </cell>
          <cell r="AU141">
            <v>0</v>
          </cell>
          <cell r="AW141">
            <v>0</v>
          </cell>
          <cell r="AY141">
            <v>4076150</v>
          </cell>
          <cell r="AZ141">
            <v>351.39224137931035</v>
          </cell>
          <cell r="BA141">
            <v>0</v>
          </cell>
          <cell r="BB141">
            <v>0</v>
          </cell>
          <cell r="BC141">
            <v>0</v>
          </cell>
          <cell r="BD141">
            <v>0</v>
          </cell>
          <cell r="BG141">
            <v>0</v>
          </cell>
          <cell r="BH141">
            <v>0</v>
          </cell>
          <cell r="BI141">
            <v>215850</v>
          </cell>
          <cell r="BJ141">
            <v>18.607758620689655</v>
          </cell>
          <cell r="BK141">
            <v>0</v>
          </cell>
          <cell r="BL141">
            <v>0</v>
          </cell>
          <cell r="BM141">
            <v>965920</v>
          </cell>
          <cell r="BN141">
            <v>83.268965517241384</v>
          </cell>
          <cell r="BO141">
            <v>0</v>
          </cell>
          <cell r="BP141">
            <v>0</v>
          </cell>
          <cell r="BY141">
            <v>1930</v>
          </cell>
          <cell r="CF141">
            <v>1902.7424436923795</v>
          </cell>
          <cell r="CG141">
            <v>2142.25</v>
          </cell>
          <cell r="CJ141">
            <v>0</v>
          </cell>
          <cell r="CK141">
            <v>0</v>
          </cell>
          <cell r="CL141">
            <v>0</v>
          </cell>
          <cell r="CM141">
            <v>0</v>
          </cell>
          <cell r="CN141">
            <v>0</v>
          </cell>
          <cell r="CO141">
            <v>0</v>
          </cell>
          <cell r="CX141">
            <v>0</v>
          </cell>
          <cell r="CY141">
            <v>0</v>
          </cell>
          <cell r="DB141">
            <v>0</v>
          </cell>
          <cell r="DC141">
            <v>0</v>
          </cell>
          <cell r="DJ141" t="str">
            <v>НКРКП</v>
          </cell>
          <cell r="DL141">
            <v>40816</v>
          </cell>
          <cell r="DM141">
            <v>74</v>
          </cell>
          <cell r="DT141">
            <v>794.68</v>
          </cell>
        </row>
        <row r="142">
          <cell r="W142">
            <v>530.65</v>
          </cell>
          <cell r="AF142">
            <v>39867</v>
          </cell>
          <cell r="AG142">
            <v>86</v>
          </cell>
          <cell r="AH142">
            <v>466.54444444444442</v>
          </cell>
          <cell r="AM142">
            <v>900</v>
          </cell>
          <cell r="AO142">
            <v>477585</v>
          </cell>
          <cell r="AQ142">
            <v>419890</v>
          </cell>
          <cell r="AU142">
            <v>0</v>
          </cell>
          <cell r="AW142">
            <v>0</v>
          </cell>
          <cell r="AY142">
            <v>316250</v>
          </cell>
          <cell r="AZ142">
            <v>351.38888888888891</v>
          </cell>
          <cell r="BA142">
            <v>0</v>
          </cell>
          <cell r="BB142">
            <v>0</v>
          </cell>
          <cell r="BC142">
            <v>0</v>
          </cell>
          <cell r="BD142">
            <v>0</v>
          </cell>
          <cell r="BG142">
            <v>0</v>
          </cell>
          <cell r="BH142">
            <v>0</v>
          </cell>
          <cell r="BI142">
            <v>16750</v>
          </cell>
          <cell r="BJ142">
            <v>18.611111111111111</v>
          </cell>
          <cell r="BK142">
            <v>0</v>
          </cell>
          <cell r="BL142">
            <v>0</v>
          </cell>
          <cell r="BM142">
            <v>74920</v>
          </cell>
          <cell r="BN142">
            <v>83.24444444444444</v>
          </cell>
          <cell r="BO142">
            <v>0</v>
          </cell>
          <cell r="BP142">
            <v>0</v>
          </cell>
          <cell r="BY142">
            <v>1930</v>
          </cell>
          <cell r="CF142">
            <v>147.62516046213094</v>
          </cell>
          <cell r="CG142">
            <v>2142.25</v>
          </cell>
          <cell r="CJ142">
            <v>0</v>
          </cell>
          <cell r="CK142">
            <v>0</v>
          </cell>
          <cell r="CL142">
            <v>0</v>
          </cell>
          <cell r="CM142">
            <v>0</v>
          </cell>
          <cell r="CN142">
            <v>0</v>
          </cell>
          <cell r="CO142">
            <v>0</v>
          </cell>
          <cell r="CX142">
            <v>0</v>
          </cell>
          <cell r="CY142">
            <v>0</v>
          </cell>
          <cell r="DB142">
            <v>0</v>
          </cell>
          <cell r="DC142">
            <v>0</v>
          </cell>
          <cell r="DJ142" t="str">
            <v>НКРКП</v>
          </cell>
          <cell r="DL142">
            <v>40816</v>
          </cell>
          <cell r="DM142">
            <v>74</v>
          </cell>
          <cell r="DT142">
            <v>794.68</v>
          </cell>
        </row>
        <row r="143">
          <cell r="W143">
            <v>231.14</v>
          </cell>
          <cell r="AF143">
            <v>39851</v>
          </cell>
          <cell r="AG143">
            <v>37</v>
          </cell>
          <cell r="AH143">
            <v>220.13023255813954</v>
          </cell>
          <cell r="AM143">
            <v>21500</v>
          </cell>
          <cell r="AO143">
            <v>4969510</v>
          </cell>
          <cell r="AQ143">
            <v>4732800</v>
          </cell>
          <cell r="AU143">
            <v>0</v>
          </cell>
          <cell r="AW143">
            <v>0</v>
          </cell>
          <cell r="AY143">
            <v>2545613.0000000005</v>
          </cell>
          <cell r="AZ143">
            <v>118.40060465116281</v>
          </cell>
          <cell r="BA143">
            <v>0</v>
          </cell>
          <cell r="BB143">
            <v>0</v>
          </cell>
          <cell r="BC143">
            <v>0</v>
          </cell>
          <cell r="BD143">
            <v>0</v>
          </cell>
          <cell r="BG143">
            <v>0</v>
          </cell>
          <cell r="BH143">
            <v>0</v>
          </cell>
          <cell r="BI143">
            <v>394769</v>
          </cell>
          <cell r="BJ143">
            <v>18.361348837209302</v>
          </cell>
          <cell r="BK143">
            <v>0</v>
          </cell>
          <cell r="BL143">
            <v>0</v>
          </cell>
          <cell r="BM143">
            <v>1533458</v>
          </cell>
          <cell r="BN143">
            <v>71.323627906976739</v>
          </cell>
          <cell r="BO143">
            <v>0</v>
          </cell>
          <cell r="BP143">
            <v>0</v>
          </cell>
          <cell r="BY143">
            <v>2215</v>
          </cell>
          <cell r="CF143">
            <v>3499.9903756255844</v>
          </cell>
          <cell r="CG143">
            <v>727.32</v>
          </cell>
          <cell r="CJ143">
            <v>0</v>
          </cell>
          <cell r="CK143">
            <v>0</v>
          </cell>
          <cell r="CL143">
            <v>0</v>
          </cell>
          <cell r="CM143">
            <v>0</v>
          </cell>
          <cell r="CN143">
            <v>0</v>
          </cell>
          <cell r="CO143">
            <v>0</v>
          </cell>
          <cell r="CX143">
            <v>0</v>
          </cell>
          <cell r="CY143">
            <v>0</v>
          </cell>
          <cell r="DB143">
            <v>0</v>
          </cell>
          <cell r="DC143">
            <v>0</v>
          </cell>
          <cell r="DJ143" t="str">
            <v>НКРЕ</v>
          </cell>
          <cell r="DL143">
            <v>40526</v>
          </cell>
          <cell r="DM143">
            <v>1705</v>
          </cell>
          <cell r="DO143" t="str">
            <v>тариф на теплову енергію для населення</v>
          </cell>
          <cell r="DT143">
            <v>254.25</v>
          </cell>
        </row>
        <row r="144">
          <cell r="W144">
            <v>525.29</v>
          </cell>
          <cell r="AF144">
            <v>39851</v>
          </cell>
          <cell r="AG144">
            <v>38</v>
          </cell>
          <cell r="AH144">
            <v>448.97346153846155</v>
          </cell>
          <cell r="AM144">
            <v>10400</v>
          </cell>
          <cell r="AO144">
            <v>5463016</v>
          </cell>
          <cell r="AQ144">
            <v>4669324</v>
          </cell>
          <cell r="AU144">
            <v>0</v>
          </cell>
          <cell r="AW144">
            <v>0</v>
          </cell>
          <cell r="AY144">
            <v>3611383.6274999999</v>
          </cell>
          <cell r="AZ144">
            <v>347.24842572115386</v>
          </cell>
          <cell r="BA144">
            <v>0</v>
          </cell>
          <cell r="BB144">
            <v>0</v>
          </cell>
          <cell r="BC144">
            <v>0</v>
          </cell>
          <cell r="BD144">
            <v>0</v>
          </cell>
          <cell r="BG144">
            <v>0</v>
          </cell>
          <cell r="BH144">
            <v>0</v>
          </cell>
          <cell r="BI144">
            <v>190941</v>
          </cell>
          <cell r="BJ144">
            <v>18.359711538461539</v>
          </cell>
          <cell r="BK144">
            <v>0</v>
          </cell>
          <cell r="BL144">
            <v>0</v>
          </cell>
          <cell r="BM144">
            <v>741761</v>
          </cell>
          <cell r="BN144">
            <v>71.323173076923084</v>
          </cell>
          <cell r="BO144">
            <v>0</v>
          </cell>
          <cell r="BP144">
            <v>0</v>
          </cell>
          <cell r="BY144">
            <v>2215</v>
          </cell>
          <cell r="CF144">
            <v>1685.79</v>
          </cell>
          <cell r="CG144">
            <v>2142.25</v>
          </cell>
          <cell r="CJ144">
            <v>0</v>
          </cell>
          <cell r="CK144">
            <v>0</v>
          </cell>
          <cell r="CL144">
            <v>0</v>
          </cell>
          <cell r="CM144">
            <v>0</v>
          </cell>
          <cell r="CN144">
            <v>0</v>
          </cell>
          <cell r="CO144">
            <v>0</v>
          </cell>
          <cell r="CX144">
            <v>0</v>
          </cell>
          <cell r="CY144">
            <v>0</v>
          </cell>
          <cell r="DB144">
            <v>0</v>
          </cell>
          <cell r="DC144">
            <v>0</v>
          </cell>
          <cell r="DJ144" t="str">
            <v>НКРКП</v>
          </cell>
          <cell r="DL144">
            <v>40942</v>
          </cell>
          <cell r="DM144">
            <v>47</v>
          </cell>
          <cell r="DT144">
            <v>786.21</v>
          </cell>
        </row>
        <row r="145">
          <cell r="W145">
            <v>561.21</v>
          </cell>
          <cell r="AF145">
            <v>39851</v>
          </cell>
          <cell r="AG145">
            <v>38</v>
          </cell>
          <cell r="AH145">
            <v>448.97333333333336</v>
          </cell>
          <cell r="AM145">
            <v>900</v>
          </cell>
          <cell r="AO145">
            <v>505089.00000000006</v>
          </cell>
          <cell r="AQ145">
            <v>404076</v>
          </cell>
          <cell r="AU145">
            <v>0</v>
          </cell>
          <cell r="AW145">
            <v>0</v>
          </cell>
          <cell r="AY145">
            <v>312522</v>
          </cell>
          <cell r="AZ145">
            <v>347.24666666666667</v>
          </cell>
          <cell r="BA145">
            <v>0</v>
          </cell>
          <cell r="BB145">
            <v>0</v>
          </cell>
          <cell r="BC145">
            <v>0</v>
          </cell>
          <cell r="BD145">
            <v>0</v>
          </cell>
          <cell r="BG145">
            <v>0</v>
          </cell>
          <cell r="BH145">
            <v>0</v>
          </cell>
          <cell r="BI145">
            <v>16523</v>
          </cell>
          <cell r="BJ145">
            <v>18.358888888888888</v>
          </cell>
          <cell r="BK145">
            <v>0</v>
          </cell>
          <cell r="BL145">
            <v>0</v>
          </cell>
          <cell r="BM145">
            <v>64191</v>
          </cell>
          <cell r="BN145">
            <v>71.323333333333338</v>
          </cell>
          <cell r="BO145">
            <v>0</v>
          </cell>
          <cell r="BP145">
            <v>0</v>
          </cell>
          <cell r="BY145">
            <v>2215</v>
          </cell>
          <cell r="CF145">
            <v>145.88493406465165</v>
          </cell>
          <cell r="CG145">
            <v>2142.25</v>
          </cell>
          <cell r="CJ145">
            <v>0</v>
          </cell>
          <cell r="CK145">
            <v>0</v>
          </cell>
          <cell r="CL145">
            <v>0</v>
          </cell>
          <cell r="CM145">
            <v>0</v>
          </cell>
          <cell r="CN145">
            <v>0</v>
          </cell>
          <cell r="CO145">
            <v>0</v>
          </cell>
          <cell r="CX145">
            <v>0</v>
          </cell>
          <cell r="CY145">
            <v>0</v>
          </cell>
          <cell r="DB145">
            <v>0</v>
          </cell>
          <cell r="DC145">
            <v>0</v>
          </cell>
          <cell r="DJ145" t="str">
            <v>НКРКП</v>
          </cell>
          <cell r="DL145">
            <v>40942</v>
          </cell>
          <cell r="DM145">
            <v>47</v>
          </cell>
          <cell r="DT145">
            <v>822.2</v>
          </cell>
        </row>
        <row r="146">
          <cell r="W146">
            <v>490.54</v>
          </cell>
          <cell r="AF146">
            <v>39841</v>
          </cell>
          <cell r="AG146">
            <v>13</v>
          </cell>
          <cell r="AH146">
            <v>467.17666666666668</v>
          </cell>
          <cell r="AM146">
            <v>300</v>
          </cell>
          <cell r="AO146">
            <v>147162</v>
          </cell>
          <cell r="AQ146">
            <v>140153</v>
          </cell>
          <cell r="AU146">
            <v>0</v>
          </cell>
          <cell r="AW146">
            <v>0</v>
          </cell>
          <cell r="AY146">
            <v>0</v>
          </cell>
          <cell r="AZ146">
            <v>0</v>
          </cell>
          <cell r="BA146">
            <v>65096</v>
          </cell>
          <cell r="BB146">
            <v>216.98666666666668</v>
          </cell>
          <cell r="BC146">
            <v>0</v>
          </cell>
          <cell r="BD146">
            <v>0</v>
          </cell>
          <cell r="BG146">
            <v>0</v>
          </cell>
          <cell r="BH146">
            <v>0</v>
          </cell>
          <cell r="BI146">
            <v>7964</v>
          </cell>
          <cell r="BJ146">
            <v>26.546666666666667</v>
          </cell>
          <cell r="BK146">
            <v>0</v>
          </cell>
          <cell r="BL146">
            <v>0</v>
          </cell>
          <cell r="BM146">
            <v>57682</v>
          </cell>
          <cell r="BN146">
            <v>192.27333333333334</v>
          </cell>
          <cell r="BO146">
            <v>0</v>
          </cell>
          <cell r="BP146">
            <v>0</v>
          </cell>
          <cell r="BY146">
            <v>1959.43</v>
          </cell>
          <cell r="CF146">
            <v>0</v>
          </cell>
          <cell r="CG146">
            <v>0</v>
          </cell>
          <cell r="CJ146">
            <v>0</v>
          </cell>
          <cell r="CK146">
            <v>0</v>
          </cell>
          <cell r="CL146">
            <v>0</v>
          </cell>
          <cell r="CM146">
            <v>0</v>
          </cell>
          <cell r="CN146">
            <v>0</v>
          </cell>
          <cell r="CO146">
            <v>0</v>
          </cell>
          <cell r="CX146">
            <v>0</v>
          </cell>
          <cell r="CY146">
            <v>0</v>
          </cell>
          <cell r="DB146">
            <v>0</v>
          </cell>
          <cell r="DC146">
            <v>0</v>
          </cell>
          <cell r="DJ146" t="str">
            <v>НКРЕ</v>
          </cell>
          <cell r="DL146">
            <v>40526</v>
          </cell>
          <cell r="DM146">
            <v>1705</v>
          </cell>
          <cell r="DO146" t="str">
            <v>тариф на теплову енергію</v>
          </cell>
          <cell r="DT146">
            <v>254.25</v>
          </cell>
        </row>
        <row r="147">
          <cell r="W147">
            <v>537.25</v>
          </cell>
          <cell r="AF147">
            <v>39841</v>
          </cell>
          <cell r="AG147">
            <v>13</v>
          </cell>
          <cell r="AH147">
            <v>467.17750000000001</v>
          </cell>
          <cell r="AM147">
            <v>800</v>
          </cell>
          <cell r="AO147">
            <v>429800</v>
          </cell>
          <cell r="AQ147">
            <v>373742</v>
          </cell>
          <cell r="AU147">
            <v>0</v>
          </cell>
          <cell r="AW147">
            <v>0</v>
          </cell>
          <cell r="AY147">
            <v>0</v>
          </cell>
          <cell r="AZ147">
            <v>0</v>
          </cell>
          <cell r="BA147">
            <v>173589</v>
          </cell>
          <cell r="BB147">
            <v>216.98625000000001</v>
          </cell>
          <cell r="BC147">
            <v>0</v>
          </cell>
          <cell r="BD147">
            <v>0</v>
          </cell>
          <cell r="BG147">
            <v>0</v>
          </cell>
          <cell r="BH147">
            <v>0</v>
          </cell>
          <cell r="BI147">
            <v>21236</v>
          </cell>
          <cell r="BJ147">
            <v>26.545000000000002</v>
          </cell>
          <cell r="BK147">
            <v>0</v>
          </cell>
          <cell r="BL147">
            <v>0</v>
          </cell>
          <cell r="BM147">
            <v>153816</v>
          </cell>
          <cell r="BN147">
            <v>192.27</v>
          </cell>
          <cell r="BO147">
            <v>0</v>
          </cell>
          <cell r="BP147">
            <v>0</v>
          </cell>
          <cell r="BY147">
            <v>1959.43</v>
          </cell>
          <cell r="CF147">
            <v>0</v>
          </cell>
          <cell r="CG147">
            <v>0</v>
          </cell>
          <cell r="CJ147">
            <v>0</v>
          </cell>
          <cell r="CK147">
            <v>0</v>
          </cell>
          <cell r="CL147">
            <v>0</v>
          </cell>
          <cell r="CM147">
            <v>0</v>
          </cell>
          <cell r="CN147">
            <v>0</v>
          </cell>
          <cell r="CO147">
            <v>0</v>
          </cell>
          <cell r="CX147">
            <v>0</v>
          </cell>
          <cell r="CY147">
            <v>0</v>
          </cell>
          <cell r="DB147">
            <v>0</v>
          </cell>
          <cell r="DC147">
            <v>0</v>
          </cell>
          <cell r="DJ147" t="str">
            <v>НКРКП</v>
          </cell>
          <cell r="DL147">
            <v>40942</v>
          </cell>
          <cell r="DM147">
            <v>47</v>
          </cell>
          <cell r="DT147">
            <v>614.66999999999996</v>
          </cell>
        </row>
        <row r="148">
          <cell r="W148">
            <v>227.66</v>
          </cell>
          <cell r="AF148">
            <v>39766</v>
          </cell>
          <cell r="AG148">
            <v>546</v>
          </cell>
          <cell r="AH148">
            <v>217.07932515337424</v>
          </cell>
          <cell r="AM148">
            <v>32600</v>
          </cell>
          <cell r="AO148">
            <v>7421716</v>
          </cell>
          <cell r="AQ148">
            <v>7076786</v>
          </cell>
          <cell r="AU148">
            <v>0</v>
          </cell>
          <cell r="AW148">
            <v>0</v>
          </cell>
          <cell r="AY148">
            <v>3813600.0000000005</v>
          </cell>
          <cell r="AZ148">
            <v>116.98159509202455</v>
          </cell>
          <cell r="BA148">
            <v>0</v>
          </cell>
          <cell r="BB148">
            <v>0</v>
          </cell>
          <cell r="BC148">
            <v>0</v>
          </cell>
          <cell r="BD148">
            <v>0</v>
          </cell>
          <cell r="BG148">
            <v>0</v>
          </cell>
          <cell r="BH148">
            <v>0</v>
          </cell>
          <cell r="BI148">
            <v>424930</v>
          </cell>
          <cell r="BJ148">
            <v>13.034662576687117</v>
          </cell>
          <cell r="BK148">
            <v>0</v>
          </cell>
          <cell r="BL148">
            <v>0</v>
          </cell>
          <cell r="BM148">
            <v>2403056</v>
          </cell>
          <cell r="BN148">
            <v>73.713374233128832</v>
          </cell>
          <cell r="BO148">
            <v>0</v>
          </cell>
          <cell r="BP148">
            <v>0</v>
          </cell>
          <cell r="BY148">
            <v>1972</v>
          </cell>
          <cell r="CF148">
            <v>5243.3591816531925</v>
          </cell>
          <cell r="CG148">
            <v>727.32</v>
          </cell>
          <cell r="CJ148">
            <v>0</v>
          </cell>
          <cell r="CK148">
            <v>0</v>
          </cell>
          <cell r="CL148">
            <v>0</v>
          </cell>
          <cell r="CM148">
            <v>0</v>
          </cell>
          <cell r="CN148">
            <v>0</v>
          </cell>
          <cell r="CO148">
            <v>0</v>
          </cell>
          <cell r="CX148">
            <v>0</v>
          </cell>
          <cell r="CY148">
            <v>0</v>
          </cell>
          <cell r="DB148">
            <v>0</v>
          </cell>
          <cell r="DC148">
            <v>0</v>
          </cell>
          <cell r="DJ148" t="str">
            <v>НКРЕ</v>
          </cell>
          <cell r="DL148">
            <v>40526</v>
          </cell>
          <cell r="DM148">
            <v>1710</v>
          </cell>
          <cell r="DO148" t="str">
            <v>тариф на теплову енергію для населення</v>
          </cell>
          <cell r="DT148">
            <v>250.42</v>
          </cell>
        </row>
        <row r="149">
          <cell r="W149">
            <v>505.44</v>
          </cell>
          <cell r="AF149">
            <v>39860</v>
          </cell>
          <cell r="AG149">
            <v>74</v>
          </cell>
          <cell r="AH149">
            <v>445.95150943396226</v>
          </cell>
          <cell r="AM149">
            <v>10600</v>
          </cell>
          <cell r="AO149">
            <v>5357664</v>
          </cell>
          <cell r="AQ149">
            <v>4727086</v>
          </cell>
          <cell r="AU149">
            <v>0</v>
          </cell>
          <cell r="AW149">
            <v>0</v>
          </cell>
          <cell r="AY149">
            <v>3647600</v>
          </cell>
          <cell r="AZ149">
            <v>344.11320754716979</v>
          </cell>
          <cell r="BA149">
            <v>0</v>
          </cell>
          <cell r="BB149">
            <v>0</v>
          </cell>
          <cell r="BC149">
            <v>0</v>
          </cell>
          <cell r="BD149">
            <v>0</v>
          </cell>
          <cell r="BG149">
            <v>0</v>
          </cell>
          <cell r="BH149">
            <v>0</v>
          </cell>
          <cell r="BI149">
            <v>144337</v>
          </cell>
          <cell r="BJ149">
            <v>13.616698113207548</v>
          </cell>
          <cell r="BK149">
            <v>0</v>
          </cell>
          <cell r="BL149">
            <v>0</v>
          </cell>
          <cell r="BM149">
            <v>801059</v>
          </cell>
          <cell r="BN149">
            <v>75.571603773584911</v>
          </cell>
          <cell r="BO149">
            <v>0</v>
          </cell>
          <cell r="BP149">
            <v>0</v>
          </cell>
          <cell r="BY149">
            <v>1972</v>
          </cell>
          <cell r="CF149">
            <v>1702.6957637997432</v>
          </cell>
          <cell r="CG149">
            <v>2142.25</v>
          </cell>
          <cell r="CJ149">
            <v>0</v>
          </cell>
          <cell r="CK149">
            <v>0</v>
          </cell>
          <cell r="CL149">
            <v>0</v>
          </cell>
          <cell r="CM149">
            <v>0</v>
          </cell>
          <cell r="CN149">
            <v>0</v>
          </cell>
          <cell r="CO149">
            <v>0</v>
          </cell>
          <cell r="CX149">
            <v>0</v>
          </cell>
          <cell r="CY149">
            <v>0</v>
          </cell>
          <cell r="DB149">
            <v>0</v>
          </cell>
          <cell r="DC149">
            <v>0</v>
          </cell>
          <cell r="DJ149" t="str">
            <v>НКРКП</v>
          </cell>
          <cell r="DL149">
            <v>40816</v>
          </cell>
          <cell r="DM149">
            <v>71</v>
          </cell>
          <cell r="DT149">
            <v>765.72</v>
          </cell>
        </row>
        <row r="150">
          <cell r="W150">
            <v>546.11</v>
          </cell>
          <cell r="AF150">
            <v>39860</v>
          </cell>
          <cell r="AG150">
            <v>75</v>
          </cell>
          <cell r="AH150">
            <v>466.33</v>
          </cell>
          <cell r="AM150">
            <v>900</v>
          </cell>
          <cell r="AO150">
            <v>491499</v>
          </cell>
          <cell r="AQ150">
            <v>419697</v>
          </cell>
          <cell r="AU150">
            <v>0</v>
          </cell>
          <cell r="AW150">
            <v>0</v>
          </cell>
          <cell r="AY150">
            <v>319200</v>
          </cell>
          <cell r="AZ150">
            <v>354.66666666666669</v>
          </cell>
          <cell r="BA150">
            <v>0</v>
          </cell>
          <cell r="BB150">
            <v>0</v>
          </cell>
          <cell r="BC150">
            <v>0</v>
          </cell>
          <cell r="BD150">
            <v>0</v>
          </cell>
          <cell r="BG150">
            <v>0</v>
          </cell>
          <cell r="BH150">
            <v>0</v>
          </cell>
          <cell r="BI150">
            <v>12668</v>
          </cell>
          <cell r="BJ150">
            <v>14.075555555555555</v>
          </cell>
          <cell r="BK150">
            <v>0</v>
          </cell>
          <cell r="BL150">
            <v>0</v>
          </cell>
          <cell r="BM150">
            <v>69318</v>
          </cell>
          <cell r="BN150">
            <v>77.02</v>
          </cell>
          <cell r="BO150">
            <v>0</v>
          </cell>
          <cell r="BP150">
            <v>0</v>
          </cell>
          <cell r="BY150">
            <v>1972</v>
          </cell>
          <cell r="CF150">
            <v>149.00221729490022</v>
          </cell>
          <cell r="CG150">
            <v>2142.25</v>
          </cell>
          <cell r="CJ150">
            <v>0</v>
          </cell>
          <cell r="CK150">
            <v>0</v>
          </cell>
          <cell r="CL150">
            <v>0</v>
          </cell>
          <cell r="CM150">
            <v>0</v>
          </cell>
          <cell r="CN150">
            <v>0</v>
          </cell>
          <cell r="CO150">
            <v>0</v>
          </cell>
          <cell r="CX150">
            <v>0</v>
          </cell>
          <cell r="CY150">
            <v>0</v>
          </cell>
          <cell r="DB150">
            <v>0</v>
          </cell>
          <cell r="DC150">
            <v>0</v>
          </cell>
          <cell r="DJ150" t="str">
            <v>НКРКП</v>
          </cell>
          <cell r="DL150">
            <v>40816</v>
          </cell>
          <cell r="DM150">
            <v>71</v>
          </cell>
          <cell r="DT150">
            <v>799.38</v>
          </cell>
        </row>
        <row r="151">
          <cell r="W151">
            <v>214.22</v>
          </cell>
          <cell r="AF151">
            <v>39730</v>
          </cell>
          <cell r="AG151">
            <v>165</v>
          </cell>
          <cell r="AH151">
            <v>206.96725566536887</v>
          </cell>
          <cell r="AM151">
            <v>30051</v>
          </cell>
          <cell r="AO151">
            <v>6437525.2199999997</v>
          </cell>
          <cell r="AQ151">
            <v>6219573</v>
          </cell>
          <cell r="AU151">
            <v>0</v>
          </cell>
          <cell r="AW151">
            <v>0</v>
          </cell>
          <cell r="AY151">
            <v>3676842.6156000001</v>
          </cell>
          <cell r="AZ151">
            <v>122.35341970649895</v>
          </cell>
          <cell r="BA151">
            <v>0</v>
          </cell>
          <cell r="BB151">
            <v>0</v>
          </cell>
          <cell r="BC151">
            <v>0</v>
          </cell>
          <cell r="BD151">
            <v>0</v>
          </cell>
          <cell r="BG151">
            <v>0</v>
          </cell>
          <cell r="BH151">
            <v>0</v>
          </cell>
          <cell r="BI151">
            <v>510721</v>
          </cell>
          <cell r="BJ151">
            <v>16.99514159262587</v>
          </cell>
          <cell r="BK151">
            <v>0</v>
          </cell>
          <cell r="BL151">
            <v>0</v>
          </cell>
          <cell r="BM151">
            <v>1416289</v>
          </cell>
          <cell r="BN151">
            <v>47.129513160959704</v>
          </cell>
          <cell r="BO151">
            <v>0</v>
          </cell>
          <cell r="BP151">
            <v>0</v>
          </cell>
          <cell r="BY151">
            <v>1626.4</v>
          </cell>
          <cell r="CF151">
            <v>5055.33</v>
          </cell>
          <cell r="CG151">
            <v>727.32</v>
          </cell>
          <cell r="CJ151">
            <v>0</v>
          </cell>
          <cell r="CK151">
            <v>0</v>
          </cell>
          <cell r="CL151">
            <v>0</v>
          </cell>
          <cell r="CM151">
            <v>0</v>
          </cell>
          <cell r="CN151">
            <v>0</v>
          </cell>
          <cell r="CO151">
            <v>0</v>
          </cell>
          <cell r="CX151">
            <v>0</v>
          </cell>
          <cell r="CY151">
            <v>0</v>
          </cell>
          <cell r="DB151">
            <v>0</v>
          </cell>
          <cell r="DC151">
            <v>0</v>
          </cell>
          <cell r="DJ151" t="str">
            <v>НКРЕ</v>
          </cell>
          <cell r="DL151">
            <v>40526</v>
          </cell>
          <cell r="DM151">
            <v>1741</v>
          </cell>
          <cell r="DO151" t="str">
            <v>Тариф на теплову енергію</v>
          </cell>
          <cell r="DT151">
            <v>235.63</v>
          </cell>
        </row>
        <row r="152">
          <cell r="W152">
            <v>622.92999999999995</v>
          </cell>
          <cell r="AF152">
            <v>40423</v>
          </cell>
          <cell r="AG152">
            <v>28</v>
          </cell>
          <cell r="AH152">
            <v>541.6841161733048</v>
          </cell>
          <cell r="AM152">
            <v>6805.35</v>
          </cell>
          <cell r="AO152">
            <v>4239256.6754999999</v>
          </cell>
          <cell r="AQ152">
            <v>3686350</v>
          </cell>
          <cell r="AU152">
            <v>0</v>
          </cell>
          <cell r="AW152">
            <v>0</v>
          </cell>
          <cell r="AY152">
            <v>2821986.5589999999</v>
          </cell>
          <cell r="AZ152">
            <v>414.67177426583493</v>
          </cell>
          <cell r="BA152">
            <v>0</v>
          </cell>
          <cell r="BB152">
            <v>0</v>
          </cell>
          <cell r="BC152">
            <v>0</v>
          </cell>
          <cell r="BD152">
            <v>0</v>
          </cell>
          <cell r="BG152">
            <v>0</v>
          </cell>
          <cell r="BH152">
            <v>0</v>
          </cell>
          <cell r="BI152">
            <v>182234</v>
          </cell>
          <cell r="BJ152">
            <v>26.778049622723298</v>
          </cell>
          <cell r="BK152">
            <v>0</v>
          </cell>
          <cell r="BL152">
            <v>0</v>
          </cell>
          <cell r="BM152">
            <v>532808</v>
          </cell>
          <cell r="BN152">
            <v>78.292519855701755</v>
          </cell>
          <cell r="BO152">
            <v>0</v>
          </cell>
          <cell r="BP152">
            <v>0</v>
          </cell>
          <cell r="BY152">
            <v>2620.3000000000002</v>
          </cell>
          <cell r="CF152">
            <v>1144.8499999999999</v>
          </cell>
          <cell r="CG152">
            <v>2464.94</v>
          </cell>
          <cell r="CJ152">
            <v>0</v>
          </cell>
          <cell r="CK152">
            <v>0</v>
          </cell>
          <cell r="CL152">
            <v>0</v>
          </cell>
          <cell r="CM152">
            <v>0</v>
          </cell>
          <cell r="CN152">
            <v>0</v>
          </cell>
          <cell r="CO152">
            <v>0</v>
          </cell>
          <cell r="CX152">
            <v>0</v>
          </cell>
          <cell r="CY152">
            <v>0</v>
          </cell>
          <cell r="DB152">
            <v>0</v>
          </cell>
          <cell r="DC152">
            <v>0</v>
          </cell>
          <cell r="DJ152" t="str">
            <v>НКРКП</v>
          </cell>
          <cell r="DL152">
            <v>40984</v>
          </cell>
          <cell r="DM152">
            <v>133</v>
          </cell>
          <cell r="DT152">
            <v>868.35</v>
          </cell>
        </row>
        <row r="153">
          <cell r="W153">
            <v>622.92999999999995</v>
          </cell>
          <cell r="AF153">
            <v>40423</v>
          </cell>
          <cell r="AG153">
            <v>27</v>
          </cell>
          <cell r="AH153">
            <v>541.67987982975887</v>
          </cell>
          <cell r="AM153">
            <v>2396.6</v>
          </cell>
          <cell r="AO153">
            <v>1492914.0379999997</v>
          </cell>
          <cell r="AQ153">
            <v>1298190</v>
          </cell>
          <cell r="AU153">
            <v>0</v>
          </cell>
          <cell r="AW153">
            <v>0</v>
          </cell>
          <cell r="AY153">
            <v>993789.85980000009</v>
          </cell>
          <cell r="AZ153">
            <v>414.66655253275479</v>
          </cell>
          <cell r="BA153">
            <v>0</v>
          </cell>
          <cell r="BB153">
            <v>0</v>
          </cell>
          <cell r="BC153">
            <v>0</v>
          </cell>
          <cell r="BD153">
            <v>0</v>
          </cell>
          <cell r="BG153">
            <v>0</v>
          </cell>
          <cell r="BH153">
            <v>0</v>
          </cell>
          <cell r="BI153">
            <v>64176</v>
          </cell>
          <cell r="BJ153">
            <v>26.77793540849537</v>
          </cell>
          <cell r="BK153">
            <v>0</v>
          </cell>
          <cell r="BL153">
            <v>0</v>
          </cell>
          <cell r="BM153">
            <v>187634</v>
          </cell>
          <cell r="BN153">
            <v>78.291746641074866</v>
          </cell>
          <cell r="BO153">
            <v>0</v>
          </cell>
          <cell r="BP153">
            <v>0</v>
          </cell>
          <cell r="BY153">
            <v>2620.3000000000002</v>
          </cell>
          <cell r="CF153">
            <v>403.17</v>
          </cell>
          <cell r="CG153">
            <v>2464.94</v>
          </cell>
          <cell r="CJ153">
            <v>0</v>
          </cell>
          <cell r="CK153">
            <v>0</v>
          </cell>
          <cell r="CL153">
            <v>0</v>
          </cell>
          <cell r="CM153">
            <v>0</v>
          </cell>
          <cell r="CN153">
            <v>0</v>
          </cell>
          <cell r="CO153">
            <v>0</v>
          </cell>
          <cell r="CX153">
            <v>0</v>
          </cell>
          <cell r="CY153">
            <v>0</v>
          </cell>
          <cell r="DB153">
            <v>0</v>
          </cell>
          <cell r="DC153">
            <v>0</v>
          </cell>
          <cell r="DJ153" t="str">
            <v>НКРКП</v>
          </cell>
          <cell r="DL153">
            <v>40984</v>
          </cell>
          <cell r="DM153">
            <v>133</v>
          </cell>
          <cell r="DT153">
            <v>868.35</v>
          </cell>
        </row>
        <row r="154">
          <cell r="W154">
            <v>271.39999999999998</v>
          </cell>
          <cell r="AF154">
            <v>40429</v>
          </cell>
          <cell r="AG154">
            <v>120</v>
          </cell>
          <cell r="AH154">
            <v>260.08570619362877</v>
          </cell>
          <cell r="AM154">
            <v>19207.48</v>
          </cell>
          <cell r="AO154">
            <v>5212910.0719999997</v>
          </cell>
          <cell r="AQ154">
            <v>4995591</v>
          </cell>
          <cell r="AU154">
            <v>0</v>
          </cell>
          <cell r="AW154">
            <v>0</v>
          </cell>
          <cell r="AY154">
            <v>3576098.3470000001</v>
          </cell>
          <cell r="AZ154">
            <v>186.18258860610555</v>
          </cell>
          <cell r="BA154">
            <v>0</v>
          </cell>
          <cell r="BB154">
            <v>0</v>
          </cell>
          <cell r="BC154">
            <v>0</v>
          </cell>
          <cell r="BD154">
            <v>0</v>
          </cell>
          <cell r="BG154">
            <v>0</v>
          </cell>
          <cell r="BH154">
            <v>0</v>
          </cell>
          <cell r="BI154">
            <v>586297</v>
          </cell>
          <cell r="BJ154">
            <v>30.524410281827706</v>
          </cell>
          <cell r="BK154">
            <v>0</v>
          </cell>
          <cell r="BL154">
            <v>0</v>
          </cell>
          <cell r="BM154">
            <v>519040</v>
          </cell>
          <cell r="BN154">
            <v>27.022805698613251</v>
          </cell>
          <cell r="BO154">
            <v>0</v>
          </cell>
          <cell r="BP154">
            <v>0</v>
          </cell>
          <cell r="BY154">
            <v>1544.76</v>
          </cell>
          <cell r="CF154">
            <v>3277.817</v>
          </cell>
          <cell r="CG154">
            <v>1091</v>
          </cell>
          <cell r="CJ154">
            <v>0</v>
          </cell>
          <cell r="CK154">
            <v>0</v>
          </cell>
          <cell r="CL154">
            <v>0</v>
          </cell>
          <cell r="CM154">
            <v>0</v>
          </cell>
          <cell r="CN154">
            <v>0</v>
          </cell>
          <cell r="CO154">
            <v>0</v>
          </cell>
          <cell r="CX154">
            <v>0</v>
          </cell>
          <cell r="CY154">
            <v>0</v>
          </cell>
          <cell r="DB154">
            <v>0</v>
          </cell>
          <cell r="DC154">
            <v>0</v>
          </cell>
          <cell r="DJ154" t="str">
            <v>МОС</v>
          </cell>
          <cell r="DL154">
            <v>40448</v>
          </cell>
          <cell r="DM154">
            <v>298</v>
          </cell>
          <cell r="DO154" t="str">
            <v>тариф на послуги по опаленню</v>
          </cell>
          <cell r="DT154">
            <v>271.39999999999998</v>
          </cell>
        </row>
        <row r="155">
          <cell r="W155">
            <v>528.79200000000003</v>
          </cell>
          <cell r="AF155">
            <v>40429</v>
          </cell>
          <cell r="AG155">
            <v>121</v>
          </cell>
          <cell r="AH155">
            <v>480.723458972066</v>
          </cell>
          <cell r="AM155">
            <v>1889.81</v>
          </cell>
          <cell r="AO155">
            <v>999316.40951999999</v>
          </cell>
          <cell r="AQ155">
            <v>908476</v>
          </cell>
          <cell r="AU155">
            <v>0</v>
          </cell>
          <cell r="AW155">
            <v>0</v>
          </cell>
          <cell r="AY155">
            <v>773991.16</v>
          </cell>
          <cell r="AZ155">
            <v>409.56030500420678</v>
          </cell>
          <cell r="BA155">
            <v>0</v>
          </cell>
          <cell r="BB155">
            <v>0</v>
          </cell>
          <cell r="BC155">
            <v>0</v>
          </cell>
          <cell r="BD155">
            <v>0</v>
          </cell>
          <cell r="BG155">
            <v>0</v>
          </cell>
          <cell r="BH155">
            <v>0</v>
          </cell>
          <cell r="BI155">
            <v>57681</v>
          </cell>
          <cell r="BJ155">
            <v>30.522115979913327</v>
          </cell>
          <cell r="BK155">
            <v>0</v>
          </cell>
          <cell r="BL155">
            <v>0</v>
          </cell>
          <cell r="BM155">
            <v>51064</v>
          </cell>
          <cell r="BN155">
            <v>27.02070578523767</v>
          </cell>
          <cell r="BO155">
            <v>0</v>
          </cell>
          <cell r="BP155">
            <v>0</v>
          </cell>
          <cell r="BY155">
            <v>1544.76</v>
          </cell>
          <cell r="CF155">
            <v>314</v>
          </cell>
          <cell r="CG155">
            <v>2464.94</v>
          </cell>
          <cell r="CJ155">
            <v>0</v>
          </cell>
          <cell r="CK155">
            <v>0</v>
          </cell>
          <cell r="CL155">
            <v>0</v>
          </cell>
          <cell r="CM155">
            <v>0</v>
          </cell>
          <cell r="CN155">
            <v>0</v>
          </cell>
          <cell r="CO155">
            <v>0</v>
          </cell>
          <cell r="CX155">
            <v>0</v>
          </cell>
          <cell r="CY155">
            <v>0</v>
          </cell>
          <cell r="DB155">
            <v>0</v>
          </cell>
          <cell r="DC155">
            <v>0</v>
          </cell>
          <cell r="DJ155" t="str">
            <v>НКРКП</v>
          </cell>
          <cell r="DL155">
            <v>40942</v>
          </cell>
          <cell r="DM155">
            <v>49</v>
          </cell>
          <cell r="DT155">
            <v>772.88</v>
          </cell>
        </row>
        <row r="156">
          <cell r="W156">
            <v>537.81700000000001</v>
          </cell>
          <cell r="AF156">
            <v>40429</v>
          </cell>
          <cell r="AG156">
            <v>122</v>
          </cell>
          <cell r="AH156">
            <v>467.6734599330573</v>
          </cell>
          <cell r="AM156">
            <v>15455.01</v>
          </cell>
          <cell r="AO156">
            <v>8311967.1131699998</v>
          </cell>
          <cell r="AQ156">
            <v>7227898</v>
          </cell>
          <cell r="AU156">
            <v>0</v>
          </cell>
          <cell r="AW156">
            <v>0</v>
          </cell>
          <cell r="AY156">
            <v>6130305.7800000003</v>
          </cell>
          <cell r="AZ156">
            <v>396.65492160794463</v>
          </cell>
          <cell r="BA156">
            <v>0</v>
          </cell>
          <cell r="BB156">
            <v>0</v>
          </cell>
          <cell r="BC156">
            <v>0</v>
          </cell>
          <cell r="BD156">
            <v>0</v>
          </cell>
          <cell r="BG156">
            <v>0</v>
          </cell>
          <cell r="BH156">
            <v>0</v>
          </cell>
          <cell r="BI156">
            <v>471715</v>
          </cell>
          <cell r="BJ156">
            <v>30.521817844181271</v>
          </cell>
          <cell r="BK156">
            <v>0</v>
          </cell>
          <cell r="BL156">
            <v>0</v>
          </cell>
          <cell r="BM156">
            <v>425800</v>
          </cell>
          <cell r="BN156">
            <v>27.550936557142311</v>
          </cell>
          <cell r="BO156">
            <v>0</v>
          </cell>
          <cell r="BP156">
            <v>0</v>
          </cell>
          <cell r="BY156">
            <v>1544.76</v>
          </cell>
          <cell r="CF156">
            <v>2487</v>
          </cell>
          <cell r="CG156">
            <v>2464.94</v>
          </cell>
          <cell r="CJ156">
            <v>0</v>
          </cell>
          <cell r="CK156">
            <v>0</v>
          </cell>
          <cell r="CL156">
            <v>0</v>
          </cell>
          <cell r="CM156">
            <v>0</v>
          </cell>
          <cell r="CN156">
            <v>0</v>
          </cell>
          <cell r="CO156">
            <v>0</v>
          </cell>
          <cell r="CX156">
            <v>0</v>
          </cell>
          <cell r="CY156">
            <v>0</v>
          </cell>
          <cell r="DB156">
            <v>0</v>
          </cell>
          <cell r="DC156">
            <v>0</v>
          </cell>
          <cell r="DJ156" t="str">
            <v>НКРКП</v>
          </cell>
          <cell r="DL156">
            <v>40942</v>
          </cell>
          <cell r="DM156">
            <v>49</v>
          </cell>
          <cell r="DT156">
            <v>774.14</v>
          </cell>
        </row>
        <row r="157">
          <cell r="W157">
            <v>286.69</v>
          </cell>
          <cell r="AF157">
            <v>40448</v>
          </cell>
          <cell r="AG157">
            <v>151</v>
          </cell>
          <cell r="AH157">
            <v>270.46018140966964</v>
          </cell>
          <cell r="AM157">
            <v>24034</v>
          </cell>
          <cell r="AO157">
            <v>6890307.46</v>
          </cell>
          <cell r="AQ157">
            <v>6500240</v>
          </cell>
          <cell r="AU157">
            <v>0</v>
          </cell>
          <cell r="AW157">
            <v>0</v>
          </cell>
          <cell r="AY157">
            <v>4064122.9941500002</v>
          </cell>
          <cell r="AZ157">
            <v>169.09890131272365</v>
          </cell>
          <cell r="BA157">
            <v>0</v>
          </cell>
          <cell r="BB157">
            <v>0</v>
          </cell>
          <cell r="BC157">
            <v>0</v>
          </cell>
          <cell r="BD157">
            <v>0</v>
          </cell>
          <cell r="BG157">
            <v>0</v>
          </cell>
          <cell r="BH157">
            <v>0</v>
          </cell>
          <cell r="BI157">
            <v>439950</v>
          </cell>
          <cell r="BJ157">
            <v>18.30531746692186</v>
          </cell>
          <cell r="BK157">
            <v>0</v>
          </cell>
          <cell r="BL157">
            <v>0</v>
          </cell>
          <cell r="BM157">
            <v>1384640</v>
          </cell>
          <cell r="BN157">
            <v>57.611716734625944</v>
          </cell>
          <cell r="BO157">
            <v>0</v>
          </cell>
          <cell r="BP157">
            <v>0</v>
          </cell>
          <cell r="BY157">
            <v>3176.69</v>
          </cell>
          <cell r="CF157">
            <v>3725.1356500000002</v>
          </cell>
          <cell r="CG157">
            <v>1091</v>
          </cell>
          <cell r="CJ157">
            <v>0</v>
          </cell>
          <cell r="CK157">
            <v>0</v>
          </cell>
          <cell r="CL157">
            <v>0</v>
          </cell>
          <cell r="CM157">
            <v>0</v>
          </cell>
          <cell r="CN157">
            <v>0</v>
          </cell>
          <cell r="CO157">
            <v>0</v>
          </cell>
          <cell r="CX157">
            <v>0</v>
          </cell>
          <cell r="CY157">
            <v>0</v>
          </cell>
          <cell r="DB157">
            <v>0</v>
          </cell>
          <cell r="DC157">
            <v>0</v>
          </cell>
          <cell r="DJ157" t="str">
            <v>МОС</v>
          </cell>
          <cell r="DL157">
            <v>40792</v>
          </cell>
          <cell r="DM157">
            <v>295</v>
          </cell>
          <cell r="DO157" t="str">
            <v>тариф за теплову енергію</v>
          </cell>
          <cell r="DT157">
            <v>289.95999999999998</v>
          </cell>
        </row>
        <row r="158">
          <cell r="W158">
            <v>534.21</v>
          </cell>
          <cell r="AF158">
            <v>40448</v>
          </cell>
          <cell r="AG158">
            <v>152</v>
          </cell>
          <cell r="AH158">
            <v>483.38678195516155</v>
          </cell>
          <cell r="AM158">
            <v>27409.5</v>
          </cell>
          <cell r="AO158">
            <v>14642428.995000001</v>
          </cell>
          <cell r="AQ158">
            <v>13249390</v>
          </cell>
          <cell r="AU158">
            <v>0</v>
          </cell>
          <cell r="AW158">
            <v>0</v>
          </cell>
          <cell r="AY158">
            <v>10471476.764980001</v>
          </cell>
          <cell r="AZ158">
            <v>382.03822634415081</v>
          </cell>
          <cell r="BA158">
            <v>0</v>
          </cell>
          <cell r="BB158">
            <v>0</v>
          </cell>
          <cell r="BC158">
            <v>0</v>
          </cell>
          <cell r="BD158">
            <v>0</v>
          </cell>
          <cell r="BG158">
            <v>0</v>
          </cell>
          <cell r="BH158">
            <v>0</v>
          </cell>
          <cell r="BI158">
            <v>501670</v>
          </cell>
          <cell r="BJ158">
            <v>18.302778233824039</v>
          </cell>
          <cell r="BK158">
            <v>0</v>
          </cell>
          <cell r="BL158">
            <v>0</v>
          </cell>
          <cell r="BM158">
            <v>1578970</v>
          </cell>
          <cell r="BN158">
            <v>57.606669220525731</v>
          </cell>
          <cell r="BO158">
            <v>0</v>
          </cell>
          <cell r="BP158">
            <v>0</v>
          </cell>
          <cell r="BY158">
            <v>3176.35</v>
          </cell>
          <cell r="CF158">
            <v>4248.1670000000004</v>
          </cell>
          <cell r="CG158">
            <v>2464.94</v>
          </cell>
          <cell r="CJ158">
            <v>0</v>
          </cell>
          <cell r="CK158">
            <v>0</v>
          </cell>
          <cell r="CL158">
            <v>0</v>
          </cell>
          <cell r="CM158">
            <v>0</v>
          </cell>
          <cell r="CN158">
            <v>0</v>
          </cell>
          <cell r="CO158">
            <v>0</v>
          </cell>
          <cell r="CX158">
            <v>0</v>
          </cell>
          <cell r="CY158">
            <v>0</v>
          </cell>
          <cell r="DB158">
            <v>0</v>
          </cell>
          <cell r="DC158">
            <v>0</v>
          </cell>
          <cell r="DJ158" t="str">
            <v>НКРКП</v>
          </cell>
          <cell r="DL158">
            <v>40836</v>
          </cell>
          <cell r="DM158">
            <v>211</v>
          </cell>
          <cell r="DT158">
            <v>733.68</v>
          </cell>
        </row>
        <row r="159">
          <cell r="W159">
            <v>725.08</v>
          </cell>
          <cell r="AF159">
            <v>40448</v>
          </cell>
          <cell r="AG159">
            <v>150</v>
          </cell>
          <cell r="AH159">
            <v>483.38531513970111</v>
          </cell>
          <cell r="AM159">
            <v>3078</v>
          </cell>
          <cell r="AO159">
            <v>2231796.2400000002</v>
          </cell>
          <cell r="AQ159">
            <v>1487860</v>
          </cell>
          <cell r="AU159">
            <v>0</v>
          </cell>
          <cell r="AW159">
            <v>0</v>
          </cell>
          <cell r="AY159">
            <v>1175874.9776000001</v>
          </cell>
          <cell r="AZ159">
            <v>382.02565873944121</v>
          </cell>
          <cell r="BA159">
            <v>0</v>
          </cell>
          <cell r="BB159">
            <v>0</v>
          </cell>
          <cell r="BC159">
            <v>0</v>
          </cell>
          <cell r="BD159">
            <v>0</v>
          </cell>
          <cell r="BG159">
            <v>0</v>
          </cell>
          <cell r="BH159">
            <v>0</v>
          </cell>
          <cell r="BI159">
            <v>56340</v>
          </cell>
          <cell r="BJ159">
            <v>18.304093567251464</v>
          </cell>
          <cell r="BK159">
            <v>0</v>
          </cell>
          <cell r="BL159">
            <v>0</v>
          </cell>
          <cell r="BM159">
            <v>177370</v>
          </cell>
          <cell r="BN159">
            <v>57.625081221572451</v>
          </cell>
          <cell r="BO159">
            <v>0</v>
          </cell>
          <cell r="BP159">
            <v>0</v>
          </cell>
          <cell r="BY159">
            <v>3177.42</v>
          </cell>
          <cell r="CF159">
            <v>477.04</v>
          </cell>
          <cell r="CG159">
            <v>2464.94</v>
          </cell>
          <cell r="CJ159">
            <v>0</v>
          </cell>
          <cell r="CK159">
            <v>0</v>
          </cell>
          <cell r="CL159">
            <v>0</v>
          </cell>
          <cell r="CM159">
            <v>0</v>
          </cell>
          <cell r="CN159">
            <v>0</v>
          </cell>
          <cell r="CO159">
            <v>0</v>
          </cell>
          <cell r="CX159">
            <v>0</v>
          </cell>
          <cell r="CY159">
            <v>0</v>
          </cell>
          <cell r="DB159">
            <v>0</v>
          </cell>
          <cell r="DC159">
            <v>0</v>
          </cell>
          <cell r="DJ159" t="str">
            <v>МОС</v>
          </cell>
          <cell r="DL159">
            <v>40792</v>
          </cell>
          <cell r="DM159">
            <v>295</v>
          </cell>
          <cell r="DT159">
            <v>947.14</v>
          </cell>
        </row>
        <row r="160">
          <cell r="W160">
            <v>249.52</v>
          </cell>
          <cell r="AF160">
            <v>40099</v>
          </cell>
          <cell r="AG160" t="str">
            <v>№ 66</v>
          </cell>
          <cell r="AH160">
            <v>234.68083283852317</v>
          </cell>
          <cell r="AM160">
            <v>102733</v>
          </cell>
          <cell r="AO160">
            <v>25633938.16</v>
          </cell>
          <cell r="AQ160">
            <v>24109466</v>
          </cell>
          <cell r="AU160">
            <v>0</v>
          </cell>
          <cell r="AW160">
            <v>0</v>
          </cell>
          <cell r="AY160">
            <v>11377274.020200001</v>
          </cell>
          <cell r="AZ160">
            <v>110.74605063806179</v>
          </cell>
          <cell r="BA160">
            <v>176997</v>
          </cell>
          <cell r="BB160">
            <v>1.7228835914457867</v>
          </cell>
          <cell r="BC160">
            <v>0</v>
          </cell>
          <cell r="BD160">
            <v>0</v>
          </cell>
          <cell r="BG160">
            <v>835332.59</v>
          </cell>
          <cell r="BH160">
            <v>8.1311028588671608</v>
          </cell>
          <cell r="BI160">
            <v>1351186.82</v>
          </cell>
          <cell r="BJ160">
            <v>13.152412759288643</v>
          </cell>
          <cell r="BK160">
            <v>0</v>
          </cell>
          <cell r="BL160">
            <v>0</v>
          </cell>
          <cell r="BM160">
            <v>7739241.0300000003</v>
          </cell>
          <cell r="BN160">
            <v>75.333544528048435</v>
          </cell>
          <cell r="BO160">
            <v>0</v>
          </cell>
          <cell r="BP160">
            <v>0</v>
          </cell>
          <cell r="BY160">
            <v>1728</v>
          </cell>
          <cell r="CF160">
            <v>15642.735000000001</v>
          </cell>
          <cell r="CG160">
            <v>727.32</v>
          </cell>
          <cell r="CJ160">
            <v>0</v>
          </cell>
          <cell r="CK160">
            <v>0</v>
          </cell>
          <cell r="CL160">
            <v>0</v>
          </cell>
          <cell r="CM160">
            <v>0</v>
          </cell>
          <cell r="CN160">
            <v>0</v>
          </cell>
          <cell r="CO160">
            <v>0</v>
          </cell>
          <cell r="CX160">
            <v>0</v>
          </cell>
          <cell r="CY160">
            <v>0</v>
          </cell>
          <cell r="DB160">
            <v>0</v>
          </cell>
          <cell r="DC160">
            <v>0</v>
          </cell>
          <cell r="DJ160" t="str">
            <v>НКРЕ</v>
          </cell>
          <cell r="DL160">
            <v>40526</v>
          </cell>
          <cell r="DM160" t="str">
            <v>№ 1850</v>
          </cell>
          <cell r="DO160" t="str">
            <v>тариф на теплову енергію</v>
          </cell>
          <cell r="DT160">
            <v>274.47000000000003</v>
          </cell>
        </row>
        <row r="161">
          <cell r="W161">
            <v>559.82000000000005</v>
          </cell>
          <cell r="AF161">
            <v>40099</v>
          </cell>
          <cell r="AG161" t="str">
            <v>№ 67</v>
          </cell>
          <cell r="AH161">
            <v>487.52505330490408</v>
          </cell>
          <cell r="AM161">
            <v>22512</v>
          </cell>
          <cell r="AO161">
            <v>12602667.840000002</v>
          </cell>
          <cell r="AQ161">
            <v>10975164</v>
          </cell>
          <cell r="AU161">
            <v>0</v>
          </cell>
          <cell r="AW161">
            <v>0</v>
          </cell>
          <cell r="AY161">
            <v>8185062.3063999992</v>
          </cell>
          <cell r="AZ161">
            <v>363.58663407960194</v>
          </cell>
          <cell r="BA161">
            <v>38818</v>
          </cell>
          <cell r="BB161">
            <v>1.7243248045486852</v>
          </cell>
          <cell r="BC161">
            <v>0</v>
          </cell>
          <cell r="BD161">
            <v>0</v>
          </cell>
          <cell r="BG161">
            <v>183047.39</v>
          </cell>
          <cell r="BH161">
            <v>8.131102967306326</v>
          </cell>
          <cell r="BI161">
            <v>296157.43</v>
          </cell>
          <cell r="BJ161">
            <v>13.155536158493248</v>
          </cell>
          <cell r="BK161">
            <v>0</v>
          </cell>
          <cell r="BL161">
            <v>0</v>
          </cell>
          <cell r="BM161">
            <v>1695872</v>
          </cell>
          <cell r="BN161">
            <v>75.331911869225308</v>
          </cell>
          <cell r="BO161">
            <v>0</v>
          </cell>
          <cell r="BP161">
            <v>0</v>
          </cell>
          <cell r="BY161">
            <v>1728</v>
          </cell>
          <cell r="CF161">
            <v>3750.04</v>
          </cell>
          <cell r="CG161">
            <v>2182.66</v>
          </cell>
          <cell r="CJ161">
            <v>0</v>
          </cell>
          <cell r="CK161">
            <v>0</v>
          </cell>
          <cell r="CL161">
            <v>0</v>
          </cell>
          <cell r="CM161">
            <v>0</v>
          </cell>
          <cell r="CN161">
            <v>0</v>
          </cell>
          <cell r="CO161">
            <v>0</v>
          </cell>
          <cell r="CX161">
            <v>0</v>
          </cell>
          <cell r="CY161">
            <v>0</v>
          </cell>
          <cell r="DB161">
            <v>0</v>
          </cell>
          <cell r="DC161">
            <v>0</v>
          </cell>
          <cell r="DJ161" t="str">
            <v>НКРКП</v>
          </cell>
          <cell r="DL161">
            <v>40816</v>
          </cell>
          <cell r="DM161" t="str">
            <v>№ 6</v>
          </cell>
          <cell r="DT161">
            <v>821.23</v>
          </cell>
        </row>
        <row r="162">
          <cell r="W162">
            <v>685.61260000000004</v>
          </cell>
          <cell r="AF162">
            <v>40099</v>
          </cell>
          <cell r="AG162" t="str">
            <v>№ 67</v>
          </cell>
          <cell r="AH162">
            <v>487.52505935109468</v>
          </cell>
          <cell r="AM162">
            <v>7582</v>
          </cell>
          <cell r="AO162">
            <v>5198314.7332000006</v>
          </cell>
          <cell r="AQ162">
            <v>3696415</v>
          </cell>
          <cell r="AU162">
            <v>0</v>
          </cell>
          <cell r="AW162">
            <v>0</v>
          </cell>
          <cell r="AY162">
            <v>2756852.3661999996</v>
          </cell>
          <cell r="AZ162">
            <v>363.60490189923496</v>
          </cell>
          <cell r="BA162">
            <v>13066</v>
          </cell>
          <cell r="BB162">
            <v>1.7232920073859139</v>
          </cell>
          <cell r="BC162">
            <v>0</v>
          </cell>
          <cell r="BD162">
            <v>0</v>
          </cell>
          <cell r="BG162">
            <v>61650.02</v>
          </cell>
          <cell r="BH162">
            <v>8.131102611448167</v>
          </cell>
          <cell r="BI162">
            <v>99707.75</v>
          </cell>
          <cell r="BJ162">
            <v>13.150586916380902</v>
          </cell>
          <cell r="BK162">
            <v>0</v>
          </cell>
          <cell r="BL162">
            <v>0</v>
          </cell>
          <cell r="BM162">
            <v>571175.62</v>
          </cell>
          <cell r="BN162">
            <v>75.333107359535745</v>
          </cell>
          <cell r="BO162">
            <v>0</v>
          </cell>
          <cell r="BP162">
            <v>0</v>
          </cell>
          <cell r="BY162">
            <v>1728</v>
          </cell>
          <cell r="CF162">
            <v>1263.07</v>
          </cell>
          <cell r="CG162">
            <v>2182.66</v>
          </cell>
          <cell r="CJ162">
            <v>0</v>
          </cell>
          <cell r="CK162">
            <v>0</v>
          </cell>
          <cell r="CL162">
            <v>0</v>
          </cell>
          <cell r="CM162">
            <v>0</v>
          </cell>
          <cell r="CN162">
            <v>0</v>
          </cell>
          <cell r="CO162">
            <v>0</v>
          </cell>
          <cell r="CX162">
            <v>0</v>
          </cell>
          <cell r="CY162">
            <v>0</v>
          </cell>
          <cell r="DB162">
            <v>0</v>
          </cell>
          <cell r="DC162">
            <v>0</v>
          </cell>
          <cell r="DJ162" t="str">
            <v>НКРКП</v>
          </cell>
          <cell r="DL162">
            <v>40816</v>
          </cell>
          <cell r="DM162" t="str">
            <v>№ 6</v>
          </cell>
          <cell r="DT162">
            <v>947.03</v>
          </cell>
        </row>
        <row r="163">
          <cell r="W163">
            <v>293.88</v>
          </cell>
          <cell r="AF163">
            <v>40410</v>
          </cell>
          <cell r="AG163">
            <v>103</v>
          </cell>
          <cell r="AH163">
            <v>267.21511532798951</v>
          </cell>
          <cell r="AM163">
            <v>12226</v>
          </cell>
          <cell r="AO163">
            <v>3592976.88</v>
          </cell>
          <cell r="AQ163">
            <v>3266972</v>
          </cell>
          <cell r="AU163">
            <v>0</v>
          </cell>
          <cell r="AW163">
            <v>0</v>
          </cell>
          <cell r="AY163">
            <v>2111259.56</v>
          </cell>
          <cell r="AZ163">
            <v>172.68604285947981</v>
          </cell>
          <cell r="BA163">
            <v>0</v>
          </cell>
          <cell r="BB163">
            <v>0</v>
          </cell>
          <cell r="BC163">
            <v>0</v>
          </cell>
          <cell r="BD163">
            <v>0</v>
          </cell>
          <cell r="BG163">
            <v>0</v>
          </cell>
          <cell r="BH163">
            <v>0</v>
          </cell>
          <cell r="BI163">
            <v>437224</v>
          </cell>
          <cell r="BJ163">
            <v>35.761819074104366</v>
          </cell>
          <cell r="BK163">
            <v>0</v>
          </cell>
          <cell r="BL163">
            <v>0</v>
          </cell>
          <cell r="BM163">
            <v>519300</v>
          </cell>
          <cell r="BN163">
            <v>42.475053165385248</v>
          </cell>
          <cell r="BO163">
            <v>0</v>
          </cell>
          <cell r="BP163">
            <v>0</v>
          </cell>
          <cell r="BY163">
            <v>1134</v>
          </cell>
          <cell r="CF163">
            <v>1935.16</v>
          </cell>
          <cell r="CG163">
            <v>1091</v>
          </cell>
          <cell r="CJ163">
            <v>0</v>
          </cell>
          <cell r="CK163">
            <v>0</v>
          </cell>
          <cell r="CL163">
            <v>0</v>
          </cell>
          <cell r="CM163">
            <v>0</v>
          </cell>
          <cell r="CN163">
            <v>0</v>
          </cell>
          <cell r="CO163">
            <v>0</v>
          </cell>
          <cell r="CX163">
            <v>0</v>
          </cell>
          <cell r="CY163">
            <v>0</v>
          </cell>
          <cell r="DB163">
            <v>0</v>
          </cell>
          <cell r="DC163">
            <v>0</v>
          </cell>
          <cell r="DJ163" t="str">
            <v>МОС</v>
          </cell>
          <cell r="DL163">
            <v>40448</v>
          </cell>
          <cell r="DM163">
            <v>298</v>
          </cell>
          <cell r="DO163" t="str">
            <v>тариф на послуги по опаленню</v>
          </cell>
          <cell r="DT163">
            <v>293.88</v>
          </cell>
        </row>
        <row r="164">
          <cell r="W164">
            <v>527.66</v>
          </cell>
          <cell r="AF164">
            <v>40410</v>
          </cell>
          <cell r="AG164">
            <v>102</v>
          </cell>
          <cell r="AH164">
            <v>479.59579789894946</v>
          </cell>
          <cell r="AM164">
            <v>1999</v>
          </cell>
          <cell r="AO164">
            <v>1054792.3399999999</v>
          </cell>
          <cell r="AQ164">
            <v>958712</v>
          </cell>
          <cell r="AU164">
            <v>0</v>
          </cell>
          <cell r="AW164">
            <v>0</v>
          </cell>
          <cell r="AY164">
            <v>779414.00335060002</v>
          </cell>
          <cell r="AZ164">
            <v>389.90195265162583</v>
          </cell>
          <cell r="BA164">
            <v>0</v>
          </cell>
          <cell r="BB164">
            <v>0</v>
          </cell>
          <cell r="BC164">
            <v>0</v>
          </cell>
          <cell r="BD164">
            <v>0</v>
          </cell>
          <cell r="BG164">
            <v>0</v>
          </cell>
          <cell r="BH164">
            <v>0</v>
          </cell>
          <cell r="BI164">
            <v>71463</v>
          </cell>
          <cell r="BJ164">
            <v>35.749374687343675</v>
          </cell>
          <cell r="BK164">
            <v>0</v>
          </cell>
          <cell r="BL164">
            <v>0</v>
          </cell>
          <cell r="BM164">
            <v>84878</v>
          </cell>
          <cell r="BN164">
            <v>42.460230115057527</v>
          </cell>
          <cell r="BO164">
            <v>0</v>
          </cell>
          <cell r="BP164">
            <v>0</v>
          </cell>
          <cell r="BY164">
            <v>1134</v>
          </cell>
          <cell r="CF164">
            <v>316.19999000000001</v>
          </cell>
          <cell r="CG164">
            <v>2464.94</v>
          </cell>
          <cell r="CJ164">
            <v>0</v>
          </cell>
          <cell r="CK164">
            <v>0</v>
          </cell>
          <cell r="CL164">
            <v>0</v>
          </cell>
          <cell r="CM164">
            <v>0</v>
          </cell>
          <cell r="CN164">
            <v>0</v>
          </cell>
          <cell r="CO164">
            <v>0</v>
          </cell>
          <cell r="CX164">
            <v>0</v>
          </cell>
          <cell r="CY164">
            <v>0</v>
          </cell>
          <cell r="DB164">
            <v>0</v>
          </cell>
          <cell r="DC164">
            <v>0</v>
          </cell>
          <cell r="DJ164" t="str">
            <v>НКРКП</v>
          </cell>
          <cell r="DL164">
            <v>40844</v>
          </cell>
          <cell r="DM164">
            <v>231</v>
          </cell>
          <cell r="DT164">
            <v>704.38</v>
          </cell>
        </row>
        <row r="165">
          <cell r="W165">
            <v>551.64</v>
          </cell>
          <cell r="AF165">
            <v>40410</v>
          </cell>
          <cell r="AG165">
            <v>101</v>
          </cell>
          <cell r="AH165">
            <v>479.68112881551161</v>
          </cell>
          <cell r="AM165">
            <v>5209</v>
          </cell>
          <cell r="AO165">
            <v>2873492.76</v>
          </cell>
          <cell r="AQ165">
            <v>2498659</v>
          </cell>
          <cell r="AU165">
            <v>0</v>
          </cell>
          <cell r="AW165">
            <v>0</v>
          </cell>
          <cell r="AY165">
            <v>2031430.9997350601</v>
          </cell>
          <cell r="AZ165">
            <v>389.98483389039359</v>
          </cell>
          <cell r="BA165">
            <v>0</v>
          </cell>
          <cell r="BB165">
            <v>0</v>
          </cell>
          <cell r="BC165">
            <v>0</v>
          </cell>
          <cell r="BD165">
            <v>0</v>
          </cell>
          <cell r="BG165">
            <v>0</v>
          </cell>
          <cell r="BH165">
            <v>0</v>
          </cell>
          <cell r="BI165">
            <v>186253</v>
          </cell>
          <cell r="BJ165">
            <v>35.75599923209829</v>
          </cell>
          <cell r="BK165">
            <v>0</v>
          </cell>
          <cell r="BL165">
            <v>0</v>
          </cell>
          <cell r="BM165">
            <v>221216</v>
          </cell>
          <cell r="BN165">
            <v>42.468036091380306</v>
          </cell>
          <cell r="BO165">
            <v>0</v>
          </cell>
          <cell r="BP165">
            <v>0</v>
          </cell>
          <cell r="BY165">
            <v>1134</v>
          </cell>
          <cell r="CF165">
            <v>824.129999</v>
          </cell>
          <cell r="CG165">
            <v>2464.94</v>
          </cell>
          <cell r="CJ165">
            <v>0</v>
          </cell>
          <cell r="CK165">
            <v>0</v>
          </cell>
          <cell r="CL165">
            <v>0</v>
          </cell>
          <cell r="CM165">
            <v>0</v>
          </cell>
          <cell r="CN165">
            <v>0</v>
          </cell>
          <cell r="CO165">
            <v>0</v>
          </cell>
          <cell r="CX165">
            <v>0</v>
          </cell>
          <cell r="CY165">
            <v>0</v>
          </cell>
          <cell r="DB165">
            <v>0</v>
          </cell>
          <cell r="DC165">
            <v>0</v>
          </cell>
          <cell r="DJ165" t="str">
            <v>НКРКП</v>
          </cell>
          <cell r="DL165">
            <v>40844</v>
          </cell>
          <cell r="DM165">
            <v>231</v>
          </cell>
          <cell r="DT165">
            <v>721.31</v>
          </cell>
        </row>
        <row r="166">
          <cell r="W166">
            <v>201.61</v>
          </cell>
          <cell r="AF166">
            <v>39783</v>
          </cell>
          <cell r="AG166">
            <v>160</v>
          </cell>
          <cell r="AH166">
            <v>192.00811969024886</v>
          </cell>
          <cell r="AM166">
            <v>26602</v>
          </cell>
          <cell r="AO166">
            <v>5363229.2200000007</v>
          </cell>
          <cell r="AQ166">
            <v>5107800</v>
          </cell>
          <cell r="AU166">
            <v>0</v>
          </cell>
          <cell r="AW166">
            <v>0</v>
          </cell>
          <cell r="AY166">
            <v>2863021.9970616</v>
          </cell>
          <cell r="AZ166">
            <v>107.62431385089843</v>
          </cell>
          <cell r="BA166">
            <v>0</v>
          </cell>
          <cell r="BB166">
            <v>0</v>
          </cell>
          <cell r="BC166">
            <v>0</v>
          </cell>
          <cell r="BD166">
            <v>0</v>
          </cell>
          <cell r="BG166">
            <v>0</v>
          </cell>
          <cell r="BH166">
            <v>0</v>
          </cell>
          <cell r="BI166">
            <v>394400</v>
          </cell>
          <cell r="BJ166">
            <v>14.825952935869484</v>
          </cell>
          <cell r="BK166">
            <v>0</v>
          </cell>
          <cell r="BL166">
            <v>0</v>
          </cell>
          <cell r="BM166">
            <v>1461470</v>
          </cell>
          <cell r="BN166">
            <v>54.938350499962411</v>
          </cell>
          <cell r="BO166">
            <v>0</v>
          </cell>
          <cell r="BP166">
            <v>0</v>
          </cell>
          <cell r="BY166">
            <v>1376.33</v>
          </cell>
          <cell r="CF166">
            <v>3936.3993799999998</v>
          </cell>
          <cell r="CG166">
            <v>727.32</v>
          </cell>
          <cell r="CJ166">
            <v>0</v>
          </cell>
          <cell r="CK166">
            <v>0</v>
          </cell>
          <cell r="CL166">
            <v>0</v>
          </cell>
          <cell r="CM166">
            <v>0</v>
          </cell>
          <cell r="CN166">
            <v>0</v>
          </cell>
          <cell r="CO166">
            <v>0</v>
          </cell>
          <cell r="CX166">
            <v>0</v>
          </cell>
          <cell r="CY166">
            <v>0</v>
          </cell>
          <cell r="DB166">
            <v>0</v>
          </cell>
          <cell r="DC166">
            <v>0</v>
          </cell>
          <cell r="DJ166" t="str">
            <v>НКРЕ</v>
          </cell>
          <cell r="DL166">
            <v>40526</v>
          </cell>
          <cell r="DM166">
            <v>1702</v>
          </cell>
          <cell r="DO166" t="str">
            <v xml:space="preserve">тариф на теплову енергію </v>
          </cell>
          <cell r="DT166">
            <v>221.77</v>
          </cell>
        </row>
        <row r="167">
          <cell r="W167">
            <v>436.23</v>
          </cell>
          <cell r="AF167">
            <v>39850</v>
          </cell>
          <cell r="AG167">
            <v>33</v>
          </cell>
          <cell r="AH167">
            <v>407.69208224036112</v>
          </cell>
          <cell r="AM167">
            <v>27295.599999999999</v>
          </cell>
          <cell r="AO167">
            <v>11907159.588</v>
          </cell>
          <cell r="AQ167">
            <v>11128200</v>
          </cell>
          <cell r="AU167">
            <v>0</v>
          </cell>
          <cell r="AW167">
            <v>0</v>
          </cell>
          <cell r="AY167">
            <v>8652699.8497499991</v>
          </cell>
          <cell r="AZ167">
            <v>316.9998039885549</v>
          </cell>
          <cell r="BA167">
            <v>0</v>
          </cell>
          <cell r="BB167">
            <v>0</v>
          </cell>
          <cell r="BC167">
            <v>0</v>
          </cell>
          <cell r="BD167">
            <v>0</v>
          </cell>
          <cell r="BG167">
            <v>0</v>
          </cell>
          <cell r="BH167">
            <v>0</v>
          </cell>
          <cell r="BI167">
            <v>0</v>
          </cell>
          <cell r="BJ167">
            <v>0</v>
          </cell>
          <cell r="BK167">
            <v>0</v>
          </cell>
          <cell r="BL167">
            <v>0</v>
          </cell>
          <cell r="BM167">
            <v>0</v>
          </cell>
          <cell r="BN167">
            <v>0</v>
          </cell>
          <cell r="BO167">
            <v>0</v>
          </cell>
          <cell r="BP167">
            <v>0</v>
          </cell>
          <cell r="BY167">
            <v>0</v>
          </cell>
          <cell r="CF167">
            <v>4039.0709999999999</v>
          </cell>
          <cell r="CG167">
            <v>2142.25</v>
          </cell>
          <cell r="CJ167">
            <v>0</v>
          </cell>
          <cell r="CK167">
            <v>0</v>
          </cell>
          <cell r="CL167">
            <v>0</v>
          </cell>
          <cell r="CM167">
            <v>0</v>
          </cell>
          <cell r="CN167">
            <v>0</v>
          </cell>
          <cell r="CO167">
            <v>0</v>
          </cell>
          <cell r="CX167">
            <v>0</v>
          </cell>
          <cell r="CY167">
            <v>0</v>
          </cell>
          <cell r="DB167">
            <v>0</v>
          </cell>
          <cell r="DC167">
            <v>0</v>
          </cell>
          <cell r="DJ167" t="str">
            <v>НКРКП</v>
          </cell>
          <cell r="DL167">
            <v>40816</v>
          </cell>
          <cell r="DM167">
            <v>91</v>
          </cell>
          <cell r="DT167">
            <v>674.42</v>
          </cell>
        </row>
        <row r="168">
          <cell r="W168">
            <v>517.16999999999996</v>
          </cell>
          <cell r="AF168">
            <v>40266</v>
          </cell>
          <cell r="AG168">
            <v>27</v>
          </cell>
          <cell r="AH168">
            <v>413.7386034466648</v>
          </cell>
          <cell r="AM168">
            <v>7491.3</v>
          </cell>
          <cell r="AO168">
            <v>3874275.6209999998</v>
          </cell>
          <cell r="AQ168">
            <v>3099440</v>
          </cell>
          <cell r="AU168">
            <v>0</v>
          </cell>
          <cell r="AW168">
            <v>0</v>
          </cell>
          <cell r="AY168">
            <v>2418099.8296000003</v>
          </cell>
          <cell r="AZ168">
            <v>322.78774439683372</v>
          </cell>
          <cell r="BA168">
            <v>0</v>
          </cell>
          <cell r="BB168">
            <v>0</v>
          </cell>
          <cell r="BC168">
            <v>0</v>
          </cell>
          <cell r="BD168">
            <v>0</v>
          </cell>
          <cell r="BG168">
            <v>0</v>
          </cell>
          <cell r="BH168">
            <v>0</v>
          </cell>
          <cell r="BI168">
            <v>0</v>
          </cell>
          <cell r="BJ168">
            <v>0</v>
          </cell>
          <cell r="BK168">
            <v>0</v>
          </cell>
          <cell r="BL168">
            <v>0</v>
          </cell>
          <cell r="BM168">
            <v>0</v>
          </cell>
          <cell r="BN168">
            <v>0</v>
          </cell>
          <cell r="BO168">
            <v>0</v>
          </cell>
          <cell r="BP168">
            <v>0</v>
          </cell>
          <cell r="BY168">
            <v>0</v>
          </cell>
          <cell r="CF168">
            <v>1108.432</v>
          </cell>
          <cell r="CG168">
            <v>2181.5500000000002</v>
          </cell>
          <cell r="CJ168">
            <v>0</v>
          </cell>
          <cell r="CK168">
            <v>0</v>
          </cell>
          <cell r="CL168">
            <v>0</v>
          </cell>
          <cell r="CM168">
            <v>0</v>
          </cell>
          <cell r="CN168">
            <v>0</v>
          </cell>
          <cell r="CO168">
            <v>0</v>
          </cell>
          <cell r="CX168">
            <v>0</v>
          </cell>
          <cell r="CY168">
            <v>0</v>
          </cell>
          <cell r="DB168">
            <v>0</v>
          </cell>
          <cell r="DC168">
            <v>0</v>
          </cell>
          <cell r="DJ168" t="str">
            <v>НКРКП</v>
          </cell>
          <cell r="DL168">
            <v>40816</v>
          </cell>
          <cell r="DM168">
            <v>91</v>
          </cell>
          <cell r="DT168">
            <v>749.65</v>
          </cell>
        </row>
        <row r="169">
          <cell r="W169">
            <v>209.23</v>
          </cell>
          <cell r="AF169">
            <v>39884</v>
          </cell>
          <cell r="AG169">
            <v>639</v>
          </cell>
          <cell r="AH169">
            <v>192.39527328138925</v>
          </cell>
          <cell r="AM169">
            <v>139124</v>
          </cell>
          <cell r="AO169">
            <v>29108914.52</v>
          </cell>
          <cell r="AQ169">
            <v>26766800</v>
          </cell>
          <cell r="AU169">
            <v>0</v>
          </cell>
          <cell r="AW169">
            <v>0</v>
          </cell>
          <cell r="AY169">
            <v>16752800.133960001</v>
          </cell>
          <cell r="AZ169">
            <v>120.41632021764758</v>
          </cell>
          <cell r="BA169">
            <v>0</v>
          </cell>
          <cell r="BB169">
            <v>0</v>
          </cell>
          <cell r="BC169">
            <v>0</v>
          </cell>
          <cell r="BD169">
            <v>0</v>
          </cell>
          <cell r="BG169">
            <v>0</v>
          </cell>
          <cell r="BH169">
            <v>0</v>
          </cell>
          <cell r="BI169">
            <v>2448200</v>
          </cell>
          <cell r="BJ169">
            <v>17.597251372875995</v>
          </cell>
          <cell r="BK169">
            <v>0</v>
          </cell>
          <cell r="BL169">
            <v>0</v>
          </cell>
          <cell r="BM169">
            <v>4784400</v>
          </cell>
          <cell r="BN169">
            <v>34.389465512779964</v>
          </cell>
          <cell r="BO169">
            <v>0</v>
          </cell>
          <cell r="BP169">
            <v>0</v>
          </cell>
          <cell r="BY169">
            <v>2026.56</v>
          </cell>
          <cell r="CF169">
            <v>23033.602999999999</v>
          </cell>
          <cell r="CG169">
            <v>727.32</v>
          </cell>
          <cell r="CJ169">
            <v>0</v>
          </cell>
          <cell r="CK169">
            <v>0</v>
          </cell>
          <cell r="CL169">
            <v>0</v>
          </cell>
          <cell r="CM169">
            <v>0</v>
          </cell>
          <cell r="CN169">
            <v>0</v>
          </cell>
          <cell r="CO169">
            <v>0</v>
          </cell>
          <cell r="CX169">
            <v>0</v>
          </cell>
          <cell r="CY169">
            <v>0</v>
          </cell>
          <cell r="DB169">
            <v>0</v>
          </cell>
          <cell r="DC169">
            <v>0</v>
          </cell>
          <cell r="DJ169" t="str">
            <v>НКРЕ</v>
          </cell>
          <cell r="DL169">
            <v>40526</v>
          </cell>
          <cell r="DM169">
            <v>1808</v>
          </cell>
          <cell r="DO169" t="str">
            <v>тариф на теплову енергію</v>
          </cell>
          <cell r="DT169">
            <v>230.15</v>
          </cell>
        </row>
        <row r="170">
          <cell r="W170">
            <v>489.6</v>
          </cell>
          <cell r="AF170" t="str">
            <v xml:space="preserve">висновок ДЦІ  не встановлювався, витрати прийняти за даними підприємства  </v>
          </cell>
          <cell r="AG170">
            <v>0</v>
          </cell>
          <cell r="AH170">
            <v>426.66283854914349</v>
          </cell>
          <cell r="AM170">
            <v>10449</v>
          </cell>
          <cell r="AO170">
            <v>5115830.4000000004</v>
          </cell>
          <cell r="AQ170">
            <v>4458200</v>
          </cell>
          <cell r="AU170">
            <v>0</v>
          </cell>
          <cell r="AW170">
            <v>0</v>
          </cell>
          <cell r="AY170">
            <v>3706092.5</v>
          </cell>
          <cell r="AZ170">
            <v>354.68394104699013</v>
          </cell>
          <cell r="BA170">
            <v>0</v>
          </cell>
          <cell r="BB170">
            <v>0</v>
          </cell>
          <cell r="BC170">
            <v>0</v>
          </cell>
          <cell r="BD170">
            <v>0</v>
          </cell>
          <cell r="BG170">
            <v>0</v>
          </cell>
          <cell r="BH170">
            <v>0</v>
          </cell>
          <cell r="BI170">
            <v>0</v>
          </cell>
          <cell r="BJ170">
            <v>0</v>
          </cell>
          <cell r="BK170">
            <v>0</v>
          </cell>
          <cell r="BL170">
            <v>0</v>
          </cell>
          <cell r="BM170">
            <v>0</v>
          </cell>
          <cell r="BN170">
            <v>0</v>
          </cell>
          <cell r="BO170">
            <v>0</v>
          </cell>
          <cell r="BP170">
            <v>0</v>
          </cell>
          <cell r="BY170">
            <v>0</v>
          </cell>
          <cell r="CF170">
            <v>1730</v>
          </cell>
          <cell r="CG170">
            <v>2142.25</v>
          </cell>
          <cell r="CJ170">
            <v>0</v>
          </cell>
          <cell r="CK170">
            <v>0</v>
          </cell>
          <cell r="CL170">
            <v>0</v>
          </cell>
          <cell r="CM170">
            <v>0</v>
          </cell>
          <cell r="CN170">
            <v>0</v>
          </cell>
          <cell r="CO170">
            <v>0</v>
          </cell>
          <cell r="CX170">
            <v>0</v>
          </cell>
          <cell r="CY170">
            <v>0</v>
          </cell>
          <cell r="DB170">
            <v>0</v>
          </cell>
          <cell r="DC170">
            <v>0</v>
          </cell>
          <cell r="DJ170" t="str">
            <v>НКРКП</v>
          </cell>
          <cell r="DL170">
            <v>40816</v>
          </cell>
          <cell r="DM170" t="str">
            <v>№ 40</v>
          </cell>
          <cell r="DT170">
            <v>756.11</v>
          </cell>
        </row>
        <row r="171">
          <cell r="W171">
            <v>580.11</v>
          </cell>
          <cell r="AF171" t="str">
            <v>висновок ДЦІ не встановлювався, витрати прийняти за даними підприємства</v>
          </cell>
          <cell r="AG171">
            <v>0</v>
          </cell>
          <cell r="AH171">
            <v>429.974234182651</v>
          </cell>
          <cell r="AM171">
            <v>10479</v>
          </cell>
          <cell r="AO171">
            <v>6078972.6900000004</v>
          </cell>
          <cell r="AQ171">
            <v>4505700</v>
          </cell>
          <cell r="AU171">
            <v>0</v>
          </cell>
          <cell r="AW171">
            <v>0</v>
          </cell>
          <cell r="AY171">
            <v>3751401.0875000004</v>
          </cell>
          <cell r="AZ171">
            <v>357.99227860482875</v>
          </cell>
          <cell r="BA171">
            <v>0</v>
          </cell>
          <cell r="BB171">
            <v>0</v>
          </cell>
          <cell r="BC171">
            <v>0</v>
          </cell>
          <cell r="BD171">
            <v>0</v>
          </cell>
          <cell r="BG171">
            <v>0</v>
          </cell>
          <cell r="BH171">
            <v>0</v>
          </cell>
          <cell r="BI171">
            <v>0</v>
          </cell>
          <cell r="BJ171">
            <v>0</v>
          </cell>
          <cell r="BK171">
            <v>0</v>
          </cell>
          <cell r="BL171">
            <v>0</v>
          </cell>
          <cell r="BM171">
            <v>0</v>
          </cell>
          <cell r="BN171">
            <v>0</v>
          </cell>
          <cell r="BO171">
            <v>0</v>
          </cell>
          <cell r="BP171">
            <v>0</v>
          </cell>
          <cell r="BY171">
            <v>0</v>
          </cell>
          <cell r="CF171">
            <v>1751.15</v>
          </cell>
          <cell r="CG171">
            <v>2142.25</v>
          </cell>
          <cell r="CJ171">
            <v>0</v>
          </cell>
          <cell r="CK171">
            <v>0</v>
          </cell>
          <cell r="CL171">
            <v>0</v>
          </cell>
          <cell r="CM171">
            <v>0</v>
          </cell>
          <cell r="CN171">
            <v>0</v>
          </cell>
          <cell r="CO171">
            <v>0</v>
          </cell>
          <cell r="CX171">
            <v>0</v>
          </cell>
          <cell r="CY171">
            <v>0</v>
          </cell>
          <cell r="DB171">
            <v>0</v>
          </cell>
          <cell r="DC171">
            <v>0</v>
          </cell>
          <cell r="DJ171" t="str">
            <v>НКРКП</v>
          </cell>
          <cell r="DL171">
            <v>40816</v>
          </cell>
          <cell r="DM171" t="str">
            <v>№ 40</v>
          </cell>
          <cell r="DT171">
            <v>846.62</v>
          </cell>
        </row>
        <row r="172">
          <cell r="W172">
            <v>200.74</v>
          </cell>
          <cell r="AF172">
            <v>39778</v>
          </cell>
          <cell r="AG172">
            <v>434</v>
          </cell>
          <cell r="AH172">
            <v>200.38444190803875</v>
          </cell>
          <cell r="AM172">
            <v>90679.5</v>
          </cell>
          <cell r="AO172">
            <v>18203002.830000002</v>
          </cell>
          <cell r="AQ172">
            <v>18170761</v>
          </cell>
          <cell r="AU172">
            <v>0</v>
          </cell>
          <cell r="AW172">
            <v>0</v>
          </cell>
          <cell r="AY172">
            <v>10420977.974088</v>
          </cell>
          <cell r="AZ172">
            <v>114.92099067692257</v>
          </cell>
          <cell r="BA172">
            <v>0</v>
          </cell>
          <cell r="BB172">
            <v>0</v>
          </cell>
          <cell r="BC172">
            <v>0</v>
          </cell>
          <cell r="BD172">
            <v>0</v>
          </cell>
          <cell r="BG172">
            <v>0</v>
          </cell>
          <cell r="BH172">
            <v>0</v>
          </cell>
          <cell r="BI172">
            <v>2146280</v>
          </cell>
          <cell r="BJ172">
            <v>23.668855695057868</v>
          </cell>
          <cell r="BK172">
            <v>0</v>
          </cell>
          <cell r="BL172">
            <v>0</v>
          </cell>
          <cell r="BM172">
            <v>3930177</v>
          </cell>
          <cell r="BN172">
            <v>43.341405720146227</v>
          </cell>
          <cell r="BO172">
            <v>0</v>
          </cell>
          <cell r="BP172">
            <v>0</v>
          </cell>
          <cell r="BY172">
            <v>2441.14</v>
          </cell>
          <cell r="CF172">
            <v>14327.913399999999</v>
          </cell>
          <cell r="CG172">
            <v>727.32</v>
          </cell>
          <cell r="CJ172">
            <v>0</v>
          </cell>
          <cell r="CK172">
            <v>0</v>
          </cell>
          <cell r="CL172">
            <v>0</v>
          </cell>
          <cell r="CM172">
            <v>0</v>
          </cell>
          <cell r="CN172">
            <v>0</v>
          </cell>
          <cell r="CO172">
            <v>0</v>
          </cell>
          <cell r="CX172">
            <v>0</v>
          </cell>
          <cell r="CY172">
            <v>0</v>
          </cell>
          <cell r="DB172">
            <v>0</v>
          </cell>
          <cell r="DC172">
            <v>0</v>
          </cell>
          <cell r="DJ172" t="str">
            <v>НКРЕ</v>
          </cell>
          <cell r="DL172">
            <v>40526</v>
          </cell>
          <cell r="DM172" t="str">
            <v>№ 1704</v>
          </cell>
          <cell r="DO172" t="str">
            <v>тариф на теплову енергію</v>
          </cell>
          <cell r="DT172">
            <v>220.81</v>
          </cell>
        </row>
        <row r="173">
          <cell r="W173">
            <v>495.27</v>
          </cell>
          <cell r="AF173">
            <v>39850</v>
          </cell>
          <cell r="AG173">
            <v>531</v>
          </cell>
          <cell r="AH173">
            <v>430.66872727272727</v>
          </cell>
          <cell r="AM173">
            <v>5500</v>
          </cell>
          <cell r="AO173">
            <v>2723985</v>
          </cell>
          <cell r="AQ173">
            <v>2368678</v>
          </cell>
          <cell r="AU173">
            <v>0</v>
          </cell>
          <cell r="AW173">
            <v>0</v>
          </cell>
          <cell r="AY173">
            <v>1893487.9982534999</v>
          </cell>
          <cell r="AZ173">
            <v>344.270545137</v>
          </cell>
          <cell r="BA173">
            <v>0</v>
          </cell>
          <cell r="BB173">
            <v>0</v>
          </cell>
          <cell r="BC173">
            <v>0</v>
          </cell>
          <cell r="BD173">
            <v>0</v>
          </cell>
          <cell r="BG173">
            <v>0</v>
          </cell>
          <cell r="BH173">
            <v>0</v>
          </cell>
          <cell r="BI173">
            <v>135320</v>
          </cell>
          <cell r="BJ173">
            <v>24.603636363636365</v>
          </cell>
          <cell r="BK173">
            <v>0</v>
          </cell>
          <cell r="BL173">
            <v>0</v>
          </cell>
          <cell r="BM173">
            <v>238378</v>
          </cell>
          <cell r="BN173">
            <v>43.341454545454546</v>
          </cell>
          <cell r="BO173">
            <v>0</v>
          </cell>
          <cell r="BP173">
            <v>0</v>
          </cell>
          <cell r="BY173">
            <v>2441.14</v>
          </cell>
          <cell r="CF173">
            <v>869.03090999999995</v>
          </cell>
          <cell r="CG173">
            <v>2178.85</v>
          </cell>
          <cell r="CJ173">
            <v>0</v>
          </cell>
          <cell r="CK173">
            <v>0</v>
          </cell>
          <cell r="CL173">
            <v>0</v>
          </cell>
          <cell r="CM173">
            <v>0</v>
          </cell>
          <cell r="CN173">
            <v>0</v>
          </cell>
          <cell r="CO173">
            <v>0</v>
          </cell>
          <cell r="CX173">
            <v>0</v>
          </cell>
          <cell r="CY173">
            <v>0</v>
          </cell>
          <cell r="DB173">
            <v>0</v>
          </cell>
          <cell r="DC173">
            <v>0</v>
          </cell>
          <cell r="DJ173" t="str">
            <v>НКРКП</v>
          </cell>
          <cell r="DL173">
            <v>40816</v>
          </cell>
          <cell r="DM173">
            <v>80</v>
          </cell>
          <cell r="DT173">
            <v>743.83</v>
          </cell>
        </row>
        <row r="174">
          <cell r="W174">
            <v>581.41</v>
          </cell>
          <cell r="AF174">
            <v>39850</v>
          </cell>
          <cell r="AG174">
            <v>530</v>
          </cell>
          <cell r="AH174">
            <v>430.66728018553624</v>
          </cell>
          <cell r="AM174">
            <v>6963.6</v>
          </cell>
          <cell r="AO174">
            <v>4048706.676</v>
          </cell>
          <cell r="AQ174">
            <v>2998994.6723000002</v>
          </cell>
          <cell r="AU174">
            <v>0</v>
          </cell>
          <cell r="AW174">
            <v>0</v>
          </cell>
          <cell r="AY174">
            <v>2397366.9999981397</v>
          </cell>
          <cell r="AZ174">
            <v>344.27121029325917</v>
          </cell>
          <cell r="BA174">
            <v>0</v>
          </cell>
          <cell r="BB174">
            <v>0</v>
          </cell>
          <cell r="BC174">
            <v>0</v>
          </cell>
          <cell r="BD174">
            <v>0</v>
          </cell>
          <cell r="BG174">
            <v>0</v>
          </cell>
          <cell r="BH174">
            <v>0</v>
          </cell>
          <cell r="BI174">
            <v>171322.23999999999</v>
          </cell>
          <cell r="BJ174">
            <v>24.602538916652303</v>
          </cell>
          <cell r="BK174">
            <v>0</v>
          </cell>
          <cell r="BL174">
            <v>0</v>
          </cell>
          <cell r="BM174">
            <v>301811.72600000002</v>
          </cell>
          <cell r="BN174">
            <v>43.341335803320121</v>
          </cell>
          <cell r="BO174">
            <v>0</v>
          </cell>
          <cell r="BP174">
            <v>0</v>
          </cell>
          <cell r="BY174">
            <v>2441.14</v>
          </cell>
          <cell r="CF174">
            <v>1100.29006127</v>
          </cell>
          <cell r="CG174">
            <v>2178.85</v>
          </cell>
          <cell r="CJ174">
            <v>0</v>
          </cell>
          <cell r="CK174">
            <v>0</v>
          </cell>
          <cell r="CL174">
            <v>0</v>
          </cell>
          <cell r="CM174">
            <v>0</v>
          </cell>
          <cell r="CN174">
            <v>0</v>
          </cell>
          <cell r="CO174">
            <v>0</v>
          </cell>
          <cell r="CX174">
            <v>0</v>
          </cell>
          <cell r="CY174">
            <v>0</v>
          </cell>
          <cell r="DB174">
            <v>0</v>
          </cell>
          <cell r="DC174">
            <v>0</v>
          </cell>
          <cell r="DJ174" t="str">
            <v>НКРКП</v>
          </cell>
          <cell r="DL174">
            <v>40816</v>
          </cell>
          <cell r="DM174">
            <v>80</v>
          </cell>
          <cell r="DO174" t="str">
            <v>іншим підприємствам і організаціям</v>
          </cell>
          <cell r="DT174">
            <v>829.97</v>
          </cell>
        </row>
        <row r="175">
          <cell r="W175">
            <v>443.59</v>
          </cell>
          <cell r="AF175">
            <v>39850</v>
          </cell>
          <cell r="AG175">
            <v>530</v>
          </cell>
          <cell r="AH175">
            <v>430.67131714716425</v>
          </cell>
          <cell r="AM175">
            <v>533.995</v>
          </cell>
          <cell r="AO175">
            <v>236874.84204999998</v>
          </cell>
          <cell r="AQ175">
            <v>229976.33</v>
          </cell>
          <cell r="AU175">
            <v>0</v>
          </cell>
          <cell r="AW175">
            <v>0</v>
          </cell>
          <cell r="AY175">
            <v>183840.99995363</v>
          </cell>
          <cell r="AZ175">
            <v>344.27475904012209</v>
          </cell>
          <cell r="BA175">
            <v>0</v>
          </cell>
          <cell r="BB175">
            <v>0</v>
          </cell>
          <cell r="BC175">
            <v>0</v>
          </cell>
          <cell r="BD175">
            <v>0</v>
          </cell>
          <cell r="BG175">
            <v>0</v>
          </cell>
          <cell r="BH175">
            <v>0</v>
          </cell>
          <cell r="BI175">
            <v>13137.76</v>
          </cell>
          <cell r="BJ175">
            <v>24.602777179561606</v>
          </cell>
          <cell r="BK175">
            <v>0</v>
          </cell>
          <cell r="BL175">
            <v>0</v>
          </cell>
          <cell r="BM175">
            <v>23144.27</v>
          </cell>
          <cell r="BN175">
            <v>43.341735409507578</v>
          </cell>
          <cell r="BO175">
            <v>0</v>
          </cell>
          <cell r="BP175">
            <v>0</v>
          </cell>
          <cell r="BY175">
            <v>2441.14</v>
          </cell>
          <cell r="CF175">
            <v>84.375243800000007</v>
          </cell>
          <cell r="CG175">
            <v>2178.85</v>
          </cell>
          <cell r="CJ175">
            <v>0</v>
          </cell>
          <cell r="CK175">
            <v>0</v>
          </cell>
          <cell r="CL175">
            <v>0</v>
          </cell>
          <cell r="CM175">
            <v>0</v>
          </cell>
          <cell r="CN175">
            <v>0</v>
          </cell>
          <cell r="CO175">
            <v>0</v>
          </cell>
          <cell r="CX175">
            <v>0</v>
          </cell>
          <cell r="CY175">
            <v>0</v>
          </cell>
          <cell r="DB175">
            <v>0</v>
          </cell>
          <cell r="DC175">
            <v>0</v>
          </cell>
          <cell r="DJ175" t="str">
            <v>НКРКП</v>
          </cell>
          <cell r="DL175">
            <v>40816</v>
          </cell>
          <cell r="DM175">
            <v>80</v>
          </cell>
          <cell r="DO175" t="str">
            <v>комунальним підприємствам і організаціям</v>
          </cell>
          <cell r="DT175">
            <v>692.15</v>
          </cell>
        </row>
        <row r="176">
          <cell r="W176">
            <v>267.98</v>
          </cell>
          <cell r="AF176">
            <v>39792</v>
          </cell>
          <cell r="AG176">
            <v>459</v>
          </cell>
          <cell r="AH176">
            <v>260.17464731759117</v>
          </cell>
          <cell r="AM176">
            <v>59331</v>
          </cell>
          <cell r="AO176">
            <v>15899521.380000001</v>
          </cell>
          <cell r="AQ176">
            <v>15436422</v>
          </cell>
          <cell r="AU176">
            <v>0</v>
          </cell>
          <cell r="AW176">
            <v>0</v>
          </cell>
          <cell r="AY176">
            <v>6637522.3200000003</v>
          </cell>
          <cell r="AZ176">
            <v>111.87275319815949</v>
          </cell>
          <cell r="BA176">
            <v>2100</v>
          </cell>
          <cell r="BB176">
            <v>3.5394650351418311E-2</v>
          </cell>
          <cell r="BC176">
            <v>0</v>
          </cell>
          <cell r="BD176">
            <v>0</v>
          </cell>
          <cell r="BG176">
            <v>0</v>
          </cell>
          <cell r="BH176">
            <v>0</v>
          </cell>
          <cell r="BI176">
            <v>1010400</v>
          </cell>
          <cell r="BJ176">
            <v>17.029883197653842</v>
          </cell>
          <cell r="BK176">
            <v>0</v>
          </cell>
          <cell r="BL176">
            <v>0</v>
          </cell>
          <cell r="BM176">
            <v>6318400</v>
          </cell>
          <cell r="BN176">
            <v>106.49407560971498</v>
          </cell>
          <cell r="BO176">
            <v>0</v>
          </cell>
          <cell r="BP176">
            <v>0</v>
          </cell>
          <cell r="BY176">
            <v>0</v>
          </cell>
          <cell r="CF176">
            <v>9126</v>
          </cell>
          <cell r="CG176">
            <v>727.32</v>
          </cell>
          <cell r="CJ176">
            <v>0</v>
          </cell>
          <cell r="CK176">
            <v>0</v>
          </cell>
          <cell r="CL176">
            <v>0</v>
          </cell>
          <cell r="CM176">
            <v>0</v>
          </cell>
          <cell r="CN176">
            <v>0</v>
          </cell>
          <cell r="CO176">
            <v>0</v>
          </cell>
          <cell r="CX176">
            <v>0</v>
          </cell>
          <cell r="CY176">
            <v>0</v>
          </cell>
          <cell r="DB176">
            <v>0</v>
          </cell>
          <cell r="DC176">
            <v>0</v>
          </cell>
          <cell r="DJ176" t="str">
            <v>НКРЕ</v>
          </cell>
          <cell r="DL176">
            <v>40526</v>
          </cell>
          <cell r="DM176" t="str">
            <v>№ 1774</v>
          </cell>
          <cell r="DO176" t="str">
            <v>умовно-змінна частина двоставкового тарифу на теплову енергію</v>
          </cell>
          <cell r="DT176">
            <v>281.26</v>
          </cell>
        </row>
        <row r="177">
          <cell r="W177">
            <v>553.48</v>
          </cell>
          <cell r="AF177">
            <v>40091</v>
          </cell>
          <cell r="AG177">
            <v>691</v>
          </cell>
          <cell r="AH177">
            <v>481.28405435567515</v>
          </cell>
          <cell r="AM177">
            <v>15233</v>
          </cell>
          <cell r="AO177">
            <v>8431160.8399999999</v>
          </cell>
          <cell r="AQ177">
            <v>7331400</v>
          </cell>
          <cell r="AU177">
            <v>0</v>
          </cell>
          <cell r="AW177">
            <v>0</v>
          </cell>
          <cell r="AY177">
            <v>4861014.3499999996</v>
          </cell>
          <cell r="AZ177">
            <v>319.11076938226216</v>
          </cell>
          <cell r="BA177">
            <v>124200</v>
          </cell>
          <cell r="BB177">
            <v>8.1533512768331917</v>
          </cell>
          <cell r="BC177">
            <v>0</v>
          </cell>
          <cell r="BD177">
            <v>0</v>
          </cell>
          <cell r="BG177">
            <v>0</v>
          </cell>
          <cell r="BH177">
            <v>0</v>
          </cell>
          <cell r="BI177">
            <v>287900</v>
          </cell>
          <cell r="BJ177">
            <v>18.899757106282411</v>
          </cell>
          <cell r="BK177">
            <v>0</v>
          </cell>
          <cell r="BL177">
            <v>0</v>
          </cell>
          <cell r="BM177">
            <v>1725900</v>
          </cell>
          <cell r="BN177">
            <v>113.30007221164577</v>
          </cell>
          <cell r="BO177">
            <v>0</v>
          </cell>
          <cell r="BP177">
            <v>0</v>
          </cell>
          <cell r="BY177">
            <v>2311</v>
          </cell>
          <cell r="CF177">
            <v>2231</v>
          </cell>
          <cell r="CG177">
            <v>2178.85</v>
          </cell>
          <cell r="CJ177">
            <v>0</v>
          </cell>
          <cell r="CK177">
            <v>0</v>
          </cell>
          <cell r="CL177">
            <v>0</v>
          </cell>
          <cell r="CM177">
            <v>0</v>
          </cell>
          <cell r="CN177">
            <v>0</v>
          </cell>
          <cell r="CO177">
            <v>0</v>
          </cell>
          <cell r="CX177">
            <v>0</v>
          </cell>
          <cell r="CY177">
            <v>0</v>
          </cell>
          <cell r="DB177">
            <v>0</v>
          </cell>
          <cell r="DC177">
            <v>0</v>
          </cell>
          <cell r="DJ177" t="str">
            <v>НКРКП</v>
          </cell>
          <cell r="DL177">
            <v>40816</v>
          </cell>
          <cell r="DM177" t="str">
            <v>№ 159</v>
          </cell>
          <cell r="DT177">
            <v>783.87</v>
          </cell>
        </row>
        <row r="178">
          <cell r="W178">
            <v>631.96</v>
          </cell>
          <cell r="AF178">
            <v>40091</v>
          </cell>
          <cell r="AG178">
            <v>692</v>
          </cell>
          <cell r="AH178">
            <v>486.1218667210108</v>
          </cell>
          <cell r="AM178">
            <v>4907</v>
          </cell>
          <cell r="AO178">
            <v>3101027.72</v>
          </cell>
          <cell r="AQ178">
            <v>2385400</v>
          </cell>
          <cell r="AU178">
            <v>0</v>
          </cell>
          <cell r="AW178">
            <v>0</v>
          </cell>
          <cell r="AY178">
            <v>1629779.8</v>
          </cell>
          <cell r="AZ178">
            <v>332.13364581210516</v>
          </cell>
          <cell r="BA178">
            <v>0</v>
          </cell>
          <cell r="BB178">
            <v>0</v>
          </cell>
          <cell r="BC178">
            <v>0</v>
          </cell>
          <cell r="BD178">
            <v>0</v>
          </cell>
          <cell r="BG178">
            <v>0</v>
          </cell>
          <cell r="BH178">
            <v>0</v>
          </cell>
          <cell r="BI178">
            <v>92700</v>
          </cell>
          <cell r="BJ178">
            <v>18.891379661707763</v>
          </cell>
          <cell r="BK178">
            <v>0</v>
          </cell>
          <cell r="BL178">
            <v>0</v>
          </cell>
          <cell r="BM178">
            <v>556000</v>
          </cell>
          <cell r="BN178">
            <v>113.30751986957408</v>
          </cell>
          <cell r="BO178">
            <v>0</v>
          </cell>
          <cell r="BP178">
            <v>0</v>
          </cell>
          <cell r="BY178">
            <v>2311</v>
          </cell>
          <cell r="CF178">
            <v>748</v>
          </cell>
          <cell r="CG178">
            <v>2178.85</v>
          </cell>
          <cell r="CJ178">
            <v>0</v>
          </cell>
          <cell r="CK178">
            <v>0</v>
          </cell>
          <cell r="CL178">
            <v>0</v>
          </cell>
          <cell r="CM178">
            <v>0</v>
          </cell>
          <cell r="CN178">
            <v>0</v>
          </cell>
          <cell r="CO178">
            <v>0</v>
          </cell>
          <cell r="CX178">
            <v>0</v>
          </cell>
          <cell r="CY178">
            <v>0</v>
          </cell>
          <cell r="DB178">
            <v>0</v>
          </cell>
          <cell r="DC178">
            <v>0</v>
          </cell>
          <cell r="DJ178" t="str">
            <v>НКРКП</v>
          </cell>
          <cell r="DL178">
            <v>40816</v>
          </cell>
          <cell r="DM178" t="str">
            <v>№ 159</v>
          </cell>
          <cell r="DT178">
            <v>871.75</v>
          </cell>
        </row>
        <row r="179">
          <cell r="W179">
            <v>222.93876</v>
          </cell>
          <cell r="AF179">
            <v>39654</v>
          </cell>
          <cell r="AG179">
            <v>87</v>
          </cell>
          <cell r="AH179">
            <v>222.93876254327154</v>
          </cell>
          <cell r="AM179">
            <v>91284</v>
          </cell>
          <cell r="AO179">
            <v>20350741.767840002</v>
          </cell>
          <cell r="AQ179">
            <v>20350742</v>
          </cell>
          <cell r="AU179">
            <v>507085.4</v>
          </cell>
          <cell r="AW179">
            <v>0</v>
          </cell>
          <cell r="AY179">
            <v>10020486.32361</v>
          </cell>
          <cell r="AZ179">
            <v>109.77264716281057</v>
          </cell>
          <cell r="BA179">
            <v>0</v>
          </cell>
          <cell r="BB179">
            <v>0</v>
          </cell>
          <cell r="BC179">
            <v>0</v>
          </cell>
          <cell r="BD179">
            <v>0</v>
          </cell>
          <cell r="BG179">
            <v>32292</v>
          </cell>
          <cell r="BH179">
            <v>0.35375312212435917</v>
          </cell>
          <cell r="BI179">
            <v>320249</v>
          </cell>
          <cell r="BJ179">
            <v>3.5082708908461506</v>
          </cell>
          <cell r="BK179">
            <v>380978</v>
          </cell>
          <cell r="BL179">
            <v>4.1735462950790936</v>
          </cell>
          <cell r="BM179">
            <v>6602679</v>
          </cell>
          <cell r="BN179">
            <v>72.331175233337717</v>
          </cell>
          <cell r="BO179">
            <v>0</v>
          </cell>
          <cell r="BP179">
            <v>0</v>
          </cell>
          <cell r="BY179">
            <v>2031.62</v>
          </cell>
          <cell r="CF179">
            <v>13777.33</v>
          </cell>
          <cell r="CG179">
            <v>727.31700000000001</v>
          </cell>
          <cell r="CJ179">
            <v>2063</v>
          </cell>
          <cell r="CK179">
            <v>245.8</v>
          </cell>
          <cell r="CL179">
            <v>303.68</v>
          </cell>
          <cell r="CM179">
            <v>0</v>
          </cell>
          <cell r="CN179">
            <v>0</v>
          </cell>
          <cell r="CO179">
            <v>0</v>
          </cell>
          <cell r="CX179">
            <v>18.48</v>
          </cell>
          <cell r="CY179">
            <v>72.069999999999993</v>
          </cell>
          <cell r="DB179">
            <v>0</v>
          </cell>
          <cell r="DC179">
            <v>0</v>
          </cell>
          <cell r="DJ179" t="str">
            <v>НКРЕ</v>
          </cell>
          <cell r="DL179">
            <v>40526</v>
          </cell>
          <cell r="DM179" t="str">
            <v>№ 1800</v>
          </cell>
          <cell r="DO179" t="str">
            <v>тариф на теплову енергію</v>
          </cell>
          <cell r="DT179">
            <v>245.23</v>
          </cell>
        </row>
        <row r="180">
          <cell r="W180">
            <v>500</v>
          </cell>
          <cell r="AF180">
            <v>39856</v>
          </cell>
          <cell r="AG180">
            <v>33</v>
          </cell>
          <cell r="AH180">
            <v>446.73027195720016</v>
          </cell>
          <cell r="AM180">
            <v>17944</v>
          </cell>
          <cell r="AO180">
            <v>8972000</v>
          </cell>
          <cell r="AQ180">
            <v>8016128</v>
          </cell>
          <cell r="AU180">
            <v>0</v>
          </cell>
          <cell r="AW180">
            <v>0</v>
          </cell>
          <cell r="AY180">
            <v>5926290.4084999999</v>
          </cell>
          <cell r="AZ180">
            <v>330.26584978265714</v>
          </cell>
          <cell r="BA180">
            <v>0</v>
          </cell>
          <cell r="BB180">
            <v>0</v>
          </cell>
          <cell r="BC180">
            <v>0</v>
          </cell>
          <cell r="BD180">
            <v>0</v>
          </cell>
          <cell r="BG180">
            <v>0</v>
          </cell>
          <cell r="BH180">
            <v>0</v>
          </cell>
          <cell r="BI180">
            <v>338852</v>
          </cell>
          <cell r="BJ180">
            <v>18.883860900579581</v>
          </cell>
          <cell r="BK180">
            <v>0</v>
          </cell>
          <cell r="BL180">
            <v>0</v>
          </cell>
          <cell r="BM180">
            <v>1315094</v>
          </cell>
          <cell r="BN180">
            <v>73.288787338386086</v>
          </cell>
          <cell r="BO180">
            <v>0</v>
          </cell>
          <cell r="BP180">
            <v>0</v>
          </cell>
          <cell r="BY180">
            <v>2031.62</v>
          </cell>
          <cell r="CF180">
            <v>2766.386</v>
          </cell>
          <cell r="CG180">
            <v>2142.25</v>
          </cell>
          <cell r="CJ180">
            <v>0</v>
          </cell>
          <cell r="CK180">
            <v>0</v>
          </cell>
          <cell r="CL180">
            <v>0</v>
          </cell>
          <cell r="CM180">
            <v>0</v>
          </cell>
          <cell r="CN180">
            <v>0</v>
          </cell>
          <cell r="CO180">
            <v>0</v>
          </cell>
          <cell r="CX180">
            <v>0</v>
          </cell>
          <cell r="CY180">
            <v>0</v>
          </cell>
          <cell r="DB180">
            <v>0</v>
          </cell>
          <cell r="DC180">
            <v>0</v>
          </cell>
          <cell r="DJ180" t="str">
            <v>НКРКП</v>
          </cell>
          <cell r="DL180">
            <v>40816</v>
          </cell>
          <cell r="DM180" t="str">
            <v>№ 53</v>
          </cell>
          <cell r="DT180">
            <v>747.61</v>
          </cell>
        </row>
        <row r="181">
          <cell r="W181">
            <v>500</v>
          </cell>
          <cell r="AF181">
            <v>39856</v>
          </cell>
          <cell r="AG181">
            <v>34</v>
          </cell>
          <cell r="AH181">
            <v>446.84995437361493</v>
          </cell>
          <cell r="AM181">
            <v>7671</v>
          </cell>
          <cell r="AO181">
            <v>3835500</v>
          </cell>
          <cell r="AQ181">
            <v>3427786</v>
          </cell>
          <cell r="AU181">
            <v>0</v>
          </cell>
          <cell r="AW181">
            <v>0</v>
          </cell>
          <cell r="AY181">
            <v>2527889.2760000001</v>
          </cell>
          <cell r="AZ181">
            <v>329.53842732368662</v>
          </cell>
          <cell r="BA181">
            <v>0</v>
          </cell>
          <cell r="BB181">
            <v>0</v>
          </cell>
          <cell r="BC181">
            <v>0</v>
          </cell>
          <cell r="BD181">
            <v>0</v>
          </cell>
          <cell r="BG181">
            <v>1915</v>
          </cell>
          <cell r="BH181">
            <v>0.24964150697431886</v>
          </cell>
          <cell r="BI181">
            <v>149445</v>
          </cell>
          <cell r="BJ181">
            <v>19.481814626515447</v>
          </cell>
          <cell r="BK181">
            <v>0</v>
          </cell>
          <cell r="BL181">
            <v>0</v>
          </cell>
          <cell r="BM181">
            <v>562197</v>
          </cell>
          <cell r="BN181">
            <v>73.28861947594838</v>
          </cell>
          <cell r="BO181">
            <v>0</v>
          </cell>
          <cell r="BP181">
            <v>0</v>
          </cell>
          <cell r="BY181">
            <v>2031.62</v>
          </cell>
          <cell r="CF181">
            <v>1180.0160000000001</v>
          </cell>
          <cell r="CG181">
            <v>2142.25</v>
          </cell>
          <cell r="CJ181">
            <v>0</v>
          </cell>
          <cell r="CK181">
            <v>0</v>
          </cell>
          <cell r="CL181">
            <v>0</v>
          </cell>
          <cell r="CM181">
            <v>0</v>
          </cell>
          <cell r="CN181">
            <v>0</v>
          </cell>
          <cell r="CO181">
            <v>0</v>
          </cell>
          <cell r="CX181">
            <v>0</v>
          </cell>
          <cell r="CY181">
            <v>0</v>
          </cell>
          <cell r="DB181">
            <v>0</v>
          </cell>
          <cell r="DC181">
            <v>0</v>
          </cell>
          <cell r="DJ181" t="str">
            <v>НКРКП</v>
          </cell>
          <cell r="DL181">
            <v>40816</v>
          </cell>
          <cell r="DM181" t="str">
            <v>№ 53</v>
          </cell>
          <cell r="DT181">
            <v>747.61</v>
          </cell>
        </row>
        <row r="182">
          <cell r="W182">
            <v>292.95</v>
          </cell>
          <cell r="AF182">
            <v>39560</v>
          </cell>
          <cell r="AG182">
            <v>49</v>
          </cell>
          <cell r="AH182">
            <v>299.22017874053972</v>
          </cell>
          <cell r="AM182">
            <v>50262.8</v>
          </cell>
          <cell r="AO182">
            <v>14724487.26</v>
          </cell>
          <cell r="AQ182">
            <v>15039644</v>
          </cell>
          <cell r="AU182">
            <v>0</v>
          </cell>
          <cell r="AW182">
            <v>0</v>
          </cell>
          <cell r="AY182">
            <v>6491840.1240000008</v>
          </cell>
          <cell r="AZ182">
            <v>129.15794830371567</v>
          </cell>
          <cell r="BA182">
            <v>0</v>
          </cell>
          <cell r="BB182">
            <v>0</v>
          </cell>
          <cell r="BC182">
            <v>0</v>
          </cell>
          <cell r="BD182">
            <v>0</v>
          </cell>
          <cell r="BG182">
            <v>0</v>
          </cell>
          <cell r="BH182">
            <v>0</v>
          </cell>
          <cell r="BI182">
            <v>1222711</v>
          </cell>
          <cell r="BJ182">
            <v>24.326360648431841</v>
          </cell>
          <cell r="BK182">
            <v>0</v>
          </cell>
          <cell r="BL182">
            <v>0</v>
          </cell>
          <cell r="BM182">
            <v>4714064</v>
          </cell>
          <cell r="BN182">
            <v>93.788328545166593</v>
          </cell>
          <cell r="BO182">
            <v>0</v>
          </cell>
          <cell r="BP182">
            <v>0</v>
          </cell>
          <cell r="BY182">
            <v>1441.86</v>
          </cell>
          <cell r="CF182">
            <v>8925.7000000000007</v>
          </cell>
          <cell r="CG182">
            <v>727.32</v>
          </cell>
          <cell r="CJ182">
            <v>0</v>
          </cell>
          <cell r="CK182">
            <v>0</v>
          </cell>
          <cell r="CL182">
            <v>0</v>
          </cell>
          <cell r="CM182">
            <v>0</v>
          </cell>
          <cell r="CN182">
            <v>0</v>
          </cell>
          <cell r="CO182">
            <v>0</v>
          </cell>
          <cell r="CX182">
            <v>0</v>
          </cell>
          <cell r="CY182">
            <v>0</v>
          </cell>
          <cell r="DB182">
            <v>0</v>
          </cell>
          <cell r="DC182">
            <v>0</v>
          </cell>
          <cell r="DJ182" t="str">
            <v>НКРЕ</v>
          </cell>
          <cell r="DL182">
            <v>40598</v>
          </cell>
          <cell r="DM182">
            <v>275</v>
          </cell>
          <cell r="DO182" t="str">
            <v>Тариф на теплову енергію</v>
          </cell>
          <cell r="DT182">
            <v>322.25</v>
          </cell>
        </row>
        <row r="183">
          <cell r="W183">
            <v>537.83000000000004</v>
          </cell>
          <cell r="AF183">
            <v>39560</v>
          </cell>
          <cell r="AG183">
            <v>49</v>
          </cell>
          <cell r="AH183">
            <v>552.74824048503069</v>
          </cell>
          <cell r="AM183">
            <v>25021.1</v>
          </cell>
          <cell r="AO183">
            <v>13457098.213</v>
          </cell>
          <cell r="AQ183">
            <v>13830369</v>
          </cell>
          <cell r="AU183">
            <v>0</v>
          </cell>
          <cell r="AW183">
            <v>0</v>
          </cell>
          <cell r="AY183">
            <v>9518445.1999999993</v>
          </cell>
          <cell r="AZ183">
            <v>380.41673627458425</v>
          </cell>
          <cell r="BA183">
            <v>0</v>
          </cell>
          <cell r="BB183">
            <v>0</v>
          </cell>
          <cell r="BC183">
            <v>0</v>
          </cell>
          <cell r="BD183">
            <v>0</v>
          </cell>
          <cell r="BG183">
            <v>0</v>
          </cell>
          <cell r="BH183">
            <v>0</v>
          </cell>
          <cell r="BI183">
            <v>608685</v>
          </cell>
          <cell r="BJ183">
            <v>24.326868123303932</v>
          </cell>
          <cell r="BK183">
            <v>0</v>
          </cell>
          <cell r="BL183">
            <v>0</v>
          </cell>
          <cell r="BM183">
            <v>2347480</v>
          </cell>
          <cell r="BN183">
            <v>93.820015906574852</v>
          </cell>
          <cell r="BO183">
            <v>0</v>
          </cell>
          <cell r="BP183">
            <v>0</v>
          </cell>
          <cell r="BY183">
            <v>1441.86</v>
          </cell>
          <cell r="CF183">
            <v>4443.2</v>
          </cell>
          <cell r="CG183">
            <v>2142.25</v>
          </cell>
          <cell r="CJ183">
            <v>0</v>
          </cell>
          <cell r="CK183">
            <v>0</v>
          </cell>
          <cell r="CL183">
            <v>0</v>
          </cell>
          <cell r="CM183">
            <v>0</v>
          </cell>
          <cell r="CN183">
            <v>0</v>
          </cell>
          <cell r="CO183">
            <v>0</v>
          </cell>
          <cell r="CX183">
            <v>0</v>
          </cell>
          <cell r="CY183">
            <v>0</v>
          </cell>
          <cell r="DB183">
            <v>0</v>
          </cell>
          <cell r="DC183">
            <v>0</v>
          </cell>
          <cell r="DJ183" t="str">
            <v>НКРКП</v>
          </cell>
          <cell r="DL183">
            <v>40836</v>
          </cell>
          <cell r="DM183">
            <v>214</v>
          </cell>
          <cell r="DT183">
            <v>823.71</v>
          </cell>
        </row>
        <row r="184">
          <cell r="W184">
            <v>556.15</v>
          </cell>
          <cell r="AF184">
            <v>39560</v>
          </cell>
          <cell r="AG184">
            <v>49</v>
          </cell>
          <cell r="AH184">
            <v>552.74630634705261</v>
          </cell>
          <cell r="AM184">
            <v>5306.4</v>
          </cell>
          <cell r="AO184">
            <v>2951154.36</v>
          </cell>
          <cell r="AQ184">
            <v>2933093</v>
          </cell>
          <cell r="AU184">
            <v>0</v>
          </cell>
          <cell r="AW184">
            <v>0</v>
          </cell>
          <cell r="AY184">
            <v>2018642.1749999998</v>
          </cell>
          <cell r="AZ184">
            <v>380.41651119402985</v>
          </cell>
          <cell r="BA184">
            <v>0</v>
          </cell>
          <cell r="BB184">
            <v>0</v>
          </cell>
          <cell r="BC184">
            <v>0</v>
          </cell>
          <cell r="BD184">
            <v>0</v>
          </cell>
          <cell r="BG184">
            <v>0</v>
          </cell>
          <cell r="BH184">
            <v>0</v>
          </cell>
          <cell r="BI184">
            <v>129088</v>
          </cell>
          <cell r="BJ184">
            <v>24.326850595507313</v>
          </cell>
          <cell r="BK184">
            <v>0</v>
          </cell>
          <cell r="BL184">
            <v>0</v>
          </cell>
          <cell r="BM184">
            <v>497846</v>
          </cell>
          <cell r="BN184">
            <v>93.819915573646924</v>
          </cell>
          <cell r="BO184">
            <v>0</v>
          </cell>
          <cell r="BP184">
            <v>0</v>
          </cell>
          <cell r="BY184">
            <v>1441.86</v>
          </cell>
          <cell r="CF184">
            <v>942.3</v>
          </cell>
          <cell r="CG184">
            <v>2142.25</v>
          </cell>
          <cell r="CJ184">
            <v>0</v>
          </cell>
          <cell r="CK184">
            <v>0</v>
          </cell>
          <cell r="CL184">
            <v>0</v>
          </cell>
          <cell r="CM184">
            <v>0</v>
          </cell>
          <cell r="CN184">
            <v>0</v>
          </cell>
          <cell r="CO184">
            <v>0</v>
          </cell>
          <cell r="CX184">
            <v>0</v>
          </cell>
          <cell r="CY184">
            <v>0</v>
          </cell>
          <cell r="DB184">
            <v>0</v>
          </cell>
          <cell r="DC184">
            <v>0</v>
          </cell>
          <cell r="DJ184" t="str">
            <v>НКРКП</v>
          </cell>
          <cell r="DL184">
            <v>40836</v>
          </cell>
          <cell r="DM184">
            <v>214</v>
          </cell>
          <cell r="DT184">
            <v>842.03</v>
          </cell>
        </row>
        <row r="185">
          <cell r="W185">
            <v>257.94</v>
          </cell>
          <cell r="AF185">
            <v>39731</v>
          </cell>
          <cell r="AG185">
            <v>407</v>
          </cell>
          <cell r="AH185">
            <v>245.65846153846155</v>
          </cell>
          <cell r="AM185">
            <v>32500</v>
          </cell>
          <cell r="AO185">
            <v>8383050</v>
          </cell>
          <cell r="AQ185">
            <v>7983900</v>
          </cell>
          <cell r="AU185">
            <v>0</v>
          </cell>
          <cell r="AW185">
            <v>0</v>
          </cell>
          <cell r="AY185">
            <v>3960984.72</v>
          </cell>
          <cell r="AZ185">
            <v>121.87645292307693</v>
          </cell>
          <cell r="BA185">
            <v>0</v>
          </cell>
          <cell r="BB185">
            <v>0</v>
          </cell>
          <cell r="BC185">
            <v>0</v>
          </cell>
          <cell r="BD185">
            <v>0</v>
          </cell>
          <cell r="BG185">
            <v>0</v>
          </cell>
          <cell r="BH185">
            <v>0</v>
          </cell>
          <cell r="BI185">
            <v>488080</v>
          </cell>
          <cell r="BJ185">
            <v>15.017846153846154</v>
          </cell>
          <cell r="BK185">
            <v>0</v>
          </cell>
          <cell r="BL185">
            <v>0</v>
          </cell>
          <cell r="BM185">
            <v>3022320</v>
          </cell>
          <cell r="BN185">
            <v>92.994461538461536</v>
          </cell>
          <cell r="BO185">
            <v>0</v>
          </cell>
          <cell r="BP185">
            <v>0</v>
          </cell>
          <cell r="BY185">
            <v>2080</v>
          </cell>
          <cell r="CF185">
            <v>5446</v>
          </cell>
          <cell r="CG185">
            <v>727.32</v>
          </cell>
          <cell r="CJ185">
            <v>0</v>
          </cell>
          <cell r="CK185">
            <v>0</v>
          </cell>
          <cell r="CL185">
            <v>0</v>
          </cell>
          <cell r="CM185">
            <v>0</v>
          </cell>
          <cell r="CN185">
            <v>0</v>
          </cell>
          <cell r="CO185">
            <v>0</v>
          </cell>
          <cell r="CX185">
            <v>0</v>
          </cell>
          <cell r="CY185">
            <v>0</v>
          </cell>
          <cell r="DB185">
            <v>0</v>
          </cell>
          <cell r="DC185">
            <v>0</v>
          </cell>
          <cell r="DJ185" t="str">
            <v>НКРЕ</v>
          </cell>
          <cell r="DL185">
            <v>40526</v>
          </cell>
          <cell r="DM185">
            <v>1784</v>
          </cell>
          <cell r="DO185" t="str">
            <v>Тариф на теплову енергію для населення</v>
          </cell>
          <cell r="DT185">
            <v>283.73</v>
          </cell>
        </row>
        <row r="186">
          <cell r="W186">
            <v>571.38</v>
          </cell>
          <cell r="AF186">
            <v>39854</v>
          </cell>
          <cell r="AG186">
            <v>43</v>
          </cell>
          <cell r="AH186">
            <v>487.14890109890109</v>
          </cell>
          <cell r="AM186">
            <v>9100</v>
          </cell>
          <cell r="AO186">
            <v>5199558</v>
          </cell>
          <cell r="AQ186">
            <v>4433055</v>
          </cell>
          <cell r="AU186">
            <v>0</v>
          </cell>
          <cell r="AW186">
            <v>0</v>
          </cell>
          <cell r="AY186">
            <v>3277948.5359999998</v>
          </cell>
          <cell r="AZ186">
            <v>360.2141248351648</v>
          </cell>
          <cell r="BA186">
            <v>0</v>
          </cell>
          <cell r="BB186">
            <v>0</v>
          </cell>
          <cell r="BC186">
            <v>0</v>
          </cell>
          <cell r="BD186">
            <v>0</v>
          </cell>
          <cell r="BG186">
            <v>0</v>
          </cell>
          <cell r="BH186">
            <v>0</v>
          </cell>
          <cell r="BI186">
            <v>149637</v>
          </cell>
          <cell r="BJ186">
            <v>16.443626373626373</v>
          </cell>
          <cell r="BK186">
            <v>0</v>
          </cell>
          <cell r="BL186">
            <v>0</v>
          </cell>
          <cell r="BM186">
            <v>848869</v>
          </cell>
          <cell r="BN186">
            <v>93.282307692307697</v>
          </cell>
          <cell r="BO186">
            <v>0</v>
          </cell>
          <cell r="BP186">
            <v>0</v>
          </cell>
          <cell r="BY186">
            <v>2080</v>
          </cell>
          <cell r="CF186">
            <v>1530.15</v>
          </cell>
          <cell r="CG186">
            <v>2142.2399999999998</v>
          </cell>
          <cell r="CJ186">
            <v>0</v>
          </cell>
          <cell r="CK186">
            <v>0</v>
          </cell>
          <cell r="CL186">
            <v>0</v>
          </cell>
          <cell r="CM186">
            <v>0</v>
          </cell>
          <cell r="CN186">
            <v>0</v>
          </cell>
          <cell r="CO186">
            <v>0</v>
          </cell>
          <cell r="CX186">
            <v>0</v>
          </cell>
          <cell r="CY186">
            <v>0</v>
          </cell>
          <cell r="DB186">
            <v>0</v>
          </cell>
          <cell r="DC186">
            <v>0</v>
          </cell>
          <cell r="DJ186" t="str">
            <v>НКРКП</v>
          </cell>
          <cell r="DL186">
            <v>40816</v>
          </cell>
          <cell r="DM186">
            <v>68</v>
          </cell>
          <cell r="DT186">
            <v>841.94</v>
          </cell>
        </row>
        <row r="187">
          <cell r="W187">
            <v>571.38</v>
          </cell>
          <cell r="AF187">
            <v>39854</v>
          </cell>
          <cell r="AG187">
            <v>43</v>
          </cell>
          <cell r="AH187">
            <v>487.15</v>
          </cell>
          <cell r="AM187">
            <v>1700</v>
          </cell>
          <cell r="AO187">
            <v>971346</v>
          </cell>
          <cell r="AQ187">
            <v>828155</v>
          </cell>
          <cell r="AU187">
            <v>0</v>
          </cell>
          <cell r="AW187">
            <v>0</v>
          </cell>
          <cell r="AY187">
            <v>612359.304</v>
          </cell>
          <cell r="AZ187">
            <v>360.21135529411765</v>
          </cell>
          <cell r="BA187">
            <v>0</v>
          </cell>
          <cell r="BB187">
            <v>0</v>
          </cell>
          <cell r="BC187">
            <v>0</v>
          </cell>
          <cell r="BD187">
            <v>0</v>
          </cell>
          <cell r="BG187">
            <v>0</v>
          </cell>
          <cell r="BH187">
            <v>0</v>
          </cell>
          <cell r="BI187">
            <v>27953</v>
          </cell>
          <cell r="BJ187">
            <v>16.442941176470587</v>
          </cell>
          <cell r="BK187">
            <v>0</v>
          </cell>
          <cell r="BL187">
            <v>0</v>
          </cell>
          <cell r="BM187">
            <v>158571</v>
          </cell>
          <cell r="BN187">
            <v>93.277058823529416</v>
          </cell>
          <cell r="BO187">
            <v>0</v>
          </cell>
          <cell r="BP187">
            <v>0</v>
          </cell>
          <cell r="BY187">
            <v>2080</v>
          </cell>
          <cell r="CF187">
            <v>285.85000000000002</v>
          </cell>
          <cell r="CG187">
            <v>2142.2399999999998</v>
          </cell>
          <cell r="CJ187">
            <v>0</v>
          </cell>
          <cell r="CK187">
            <v>0</v>
          </cell>
          <cell r="CL187">
            <v>0</v>
          </cell>
          <cell r="CM187">
            <v>0</v>
          </cell>
          <cell r="CN187">
            <v>0</v>
          </cell>
          <cell r="CO187">
            <v>0</v>
          </cell>
          <cell r="CX187">
            <v>0</v>
          </cell>
          <cell r="CY187">
            <v>0</v>
          </cell>
          <cell r="DB187">
            <v>0</v>
          </cell>
          <cell r="DC187">
            <v>0</v>
          </cell>
          <cell r="DJ187" t="str">
            <v>НКРКП</v>
          </cell>
          <cell r="DL187">
            <v>40816</v>
          </cell>
          <cell r="DM187">
            <v>68</v>
          </cell>
          <cell r="DT187">
            <v>841.94</v>
          </cell>
        </row>
        <row r="188">
          <cell r="W188">
            <v>216.808333333333</v>
          </cell>
          <cell r="AF188">
            <v>39735</v>
          </cell>
          <cell r="AG188">
            <v>184</v>
          </cell>
          <cell r="AH188">
            <v>210.49648555208074</v>
          </cell>
          <cell r="AM188">
            <v>66670.5</v>
          </cell>
          <cell r="AO188">
            <v>14454719.987499978</v>
          </cell>
          <cell r="AQ188">
            <v>14033905.939999999</v>
          </cell>
          <cell r="AU188">
            <v>0</v>
          </cell>
          <cell r="AW188">
            <v>0</v>
          </cell>
          <cell r="AY188">
            <v>7677264.1600000011</v>
          </cell>
          <cell r="AZ188">
            <v>115.15234114038445</v>
          </cell>
          <cell r="BA188">
            <v>0</v>
          </cell>
          <cell r="BB188">
            <v>0</v>
          </cell>
          <cell r="BC188">
            <v>0</v>
          </cell>
          <cell r="BD188">
            <v>0</v>
          </cell>
          <cell r="BG188">
            <v>0</v>
          </cell>
          <cell r="BH188">
            <v>0</v>
          </cell>
          <cell r="BI188">
            <v>1301815.3500000001</v>
          </cell>
          <cell r="BJ188">
            <v>19.526107498818821</v>
          </cell>
          <cell r="BK188">
            <v>0</v>
          </cell>
          <cell r="BL188">
            <v>0</v>
          </cell>
          <cell r="BM188">
            <v>3933891.3</v>
          </cell>
          <cell r="BN188">
            <v>59.00497671383895</v>
          </cell>
          <cell r="BO188">
            <v>0</v>
          </cell>
          <cell r="BP188">
            <v>0</v>
          </cell>
          <cell r="BY188">
            <v>1570</v>
          </cell>
          <cell r="CF188">
            <v>10555.600002034878</v>
          </cell>
          <cell r="CG188">
            <v>727.31669999999997</v>
          </cell>
          <cell r="CJ188">
            <v>0</v>
          </cell>
          <cell r="CK188">
            <v>0</v>
          </cell>
          <cell r="CL188">
            <v>0</v>
          </cell>
          <cell r="CM188">
            <v>0</v>
          </cell>
          <cell r="CN188">
            <v>0</v>
          </cell>
          <cell r="CO188">
            <v>0</v>
          </cell>
          <cell r="CX188">
            <v>0</v>
          </cell>
          <cell r="CY188">
            <v>0</v>
          </cell>
          <cell r="DB188">
            <v>0</v>
          </cell>
          <cell r="DC188">
            <v>0</v>
          </cell>
          <cell r="DJ188" t="str">
            <v>НКРЕ</v>
          </cell>
          <cell r="DL188">
            <v>40526</v>
          </cell>
          <cell r="DM188">
            <v>1778</v>
          </cell>
          <cell r="DO188" t="str">
            <v>тариф на теплову енергію</v>
          </cell>
          <cell r="DT188">
            <v>238.49</v>
          </cell>
        </row>
        <row r="189">
          <cell r="W189">
            <v>538</v>
          </cell>
          <cell r="AF189">
            <v>39861</v>
          </cell>
          <cell r="AG189">
            <v>24</v>
          </cell>
          <cell r="AH189">
            <v>437.40402824261213</v>
          </cell>
          <cell r="AM189">
            <v>20706.3</v>
          </cell>
          <cell r="AO189">
            <v>11139989.4</v>
          </cell>
          <cell r="AQ189">
            <v>9057019.0299999993</v>
          </cell>
          <cell r="AU189">
            <v>0</v>
          </cell>
          <cell r="AW189">
            <v>0</v>
          </cell>
          <cell r="AY189">
            <v>7031721.2999999998</v>
          </cell>
          <cell r="AZ189">
            <v>339.59332666869506</v>
          </cell>
          <cell r="BA189">
            <v>0</v>
          </cell>
          <cell r="BB189">
            <v>0</v>
          </cell>
          <cell r="BC189">
            <v>0</v>
          </cell>
          <cell r="BD189">
            <v>0</v>
          </cell>
          <cell r="BG189">
            <v>0</v>
          </cell>
          <cell r="BH189">
            <v>0</v>
          </cell>
          <cell r="BI189">
            <v>469959.94</v>
          </cell>
          <cell r="BJ189">
            <v>22.696471122315433</v>
          </cell>
          <cell r="BK189">
            <v>0</v>
          </cell>
          <cell r="BL189">
            <v>0</v>
          </cell>
          <cell r="BM189">
            <v>1265442.5</v>
          </cell>
          <cell r="BN189">
            <v>61.113888043735486</v>
          </cell>
          <cell r="BO189">
            <v>0</v>
          </cell>
          <cell r="BP189">
            <v>0</v>
          </cell>
          <cell r="BY189">
            <v>1570</v>
          </cell>
          <cell r="CF189">
            <v>3282.3999533201072</v>
          </cell>
          <cell r="CG189">
            <v>2142.25</v>
          </cell>
          <cell r="CJ189">
            <v>0</v>
          </cell>
          <cell r="CK189">
            <v>0</v>
          </cell>
          <cell r="CL189">
            <v>0</v>
          </cell>
          <cell r="CM189">
            <v>0</v>
          </cell>
          <cell r="CN189">
            <v>0</v>
          </cell>
          <cell r="CO189">
            <v>0</v>
          </cell>
          <cell r="CX189">
            <v>0</v>
          </cell>
          <cell r="CY189">
            <v>0</v>
          </cell>
          <cell r="DB189">
            <v>0</v>
          </cell>
          <cell r="DC189">
            <v>0</v>
          </cell>
          <cell r="DJ189" t="str">
            <v>НКРКП</v>
          </cell>
          <cell r="DL189">
            <v>40816</v>
          </cell>
          <cell r="DM189">
            <v>79</v>
          </cell>
          <cell r="DT189">
            <v>793.168457042829</v>
          </cell>
        </row>
        <row r="190">
          <cell r="W190">
            <v>566.68333333333305</v>
          </cell>
          <cell r="AF190">
            <v>39863</v>
          </cell>
          <cell r="AG190">
            <v>30</v>
          </cell>
          <cell r="AH190">
            <v>460.71642547700247</v>
          </cell>
          <cell r="AM190">
            <v>4339.6000000000004</v>
          </cell>
          <cell r="AO190">
            <v>2459178.9933333322</v>
          </cell>
          <cell r="AQ190">
            <v>1999325</v>
          </cell>
          <cell r="AU190">
            <v>0</v>
          </cell>
          <cell r="AW190">
            <v>0</v>
          </cell>
          <cell r="AY190">
            <v>1506770.78</v>
          </cell>
          <cell r="AZ190">
            <v>347.21420868282792</v>
          </cell>
          <cell r="BA190">
            <v>0</v>
          </cell>
          <cell r="BB190">
            <v>0</v>
          </cell>
          <cell r="BC190">
            <v>0</v>
          </cell>
          <cell r="BD190">
            <v>0</v>
          </cell>
          <cell r="BG190">
            <v>0</v>
          </cell>
          <cell r="BH190">
            <v>0</v>
          </cell>
          <cell r="BI190">
            <v>103064.98</v>
          </cell>
          <cell r="BJ190">
            <v>23.749880173287856</v>
          </cell>
          <cell r="BK190">
            <v>0</v>
          </cell>
          <cell r="BL190">
            <v>0</v>
          </cell>
          <cell r="BM190">
            <v>302607.8</v>
          </cell>
          <cell r="BN190">
            <v>69.731726426398737</v>
          </cell>
          <cell r="BO190">
            <v>0</v>
          </cell>
          <cell r="BP190">
            <v>0</v>
          </cell>
          <cell r="BY190">
            <v>1570</v>
          </cell>
          <cell r="CF190">
            <v>691.10000229331501</v>
          </cell>
          <cell r="CG190">
            <v>2180.25</v>
          </cell>
          <cell r="CJ190">
            <v>0</v>
          </cell>
          <cell r="CK190">
            <v>0</v>
          </cell>
          <cell r="CL190">
            <v>0</v>
          </cell>
          <cell r="CM190">
            <v>0</v>
          </cell>
          <cell r="CN190">
            <v>0</v>
          </cell>
          <cell r="CO190">
            <v>0</v>
          </cell>
          <cell r="CX190">
            <v>0</v>
          </cell>
          <cell r="CY190">
            <v>0</v>
          </cell>
          <cell r="DB190">
            <v>0</v>
          </cell>
          <cell r="DC190">
            <v>0</v>
          </cell>
          <cell r="DJ190" t="str">
            <v>НКРКП</v>
          </cell>
          <cell r="DL190">
            <v>40816</v>
          </cell>
          <cell r="DM190">
            <v>79</v>
          </cell>
          <cell r="DT190">
            <v>816.97537204448997</v>
          </cell>
        </row>
        <row r="191">
          <cell r="W191">
            <v>217.73333</v>
          </cell>
          <cell r="AF191">
            <v>39720</v>
          </cell>
          <cell r="AG191">
            <v>339</v>
          </cell>
          <cell r="AH191">
            <v>217.73079556932768</v>
          </cell>
          <cell r="AM191">
            <v>116822</v>
          </cell>
          <cell r="AO191">
            <v>25436043.077259999</v>
          </cell>
          <cell r="AQ191">
            <v>25435747</v>
          </cell>
          <cell r="AU191">
            <v>0</v>
          </cell>
          <cell r="AW191">
            <v>0</v>
          </cell>
          <cell r="AY191">
            <v>13054042.958000001</v>
          </cell>
          <cell r="AZ191">
            <v>111.74301893478969</v>
          </cell>
          <cell r="BA191">
            <v>0</v>
          </cell>
          <cell r="BB191">
            <v>0</v>
          </cell>
          <cell r="BC191">
            <v>0</v>
          </cell>
          <cell r="BD191">
            <v>0</v>
          </cell>
          <cell r="BG191">
            <v>0</v>
          </cell>
          <cell r="BH191">
            <v>0</v>
          </cell>
          <cell r="BI191">
            <v>3257751</v>
          </cell>
          <cell r="BJ191">
            <v>27.886451182140352</v>
          </cell>
          <cell r="BK191">
            <v>0</v>
          </cell>
          <cell r="BL191">
            <v>0</v>
          </cell>
          <cell r="BM191">
            <v>6260944</v>
          </cell>
          <cell r="BN191">
            <v>53.593877865470546</v>
          </cell>
          <cell r="BO191">
            <v>0</v>
          </cell>
          <cell r="BP191">
            <v>0</v>
          </cell>
          <cell r="BY191">
            <v>1819.07</v>
          </cell>
          <cell r="CF191">
            <v>18094</v>
          </cell>
          <cell r="CG191">
            <v>721.45699999999999</v>
          </cell>
          <cell r="CJ191">
            <v>0</v>
          </cell>
          <cell r="CK191">
            <v>0</v>
          </cell>
          <cell r="CL191">
            <v>0</v>
          </cell>
          <cell r="CM191">
            <v>0</v>
          </cell>
          <cell r="CN191">
            <v>0</v>
          </cell>
          <cell r="CO191">
            <v>0</v>
          </cell>
          <cell r="CX191">
            <v>0</v>
          </cell>
          <cell r="CY191">
            <v>0</v>
          </cell>
          <cell r="DB191">
            <v>0</v>
          </cell>
          <cell r="DC191">
            <v>0</v>
          </cell>
          <cell r="DJ191" t="str">
            <v>НКРЕ</v>
          </cell>
          <cell r="DL191">
            <v>40526</v>
          </cell>
          <cell r="DM191">
            <v>1790</v>
          </cell>
          <cell r="DO191" t="str">
            <v>тариф на теплову енергію</v>
          </cell>
          <cell r="DT191">
            <v>239.5</v>
          </cell>
        </row>
        <row r="192">
          <cell r="W192">
            <v>542.85</v>
          </cell>
          <cell r="AF192">
            <v>40081</v>
          </cell>
          <cell r="AG192">
            <v>395</v>
          </cell>
          <cell r="AH192">
            <v>472.04292787504465</v>
          </cell>
          <cell r="AM192">
            <v>19591</v>
          </cell>
          <cell r="AO192">
            <v>10634974.35</v>
          </cell>
          <cell r="AQ192">
            <v>9247793</v>
          </cell>
          <cell r="AU192">
            <v>0</v>
          </cell>
          <cell r="AW192">
            <v>0</v>
          </cell>
          <cell r="AY192">
            <v>6636705</v>
          </cell>
          <cell r="AZ192">
            <v>338.76295237609105</v>
          </cell>
          <cell r="BA192">
            <v>88751</v>
          </cell>
          <cell r="BB192">
            <v>4.5301924353019247</v>
          </cell>
          <cell r="BC192">
            <v>0</v>
          </cell>
          <cell r="BD192">
            <v>0</v>
          </cell>
          <cell r="BG192">
            <v>0</v>
          </cell>
          <cell r="BH192">
            <v>0</v>
          </cell>
          <cell r="BI192">
            <v>641837</v>
          </cell>
          <cell r="BJ192">
            <v>32.761829411464447</v>
          </cell>
          <cell r="BK192">
            <v>0</v>
          </cell>
          <cell r="BL192">
            <v>0</v>
          </cell>
          <cell r="BM192">
            <v>1162331</v>
          </cell>
          <cell r="BN192">
            <v>59.329845337144604</v>
          </cell>
          <cell r="BO192">
            <v>0</v>
          </cell>
          <cell r="BP192">
            <v>0</v>
          </cell>
          <cell r="BY192">
            <v>2064.14</v>
          </cell>
          <cell r="CF192">
            <v>3040.6499408978038</v>
          </cell>
          <cell r="CG192">
            <v>2182.66</v>
          </cell>
          <cell r="CJ192">
            <v>0</v>
          </cell>
          <cell r="CK192">
            <v>0</v>
          </cell>
          <cell r="CL192">
            <v>0</v>
          </cell>
          <cell r="CM192">
            <v>0</v>
          </cell>
          <cell r="CN192">
            <v>0</v>
          </cell>
          <cell r="CO192">
            <v>0</v>
          </cell>
          <cell r="CX192">
            <v>0</v>
          </cell>
          <cell r="CY192">
            <v>0</v>
          </cell>
          <cell r="DB192">
            <v>0</v>
          </cell>
          <cell r="DC192">
            <v>0</v>
          </cell>
          <cell r="DJ192" t="str">
            <v>НКРКП</v>
          </cell>
          <cell r="DL192">
            <v>40816</v>
          </cell>
          <cell r="DM192">
            <v>63</v>
          </cell>
          <cell r="DT192">
            <v>786.41</v>
          </cell>
        </row>
        <row r="193">
          <cell r="W193">
            <v>708.06665999999996</v>
          </cell>
          <cell r="AF193">
            <v>40081</v>
          </cell>
          <cell r="AG193">
            <v>396</v>
          </cell>
          <cell r="AH193">
            <v>472.04292682926831</v>
          </cell>
          <cell r="AM193">
            <v>4100</v>
          </cell>
          <cell r="AO193">
            <v>2903073.3059999999</v>
          </cell>
          <cell r="AQ193">
            <v>1935376</v>
          </cell>
          <cell r="AU193">
            <v>0</v>
          </cell>
          <cell r="AW193">
            <v>0</v>
          </cell>
          <cell r="AY193">
            <v>1388936</v>
          </cell>
          <cell r="AZ193">
            <v>338.76487804878047</v>
          </cell>
          <cell r="BA193">
            <v>18574</v>
          </cell>
          <cell r="BB193">
            <v>4.5302439024390244</v>
          </cell>
          <cell r="BC193">
            <v>0</v>
          </cell>
          <cell r="BD193">
            <v>0</v>
          </cell>
          <cell r="BG193">
            <v>0</v>
          </cell>
          <cell r="BH193">
            <v>0</v>
          </cell>
          <cell r="BI193">
            <v>134324</v>
          </cell>
          <cell r="BJ193">
            <v>32.761951219512198</v>
          </cell>
          <cell r="BK193">
            <v>0</v>
          </cell>
          <cell r="BL193">
            <v>0</v>
          </cell>
          <cell r="BM193">
            <v>243252</v>
          </cell>
          <cell r="BN193">
            <v>59.329756097560974</v>
          </cell>
          <cell r="BO193">
            <v>0</v>
          </cell>
          <cell r="BP193">
            <v>0</v>
          </cell>
          <cell r="BY193">
            <v>2064.14</v>
          </cell>
          <cell r="CF193">
            <v>636.35014157037745</v>
          </cell>
          <cell r="CG193">
            <v>2182.66</v>
          </cell>
          <cell r="CJ193">
            <v>0</v>
          </cell>
          <cell r="CK193">
            <v>0</v>
          </cell>
          <cell r="CL193">
            <v>0</v>
          </cell>
          <cell r="CM193">
            <v>0</v>
          </cell>
          <cell r="CN193">
            <v>0</v>
          </cell>
          <cell r="CO193">
            <v>0</v>
          </cell>
          <cell r="CX193">
            <v>0</v>
          </cell>
          <cell r="CY193">
            <v>0</v>
          </cell>
          <cell r="DB193">
            <v>0</v>
          </cell>
          <cell r="DC193">
            <v>0</v>
          </cell>
          <cell r="DJ193" t="str">
            <v>НКРКП</v>
          </cell>
          <cell r="DL193">
            <v>40816</v>
          </cell>
          <cell r="DM193">
            <v>63</v>
          </cell>
          <cell r="DT193">
            <v>951.63</v>
          </cell>
        </row>
        <row r="194">
          <cell r="W194">
            <v>195.77</v>
          </cell>
          <cell r="AF194">
            <v>40137</v>
          </cell>
          <cell r="AG194">
            <v>264</v>
          </cell>
          <cell r="AH194">
            <v>191.91080248216471</v>
          </cell>
          <cell r="AM194">
            <v>94756</v>
          </cell>
          <cell r="AO194">
            <v>18550382.120000001</v>
          </cell>
          <cell r="AQ194">
            <v>18184700</v>
          </cell>
          <cell r="AU194">
            <v>15319798.560000001</v>
          </cell>
          <cell r="AW194">
            <v>0</v>
          </cell>
          <cell r="AY194">
            <v>0</v>
          </cell>
          <cell r="AZ194">
            <v>0</v>
          </cell>
          <cell r="BA194">
            <v>0</v>
          </cell>
          <cell r="BB194">
            <v>0</v>
          </cell>
          <cell r="BC194">
            <v>0</v>
          </cell>
          <cell r="BD194">
            <v>0</v>
          </cell>
          <cell r="BG194">
            <v>0</v>
          </cell>
          <cell r="BH194">
            <v>0</v>
          </cell>
          <cell r="BI194">
            <v>163738</v>
          </cell>
          <cell r="BJ194">
            <v>1.7279961163409177</v>
          </cell>
          <cell r="BK194">
            <v>0</v>
          </cell>
          <cell r="BL194">
            <v>0</v>
          </cell>
          <cell r="BM194">
            <v>1300102</v>
          </cell>
          <cell r="BN194">
            <v>13.720524293976107</v>
          </cell>
          <cell r="BO194">
            <v>0</v>
          </cell>
          <cell r="BP194">
            <v>0</v>
          </cell>
          <cell r="BY194">
            <v>2617.59</v>
          </cell>
          <cell r="CF194">
            <v>0</v>
          </cell>
          <cell r="CG194">
            <v>0</v>
          </cell>
          <cell r="CJ194">
            <v>116838</v>
          </cell>
          <cell r="CK194">
            <v>131.12</v>
          </cell>
          <cell r="CL194">
            <v>206.06</v>
          </cell>
          <cell r="CM194">
            <v>0</v>
          </cell>
          <cell r="CN194">
            <v>0</v>
          </cell>
          <cell r="CO194">
            <v>0</v>
          </cell>
          <cell r="CX194">
            <v>0</v>
          </cell>
          <cell r="CY194">
            <v>0</v>
          </cell>
          <cell r="DB194">
            <v>0</v>
          </cell>
          <cell r="DC194">
            <v>0</v>
          </cell>
          <cell r="DJ194" t="str">
            <v>НКРЕ</v>
          </cell>
          <cell r="DL194">
            <v>40526</v>
          </cell>
          <cell r="DM194">
            <v>1727</v>
          </cell>
          <cell r="DO194" t="str">
            <v>тариф на теплову енергію</v>
          </cell>
          <cell r="DT194">
            <v>244.71</v>
          </cell>
        </row>
        <row r="195">
          <cell r="W195">
            <v>462.58</v>
          </cell>
          <cell r="AF195">
            <v>40137</v>
          </cell>
          <cell r="AG195">
            <v>265</v>
          </cell>
          <cell r="AH195">
            <v>402.26553117152525</v>
          </cell>
          <cell r="AM195">
            <v>18318</v>
          </cell>
          <cell r="AO195">
            <v>8473540.4399999995</v>
          </cell>
          <cell r="AQ195">
            <v>7368700</v>
          </cell>
          <cell r="AU195">
            <v>6814949.6400000006</v>
          </cell>
          <cell r="AW195">
            <v>0</v>
          </cell>
          <cell r="AY195">
            <v>0</v>
          </cell>
          <cell r="AZ195">
            <v>0</v>
          </cell>
          <cell r="BA195">
            <v>0</v>
          </cell>
          <cell r="BB195">
            <v>0</v>
          </cell>
          <cell r="BC195">
            <v>0</v>
          </cell>
          <cell r="BD195">
            <v>0</v>
          </cell>
          <cell r="BG195">
            <v>0</v>
          </cell>
          <cell r="BH195">
            <v>0</v>
          </cell>
          <cell r="BI195">
            <v>31635</v>
          </cell>
          <cell r="BJ195">
            <v>1.7269898460530626</v>
          </cell>
          <cell r="BK195">
            <v>0</v>
          </cell>
          <cell r="BL195">
            <v>0</v>
          </cell>
          <cell r="BM195">
            <v>251332</v>
          </cell>
          <cell r="BN195">
            <v>13.720493503657604</v>
          </cell>
          <cell r="BO195">
            <v>0</v>
          </cell>
          <cell r="BP195">
            <v>0</v>
          </cell>
          <cell r="BY195">
            <v>2617.59</v>
          </cell>
          <cell r="CF195">
            <v>0</v>
          </cell>
          <cell r="CG195">
            <v>0</v>
          </cell>
          <cell r="CJ195">
            <v>22587</v>
          </cell>
          <cell r="CK195">
            <v>301.72000000000003</v>
          </cell>
          <cell r="CL195">
            <v>590.24</v>
          </cell>
          <cell r="CM195">
            <v>0</v>
          </cell>
          <cell r="CN195">
            <v>0</v>
          </cell>
          <cell r="CO195">
            <v>0</v>
          </cell>
          <cell r="CX195">
            <v>0</v>
          </cell>
          <cell r="CY195">
            <v>0</v>
          </cell>
          <cell r="DB195">
            <v>0</v>
          </cell>
          <cell r="DC195">
            <v>0</v>
          </cell>
          <cell r="DJ195" t="str">
            <v>НКРКП</v>
          </cell>
          <cell r="DL195">
            <v>40816</v>
          </cell>
          <cell r="DM195">
            <v>139</v>
          </cell>
          <cell r="DT195">
            <v>714.22</v>
          </cell>
        </row>
        <row r="196">
          <cell r="W196">
            <v>493.98</v>
          </cell>
          <cell r="AF196">
            <v>40137</v>
          </cell>
          <cell r="AG196">
            <v>266</v>
          </cell>
          <cell r="AH196">
            <v>402.26592867059173</v>
          </cell>
          <cell r="AM196">
            <v>18713.740000000002</v>
          </cell>
          <cell r="AO196">
            <v>9244213.2852000017</v>
          </cell>
          <cell r="AQ196">
            <v>7527900</v>
          </cell>
          <cell r="AU196">
            <v>6962189.0000000009</v>
          </cell>
          <cell r="AW196">
            <v>0</v>
          </cell>
          <cell r="AY196">
            <v>0</v>
          </cell>
          <cell r="AZ196">
            <v>0</v>
          </cell>
          <cell r="BA196">
            <v>0</v>
          </cell>
          <cell r="BB196">
            <v>0</v>
          </cell>
          <cell r="BC196">
            <v>0</v>
          </cell>
          <cell r="BD196">
            <v>0</v>
          </cell>
          <cell r="BG196">
            <v>0</v>
          </cell>
          <cell r="BH196">
            <v>0</v>
          </cell>
          <cell r="BI196">
            <v>32319</v>
          </cell>
          <cell r="BJ196">
            <v>1.7270198260743175</v>
          </cell>
          <cell r="BK196">
            <v>0</v>
          </cell>
          <cell r="BL196">
            <v>0</v>
          </cell>
          <cell r="BM196">
            <v>256766</v>
          </cell>
          <cell r="BN196">
            <v>13.72072071109249</v>
          </cell>
          <cell r="BO196">
            <v>0</v>
          </cell>
          <cell r="BP196">
            <v>0</v>
          </cell>
          <cell r="BY196">
            <v>2617.59</v>
          </cell>
          <cell r="CF196">
            <v>0</v>
          </cell>
          <cell r="CG196">
            <v>0</v>
          </cell>
          <cell r="CJ196">
            <v>23075</v>
          </cell>
          <cell r="CK196">
            <v>301.72000000000003</v>
          </cell>
          <cell r="CL196">
            <v>590.24</v>
          </cell>
          <cell r="CM196">
            <v>0</v>
          </cell>
          <cell r="CN196">
            <v>0</v>
          </cell>
          <cell r="CO196">
            <v>0</v>
          </cell>
          <cell r="CX196">
            <v>0</v>
          </cell>
          <cell r="CY196">
            <v>0</v>
          </cell>
          <cell r="DB196">
            <v>0</v>
          </cell>
          <cell r="DC196">
            <v>0</v>
          </cell>
          <cell r="DJ196" t="str">
            <v>НКРКП</v>
          </cell>
          <cell r="DL196">
            <v>40816</v>
          </cell>
          <cell r="DM196">
            <v>139</v>
          </cell>
          <cell r="DT196">
            <v>745.61</v>
          </cell>
        </row>
        <row r="197">
          <cell r="W197">
            <v>172.83</v>
          </cell>
          <cell r="AF197">
            <v>39612</v>
          </cell>
          <cell r="AG197">
            <v>162</v>
          </cell>
          <cell r="AH197">
            <v>172.83012069897316</v>
          </cell>
          <cell r="AM197">
            <v>116571</v>
          </cell>
          <cell r="AO197">
            <v>20146965.93</v>
          </cell>
          <cell r="AQ197">
            <v>20146980</v>
          </cell>
          <cell r="AU197">
            <v>0</v>
          </cell>
          <cell r="AW197">
            <v>7643834.0999999996</v>
          </cell>
          <cell r="AY197">
            <v>5114502.9935010001</v>
          </cell>
          <cell r="AZ197">
            <v>43.874574238026611</v>
          </cell>
          <cell r="BA197">
            <v>0</v>
          </cell>
          <cell r="BB197">
            <v>0</v>
          </cell>
          <cell r="BC197">
            <v>0</v>
          </cell>
          <cell r="BD197">
            <v>0</v>
          </cell>
          <cell r="BG197">
            <v>0</v>
          </cell>
          <cell r="BH197">
            <v>0</v>
          </cell>
          <cell r="BI197">
            <v>809056.61157024791</v>
          </cell>
          <cell r="BJ197">
            <v>6.9404621352673299</v>
          </cell>
          <cell r="BK197">
            <v>0</v>
          </cell>
          <cell r="BL197">
            <v>0</v>
          </cell>
          <cell r="BM197">
            <v>3363614.3595041325</v>
          </cell>
          <cell r="BN197">
            <v>28.854641029965709</v>
          </cell>
          <cell r="BO197">
            <v>0</v>
          </cell>
          <cell r="BP197">
            <v>0</v>
          </cell>
          <cell r="BY197">
            <v>1340</v>
          </cell>
          <cell r="CF197">
            <v>8946.6003000000001</v>
          </cell>
          <cell r="CG197">
            <v>571.66999999999996</v>
          </cell>
          <cell r="CJ197">
            <v>0</v>
          </cell>
          <cell r="CK197">
            <v>0</v>
          </cell>
          <cell r="CL197">
            <v>0</v>
          </cell>
          <cell r="CM197">
            <v>71371</v>
          </cell>
          <cell r="CN197">
            <v>107.1</v>
          </cell>
          <cell r="CO197">
            <v>191.23</v>
          </cell>
          <cell r="CX197">
            <v>0</v>
          </cell>
          <cell r="CY197">
            <v>0</v>
          </cell>
          <cell r="DB197">
            <v>0</v>
          </cell>
          <cell r="DC197">
            <v>0</v>
          </cell>
          <cell r="DJ197" t="str">
            <v>НКРЕ</v>
          </cell>
          <cell r="DL197">
            <v>40526</v>
          </cell>
          <cell r="DM197">
            <v>1811</v>
          </cell>
          <cell r="DO197" t="str">
            <v>тариф на теплову енергію</v>
          </cell>
          <cell r="DT197">
            <v>216.04</v>
          </cell>
        </row>
        <row r="198">
          <cell r="W198">
            <v>350.31</v>
          </cell>
          <cell r="AF198">
            <v>39612</v>
          </cell>
          <cell r="AG198">
            <v>163</v>
          </cell>
          <cell r="AH198">
            <v>255.69516407599309</v>
          </cell>
          <cell r="AM198">
            <v>18528</v>
          </cell>
          <cell r="AO198">
            <v>6490543.6799999997</v>
          </cell>
          <cell r="AQ198">
            <v>4737520</v>
          </cell>
          <cell r="AU198">
            <v>0</v>
          </cell>
          <cell r="AW198">
            <v>2883184.984962</v>
          </cell>
          <cell r="AY198">
            <v>854643</v>
          </cell>
          <cell r="AZ198">
            <v>46.127104922279791</v>
          </cell>
          <cell r="BA198">
            <v>0</v>
          </cell>
          <cell r="BB198">
            <v>0</v>
          </cell>
          <cell r="BC198">
            <v>0</v>
          </cell>
          <cell r="BD198">
            <v>0</v>
          </cell>
          <cell r="BG198">
            <v>0</v>
          </cell>
          <cell r="BH198">
            <v>0</v>
          </cell>
          <cell r="BI198">
            <v>128592.88244223311</v>
          </cell>
          <cell r="BJ198">
            <v>6.9404621352673308</v>
          </cell>
          <cell r="BK198">
            <v>0</v>
          </cell>
          <cell r="BL198">
            <v>0</v>
          </cell>
          <cell r="BM198">
            <v>534618.78900320467</v>
          </cell>
          <cell r="BN198">
            <v>28.854641029965709</v>
          </cell>
          <cell r="BO198">
            <v>0</v>
          </cell>
          <cell r="BP198">
            <v>0</v>
          </cell>
          <cell r="BY198">
            <v>1340</v>
          </cell>
          <cell r="CF198">
            <v>772.87303309820948</v>
          </cell>
          <cell r="CG198">
            <v>1105.8</v>
          </cell>
          <cell r="CJ198">
            <v>0</v>
          </cell>
          <cell r="CK198">
            <v>0</v>
          </cell>
          <cell r="CL198">
            <v>0</v>
          </cell>
          <cell r="CM198">
            <v>15321.420899999999</v>
          </cell>
          <cell r="CN198">
            <v>188.18</v>
          </cell>
          <cell r="CO198">
            <v>561.30999999999995</v>
          </cell>
          <cell r="CX198">
            <v>0</v>
          </cell>
          <cell r="CY198">
            <v>0</v>
          </cell>
          <cell r="DB198">
            <v>0</v>
          </cell>
          <cell r="DC198">
            <v>0</v>
          </cell>
          <cell r="DJ198" t="str">
            <v>НКРКП</v>
          </cell>
          <cell r="DL198">
            <v>40942</v>
          </cell>
          <cell r="DM198">
            <v>58</v>
          </cell>
          <cell r="DT198">
            <v>813.69</v>
          </cell>
        </row>
        <row r="199">
          <cell r="W199">
            <v>383.55</v>
          </cell>
          <cell r="AF199">
            <v>39612</v>
          </cell>
          <cell r="AG199">
            <v>163</v>
          </cell>
          <cell r="AH199">
            <v>255.69984407244164</v>
          </cell>
          <cell r="AM199">
            <v>7196.5628554652903</v>
          </cell>
          <cell r="AO199">
            <v>2760241.6832137122</v>
          </cell>
          <cell r="AQ199">
            <v>1840160</v>
          </cell>
          <cell r="AU199">
            <v>0</v>
          </cell>
          <cell r="AW199">
            <v>1119893.0524000002</v>
          </cell>
          <cell r="AY199">
            <v>331955.99999999953</v>
          </cell>
          <cell r="AZ199">
            <v>46.127020171567317</v>
          </cell>
          <cell r="BA199">
            <v>0</v>
          </cell>
          <cell r="BB199">
            <v>0</v>
          </cell>
          <cell r="BC199">
            <v>0</v>
          </cell>
          <cell r="BD199">
            <v>0</v>
          </cell>
          <cell r="BG199">
            <v>0</v>
          </cell>
          <cell r="BH199">
            <v>0</v>
          </cell>
          <cell r="BI199">
            <v>49947.625445472797</v>
          </cell>
          <cell r="BJ199">
            <v>6.940483456979889</v>
          </cell>
          <cell r="BK199">
            <v>0</v>
          </cell>
          <cell r="BL199">
            <v>0</v>
          </cell>
          <cell r="BM199">
            <v>207654.875776192</v>
          </cell>
          <cell r="BN199">
            <v>28.854729673971029</v>
          </cell>
          <cell r="BO199">
            <v>0</v>
          </cell>
          <cell r="BP199">
            <v>0</v>
          </cell>
          <cell r="BY199">
            <v>1340</v>
          </cell>
          <cell r="CF199">
            <v>300.195333695062</v>
          </cell>
          <cell r="CG199">
            <v>1105.8</v>
          </cell>
          <cell r="CJ199">
            <v>0</v>
          </cell>
          <cell r="CK199">
            <v>0</v>
          </cell>
          <cell r="CL199">
            <v>0</v>
          </cell>
          <cell r="CM199">
            <v>5951.18</v>
          </cell>
          <cell r="CN199">
            <v>188.18</v>
          </cell>
          <cell r="CO199">
            <v>561.30999999999995</v>
          </cell>
          <cell r="CX199">
            <v>0</v>
          </cell>
          <cell r="CY199">
            <v>0</v>
          </cell>
          <cell r="DB199">
            <v>0</v>
          </cell>
          <cell r="DC199">
            <v>0</v>
          </cell>
          <cell r="DJ199" t="str">
            <v>НКРКП</v>
          </cell>
          <cell r="DL199">
            <v>40942</v>
          </cell>
          <cell r="DM199">
            <v>58</v>
          </cell>
          <cell r="DT199">
            <v>847.01</v>
          </cell>
        </row>
        <row r="200">
          <cell r="W200">
            <v>189.96</v>
          </cell>
          <cell r="AF200">
            <v>39822</v>
          </cell>
          <cell r="AG200">
            <v>172</v>
          </cell>
          <cell r="AH200">
            <v>179.63276791995622</v>
          </cell>
          <cell r="AM200">
            <v>383790</v>
          </cell>
          <cell r="AO200">
            <v>72904748.400000006</v>
          </cell>
          <cell r="AQ200">
            <v>68941260</v>
          </cell>
          <cell r="AU200">
            <v>0</v>
          </cell>
          <cell r="AW200">
            <v>2415749.0000000047</v>
          </cell>
          <cell r="AY200">
            <v>44672522.910660006</v>
          </cell>
          <cell r="AZ200">
            <v>116.39835042773393</v>
          </cell>
          <cell r="BA200">
            <v>0</v>
          </cell>
          <cell r="BB200">
            <v>0</v>
          </cell>
          <cell r="BC200">
            <v>0</v>
          </cell>
          <cell r="BD200">
            <v>0</v>
          </cell>
          <cell r="BG200">
            <v>0</v>
          </cell>
          <cell r="BH200">
            <v>0</v>
          </cell>
          <cell r="BI200">
            <v>2206250</v>
          </cell>
          <cell r="BJ200">
            <v>5.7485864665572315</v>
          </cell>
          <cell r="BK200">
            <v>0</v>
          </cell>
          <cell r="BL200">
            <v>0</v>
          </cell>
          <cell r="BM200">
            <v>16001930</v>
          </cell>
          <cell r="BN200">
            <v>41.694494384950104</v>
          </cell>
          <cell r="BO200">
            <v>0</v>
          </cell>
          <cell r="BP200">
            <v>0</v>
          </cell>
          <cell r="BY200">
            <v>1729</v>
          </cell>
          <cell r="CF200">
            <v>61420.98</v>
          </cell>
          <cell r="CG200">
            <v>727.31700000000001</v>
          </cell>
          <cell r="CJ200">
            <v>0</v>
          </cell>
          <cell r="CK200">
            <v>0</v>
          </cell>
          <cell r="CL200">
            <v>0</v>
          </cell>
          <cell r="CM200">
            <v>14962.8305977083</v>
          </cell>
          <cell r="CN200">
            <v>161.44999999999999</v>
          </cell>
          <cell r="CO200">
            <v>161.44999999999999</v>
          </cell>
          <cell r="CX200">
            <v>0</v>
          </cell>
          <cell r="CY200">
            <v>0</v>
          </cell>
          <cell r="DB200">
            <v>0</v>
          </cell>
          <cell r="DC200">
            <v>0</v>
          </cell>
          <cell r="DJ200" t="str">
            <v>НКРЕ</v>
          </cell>
          <cell r="DL200">
            <v>40526</v>
          </cell>
          <cell r="DM200">
            <v>1738</v>
          </cell>
          <cell r="DO200" t="str">
            <v>тариф на теплову енергію</v>
          </cell>
          <cell r="DT200">
            <v>237.45</v>
          </cell>
        </row>
        <row r="201">
          <cell r="W201">
            <v>465.78</v>
          </cell>
          <cell r="AF201">
            <v>39863</v>
          </cell>
          <cell r="AG201">
            <v>17</v>
          </cell>
          <cell r="AH201">
            <v>405.02016231295966</v>
          </cell>
          <cell r="AM201">
            <v>78860</v>
          </cell>
          <cell r="AO201">
            <v>36731410.799999997</v>
          </cell>
          <cell r="AQ201">
            <v>31939890</v>
          </cell>
          <cell r="AU201">
            <v>0</v>
          </cell>
          <cell r="AW201">
            <v>550890.0000000007</v>
          </cell>
          <cell r="AY201">
            <v>26139456.0075</v>
          </cell>
          <cell r="AZ201">
            <v>331.46659913137205</v>
          </cell>
          <cell r="BA201">
            <v>0</v>
          </cell>
          <cell r="BB201">
            <v>0</v>
          </cell>
          <cell r="BC201">
            <v>0</v>
          </cell>
          <cell r="BD201">
            <v>0</v>
          </cell>
          <cell r="BG201">
            <v>0</v>
          </cell>
          <cell r="BH201">
            <v>0</v>
          </cell>
          <cell r="BI201">
            <v>503120</v>
          </cell>
          <cell r="BJ201">
            <v>6.3799137712401723</v>
          </cell>
          <cell r="BK201">
            <v>0</v>
          </cell>
          <cell r="BL201">
            <v>0</v>
          </cell>
          <cell r="BM201">
            <v>3652860</v>
          </cell>
          <cell r="BN201">
            <v>46.320821709358356</v>
          </cell>
          <cell r="BO201">
            <v>0</v>
          </cell>
          <cell r="BP201">
            <v>0</v>
          </cell>
          <cell r="BY201">
            <v>1729</v>
          </cell>
          <cell r="CF201">
            <v>12201.87</v>
          </cell>
          <cell r="CG201">
            <v>2142.25</v>
          </cell>
          <cell r="CJ201">
            <v>0</v>
          </cell>
          <cell r="CK201">
            <v>0</v>
          </cell>
          <cell r="CL201">
            <v>0</v>
          </cell>
          <cell r="CM201">
            <v>3412.1399814184001</v>
          </cell>
          <cell r="CN201">
            <v>161.44999999999999</v>
          </cell>
          <cell r="CO201">
            <v>161.44999999999999</v>
          </cell>
          <cell r="CX201">
            <v>0</v>
          </cell>
          <cell r="CY201">
            <v>0</v>
          </cell>
          <cell r="DB201">
            <v>0</v>
          </cell>
          <cell r="DC201">
            <v>0</v>
          </cell>
          <cell r="DJ201" t="str">
            <v>НКРКП</v>
          </cell>
          <cell r="DL201">
            <v>41182</v>
          </cell>
          <cell r="DM201">
            <v>142</v>
          </cell>
          <cell r="DT201">
            <v>721.19</v>
          </cell>
        </row>
        <row r="202">
          <cell r="W202">
            <v>486.03</v>
          </cell>
          <cell r="AF202">
            <v>39863</v>
          </cell>
          <cell r="AG202">
            <v>17</v>
          </cell>
          <cell r="AH202">
            <v>405.01997025706396</v>
          </cell>
          <cell r="AM202">
            <v>47070</v>
          </cell>
          <cell r="AO202">
            <v>22877432.099999998</v>
          </cell>
          <cell r="AQ202">
            <v>19064290</v>
          </cell>
          <cell r="AU202">
            <v>0</v>
          </cell>
          <cell r="AW202">
            <v>360921.47499999998</v>
          </cell>
          <cell r="AY202">
            <v>15277670.100000001</v>
          </cell>
          <cell r="AZ202">
            <v>324.57340344168261</v>
          </cell>
          <cell r="BA202">
            <v>0</v>
          </cell>
          <cell r="BB202">
            <v>0</v>
          </cell>
          <cell r="BC202">
            <v>0</v>
          </cell>
          <cell r="BD202">
            <v>0</v>
          </cell>
          <cell r="BG202">
            <v>0</v>
          </cell>
          <cell r="BH202">
            <v>0</v>
          </cell>
          <cell r="BI202">
            <v>329620</v>
          </cell>
          <cell r="BJ202">
            <v>7.0027618440620349</v>
          </cell>
          <cell r="BK202">
            <v>0</v>
          </cell>
          <cell r="BL202">
            <v>0</v>
          </cell>
          <cell r="BM202">
            <v>2386800</v>
          </cell>
          <cell r="BN202">
            <v>50.707456978967492</v>
          </cell>
          <cell r="BO202">
            <v>0</v>
          </cell>
          <cell r="BP202">
            <v>0</v>
          </cell>
          <cell r="BY202">
            <v>1729</v>
          </cell>
          <cell r="CF202">
            <v>7131.6</v>
          </cell>
          <cell r="CG202">
            <v>2142.25</v>
          </cell>
          <cell r="CJ202">
            <v>0</v>
          </cell>
          <cell r="CK202">
            <v>0</v>
          </cell>
          <cell r="CL202">
            <v>0</v>
          </cell>
          <cell r="CM202">
            <v>2235.5</v>
          </cell>
          <cell r="CN202">
            <v>161.44999999999999</v>
          </cell>
          <cell r="CO202">
            <v>161.44999999999999</v>
          </cell>
          <cell r="CX202">
            <v>0</v>
          </cell>
          <cell r="CY202">
            <v>0</v>
          </cell>
          <cell r="DB202">
            <v>0</v>
          </cell>
          <cell r="DC202">
            <v>0</v>
          </cell>
          <cell r="DJ202" t="str">
            <v>НКРКП</v>
          </cell>
          <cell r="DL202">
            <v>41182</v>
          </cell>
          <cell r="DM202">
            <v>142</v>
          </cell>
          <cell r="DT202">
            <v>736.87</v>
          </cell>
        </row>
        <row r="203">
          <cell r="W203">
            <v>221</v>
          </cell>
          <cell r="AF203">
            <v>40023</v>
          </cell>
          <cell r="AG203" t="str">
            <v>6/1/2-324</v>
          </cell>
          <cell r="AH203">
            <v>219.24000716332378</v>
          </cell>
          <cell r="AM203">
            <v>55840</v>
          </cell>
          <cell r="AO203">
            <v>12340640</v>
          </cell>
          <cell r="AQ203">
            <v>12242362</v>
          </cell>
          <cell r="AU203">
            <v>0</v>
          </cell>
          <cell r="AW203">
            <v>0</v>
          </cell>
          <cell r="AY203">
            <v>6459401.9996589608</v>
          </cell>
          <cell r="AZ203">
            <v>115.67696990793269</v>
          </cell>
          <cell r="BA203">
            <v>0</v>
          </cell>
          <cell r="BB203">
            <v>0</v>
          </cell>
          <cell r="BC203">
            <v>0</v>
          </cell>
          <cell r="BD203">
            <v>0</v>
          </cell>
          <cell r="BG203">
            <v>0</v>
          </cell>
          <cell r="BH203">
            <v>0</v>
          </cell>
          <cell r="BI203">
            <v>508702</v>
          </cell>
          <cell r="BJ203">
            <v>9.1099928366762182</v>
          </cell>
          <cell r="BK203">
            <v>0</v>
          </cell>
          <cell r="BL203">
            <v>0</v>
          </cell>
          <cell r="BM203">
            <v>2700922</v>
          </cell>
          <cell r="BN203">
            <v>48.368946991404009</v>
          </cell>
          <cell r="BO203">
            <v>0</v>
          </cell>
          <cell r="BP203">
            <v>0</v>
          </cell>
          <cell r="BY203">
            <v>1628.1</v>
          </cell>
          <cell r="CF203">
            <v>8881.1004780000003</v>
          </cell>
          <cell r="CG203">
            <v>727.32</v>
          </cell>
          <cell r="CJ203">
            <v>0</v>
          </cell>
          <cell r="CK203">
            <v>0</v>
          </cell>
          <cell r="CL203">
            <v>0</v>
          </cell>
          <cell r="CM203">
            <v>0</v>
          </cell>
          <cell r="CN203">
            <v>0</v>
          </cell>
          <cell r="CO203">
            <v>0</v>
          </cell>
          <cell r="CX203">
            <v>0</v>
          </cell>
          <cell r="CY203">
            <v>0</v>
          </cell>
          <cell r="DB203">
            <v>0</v>
          </cell>
          <cell r="DC203">
            <v>0</v>
          </cell>
          <cell r="DJ203" t="str">
            <v>НКРЕ</v>
          </cell>
          <cell r="DL203">
            <v>40526</v>
          </cell>
          <cell r="DM203">
            <v>1719</v>
          </cell>
          <cell r="DO203" t="str">
            <v xml:space="preserve">тариф на теплову енергію </v>
          </cell>
          <cell r="DT203">
            <v>243.1</v>
          </cell>
        </row>
        <row r="204">
          <cell r="W204">
            <v>536.17999999999995</v>
          </cell>
          <cell r="AF204">
            <v>40023</v>
          </cell>
          <cell r="AG204" t="str">
            <v>6/1/2-324</v>
          </cell>
          <cell r="AH204">
            <v>466.23999822387992</v>
          </cell>
          <cell r="AM204">
            <v>22521</v>
          </cell>
          <cell r="AO204">
            <v>12075309.779999999</v>
          </cell>
          <cell r="AQ204">
            <v>10500191</v>
          </cell>
          <cell r="AU204">
            <v>0</v>
          </cell>
          <cell r="AW204">
            <v>0</v>
          </cell>
          <cell r="AY204">
            <v>8167812.9626500001</v>
          </cell>
          <cell r="AZ204">
            <v>362.67541239953823</v>
          </cell>
          <cell r="BA204">
            <v>0</v>
          </cell>
          <cell r="BB204">
            <v>0</v>
          </cell>
          <cell r="BC204">
            <v>0</v>
          </cell>
          <cell r="BD204">
            <v>0</v>
          </cell>
          <cell r="BG204">
            <v>0</v>
          </cell>
          <cell r="BH204">
            <v>0</v>
          </cell>
          <cell r="BI204">
            <v>205166</v>
          </cell>
          <cell r="BJ204">
            <v>9.1099862350694902</v>
          </cell>
          <cell r="BK204">
            <v>0</v>
          </cell>
          <cell r="BL204">
            <v>0</v>
          </cell>
          <cell r="BM204">
            <v>1089317</v>
          </cell>
          <cell r="BN204">
            <v>48.368944540650951</v>
          </cell>
          <cell r="BO204">
            <v>0</v>
          </cell>
          <cell r="BP204">
            <v>0</v>
          </cell>
          <cell r="BY204">
            <v>1628.1</v>
          </cell>
          <cell r="CF204">
            <v>3669.6902</v>
          </cell>
          <cell r="CG204">
            <v>2225.75</v>
          </cell>
          <cell r="CJ204">
            <v>0</v>
          </cell>
          <cell r="CK204">
            <v>0</v>
          </cell>
          <cell r="CL204">
            <v>0</v>
          </cell>
          <cell r="CM204">
            <v>0</v>
          </cell>
          <cell r="CN204">
            <v>0</v>
          </cell>
          <cell r="CO204">
            <v>0</v>
          </cell>
          <cell r="CX204">
            <v>0</v>
          </cell>
          <cell r="CY204">
            <v>0</v>
          </cell>
          <cell r="DB204">
            <v>0</v>
          </cell>
          <cell r="DC204">
            <v>0</v>
          </cell>
          <cell r="DJ204" t="str">
            <v>НКРКП</v>
          </cell>
          <cell r="DL204">
            <v>40816</v>
          </cell>
          <cell r="DM204">
            <v>120</v>
          </cell>
          <cell r="DT204">
            <v>784.86857203189902</v>
          </cell>
        </row>
        <row r="205">
          <cell r="W205">
            <v>662.06</v>
          </cell>
          <cell r="AF205">
            <v>40023</v>
          </cell>
          <cell r="AG205" t="str">
            <v>6/1/2-324</v>
          </cell>
          <cell r="AH205">
            <v>466.24003221908981</v>
          </cell>
          <cell r="AM205">
            <v>7449</v>
          </cell>
          <cell r="AO205">
            <v>4931684.9399999995</v>
          </cell>
          <cell r="AQ205">
            <v>3473022</v>
          </cell>
          <cell r="AU205">
            <v>0</v>
          </cell>
          <cell r="AW205">
            <v>0</v>
          </cell>
          <cell r="AY205">
            <v>2701590.86675</v>
          </cell>
          <cell r="AZ205">
            <v>362.6783281984159</v>
          </cell>
          <cell r="BA205">
            <v>0</v>
          </cell>
          <cell r="BB205">
            <v>0</v>
          </cell>
          <cell r="BC205">
            <v>0</v>
          </cell>
          <cell r="BD205">
            <v>0</v>
          </cell>
          <cell r="BG205">
            <v>0</v>
          </cell>
          <cell r="BH205">
            <v>0</v>
          </cell>
          <cell r="BI205">
            <v>67860</v>
          </cell>
          <cell r="BJ205">
            <v>9.1099476439790568</v>
          </cell>
          <cell r="BK205">
            <v>0</v>
          </cell>
          <cell r="BL205">
            <v>0</v>
          </cell>
          <cell r="BM205">
            <v>360300</v>
          </cell>
          <cell r="BN205">
            <v>48.368908578332665</v>
          </cell>
          <cell r="BO205">
            <v>0</v>
          </cell>
          <cell r="BP205">
            <v>0</v>
          </cell>
          <cell r="BY205">
            <v>1628.1</v>
          </cell>
          <cell r="CF205">
            <v>1213.789</v>
          </cell>
          <cell r="CG205">
            <v>2225.75</v>
          </cell>
          <cell r="CJ205">
            <v>0</v>
          </cell>
          <cell r="CK205">
            <v>0</v>
          </cell>
          <cell r="CL205">
            <v>0</v>
          </cell>
          <cell r="CM205">
            <v>0</v>
          </cell>
          <cell r="CN205">
            <v>0</v>
          </cell>
          <cell r="CO205">
            <v>0</v>
          </cell>
          <cell r="CX205">
            <v>0</v>
          </cell>
          <cell r="CY205">
            <v>0</v>
          </cell>
          <cell r="DB205">
            <v>0</v>
          </cell>
          <cell r="DC205">
            <v>0</v>
          </cell>
          <cell r="DJ205" t="str">
            <v>НКРКП</v>
          </cell>
          <cell r="DL205">
            <v>40816</v>
          </cell>
          <cell r="DM205">
            <v>120</v>
          </cell>
          <cell r="DT205">
            <v>910.74857203189902</v>
          </cell>
        </row>
        <row r="206">
          <cell r="W206">
            <v>213.1</v>
          </cell>
          <cell r="AF206">
            <v>39765</v>
          </cell>
          <cell r="AG206">
            <v>188</v>
          </cell>
          <cell r="AH206">
            <v>213.10381873229807</v>
          </cell>
          <cell r="AM206">
            <v>51195</v>
          </cell>
          <cell r="AO206">
            <v>10909654.5</v>
          </cell>
          <cell r="AQ206">
            <v>10909850</v>
          </cell>
          <cell r="AU206">
            <v>0</v>
          </cell>
          <cell r="AW206">
            <v>0</v>
          </cell>
          <cell r="AY206">
            <v>6078351.4308000011</v>
          </cell>
          <cell r="AZ206">
            <v>118.72939605039556</v>
          </cell>
          <cell r="BA206">
            <v>0</v>
          </cell>
          <cell r="BB206">
            <v>0</v>
          </cell>
          <cell r="BC206">
            <v>0</v>
          </cell>
          <cell r="BD206">
            <v>0</v>
          </cell>
          <cell r="BG206">
            <v>0</v>
          </cell>
          <cell r="BH206">
            <v>0</v>
          </cell>
          <cell r="BI206">
            <v>1045870</v>
          </cell>
          <cell r="BJ206">
            <v>20.429143471042092</v>
          </cell>
          <cell r="BK206">
            <v>0</v>
          </cell>
          <cell r="BL206">
            <v>0</v>
          </cell>
          <cell r="BM206">
            <v>3043150</v>
          </cell>
          <cell r="BN206">
            <v>59.442328352378162</v>
          </cell>
          <cell r="BO206">
            <v>0</v>
          </cell>
          <cell r="BP206">
            <v>0</v>
          </cell>
          <cell r="BY206">
            <v>1145.1300000000001</v>
          </cell>
          <cell r="CF206">
            <v>8357.19</v>
          </cell>
          <cell r="CG206">
            <v>727.32</v>
          </cell>
          <cell r="CJ206">
            <v>0</v>
          </cell>
          <cell r="CK206">
            <v>0</v>
          </cell>
          <cell r="CL206">
            <v>0</v>
          </cell>
          <cell r="CM206">
            <v>0</v>
          </cell>
          <cell r="CN206">
            <v>0</v>
          </cell>
          <cell r="CO206">
            <v>0</v>
          </cell>
          <cell r="CX206">
            <v>0</v>
          </cell>
          <cell r="CY206">
            <v>0</v>
          </cell>
          <cell r="DB206">
            <v>0</v>
          </cell>
          <cell r="DC206">
            <v>0</v>
          </cell>
          <cell r="DJ206" t="str">
            <v>НКРЕ</v>
          </cell>
          <cell r="DL206">
            <v>40526</v>
          </cell>
          <cell r="DM206">
            <v>1743</v>
          </cell>
          <cell r="DO206" t="str">
            <v>тариф на теплову енергію</v>
          </cell>
          <cell r="DT206">
            <v>234.41</v>
          </cell>
        </row>
        <row r="207">
          <cell r="W207">
            <v>558.78</v>
          </cell>
          <cell r="AF207">
            <v>39871</v>
          </cell>
          <cell r="AG207">
            <v>50</v>
          </cell>
          <cell r="AH207">
            <v>447.02107209772004</v>
          </cell>
          <cell r="AM207">
            <v>16438.8</v>
          </cell>
          <cell r="AO207">
            <v>9185672.6639999989</v>
          </cell>
          <cell r="AQ207">
            <v>7348490</v>
          </cell>
          <cell r="AU207">
            <v>0</v>
          </cell>
          <cell r="AW207">
            <v>0</v>
          </cell>
          <cell r="AY207">
            <v>5748687</v>
          </cell>
          <cell r="AZ207">
            <v>349.7023505365355</v>
          </cell>
          <cell r="BA207">
            <v>0</v>
          </cell>
          <cell r="BB207">
            <v>0</v>
          </cell>
          <cell r="BC207">
            <v>0</v>
          </cell>
          <cell r="BD207">
            <v>0</v>
          </cell>
          <cell r="BG207">
            <v>0</v>
          </cell>
          <cell r="BH207">
            <v>0</v>
          </cell>
          <cell r="BI207">
            <v>330540</v>
          </cell>
          <cell r="BJ207">
            <v>20.107307102708226</v>
          </cell>
          <cell r="BK207">
            <v>0</v>
          </cell>
          <cell r="BL207">
            <v>0</v>
          </cell>
          <cell r="BM207">
            <v>1054970</v>
          </cell>
          <cell r="BN207">
            <v>64.175608925225688</v>
          </cell>
          <cell r="BO207">
            <v>0</v>
          </cell>
          <cell r="BP207">
            <v>0</v>
          </cell>
          <cell r="BY207">
            <v>1145.1300000000001</v>
          </cell>
          <cell r="CF207">
            <v>2683.4809195938851</v>
          </cell>
          <cell r="CG207">
            <v>2142.25</v>
          </cell>
          <cell r="CJ207">
            <v>0</v>
          </cell>
          <cell r="CK207">
            <v>0</v>
          </cell>
          <cell r="CL207">
            <v>0</v>
          </cell>
          <cell r="CM207">
            <v>0</v>
          </cell>
          <cell r="CN207">
            <v>0</v>
          </cell>
          <cell r="CO207">
            <v>0</v>
          </cell>
          <cell r="CX207">
            <v>0</v>
          </cell>
          <cell r="CY207">
            <v>0</v>
          </cell>
          <cell r="DB207">
            <v>0</v>
          </cell>
          <cell r="DC207">
            <v>0</v>
          </cell>
          <cell r="DJ207" t="str">
            <v>НКРКП</v>
          </cell>
          <cell r="DL207">
            <v>40816</v>
          </cell>
          <cell r="DM207">
            <v>105</v>
          </cell>
          <cell r="DT207">
            <v>821.55</v>
          </cell>
        </row>
        <row r="208">
          <cell r="W208">
            <v>558.78</v>
          </cell>
          <cell r="AF208">
            <v>39871</v>
          </cell>
          <cell r="AG208">
            <v>51</v>
          </cell>
          <cell r="AH208">
            <v>447.02217642900786</v>
          </cell>
          <cell r="AM208">
            <v>4173.3500000000004</v>
          </cell>
          <cell r="AO208">
            <v>2331984.5130000003</v>
          </cell>
          <cell r="AQ208">
            <v>1865580</v>
          </cell>
          <cell r="AU208">
            <v>0</v>
          </cell>
          <cell r="AW208">
            <v>0</v>
          </cell>
          <cell r="AY208">
            <v>1459450.6575</v>
          </cell>
          <cell r="AZ208">
            <v>349.70722740723875</v>
          </cell>
          <cell r="BA208">
            <v>0</v>
          </cell>
          <cell r="BB208">
            <v>0</v>
          </cell>
          <cell r="BC208">
            <v>0</v>
          </cell>
          <cell r="BD208">
            <v>0</v>
          </cell>
          <cell r="BG208">
            <v>0</v>
          </cell>
          <cell r="BH208">
            <v>0</v>
          </cell>
          <cell r="BI208">
            <v>84650</v>
          </cell>
          <cell r="BJ208">
            <v>20.283465321624114</v>
          </cell>
          <cell r="BK208">
            <v>0</v>
          </cell>
          <cell r="BL208">
            <v>0</v>
          </cell>
          <cell r="BM208">
            <v>262610</v>
          </cell>
          <cell r="BN208">
            <v>62.925467550049717</v>
          </cell>
          <cell r="BO208">
            <v>0</v>
          </cell>
          <cell r="BP208">
            <v>0</v>
          </cell>
          <cell r="BY208">
            <v>1145.1300000000001</v>
          </cell>
          <cell r="CF208">
            <v>681.27</v>
          </cell>
          <cell r="CG208">
            <v>2142.25</v>
          </cell>
          <cell r="CJ208">
            <v>0</v>
          </cell>
          <cell r="CK208">
            <v>0</v>
          </cell>
          <cell r="CL208">
            <v>0</v>
          </cell>
          <cell r="CM208">
            <v>0</v>
          </cell>
          <cell r="CN208">
            <v>0</v>
          </cell>
          <cell r="CO208">
            <v>0</v>
          </cell>
          <cell r="CX208">
            <v>0</v>
          </cell>
          <cell r="CY208">
            <v>0</v>
          </cell>
          <cell r="DB208">
            <v>0</v>
          </cell>
          <cell r="DC208">
            <v>0</v>
          </cell>
          <cell r="DJ208" t="str">
            <v>НКРКП</v>
          </cell>
          <cell r="DL208">
            <v>40816</v>
          </cell>
          <cell r="DM208">
            <v>105</v>
          </cell>
          <cell r="DT208">
            <v>821.55</v>
          </cell>
        </row>
        <row r="209">
          <cell r="W209">
            <v>216.05</v>
          </cell>
          <cell r="AF209">
            <v>39441</v>
          </cell>
          <cell r="AG209">
            <v>47</v>
          </cell>
          <cell r="AH209">
            <v>215.18968757937515</v>
          </cell>
          <cell r="AM209">
            <v>19685</v>
          </cell>
          <cell r="AO209">
            <v>4252944.25</v>
          </cell>
          <cell r="AQ209">
            <v>4236009</v>
          </cell>
          <cell r="AU209">
            <v>0</v>
          </cell>
          <cell r="AW209">
            <v>0</v>
          </cell>
          <cell r="AY209">
            <v>1911367</v>
          </cell>
          <cell r="AZ209">
            <v>97.097637795275588</v>
          </cell>
          <cell r="BA209">
            <v>0</v>
          </cell>
          <cell r="BB209">
            <v>0</v>
          </cell>
          <cell r="BC209">
            <v>0</v>
          </cell>
          <cell r="BD209">
            <v>0</v>
          </cell>
          <cell r="BG209">
            <v>0</v>
          </cell>
          <cell r="BH209">
            <v>0</v>
          </cell>
          <cell r="BI209">
            <v>286436</v>
          </cell>
          <cell r="BJ209">
            <v>14.550977901955804</v>
          </cell>
          <cell r="BK209">
            <v>0</v>
          </cell>
          <cell r="BL209">
            <v>0</v>
          </cell>
          <cell r="BM209">
            <v>1520836</v>
          </cell>
          <cell r="BN209">
            <v>77.258623317246631</v>
          </cell>
          <cell r="BO209">
            <v>0</v>
          </cell>
          <cell r="BP209">
            <v>0</v>
          </cell>
          <cell r="BY209">
            <v>1620.75</v>
          </cell>
          <cell r="CF209">
            <v>2627.9588076775008</v>
          </cell>
          <cell r="CG209">
            <v>727.32</v>
          </cell>
          <cell r="CJ209">
            <v>0</v>
          </cell>
          <cell r="CK209">
            <v>0</v>
          </cell>
          <cell r="CL209">
            <v>0</v>
          </cell>
          <cell r="CM209">
            <v>0</v>
          </cell>
          <cell r="CN209">
            <v>0</v>
          </cell>
          <cell r="CO209">
            <v>0</v>
          </cell>
          <cell r="CX209">
            <v>0</v>
          </cell>
          <cell r="CY209">
            <v>0</v>
          </cell>
          <cell r="DB209">
            <v>0</v>
          </cell>
          <cell r="DC209">
            <v>0</v>
          </cell>
          <cell r="DJ209" t="str">
            <v>МОС</v>
          </cell>
          <cell r="DL209">
            <v>39793</v>
          </cell>
          <cell r="DM209">
            <v>1157</v>
          </cell>
          <cell r="DO209" t="str">
            <v>тариф на послуги з уентрального опалення без внутрішньобудинкових витрат</v>
          </cell>
          <cell r="DT209">
            <v>2016.05</v>
          </cell>
        </row>
        <row r="210">
          <cell r="W210">
            <v>431.35</v>
          </cell>
          <cell r="AF210">
            <v>39441</v>
          </cell>
          <cell r="AG210">
            <v>47</v>
          </cell>
          <cell r="AH210">
            <v>393.94702242846097</v>
          </cell>
          <cell r="AM210">
            <v>5172</v>
          </cell>
          <cell r="AO210">
            <v>2230942.2000000002</v>
          </cell>
          <cell r="AQ210">
            <v>2037494</v>
          </cell>
          <cell r="AU210">
            <v>0</v>
          </cell>
          <cell r="AW210">
            <v>0</v>
          </cell>
          <cell r="AY210">
            <v>1426701</v>
          </cell>
          <cell r="AZ210">
            <v>275.85092807424593</v>
          </cell>
          <cell r="BA210">
            <v>0</v>
          </cell>
          <cell r="BB210">
            <v>0</v>
          </cell>
          <cell r="BC210">
            <v>0</v>
          </cell>
          <cell r="BD210">
            <v>0</v>
          </cell>
          <cell r="BG210">
            <v>0</v>
          </cell>
          <cell r="BH210">
            <v>0</v>
          </cell>
          <cell r="BI210">
            <v>75257</v>
          </cell>
          <cell r="BJ210">
            <v>14.550850734725445</v>
          </cell>
          <cell r="BK210">
            <v>0</v>
          </cell>
          <cell r="BL210">
            <v>0</v>
          </cell>
          <cell r="BM210">
            <v>399576</v>
          </cell>
          <cell r="BN210">
            <v>77.257540603248259</v>
          </cell>
          <cell r="BO210">
            <v>0</v>
          </cell>
          <cell r="BP210">
            <v>0</v>
          </cell>
          <cell r="BY210">
            <v>1620.75</v>
          </cell>
          <cell r="CF210">
            <v>690.5051375249858</v>
          </cell>
          <cell r="CG210">
            <v>2066.17</v>
          </cell>
          <cell r="CJ210">
            <v>0</v>
          </cell>
          <cell r="CK210">
            <v>0</v>
          </cell>
          <cell r="CL210">
            <v>0</v>
          </cell>
          <cell r="CM210">
            <v>0</v>
          </cell>
          <cell r="CN210">
            <v>0</v>
          </cell>
          <cell r="CO210">
            <v>0</v>
          </cell>
          <cell r="CX210">
            <v>0</v>
          </cell>
          <cell r="CY210">
            <v>0</v>
          </cell>
          <cell r="DB210">
            <v>0</v>
          </cell>
          <cell r="DC210">
            <v>0</v>
          </cell>
          <cell r="DJ210" t="str">
            <v>НКРКП</v>
          </cell>
          <cell r="DL210">
            <v>40904</v>
          </cell>
          <cell r="DM210">
            <v>237</v>
          </cell>
          <cell r="DT210">
            <v>665.16</v>
          </cell>
        </row>
        <row r="211">
          <cell r="W211">
            <v>470.85</v>
          </cell>
          <cell r="AF211">
            <v>39441</v>
          </cell>
          <cell r="AG211">
            <v>47</v>
          </cell>
          <cell r="AH211">
            <v>393.95425174463685</v>
          </cell>
          <cell r="AM211">
            <v>19345</v>
          </cell>
          <cell r="AO211">
            <v>9108593.25</v>
          </cell>
          <cell r="AQ211">
            <v>7621045</v>
          </cell>
          <cell r="AU211">
            <v>0</v>
          </cell>
          <cell r="AW211">
            <v>0</v>
          </cell>
          <cell r="AY211">
            <v>5336576.1919499999</v>
          </cell>
          <cell r="AZ211">
            <v>275.86333377875417</v>
          </cell>
          <cell r="BA211">
            <v>0</v>
          </cell>
          <cell r="BB211">
            <v>0</v>
          </cell>
          <cell r="BC211">
            <v>0</v>
          </cell>
          <cell r="BD211">
            <v>0</v>
          </cell>
          <cell r="BG211">
            <v>0</v>
          </cell>
          <cell r="BH211">
            <v>0</v>
          </cell>
          <cell r="BI211">
            <v>281637</v>
          </cell>
          <cell r="BJ211">
            <v>14.558645644869475</v>
          </cell>
          <cell r="BK211">
            <v>0</v>
          </cell>
          <cell r="BL211">
            <v>0</v>
          </cell>
          <cell r="BM211">
            <v>1495355</v>
          </cell>
          <cell r="BN211">
            <v>77.299302145257172</v>
          </cell>
          <cell r="BO211">
            <v>0</v>
          </cell>
          <cell r="BP211">
            <v>0</v>
          </cell>
          <cell r="BY211">
            <v>1620.75</v>
          </cell>
          <cell r="CF211">
            <v>2582.835</v>
          </cell>
          <cell r="CG211">
            <v>2066.17</v>
          </cell>
          <cell r="CJ211">
            <v>0</v>
          </cell>
          <cell r="CK211">
            <v>0</v>
          </cell>
          <cell r="CL211">
            <v>0</v>
          </cell>
          <cell r="CM211">
            <v>0</v>
          </cell>
          <cell r="CN211">
            <v>0</v>
          </cell>
          <cell r="CO211">
            <v>0</v>
          </cell>
          <cell r="CX211">
            <v>0</v>
          </cell>
          <cell r="CY211">
            <v>0</v>
          </cell>
          <cell r="DB211">
            <v>0</v>
          </cell>
          <cell r="DC211">
            <v>0</v>
          </cell>
          <cell r="DJ211" t="str">
            <v>НКРКП</v>
          </cell>
          <cell r="DL211">
            <v>40904</v>
          </cell>
          <cell r="DM211">
            <v>237</v>
          </cell>
          <cell r="DT211">
            <v>704.66</v>
          </cell>
        </row>
        <row r="212">
          <cell r="W212">
            <v>207.49</v>
          </cell>
          <cell r="AF212">
            <v>40050</v>
          </cell>
          <cell r="AG212" t="str">
            <v>6/1/3-340</v>
          </cell>
          <cell r="AH212">
            <v>198.18049291220146</v>
          </cell>
          <cell r="AM212">
            <v>474689</v>
          </cell>
          <cell r="AO212">
            <v>98493220.609999999</v>
          </cell>
          <cell r="AQ212">
            <v>94074100</v>
          </cell>
          <cell r="AU212">
            <v>0</v>
          </cell>
          <cell r="AW212">
            <v>45850499.999999993</v>
          </cell>
          <cell r="AY212">
            <v>24106200</v>
          </cell>
          <cell r="AZ212">
            <v>50.783144332394471</v>
          </cell>
          <cell r="BA212">
            <v>0</v>
          </cell>
          <cell r="BB212">
            <v>0</v>
          </cell>
          <cell r="BC212">
            <v>0</v>
          </cell>
          <cell r="BD212">
            <v>0</v>
          </cell>
          <cell r="BG212">
            <v>0</v>
          </cell>
          <cell r="BH212">
            <v>0</v>
          </cell>
          <cell r="BI212">
            <v>5609460</v>
          </cell>
          <cell r="BJ212">
            <v>11.817126581825153</v>
          </cell>
          <cell r="BK212">
            <v>0</v>
          </cell>
          <cell r="BL212">
            <v>0</v>
          </cell>
          <cell r="BM212">
            <v>13600760</v>
          </cell>
          <cell r="BN212">
            <v>28.651938427054343</v>
          </cell>
          <cell r="BO212">
            <v>0</v>
          </cell>
          <cell r="BP212">
            <v>0</v>
          </cell>
          <cell r="BY212">
            <v>1996.8</v>
          </cell>
          <cell r="CF212">
            <v>33143.87064840785</v>
          </cell>
          <cell r="CG212">
            <v>727.32</v>
          </cell>
          <cell r="CJ212">
            <v>0</v>
          </cell>
          <cell r="CK212">
            <v>0</v>
          </cell>
          <cell r="CL212">
            <v>0</v>
          </cell>
          <cell r="CM212">
            <v>305323.9661716721</v>
          </cell>
          <cell r="CN212">
            <v>150.16999999999999</v>
          </cell>
          <cell r="CO212">
            <v>227.44</v>
          </cell>
          <cell r="CX212">
            <v>0</v>
          </cell>
          <cell r="CY212">
            <v>0</v>
          </cell>
          <cell r="DB212">
            <v>0</v>
          </cell>
          <cell r="DC212">
            <v>0</v>
          </cell>
          <cell r="DJ212" t="str">
            <v>НКРЕ</v>
          </cell>
          <cell r="DL212">
            <v>40526</v>
          </cell>
          <cell r="DM212">
            <v>1857</v>
          </cell>
          <cell r="DO212" t="str">
            <v>тариф на теплову енергію для споживачів без приладів обліку</v>
          </cell>
          <cell r="DT212">
            <v>228.24</v>
          </cell>
        </row>
        <row r="213">
          <cell r="W213">
            <v>485.47</v>
          </cell>
          <cell r="AF213">
            <v>40050</v>
          </cell>
          <cell r="AG213" t="str">
            <v>6/1/3-340</v>
          </cell>
          <cell r="AH213">
            <v>422.8579181469774</v>
          </cell>
          <cell r="AM213">
            <v>142100</v>
          </cell>
          <cell r="AO213">
            <v>68985287</v>
          </cell>
          <cell r="AQ213">
            <v>60088110.168685488</v>
          </cell>
          <cell r="AU213">
            <v>0</v>
          </cell>
          <cell r="AW213">
            <v>39272978.431756511</v>
          </cell>
          <cell r="AY213">
            <v>13640002.037399782</v>
          </cell>
          <cell r="AZ213">
            <v>95.988754661504444</v>
          </cell>
          <cell r="BA213">
            <v>0</v>
          </cell>
          <cell r="BB213">
            <v>0</v>
          </cell>
          <cell r="BC213">
            <v>0</v>
          </cell>
          <cell r="BD213">
            <v>0</v>
          </cell>
          <cell r="BG213">
            <v>0</v>
          </cell>
          <cell r="BH213">
            <v>0</v>
          </cell>
          <cell r="BI213">
            <v>1685944.3309928107</v>
          </cell>
          <cell r="BJ213">
            <v>11.864492125213305</v>
          </cell>
          <cell r="BK213">
            <v>0</v>
          </cell>
          <cell r="BL213">
            <v>0</v>
          </cell>
          <cell r="BM213">
            <v>4071675.6091420259</v>
          </cell>
          <cell r="BN213">
            <v>28.653593308529388</v>
          </cell>
          <cell r="BO213">
            <v>0</v>
          </cell>
          <cell r="BP213">
            <v>0</v>
          </cell>
          <cell r="BY213">
            <v>1996.8</v>
          </cell>
          <cell r="CF213">
            <v>6367.1383066401131</v>
          </cell>
          <cell r="CG213">
            <v>2142.25</v>
          </cell>
          <cell r="CJ213">
            <v>0</v>
          </cell>
          <cell r="CK213">
            <v>0</v>
          </cell>
          <cell r="CL213">
            <v>0</v>
          </cell>
          <cell r="CM213">
            <v>117176.80639621825</v>
          </cell>
          <cell r="CN213">
            <v>335.16</v>
          </cell>
          <cell r="CO213">
            <v>669.09</v>
          </cell>
          <cell r="CX213">
            <v>0</v>
          </cell>
          <cell r="CY213">
            <v>0</v>
          </cell>
          <cell r="DB213">
            <v>0</v>
          </cell>
          <cell r="DC213">
            <v>0</v>
          </cell>
          <cell r="DJ213" t="str">
            <v>НКРКП</v>
          </cell>
          <cell r="DL213">
            <v>40816</v>
          </cell>
          <cell r="DM213">
            <v>121</v>
          </cell>
          <cell r="DO213" t="str">
            <v>без приладів обліку</v>
          </cell>
          <cell r="DT213">
            <v>742.42</v>
          </cell>
        </row>
        <row r="214">
          <cell r="W214">
            <v>638.54999999999995</v>
          </cell>
          <cell r="AF214">
            <v>40050</v>
          </cell>
          <cell r="AG214" t="str">
            <v>6/1/3-340</v>
          </cell>
          <cell r="AH214">
            <v>422.8579181469774</v>
          </cell>
          <cell r="AM214">
            <v>36635</v>
          </cell>
          <cell r="AO214">
            <v>23393279.25</v>
          </cell>
          <cell r="AQ214">
            <v>15491399.831314517</v>
          </cell>
          <cell r="AU214">
            <v>0</v>
          </cell>
          <cell r="AW214">
            <v>10125021.568243489</v>
          </cell>
          <cell r="AY214">
            <v>3516548.027024216</v>
          </cell>
          <cell r="AZ214">
            <v>95.988754661504458</v>
          </cell>
          <cell r="BA214">
            <v>0</v>
          </cell>
          <cell r="BB214">
            <v>0</v>
          </cell>
          <cell r="BC214">
            <v>0</v>
          </cell>
          <cell r="BD214">
            <v>0</v>
          </cell>
          <cell r="BG214">
            <v>0</v>
          </cell>
          <cell r="BH214">
            <v>0</v>
          </cell>
          <cell r="BI214">
            <v>434655.6690071894</v>
          </cell>
          <cell r="BJ214">
            <v>11.864492125213305</v>
          </cell>
          <cell r="BK214">
            <v>0</v>
          </cell>
          <cell r="BL214">
            <v>0</v>
          </cell>
          <cell r="BM214">
            <v>1049724.3908579741</v>
          </cell>
          <cell r="BN214">
            <v>28.653593308529388</v>
          </cell>
          <cell r="BO214">
            <v>0</v>
          </cell>
          <cell r="BP214">
            <v>0</v>
          </cell>
          <cell r="BY214">
            <v>1996.8</v>
          </cell>
          <cell r="CF214">
            <v>1641.5208435169639</v>
          </cell>
          <cell r="CG214">
            <v>2142.25</v>
          </cell>
          <cell r="CJ214">
            <v>0</v>
          </cell>
          <cell r="CK214">
            <v>0</v>
          </cell>
          <cell r="CL214">
            <v>0</v>
          </cell>
          <cell r="CM214">
            <v>30209.516554014466</v>
          </cell>
          <cell r="CN214">
            <v>335.16</v>
          </cell>
          <cell r="CO214">
            <v>669.09</v>
          </cell>
          <cell r="CX214">
            <v>0</v>
          </cell>
          <cell r="CY214">
            <v>0</v>
          </cell>
          <cell r="DB214">
            <v>0</v>
          </cell>
          <cell r="DC214">
            <v>0</v>
          </cell>
          <cell r="DJ214" t="str">
            <v>НКРКП</v>
          </cell>
          <cell r="DL214">
            <v>40816</v>
          </cell>
          <cell r="DM214">
            <v>121</v>
          </cell>
          <cell r="DO214" t="str">
            <v>без приладів обліку</v>
          </cell>
          <cell r="DT214">
            <v>893.52</v>
          </cell>
        </row>
        <row r="215">
          <cell r="W215">
            <v>214.77</v>
          </cell>
          <cell r="AF215">
            <v>40050</v>
          </cell>
          <cell r="AG215" t="str">
            <v>6/1/3-341</v>
          </cell>
          <cell r="AH215">
            <v>205.12178872621504</v>
          </cell>
          <cell r="AM215">
            <v>61541</v>
          </cell>
          <cell r="AO215">
            <v>13217160.57</v>
          </cell>
          <cell r="AQ215">
            <v>12623400</v>
          </cell>
          <cell r="AU215">
            <v>0</v>
          </cell>
          <cell r="AW215">
            <v>5944329.2799999993</v>
          </cell>
          <cell r="AY215">
            <v>3125314</v>
          </cell>
          <cell r="AZ215">
            <v>50.784257649371966</v>
          </cell>
          <cell r="BA215">
            <v>0</v>
          </cell>
          <cell r="BB215">
            <v>0</v>
          </cell>
          <cell r="BC215">
            <v>0</v>
          </cell>
          <cell r="BD215">
            <v>0</v>
          </cell>
          <cell r="BG215">
            <v>0</v>
          </cell>
          <cell r="BH215">
            <v>0</v>
          </cell>
          <cell r="BI215">
            <v>727240</v>
          </cell>
          <cell r="BJ215">
            <v>11.817162542045141</v>
          </cell>
          <cell r="BK215">
            <v>0</v>
          </cell>
          <cell r="BL215">
            <v>0</v>
          </cell>
          <cell r="BM215">
            <v>1763180</v>
          </cell>
          <cell r="BN215">
            <v>28.650493167156856</v>
          </cell>
          <cell r="BO215">
            <v>0</v>
          </cell>
          <cell r="BP215">
            <v>0</v>
          </cell>
          <cell r="BY215">
            <v>1996.8</v>
          </cell>
          <cell r="CF215">
            <v>4297.0274432161905</v>
          </cell>
          <cell r="CG215">
            <v>727.32</v>
          </cell>
          <cell r="CJ215">
            <v>0</v>
          </cell>
          <cell r="CK215">
            <v>0</v>
          </cell>
          <cell r="CL215">
            <v>0</v>
          </cell>
          <cell r="CM215">
            <v>39584</v>
          </cell>
          <cell r="CN215">
            <v>150.16999999999999</v>
          </cell>
          <cell r="CO215">
            <v>227.44</v>
          </cell>
          <cell r="CX215">
            <v>0</v>
          </cell>
          <cell r="CY215">
            <v>0</v>
          </cell>
          <cell r="DB215">
            <v>0</v>
          </cell>
          <cell r="DC215">
            <v>0</v>
          </cell>
          <cell r="DJ215" t="str">
            <v>НКРЕ</v>
          </cell>
          <cell r="DL215">
            <v>40526</v>
          </cell>
          <cell r="DM215">
            <v>1857</v>
          </cell>
          <cell r="DO215" t="str">
            <v>тариф на теплову енергію для споживачів з приладами обліку</v>
          </cell>
          <cell r="DT215">
            <v>236.24</v>
          </cell>
        </row>
        <row r="216">
          <cell r="W216">
            <v>494.5</v>
          </cell>
          <cell r="AF216">
            <v>40050</v>
          </cell>
          <cell r="AG216" t="str">
            <v>6/1/3-341</v>
          </cell>
          <cell r="AH216">
            <v>429.79922408178288</v>
          </cell>
          <cell r="AM216">
            <v>18.007999999999999</v>
          </cell>
          <cell r="AO216">
            <v>8904.9560000000001</v>
          </cell>
          <cell r="AQ216">
            <v>7739.8244272647462</v>
          </cell>
          <cell r="AU216">
            <v>0</v>
          </cell>
          <cell r="AW216">
            <v>4977.9373703735373</v>
          </cell>
          <cell r="AY216">
            <v>1727.5005097272954</v>
          </cell>
          <cell r="AZ216">
            <v>95.929615155891568</v>
          </cell>
          <cell r="BA216">
            <v>0</v>
          </cell>
          <cell r="BB216">
            <v>0</v>
          </cell>
          <cell r="BC216">
            <v>0</v>
          </cell>
          <cell r="BD216">
            <v>0</v>
          </cell>
          <cell r="BG216">
            <v>0</v>
          </cell>
          <cell r="BH216">
            <v>0</v>
          </cell>
          <cell r="BI216">
            <v>215.13677682439891</v>
          </cell>
          <cell r="BJ216">
            <v>11.946733497578794</v>
          </cell>
          <cell r="BK216">
            <v>0</v>
          </cell>
          <cell r="BL216">
            <v>0</v>
          </cell>
          <cell r="BM216">
            <v>797.75904057995638</v>
          </cell>
          <cell r="BN216">
            <v>44.300257695466257</v>
          </cell>
          <cell r="BO216">
            <v>0</v>
          </cell>
          <cell r="BP216">
            <v>0</v>
          </cell>
          <cell r="BY216">
            <v>1996.8</v>
          </cell>
          <cell r="CF216">
            <v>0.8063953832313201</v>
          </cell>
          <cell r="CG216">
            <v>2142.25</v>
          </cell>
          <cell r="CJ216">
            <v>0</v>
          </cell>
          <cell r="CK216">
            <v>0</v>
          </cell>
          <cell r="CL216">
            <v>0</v>
          </cell>
          <cell r="CM216">
            <v>14.852420844890611</v>
          </cell>
          <cell r="CN216">
            <v>335.16</v>
          </cell>
          <cell r="CO216">
            <v>669.09</v>
          </cell>
          <cell r="CX216">
            <v>0</v>
          </cell>
          <cell r="CY216">
            <v>0</v>
          </cell>
          <cell r="DB216">
            <v>0</v>
          </cell>
          <cell r="DC216">
            <v>0</v>
          </cell>
          <cell r="DJ216" t="str">
            <v>НКРКП</v>
          </cell>
          <cell r="DL216">
            <v>40816</v>
          </cell>
          <cell r="DM216">
            <v>121</v>
          </cell>
          <cell r="DO216" t="str">
            <v>з приладами обліку</v>
          </cell>
          <cell r="DT216">
            <v>751.05</v>
          </cell>
        </row>
        <row r="217">
          <cell r="W217">
            <v>644.70000000000005</v>
          </cell>
          <cell r="AF217">
            <v>40050</v>
          </cell>
          <cell r="AG217" t="str">
            <v>6/1/3-341</v>
          </cell>
          <cell r="AH217">
            <v>429.79922408178288</v>
          </cell>
          <cell r="AM217">
            <v>547</v>
          </cell>
          <cell r="AO217">
            <v>352650.9</v>
          </cell>
          <cell r="AQ217">
            <v>235100.17557273523</v>
          </cell>
          <cell r="AU217">
            <v>0</v>
          </cell>
          <cell r="AW217">
            <v>151206.78262962712</v>
          </cell>
          <cell r="AY217">
            <v>52473.499490272698</v>
          </cell>
          <cell r="AZ217">
            <v>95.929615155891582</v>
          </cell>
          <cell r="BA217">
            <v>0</v>
          </cell>
          <cell r="BB217">
            <v>0</v>
          </cell>
          <cell r="BC217">
            <v>0</v>
          </cell>
          <cell r="BD217">
            <v>0</v>
          </cell>
          <cell r="BG217">
            <v>0</v>
          </cell>
          <cell r="BH217">
            <v>0</v>
          </cell>
          <cell r="BI217">
            <v>6534.8632231756001</v>
          </cell>
          <cell r="BJ217">
            <v>11.946733497578794</v>
          </cell>
          <cell r="BK217">
            <v>0</v>
          </cell>
          <cell r="BL217">
            <v>0</v>
          </cell>
          <cell r="BM217">
            <v>24232.240959420044</v>
          </cell>
          <cell r="BN217">
            <v>44.300257695466257</v>
          </cell>
          <cell r="BO217">
            <v>0</v>
          </cell>
          <cell r="BP217">
            <v>0</v>
          </cell>
          <cell r="BY217">
            <v>1996.8</v>
          </cell>
          <cell r="CF217">
            <v>24.494573224540879</v>
          </cell>
          <cell r="CG217">
            <v>2142.25</v>
          </cell>
          <cell r="CJ217">
            <v>0</v>
          </cell>
          <cell r="CK217">
            <v>0</v>
          </cell>
          <cell r="CL217">
            <v>0</v>
          </cell>
          <cell r="CM217">
            <v>451.14805653904733</v>
          </cell>
          <cell r="CN217">
            <v>335.16</v>
          </cell>
          <cell r="CO217">
            <v>669.09</v>
          </cell>
          <cell r="CX217">
            <v>0</v>
          </cell>
          <cell r="CY217">
            <v>0</v>
          </cell>
          <cell r="DB217">
            <v>0</v>
          </cell>
          <cell r="DC217">
            <v>0</v>
          </cell>
          <cell r="DJ217" t="str">
            <v>НКРКП</v>
          </cell>
          <cell r="DL217">
            <v>40816</v>
          </cell>
          <cell r="DM217">
            <v>121</v>
          </cell>
          <cell r="DO217" t="str">
            <v>з приладами обліку</v>
          </cell>
          <cell r="DT217">
            <v>901.25</v>
          </cell>
        </row>
        <row r="218">
          <cell r="W218">
            <v>206.68</v>
          </cell>
          <cell r="AF218">
            <v>40448</v>
          </cell>
          <cell r="AG218" t="str">
            <v>6/1/1-2956/1/1-296</v>
          </cell>
          <cell r="AH218">
            <v>263.61155096403098</v>
          </cell>
          <cell r="AM218">
            <v>52851</v>
          </cell>
          <cell r="AO218">
            <v>10923244.68</v>
          </cell>
          <cell r="AQ218">
            <v>13932134.08</v>
          </cell>
          <cell r="AU218">
            <v>0</v>
          </cell>
          <cell r="AW218">
            <v>10443968.08</v>
          </cell>
          <cell r="AY218">
            <v>0</v>
          </cell>
          <cell r="AZ218">
            <v>0</v>
          </cell>
          <cell r="BA218">
            <v>0</v>
          </cell>
          <cell r="BB218">
            <v>0</v>
          </cell>
          <cell r="BC218">
            <v>0</v>
          </cell>
          <cell r="BD218">
            <v>0</v>
          </cell>
          <cell r="BG218">
            <v>0</v>
          </cell>
          <cell r="BH218">
            <v>0</v>
          </cell>
          <cell r="BI218">
            <v>30144.433700000001</v>
          </cell>
          <cell r="BJ218">
            <v>0.57036638284989882</v>
          </cell>
          <cell r="BK218">
            <v>0</v>
          </cell>
          <cell r="BL218">
            <v>0</v>
          </cell>
          <cell r="BM218">
            <v>418276.99140000006</v>
          </cell>
          <cell r="BN218">
            <v>7.9142682522563446</v>
          </cell>
          <cell r="BO218">
            <v>0</v>
          </cell>
          <cell r="BP218">
            <v>0</v>
          </cell>
          <cell r="BY218">
            <v>2748</v>
          </cell>
          <cell r="CF218">
            <v>0</v>
          </cell>
          <cell r="CG218">
            <v>0</v>
          </cell>
          <cell r="CJ218">
            <v>0</v>
          </cell>
          <cell r="CK218">
            <v>0</v>
          </cell>
          <cell r="CL218">
            <v>0</v>
          </cell>
          <cell r="CM218">
            <v>60749</v>
          </cell>
          <cell r="CN218">
            <v>171.92</v>
          </cell>
          <cell r="CO218">
            <v>181.85</v>
          </cell>
          <cell r="CX218">
            <v>0</v>
          </cell>
          <cell r="CY218">
            <v>0</v>
          </cell>
          <cell r="DB218">
            <v>0</v>
          </cell>
          <cell r="DC218">
            <v>0</v>
          </cell>
          <cell r="DJ218" t="str">
            <v>МОС</v>
          </cell>
          <cell r="DL218">
            <v>41228</v>
          </cell>
          <cell r="DM218">
            <v>471</v>
          </cell>
          <cell r="DO218" t="str">
            <v>послуга з централізованого опалення</v>
          </cell>
          <cell r="DT218">
            <v>206.68</v>
          </cell>
        </row>
        <row r="219">
          <cell r="W219">
            <v>508.27</v>
          </cell>
          <cell r="AF219">
            <v>40448</v>
          </cell>
          <cell r="AG219" t="str">
            <v>6/1/1-2956/1/1-296</v>
          </cell>
          <cell r="AH219">
            <v>490.1023559496652</v>
          </cell>
          <cell r="AM219">
            <v>13589</v>
          </cell>
          <cell r="AO219">
            <v>6906881.0299999993</v>
          </cell>
          <cell r="AQ219">
            <v>6660000.915</v>
          </cell>
          <cell r="AU219">
            <v>0</v>
          </cell>
          <cell r="AW219">
            <v>5763126.915</v>
          </cell>
          <cell r="AY219">
            <v>0</v>
          </cell>
          <cell r="AZ219">
            <v>0</v>
          </cell>
          <cell r="BA219">
            <v>0</v>
          </cell>
          <cell r="BB219">
            <v>0</v>
          </cell>
          <cell r="BC219">
            <v>0</v>
          </cell>
          <cell r="BD219">
            <v>0</v>
          </cell>
          <cell r="BG219">
            <v>0</v>
          </cell>
          <cell r="BH219">
            <v>0</v>
          </cell>
          <cell r="BI219">
            <v>7750.7088000000003</v>
          </cell>
          <cell r="BJ219">
            <v>0.57036638457575983</v>
          </cell>
          <cell r="BK219">
            <v>0</v>
          </cell>
          <cell r="BL219">
            <v>0</v>
          </cell>
          <cell r="BM219">
            <v>107546.99130000001</v>
          </cell>
          <cell r="BN219">
            <v>7.9142682537346394</v>
          </cell>
          <cell r="BO219">
            <v>0</v>
          </cell>
          <cell r="BP219">
            <v>0</v>
          </cell>
          <cell r="BY219">
            <v>2748</v>
          </cell>
          <cell r="CF219">
            <v>0</v>
          </cell>
          <cell r="CG219">
            <v>0</v>
          </cell>
          <cell r="CJ219">
            <v>0</v>
          </cell>
          <cell r="CK219">
            <v>0</v>
          </cell>
          <cell r="CL219">
            <v>0</v>
          </cell>
          <cell r="CM219">
            <v>15619.5</v>
          </cell>
          <cell r="CN219">
            <v>368.97</v>
          </cell>
          <cell r="CO219">
            <v>647.03</v>
          </cell>
          <cell r="CX219">
            <v>0</v>
          </cell>
          <cell r="CY219">
            <v>0</v>
          </cell>
          <cell r="DB219">
            <v>0</v>
          </cell>
          <cell r="DC219">
            <v>0</v>
          </cell>
          <cell r="DJ219" t="str">
            <v>МОС</v>
          </cell>
          <cell r="DL219">
            <v>41228</v>
          </cell>
          <cell r="DM219">
            <v>471</v>
          </cell>
          <cell r="DT219">
            <v>778.85</v>
          </cell>
        </row>
        <row r="220">
          <cell r="W220">
            <v>550.66999999999996</v>
          </cell>
          <cell r="AF220">
            <v>40448</v>
          </cell>
          <cell r="AG220" t="str">
            <v>6/1/1-2956/1/1-296</v>
          </cell>
          <cell r="AH220">
            <v>490.09760433070875</v>
          </cell>
          <cell r="AM220">
            <v>2286</v>
          </cell>
          <cell r="AO220">
            <v>1258831.6199999999</v>
          </cell>
          <cell r="AQ220">
            <v>1120363.1235000002</v>
          </cell>
          <cell r="AU220">
            <v>0</v>
          </cell>
          <cell r="AW220">
            <v>969487.1235000001</v>
          </cell>
          <cell r="AY220">
            <v>0</v>
          </cell>
          <cell r="AZ220">
            <v>0</v>
          </cell>
          <cell r="BA220">
            <v>0</v>
          </cell>
          <cell r="BB220">
            <v>0</v>
          </cell>
          <cell r="BC220">
            <v>0</v>
          </cell>
          <cell r="BD220">
            <v>0</v>
          </cell>
          <cell r="BG220">
            <v>0</v>
          </cell>
          <cell r="BH220">
            <v>0</v>
          </cell>
          <cell r="BI220">
            <v>1303.8576</v>
          </cell>
          <cell r="BJ220">
            <v>0.57036640419947504</v>
          </cell>
          <cell r="BK220">
            <v>0</v>
          </cell>
          <cell r="BL220">
            <v>0</v>
          </cell>
          <cell r="BM220">
            <v>18092.0173</v>
          </cell>
          <cell r="BN220">
            <v>7.914268285214348</v>
          </cell>
          <cell r="BO220">
            <v>0</v>
          </cell>
          <cell r="BP220">
            <v>0</v>
          </cell>
          <cell r="BY220">
            <v>2748</v>
          </cell>
          <cell r="CF220">
            <v>0</v>
          </cell>
          <cell r="CG220">
            <v>0</v>
          </cell>
          <cell r="CJ220">
            <v>0</v>
          </cell>
          <cell r="CK220">
            <v>0</v>
          </cell>
          <cell r="CL220">
            <v>0</v>
          </cell>
          <cell r="CM220">
            <v>2627.55</v>
          </cell>
          <cell r="CN220">
            <v>368.97</v>
          </cell>
          <cell r="CO220">
            <v>647.03</v>
          </cell>
          <cell r="CX220">
            <v>0</v>
          </cell>
          <cell r="CY220">
            <v>0</v>
          </cell>
          <cell r="DB220">
            <v>0</v>
          </cell>
          <cell r="DC220">
            <v>0</v>
          </cell>
          <cell r="DJ220" t="str">
            <v>МОС</v>
          </cell>
          <cell r="DL220">
            <v>41228</v>
          </cell>
          <cell r="DM220">
            <v>471</v>
          </cell>
          <cell r="DT220">
            <v>778.85</v>
          </cell>
        </row>
        <row r="221">
          <cell r="W221">
            <v>325.55720688054345</v>
          </cell>
          <cell r="AF221">
            <v>40429</v>
          </cell>
          <cell r="AG221">
            <v>431</v>
          </cell>
          <cell r="AH221">
            <v>414.03069500806566</v>
          </cell>
          <cell r="AM221">
            <v>35477.43</v>
          </cell>
          <cell r="AO221">
            <v>11549933.018099999</v>
          </cell>
          <cell r="AQ221">
            <v>14688744.999999998</v>
          </cell>
          <cell r="AU221">
            <v>0</v>
          </cell>
          <cell r="AW221">
            <v>0</v>
          </cell>
          <cell r="AY221">
            <v>5844083.3299999991</v>
          </cell>
          <cell r="AZ221">
            <v>164.72679475373496</v>
          </cell>
          <cell r="BA221">
            <v>0</v>
          </cell>
          <cell r="BB221">
            <v>0</v>
          </cell>
          <cell r="BC221">
            <v>0</v>
          </cell>
          <cell r="BD221">
            <v>0</v>
          </cell>
          <cell r="BG221">
            <v>0</v>
          </cell>
          <cell r="BH221">
            <v>0</v>
          </cell>
          <cell r="BI221">
            <v>1212747.9999999998</v>
          </cell>
          <cell r="BJ221">
            <v>34.183648590103616</v>
          </cell>
          <cell r="BK221">
            <v>0</v>
          </cell>
          <cell r="BL221">
            <v>0</v>
          </cell>
          <cell r="BM221">
            <v>4665122.7389464229</v>
          </cell>
          <cell r="BN221">
            <v>131.49550965068278</v>
          </cell>
          <cell r="BO221">
            <v>0</v>
          </cell>
          <cell r="BP221">
            <v>0</v>
          </cell>
          <cell r="BY221">
            <v>3388.2712962962964</v>
          </cell>
          <cell r="CF221">
            <v>5356.6299999999992</v>
          </cell>
          <cell r="CG221">
            <v>1091</v>
          </cell>
          <cell r="CJ221">
            <v>0</v>
          </cell>
          <cell r="CK221">
            <v>0</v>
          </cell>
          <cell r="CL221">
            <v>0</v>
          </cell>
          <cell r="CM221">
            <v>0</v>
          </cell>
          <cell r="CN221">
            <v>0</v>
          </cell>
          <cell r="CO221">
            <v>0</v>
          </cell>
          <cell r="CX221">
            <v>0</v>
          </cell>
          <cell r="CY221">
            <v>0</v>
          </cell>
          <cell r="DB221">
            <v>0</v>
          </cell>
          <cell r="DC221">
            <v>0</v>
          </cell>
          <cell r="DJ221" t="str">
            <v>МОС</v>
          </cell>
          <cell r="DL221" t="str">
            <v>23.12.2010;  23.12.2010; 01.02.2011</v>
          </cell>
          <cell r="DM221" t="str">
            <v>2345, 324, 9</v>
          </cell>
          <cell r="DO221" t="str">
            <v>Тариф на теплову енергію (за наявності приладів обліку)</v>
          </cell>
          <cell r="DT221">
            <v>325.55720688054345</v>
          </cell>
        </row>
        <row r="222">
          <cell r="W222">
            <v>696.48</v>
          </cell>
          <cell r="AF222">
            <v>40429</v>
          </cell>
          <cell r="AG222">
            <v>432</v>
          </cell>
          <cell r="AH222">
            <v>633.15974263847852</v>
          </cell>
          <cell r="AM222">
            <v>1782.92</v>
          </cell>
          <cell r="AO222">
            <v>1241768.1216000002</v>
          </cell>
          <cell r="AQ222">
            <v>1128873.1683449962</v>
          </cell>
          <cell r="AU222">
            <v>0</v>
          </cell>
          <cell r="AW222">
            <v>0</v>
          </cell>
          <cell r="AY222">
            <v>672565.2352272002</v>
          </cell>
          <cell r="AZ222">
            <v>377.22681624929902</v>
          </cell>
          <cell r="BA222">
            <v>0</v>
          </cell>
          <cell r="BB222">
            <v>0</v>
          </cell>
          <cell r="BC222">
            <v>0</v>
          </cell>
          <cell r="BD222">
            <v>0</v>
          </cell>
          <cell r="BG222">
            <v>0</v>
          </cell>
          <cell r="BH222">
            <v>0</v>
          </cell>
          <cell r="BI222">
            <v>61472.881891107696</v>
          </cell>
          <cell r="BJ222">
            <v>34.478766232420803</v>
          </cell>
          <cell r="BK222">
            <v>0</v>
          </cell>
          <cell r="BL222">
            <v>0</v>
          </cell>
          <cell r="BM222">
            <v>245971.8965124879</v>
          </cell>
          <cell r="BN222">
            <v>137.96014207731579</v>
          </cell>
          <cell r="BO222">
            <v>0</v>
          </cell>
          <cell r="BP222">
            <v>0</v>
          </cell>
          <cell r="BY222">
            <v>3388.2712962962964</v>
          </cell>
          <cell r="CF222">
            <v>272.85257865392271</v>
          </cell>
          <cell r="CG222">
            <v>2464.94</v>
          </cell>
          <cell r="CJ222">
            <v>0</v>
          </cell>
          <cell r="CK222">
            <v>0</v>
          </cell>
          <cell r="CL222">
            <v>0</v>
          </cell>
          <cell r="CM222">
            <v>0</v>
          </cell>
          <cell r="CN222">
            <v>0</v>
          </cell>
          <cell r="CO222">
            <v>0</v>
          </cell>
          <cell r="CX222">
            <v>0</v>
          </cell>
          <cell r="CY222">
            <v>0</v>
          </cell>
          <cell r="DB222">
            <v>0</v>
          </cell>
          <cell r="DC222">
            <v>0</v>
          </cell>
          <cell r="DJ222" t="str">
            <v>НКРКП</v>
          </cell>
          <cell r="DL222">
            <v>40836</v>
          </cell>
          <cell r="DM222">
            <v>213</v>
          </cell>
          <cell r="DT222">
            <v>893.44</v>
          </cell>
        </row>
        <row r="223">
          <cell r="W223">
            <v>696.48</v>
          </cell>
          <cell r="AF223">
            <v>40429</v>
          </cell>
          <cell r="AG223">
            <v>432</v>
          </cell>
          <cell r="AH223">
            <v>633.15539463804498</v>
          </cell>
          <cell r="AM223">
            <v>502.05500000000001</v>
          </cell>
          <cell r="AO223">
            <v>349671.26640000002</v>
          </cell>
          <cell r="AQ223">
            <v>317878.83165500365</v>
          </cell>
          <cell r="AU223">
            <v>0</v>
          </cell>
          <cell r="AW223">
            <v>0</v>
          </cell>
          <cell r="AY223">
            <v>189387.30867279967</v>
          </cell>
          <cell r="AZ223">
            <v>377.2242257776532</v>
          </cell>
          <cell r="BA223">
            <v>0</v>
          </cell>
          <cell r="BB223">
            <v>0</v>
          </cell>
          <cell r="BC223">
            <v>0</v>
          </cell>
          <cell r="BD223">
            <v>0</v>
          </cell>
          <cell r="BG223">
            <v>0</v>
          </cell>
          <cell r="BH223">
            <v>0</v>
          </cell>
          <cell r="BI223">
            <v>17310.1181088923</v>
          </cell>
          <cell r="BJ223">
            <v>34.478529461697029</v>
          </cell>
          <cell r="BK223">
            <v>0</v>
          </cell>
          <cell r="BL223">
            <v>0</v>
          </cell>
          <cell r="BM223">
            <v>69263.103487512082</v>
          </cell>
          <cell r="BN223">
            <v>137.95919468486935</v>
          </cell>
          <cell r="BO223">
            <v>0</v>
          </cell>
          <cell r="BP223">
            <v>0</v>
          </cell>
          <cell r="BY223">
            <v>3388.2712962962964</v>
          </cell>
          <cell r="CF223">
            <v>76.832421346077254</v>
          </cell>
          <cell r="CG223">
            <v>2464.94</v>
          </cell>
          <cell r="CJ223">
            <v>0</v>
          </cell>
          <cell r="CK223">
            <v>0</v>
          </cell>
          <cell r="CL223">
            <v>0</v>
          </cell>
          <cell r="CM223">
            <v>0</v>
          </cell>
          <cell r="CN223">
            <v>0</v>
          </cell>
          <cell r="CO223">
            <v>0</v>
          </cell>
          <cell r="CX223">
            <v>0</v>
          </cell>
          <cell r="CY223">
            <v>0</v>
          </cell>
          <cell r="DB223">
            <v>0</v>
          </cell>
          <cell r="DC223">
            <v>0</v>
          </cell>
          <cell r="DJ223" t="str">
            <v>НКРКП</v>
          </cell>
          <cell r="DL223">
            <v>40836</v>
          </cell>
          <cell r="DM223">
            <v>213</v>
          </cell>
          <cell r="DT223">
            <v>893.44</v>
          </cell>
        </row>
        <row r="224">
          <cell r="W224">
            <v>385.24</v>
          </cell>
          <cell r="AF224">
            <v>40443</v>
          </cell>
          <cell r="AG224">
            <v>942</v>
          </cell>
          <cell r="AH224">
            <v>363.29630688255804</v>
          </cell>
          <cell r="AM224">
            <v>31473.356</v>
          </cell>
          <cell r="AO224">
            <v>12124795.665440001</v>
          </cell>
          <cell r="AQ224">
            <v>11434154</v>
          </cell>
          <cell r="AU224">
            <v>0</v>
          </cell>
          <cell r="AW224">
            <v>0</v>
          </cell>
          <cell r="AY224">
            <v>5974554</v>
          </cell>
          <cell r="AZ224">
            <v>189.82894610921059</v>
          </cell>
          <cell r="BA224">
            <v>0</v>
          </cell>
          <cell r="BB224">
            <v>0</v>
          </cell>
          <cell r="BC224">
            <v>0</v>
          </cell>
          <cell r="BD224">
            <v>0</v>
          </cell>
          <cell r="BG224">
            <v>0</v>
          </cell>
          <cell r="BH224">
            <v>0</v>
          </cell>
          <cell r="BI224">
            <v>824002</v>
          </cell>
          <cell r="BJ224">
            <v>26.180938569118592</v>
          </cell>
          <cell r="BK224">
            <v>0</v>
          </cell>
          <cell r="BL224">
            <v>0</v>
          </cell>
          <cell r="BM224">
            <v>3627246</v>
          </cell>
          <cell r="BN224">
            <v>115.24814830677732</v>
          </cell>
          <cell r="BO224">
            <v>0</v>
          </cell>
          <cell r="BP224">
            <v>0</v>
          </cell>
          <cell r="BY224">
            <v>2607.52</v>
          </cell>
          <cell r="CF224">
            <v>5476.2179999999998</v>
          </cell>
          <cell r="CG224">
            <v>1091.00002958246</v>
          </cell>
          <cell r="CJ224">
            <v>0</v>
          </cell>
          <cell r="CK224">
            <v>0</v>
          </cell>
          <cell r="CL224">
            <v>0</v>
          </cell>
          <cell r="CM224">
            <v>0</v>
          </cell>
          <cell r="CN224">
            <v>0</v>
          </cell>
          <cell r="CO224">
            <v>0</v>
          </cell>
          <cell r="CX224">
            <v>0</v>
          </cell>
          <cell r="CY224">
            <v>0</v>
          </cell>
          <cell r="DB224">
            <v>0</v>
          </cell>
          <cell r="DC224">
            <v>0</v>
          </cell>
          <cell r="DJ224" t="str">
            <v>МОС</v>
          </cell>
          <cell r="DL224">
            <v>40463</v>
          </cell>
          <cell r="DM224">
            <v>202</v>
          </cell>
          <cell r="DO224" t="str">
            <v>на теплову енергію</v>
          </cell>
          <cell r="DT224">
            <v>385.24</v>
          </cell>
        </row>
        <row r="225">
          <cell r="W225">
            <v>616.66999999999996</v>
          </cell>
          <cell r="AF225">
            <v>40443</v>
          </cell>
          <cell r="AG225">
            <v>943</v>
          </cell>
          <cell r="AH225">
            <v>602.35509849594177</v>
          </cell>
          <cell r="AM225">
            <v>5706.4279999999999</v>
          </cell>
          <cell r="AO225">
            <v>3518982.9547599996</v>
          </cell>
          <cell r="AQ225">
            <v>3437296</v>
          </cell>
          <cell r="AU225">
            <v>0</v>
          </cell>
          <cell r="AW225">
            <v>0</v>
          </cell>
          <cell r="AY225">
            <v>2447430</v>
          </cell>
          <cell r="AZ225">
            <v>428.89001666191183</v>
          </cell>
          <cell r="BA225">
            <v>0</v>
          </cell>
          <cell r="BB225">
            <v>0</v>
          </cell>
          <cell r="BC225">
            <v>0</v>
          </cell>
          <cell r="BD225">
            <v>0</v>
          </cell>
          <cell r="BG225">
            <v>0</v>
          </cell>
          <cell r="BH225">
            <v>0</v>
          </cell>
          <cell r="BI225">
            <v>149400</v>
          </cell>
          <cell r="BJ225">
            <v>26.181001495155989</v>
          </cell>
          <cell r="BK225">
            <v>0</v>
          </cell>
          <cell r="BL225">
            <v>0</v>
          </cell>
          <cell r="BM225">
            <v>657645</v>
          </cell>
          <cell r="BN225">
            <v>115.24635025623735</v>
          </cell>
          <cell r="BO225">
            <v>0</v>
          </cell>
          <cell r="BP225">
            <v>0</v>
          </cell>
          <cell r="BY225">
            <v>2607.52</v>
          </cell>
          <cell r="CF225">
            <v>992.89599999999996</v>
          </cell>
          <cell r="CG225">
            <v>2464.9409404408921</v>
          </cell>
          <cell r="CJ225">
            <v>0</v>
          </cell>
          <cell r="CK225">
            <v>0</v>
          </cell>
          <cell r="CL225">
            <v>0</v>
          </cell>
          <cell r="CM225">
            <v>0</v>
          </cell>
          <cell r="CN225">
            <v>0</v>
          </cell>
          <cell r="CO225">
            <v>0</v>
          </cell>
          <cell r="CX225">
            <v>0</v>
          </cell>
          <cell r="CY225">
            <v>0</v>
          </cell>
          <cell r="DB225">
            <v>0</v>
          </cell>
          <cell r="DC225">
            <v>0</v>
          </cell>
          <cell r="DJ225" t="str">
            <v>НКРКП</v>
          </cell>
          <cell r="DL225">
            <v>40816</v>
          </cell>
          <cell r="DM225">
            <v>49</v>
          </cell>
          <cell r="DT225">
            <v>840.6</v>
          </cell>
        </row>
        <row r="226">
          <cell r="W226">
            <v>720.28</v>
          </cell>
          <cell r="AF226">
            <v>40443</v>
          </cell>
          <cell r="AG226">
            <v>944</v>
          </cell>
          <cell r="AH226">
            <v>602.33894416731141</v>
          </cell>
          <cell r="AM226">
            <v>3748.7</v>
          </cell>
          <cell r="AO226">
            <v>2700113.6359999999</v>
          </cell>
          <cell r="AQ226">
            <v>2257988</v>
          </cell>
          <cell r="AU226">
            <v>0</v>
          </cell>
          <cell r="AW226">
            <v>0</v>
          </cell>
          <cell r="AY226">
            <v>1607722</v>
          </cell>
          <cell r="AZ226">
            <v>428.87454317496736</v>
          </cell>
          <cell r="BA226">
            <v>0</v>
          </cell>
          <cell r="BB226">
            <v>0</v>
          </cell>
          <cell r="BC226">
            <v>0</v>
          </cell>
          <cell r="BD226">
            <v>0</v>
          </cell>
          <cell r="BG226">
            <v>0</v>
          </cell>
          <cell r="BH226">
            <v>0</v>
          </cell>
          <cell r="BI226">
            <v>98141</v>
          </cell>
          <cell r="BJ226">
            <v>26.180009069810868</v>
          </cell>
          <cell r="BK226">
            <v>0</v>
          </cell>
          <cell r="BL226">
            <v>0</v>
          </cell>
          <cell r="BM226">
            <v>432026</v>
          </cell>
          <cell r="BN226">
            <v>115.2468855870035</v>
          </cell>
          <cell r="BO226">
            <v>0</v>
          </cell>
          <cell r="BP226">
            <v>0</v>
          </cell>
          <cell r="BY226">
            <v>2607.52</v>
          </cell>
          <cell r="CF226">
            <v>652.23599999999999</v>
          </cell>
          <cell r="CG226">
            <v>2464.9390711337614</v>
          </cell>
          <cell r="CJ226">
            <v>0</v>
          </cell>
          <cell r="CK226">
            <v>0</v>
          </cell>
          <cell r="CL226">
            <v>0</v>
          </cell>
          <cell r="CM226">
            <v>0</v>
          </cell>
          <cell r="CN226">
            <v>0</v>
          </cell>
          <cell r="CO226">
            <v>0</v>
          </cell>
          <cell r="CX226">
            <v>0</v>
          </cell>
          <cell r="CY226">
            <v>0</v>
          </cell>
          <cell r="DB226">
            <v>0</v>
          </cell>
          <cell r="DC226">
            <v>0</v>
          </cell>
          <cell r="DJ226" t="str">
            <v>НКРКП</v>
          </cell>
          <cell r="DL226">
            <v>40816</v>
          </cell>
          <cell r="DM226">
            <v>49</v>
          </cell>
          <cell r="DT226">
            <v>944.2</v>
          </cell>
        </row>
        <row r="227">
          <cell r="W227">
            <v>415.39</v>
          </cell>
          <cell r="AF227">
            <v>40445</v>
          </cell>
          <cell r="AG227" t="str">
            <v>№ 2335,2337,2332</v>
          </cell>
          <cell r="AH227">
            <v>377.62724117987278</v>
          </cell>
          <cell r="AM227">
            <v>27664</v>
          </cell>
          <cell r="AO227">
            <v>11491348.959999999</v>
          </cell>
          <cell r="AQ227">
            <v>10446680</v>
          </cell>
          <cell r="AU227">
            <v>0</v>
          </cell>
          <cell r="AW227">
            <v>0</v>
          </cell>
          <cell r="AY227">
            <v>4848972.1928000003</v>
          </cell>
          <cell r="AZ227">
            <v>175.28094971081552</v>
          </cell>
          <cell r="BA227">
            <v>0</v>
          </cell>
          <cell r="BB227">
            <v>0</v>
          </cell>
          <cell r="BC227">
            <v>0</v>
          </cell>
          <cell r="BD227">
            <v>0</v>
          </cell>
          <cell r="BG227">
            <v>0</v>
          </cell>
          <cell r="BH227">
            <v>0</v>
          </cell>
          <cell r="BI227">
            <v>625786</v>
          </cell>
          <cell r="BJ227">
            <v>22.620951417004047</v>
          </cell>
          <cell r="BK227">
            <v>0</v>
          </cell>
          <cell r="BL227">
            <v>0</v>
          </cell>
          <cell r="BM227">
            <v>3553967</v>
          </cell>
          <cell r="BN227">
            <v>128.46902111046847</v>
          </cell>
          <cell r="BO227">
            <v>0</v>
          </cell>
          <cell r="BP227">
            <v>0</v>
          </cell>
          <cell r="BY227">
            <v>2806.3</v>
          </cell>
          <cell r="CF227">
            <v>4444.5208000000002</v>
          </cell>
          <cell r="CG227">
            <v>1091</v>
          </cell>
          <cell r="CJ227">
            <v>0</v>
          </cell>
          <cell r="CK227">
            <v>0</v>
          </cell>
          <cell r="CL227">
            <v>0</v>
          </cell>
          <cell r="CM227">
            <v>0</v>
          </cell>
          <cell r="CN227">
            <v>0</v>
          </cell>
          <cell r="CO227">
            <v>0</v>
          </cell>
          <cell r="CX227">
            <v>0</v>
          </cell>
          <cell r="CY227">
            <v>0</v>
          </cell>
          <cell r="DB227">
            <v>0</v>
          </cell>
          <cell r="DC227">
            <v>0</v>
          </cell>
          <cell r="DJ227" t="str">
            <v>МОС</v>
          </cell>
          <cell r="DL227">
            <v>40504</v>
          </cell>
          <cell r="DM227" t="str">
            <v>№ 374-УІ</v>
          </cell>
          <cell r="DO227" t="str">
            <v>на теплову енергію</v>
          </cell>
          <cell r="DT227">
            <v>415.39</v>
          </cell>
        </row>
        <row r="228">
          <cell r="W228">
            <v>659.71</v>
          </cell>
          <cell r="AF228">
            <v>40445</v>
          </cell>
          <cell r="AG228" t="str">
            <v>№ 2340, 2338, 2333</v>
          </cell>
          <cell r="AH228">
            <v>599.73274023968827</v>
          </cell>
          <cell r="AM228">
            <v>13601</v>
          </cell>
          <cell r="AO228">
            <v>8972715.7100000009</v>
          </cell>
          <cell r="AQ228">
            <v>8156965</v>
          </cell>
          <cell r="AU228">
            <v>0</v>
          </cell>
          <cell r="AW228">
            <v>0</v>
          </cell>
          <cell r="AY228">
            <v>5342407.4285200005</v>
          </cell>
          <cell r="AZ228">
            <v>392.79519362693924</v>
          </cell>
          <cell r="BA228">
            <v>0</v>
          </cell>
          <cell r="BB228">
            <v>0</v>
          </cell>
          <cell r="BC228">
            <v>0</v>
          </cell>
          <cell r="BD228">
            <v>0</v>
          </cell>
          <cell r="BG228">
            <v>0</v>
          </cell>
          <cell r="BH228">
            <v>0</v>
          </cell>
          <cell r="BI228">
            <v>232959</v>
          </cell>
          <cell r="BJ228">
            <v>17.128078817733989</v>
          </cell>
          <cell r="BK228">
            <v>0</v>
          </cell>
          <cell r="BL228">
            <v>0</v>
          </cell>
          <cell r="BM228">
            <v>1945850</v>
          </cell>
          <cell r="BN228">
            <v>143.06668627306814</v>
          </cell>
          <cell r="BO228">
            <v>0</v>
          </cell>
          <cell r="BP228">
            <v>0</v>
          </cell>
          <cell r="BY228">
            <v>3113.4</v>
          </cell>
          <cell r="CF228">
            <v>2167.3580000000002</v>
          </cell>
          <cell r="CG228">
            <v>2464.94</v>
          </cell>
          <cell r="CJ228">
            <v>0</v>
          </cell>
          <cell r="CK228">
            <v>0</v>
          </cell>
          <cell r="CL228">
            <v>0</v>
          </cell>
          <cell r="CM228">
            <v>0</v>
          </cell>
          <cell r="CN228">
            <v>0</v>
          </cell>
          <cell r="CO228">
            <v>0</v>
          </cell>
          <cell r="CX228">
            <v>0</v>
          </cell>
          <cell r="CY228">
            <v>0</v>
          </cell>
          <cell r="DB228">
            <v>0</v>
          </cell>
          <cell r="DC228">
            <v>0</v>
          </cell>
          <cell r="DJ228" t="str">
            <v>НКРКП</v>
          </cell>
          <cell r="DL228">
            <v>40836</v>
          </cell>
          <cell r="DM228">
            <v>215</v>
          </cell>
          <cell r="DT228">
            <v>864.8</v>
          </cell>
        </row>
        <row r="229">
          <cell r="W229">
            <v>667.84</v>
          </cell>
          <cell r="AF229">
            <v>40445</v>
          </cell>
          <cell r="AG229" t="str">
            <v>№ 2336, 2339, 2334</v>
          </cell>
          <cell r="AH229">
            <v>580.72700941346852</v>
          </cell>
          <cell r="AM229">
            <v>4143</v>
          </cell>
          <cell r="AO229">
            <v>2766861.12</v>
          </cell>
          <cell r="AQ229">
            <v>2405952</v>
          </cell>
          <cell r="AU229">
            <v>0</v>
          </cell>
          <cell r="AW229">
            <v>0</v>
          </cell>
          <cell r="AY229">
            <v>1627677.9233549999</v>
          </cell>
          <cell r="AZ229">
            <v>392.87422721578565</v>
          </cell>
          <cell r="BA229">
            <v>0</v>
          </cell>
          <cell r="BB229">
            <v>0</v>
          </cell>
          <cell r="BC229">
            <v>0</v>
          </cell>
          <cell r="BD229">
            <v>0</v>
          </cell>
          <cell r="BG229">
            <v>0</v>
          </cell>
          <cell r="BH229">
            <v>0</v>
          </cell>
          <cell r="BI229">
            <v>70032</v>
          </cell>
          <cell r="BJ229">
            <v>16.903692976104271</v>
          </cell>
          <cell r="BK229">
            <v>0</v>
          </cell>
          <cell r="BL229">
            <v>0</v>
          </cell>
          <cell r="BM229">
            <v>523901</v>
          </cell>
          <cell r="BN229">
            <v>126.45450156891141</v>
          </cell>
          <cell r="BO229">
            <v>0</v>
          </cell>
          <cell r="BP229">
            <v>0</v>
          </cell>
          <cell r="BY229">
            <v>2895.8</v>
          </cell>
          <cell r="CF229">
            <v>660.33299999999997</v>
          </cell>
          <cell r="CG229">
            <v>2464.9349999999999</v>
          </cell>
          <cell r="CJ229">
            <v>0</v>
          </cell>
          <cell r="CK229">
            <v>0</v>
          </cell>
          <cell r="CL229">
            <v>0</v>
          </cell>
          <cell r="CM229">
            <v>0</v>
          </cell>
          <cell r="CN229">
            <v>0</v>
          </cell>
          <cell r="CO229">
            <v>0</v>
          </cell>
          <cell r="CX229">
            <v>0</v>
          </cell>
          <cell r="CY229">
            <v>0</v>
          </cell>
          <cell r="DB229">
            <v>0</v>
          </cell>
          <cell r="DC229">
            <v>0</v>
          </cell>
          <cell r="DJ229" t="str">
            <v>НКРКП</v>
          </cell>
          <cell r="DL229">
            <v>40836</v>
          </cell>
          <cell r="DM229">
            <v>215</v>
          </cell>
          <cell r="DT229">
            <v>872.97</v>
          </cell>
        </row>
        <row r="230">
          <cell r="W230">
            <v>160.91999999999999</v>
          </cell>
          <cell r="AF230">
            <v>40171</v>
          </cell>
          <cell r="AG230">
            <v>218</v>
          </cell>
          <cell r="AH230">
            <v>146.2926337118316</v>
          </cell>
          <cell r="AM230">
            <v>1899.0840000000001</v>
          </cell>
          <cell r="AO230">
            <v>305600.59727999999</v>
          </cell>
          <cell r="AQ230">
            <v>277822</v>
          </cell>
          <cell r="AU230">
            <v>0</v>
          </cell>
          <cell r="AW230">
            <v>0</v>
          </cell>
          <cell r="AY230">
            <v>202686.62832000002</v>
          </cell>
          <cell r="AZ230">
            <v>106.72862723291861</v>
          </cell>
          <cell r="BA230">
            <v>0</v>
          </cell>
          <cell r="BB230">
            <v>0</v>
          </cell>
          <cell r="BC230">
            <v>0</v>
          </cell>
          <cell r="BD230">
            <v>0</v>
          </cell>
          <cell r="BG230">
            <v>0</v>
          </cell>
          <cell r="BH230">
            <v>0</v>
          </cell>
          <cell r="BI230">
            <v>38637</v>
          </cell>
          <cell r="BJ230">
            <v>20.345071624003992</v>
          </cell>
          <cell r="BK230">
            <v>0</v>
          </cell>
          <cell r="BL230">
            <v>0</v>
          </cell>
          <cell r="BM230">
            <v>28790</v>
          </cell>
          <cell r="BN230">
            <v>15.159940265938737</v>
          </cell>
          <cell r="BO230">
            <v>0</v>
          </cell>
          <cell r="BP230">
            <v>0</v>
          </cell>
          <cell r="BY230">
            <v>1094.5</v>
          </cell>
          <cell r="CF230">
            <v>278.67599999999999</v>
          </cell>
          <cell r="CG230">
            <v>727.32</v>
          </cell>
          <cell r="CJ230">
            <v>0</v>
          </cell>
          <cell r="CK230">
            <v>0</v>
          </cell>
          <cell r="CL230">
            <v>0</v>
          </cell>
          <cell r="CM230">
            <v>0</v>
          </cell>
          <cell r="CN230">
            <v>0</v>
          </cell>
          <cell r="CO230">
            <v>0</v>
          </cell>
          <cell r="CX230">
            <v>0</v>
          </cell>
          <cell r="CY230">
            <v>0</v>
          </cell>
          <cell r="DB230">
            <v>0</v>
          </cell>
          <cell r="DC230">
            <v>0</v>
          </cell>
          <cell r="DJ230" t="str">
            <v>МОС</v>
          </cell>
          <cell r="DL230">
            <v>40226</v>
          </cell>
          <cell r="DM230" t="str">
            <v>№2</v>
          </cell>
          <cell r="DO230" t="str">
            <v>тариф на теплову енергію для населення</v>
          </cell>
          <cell r="DT230">
            <v>160.91999999999999</v>
          </cell>
        </row>
        <row r="231">
          <cell r="W231">
            <v>369.62</v>
          </cell>
          <cell r="AF231">
            <v>40171</v>
          </cell>
          <cell r="AG231">
            <v>218</v>
          </cell>
          <cell r="AH231">
            <v>336.02095095986016</v>
          </cell>
          <cell r="AM231">
            <v>722.44899999999996</v>
          </cell>
          <cell r="AO231">
            <v>267031.59937999997</v>
          </cell>
          <cell r="AQ231">
            <v>242758</v>
          </cell>
          <cell r="AU231">
            <v>0</v>
          </cell>
          <cell r="AW231">
            <v>0</v>
          </cell>
          <cell r="AY231">
            <v>214174.37945000001</v>
          </cell>
          <cell r="AZ231">
            <v>296.4560535761002</v>
          </cell>
          <cell r="BA231">
            <v>0</v>
          </cell>
          <cell r="BB231">
            <v>0</v>
          </cell>
          <cell r="BC231">
            <v>0</v>
          </cell>
          <cell r="BD231">
            <v>0</v>
          </cell>
          <cell r="BG231">
            <v>0</v>
          </cell>
          <cell r="BH231">
            <v>0</v>
          </cell>
          <cell r="BI231">
            <v>14698</v>
          </cell>
          <cell r="BJ231">
            <v>20.344688690828004</v>
          </cell>
          <cell r="BK231">
            <v>0</v>
          </cell>
          <cell r="BL231">
            <v>0</v>
          </cell>
          <cell r="BM231">
            <v>10952</v>
          </cell>
          <cell r="BN231">
            <v>15.159547594363064</v>
          </cell>
          <cell r="BO231">
            <v>0</v>
          </cell>
          <cell r="BP231">
            <v>0</v>
          </cell>
          <cell r="BY231">
            <v>1094.5</v>
          </cell>
          <cell r="CF231">
            <v>106.0138</v>
          </cell>
          <cell r="CG231">
            <v>2020.25</v>
          </cell>
          <cell r="CJ231">
            <v>0</v>
          </cell>
          <cell r="CK231">
            <v>0</v>
          </cell>
          <cell r="CL231">
            <v>0</v>
          </cell>
          <cell r="CM231">
            <v>0</v>
          </cell>
          <cell r="CN231">
            <v>0</v>
          </cell>
          <cell r="CO231">
            <v>0</v>
          </cell>
          <cell r="CX231">
            <v>0</v>
          </cell>
          <cell r="CY231">
            <v>0</v>
          </cell>
          <cell r="DB231">
            <v>0</v>
          </cell>
          <cell r="DC231">
            <v>0</v>
          </cell>
          <cell r="DJ231" t="str">
            <v>НКРКП</v>
          </cell>
          <cell r="DL231">
            <v>40942</v>
          </cell>
          <cell r="DM231">
            <v>53</v>
          </cell>
          <cell r="DT231">
            <v>628.35</v>
          </cell>
        </row>
        <row r="232">
          <cell r="W232">
            <v>369.62</v>
          </cell>
          <cell r="AF232">
            <v>40171</v>
          </cell>
          <cell r="AG232">
            <v>218</v>
          </cell>
          <cell r="AH232">
            <v>336.03065527797401</v>
          </cell>
          <cell r="AM232">
            <v>46.713000000000001</v>
          </cell>
          <cell r="AO232">
            <v>17266.05906</v>
          </cell>
          <cell r="AQ232">
            <v>15697</v>
          </cell>
          <cell r="AU232">
            <v>0</v>
          </cell>
          <cell r="AW232">
            <v>0</v>
          </cell>
          <cell r="AY232">
            <v>13848.4097</v>
          </cell>
          <cell r="AZ232">
            <v>296.45729668400656</v>
          </cell>
          <cell r="BA232">
            <v>0</v>
          </cell>
          <cell r="BB232">
            <v>0</v>
          </cell>
          <cell r="BC232">
            <v>0</v>
          </cell>
          <cell r="BD232">
            <v>0</v>
          </cell>
          <cell r="BG232">
            <v>0</v>
          </cell>
          <cell r="BH232">
            <v>0</v>
          </cell>
          <cell r="BI232">
            <v>950</v>
          </cell>
          <cell r="BJ232">
            <v>20.336951169909874</v>
          </cell>
          <cell r="BK232">
            <v>0</v>
          </cell>
          <cell r="BL232">
            <v>0</v>
          </cell>
          <cell r="BM232">
            <v>708</v>
          </cell>
          <cell r="BN232">
            <v>15.156380450838096</v>
          </cell>
          <cell r="BO232">
            <v>0</v>
          </cell>
          <cell r="BP232">
            <v>0</v>
          </cell>
          <cell r="BY232">
            <v>1094.5</v>
          </cell>
          <cell r="CF232">
            <v>6.8548</v>
          </cell>
          <cell r="CG232">
            <v>2020.25</v>
          </cell>
          <cell r="CJ232">
            <v>0</v>
          </cell>
          <cell r="CK232">
            <v>0</v>
          </cell>
          <cell r="CL232">
            <v>0</v>
          </cell>
          <cell r="CM232">
            <v>0</v>
          </cell>
          <cell r="CN232">
            <v>0</v>
          </cell>
          <cell r="CO232">
            <v>0</v>
          </cell>
          <cell r="CX232">
            <v>0</v>
          </cell>
          <cell r="CY232">
            <v>0</v>
          </cell>
          <cell r="DB232">
            <v>0</v>
          </cell>
          <cell r="DC232">
            <v>0</v>
          </cell>
          <cell r="DJ232" t="str">
            <v>НКРКП</v>
          </cell>
          <cell r="DL232">
            <v>40942</v>
          </cell>
          <cell r="DM232">
            <v>53</v>
          </cell>
          <cell r="DT232">
            <v>628.35</v>
          </cell>
        </row>
        <row r="233">
          <cell r="W233">
            <v>214.49</v>
          </cell>
          <cell r="AF233">
            <v>40141</v>
          </cell>
          <cell r="AG233">
            <v>446</v>
          </cell>
          <cell r="AH233">
            <v>214.4862023653088</v>
          </cell>
          <cell r="AM233">
            <v>1522</v>
          </cell>
          <cell r="AO233">
            <v>326453.78000000003</v>
          </cell>
          <cell r="AQ233">
            <v>326448</v>
          </cell>
          <cell r="AU233">
            <v>0</v>
          </cell>
          <cell r="AW233">
            <v>0</v>
          </cell>
          <cell r="AY233">
            <v>162548.74680000002</v>
          </cell>
          <cell r="AZ233">
            <v>106.79943942181342</v>
          </cell>
          <cell r="BA233">
            <v>0</v>
          </cell>
          <cell r="BB233">
            <v>0</v>
          </cell>
          <cell r="BC233">
            <v>0</v>
          </cell>
          <cell r="BD233">
            <v>0</v>
          </cell>
          <cell r="BG233">
            <v>0</v>
          </cell>
          <cell r="BH233">
            <v>0</v>
          </cell>
          <cell r="BI233">
            <v>50386</v>
          </cell>
          <cell r="BJ233">
            <v>33.105124835742444</v>
          </cell>
          <cell r="BK233">
            <v>0</v>
          </cell>
          <cell r="BL233">
            <v>0</v>
          </cell>
          <cell r="BM233">
            <v>60901</v>
          </cell>
          <cell r="BN233">
            <v>40.013797634691194</v>
          </cell>
          <cell r="BO233">
            <v>0</v>
          </cell>
          <cell r="BP233">
            <v>0</v>
          </cell>
          <cell r="BY233">
            <v>1209</v>
          </cell>
          <cell r="CF233">
            <v>223.49</v>
          </cell>
          <cell r="CG233">
            <v>727.32</v>
          </cell>
          <cell r="CJ233">
            <v>0</v>
          </cell>
          <cell r="CK233">
            <v>0</v>
          </cell>
          <cell r="CL233">
            <v>0</v>
          </cell>
          <cell r="CM233">
            <v>0</v>
          </cell>
          <cell r="CN233">
            <v>0</v>
          </cell>
          <cell r="CO233">
            <v>0</v>
          </cell>
          <cell r="CX233">
            <v>0</v>
          </cell>
          <cell r="CY233">
            <v>0</v>
          </cell>
          <cell r="DB233">
            <v>0</v>
          </cell>
          <cell r="DC233">
            <v>0</v>
          </cell>
          <cell r="DJ233" t="str">
            <v>МОС</v>
          </cell>
          <cell r="DL233">
            <v>40319</v>
          </cell>
          <cell r="DM233" t="str">
            <v>№12</v>
          </cell>
          <cell r="DO233" t="str">
            <v>тариф на теплову енергію для населення</v>
          </cell>
          <cell r="DT233">
            <v>214.49</v>
          </cell>
        </row>
        <row r="234">
          <cell r="W234">
            <v>404.14</v>
          </cell>
          <cell r="AF234">
            <v>40141</v>
          </cell>
          <cell r="AG234">
            <v>444</v>
          </cell>
          <cell r="AH234">
            <v>404.14338575393157</v>
          </cell>
          <cell r="AM234">
            <v>2162</v>
          </cell>
          <cell r="AO234">
            <v>873750.67999999993</v>
          </cell>
          <cell r="AQ234">
            <v>873758</v>
          </cell>
          <cell r="AU234">
            <v>0</v>
          </cell>
          <cell r="AW234">
            <v>0</v>
          </cell>
          <cell r="AY234">
            <v>641050.63873249991</v>
          </cell>
          <cell r="AZ234">
            <v>296.50815852567064</v>
          </cell>
          <cell r="BA234">
            <v>0</v>
          </cell>
          <cell r="BB234">
            <v>0</v>
          </cell>
          <cell r="BC234">
            <v>0</v>
          </cell>
          <cell r="BD234">
            <v>0</v>
          </cell>
          <cell r="BG234">
            <v>0</v>
          </cell>
          <cell r="BH234">
            <v>0</v>
          </cell>
          <cell r="BI234">
            <v>71532</v>
          </cell>
          <cell r="BJ234">
            <v>33.086031452358924</v>
          </cell>
          <cell r="BK234">
            <v>0</v>
          </cell>
          <cell r="BL234">
            <v>0</v>
          </cell>
          <cell r="BM234">
            <v>86482</v>
          </cell>
          <cell r="BN234">
            <v>40.000925069380202</v>
          </cell>
          <cell r="BO234">
            <v>0</v>
          </cell>
          <cell r="BP234">
            <v>0</v>
          </cell>
          <cell r="BY234">
            <v>1209</v>
          </cell>
          <cell r="CF234">
            <v>317.31252999999998</v>
          </cell>
          <cell r="CG234">
            <v>2020.25</v>
          </cell>
          <cell r="CJ234">
            <v>0</v>
          </cell>
          <cell r="CK234">
            <v>0</v>
          </cell>
          <cell r="CL234">
            <v>0</v>
          </cell>
          <cell r="CM234">
            <v>0</v>
          </cell>
          <cell r="CN234">
            <v>0</v>
          </cell>
          <cell r="CO234">
            <v>0</v>
          </cell>
          <cell r="CX234">
            <v>0</v>
          </cell>
          <cell r="CY234">
            <v>0</v>
          </cell>
          <cell r="DB234">
            <v>0</v>
          </cell>
          <cell r="DC234">
            <v>0</v>
          </cell>
          <cell r="DJ234" t="str">
            <v>НКРКП</v>
          </cell>
          <cell r="DL234">
            <v>40942</v>
          </cell>
          <cell r="DM234">
            <v>53</v>
          </cell>
          <cell r="DT234">
            <v>671.85</v>
          </cell>
        </row>
        <row r="235">
          <cell r="W235">
            <v>404.14</v>
          </cell>
          <cell r="AF235">
            <v>40141</v>
          </cell>
          <cell r="AG235">
            <v>445</v>
          </cell>
          <cell r="AH235">
            <v>404.14077669902912</v>
          </cell>
          <cell r="AM235">
            <v>412</v>
          </cell>
          <cell r="AO235">
            <v>166505.68</v>
          </cell>
          <cell r="AQ235">
            <v>166506</v>
          </cell>
          <cell r="AU235">
            <v>0</v>
          </cell>
          <cell r="AW235">
            <v>0</v>
          </cell>
          <cell r="AY235">
            <v>122161.35984925</v>
          </cell>
          <cell r="AZ235">
            <v>296.50815497390778</v>
          </cell>
          <cell r="BA235">
            <v>0</v>
          </cell>
          <cell r="BB235">
            <v>0</v>
          </cell>
          <cell r="BC235">
            <v>0</v>
          </cell>
          <cell r="BD235">
            <v>0</v>
          </cell>
          <cell r="BG235">
            <v>0</v>
          </cell>
          <cell r="BH235">
            <v>0</v>
          </cell>
          <cell r="BI235">
            <v>13636</v>
          </cell>
          <cell r="BJ235">
            <v>33.097087378640779</v>
          </cell>
          <cell r="BK235">
            <v>0</v>
          </cell>
          <cell r="BL235">
            <v>0</v>
          </cell>
          <cell r="BM235">
            <v>16482</v>
          </cell>
          <cell r="BN235">
            <v>40.004854368932037</v>
          </cell>
          <cell r="BO235">
            <v>0</v>
          </cell>
          <cell r="BP235">
            <v>0</v>
          </cell>
          <cell r="BY235">
            <v>1209</v>
          </cell>
          <cell r="CF235">
            <v>60.468437000000002</v>
          </cell>
          <cell r="CG235">
            <v>2020.25</v>
          </cell>
          <cell r="CJ235">
            <v>0</v>
          </cell>
          <cell r="CK235">
            <v>0</v>
          </cell>
          <cell r="CL235">
            <v>0</v>
          </cell>
          <cell r="CM235">
            <v>0</v>
          </cell>
          <cell r="CN235">
            <v>0</v>
          </cell>
          <cell r="CO235">
            <v>0</v>
          </cell>
          <cell r="CX235">
            <v>0</v>
          </cell>
          <cell r="CY235">
            <v>0</v>
          </cell>
          <cell r="DB235">
            <v>0</v>
          </cell>
          <cell r="DC235">
            <v>0</v>
          </cell>
          <cell r="DJ235" t="str">
            <v>НКРКП</v>
          </cell>
          <cell r="DL235">
            <v>40942</v>
          </cell>
          <cell r="DM235">
            <v>53</v>
          </cell>
          <cell r="DT235">
            <v>671.85</v>
          </cell>
        </row>
        <row r="236">
          <cell r="AF236">
            <v>39948</v>
          </cell>
          <cell r="AG236">
            <v>103</v>
          </cell>
          <cell r="AM236">
            <v>18600</v>
          </cell>
          <cell r="AO236">
            <v>2415953.9999999995</v>
          </cell>
          <cell r="AQ236">
            <v>2415954</v>
          </cell>
          <cell r="AU236">
            <v>0</v>
          </cell>
          <cell r="AW236">
            <v>0</v>
          </cell>
          <cell r="AY236">
            <v>2137966</v>
          </cell>
          <cell r="AZ236">
            <v>114.94440860215053</v>
          </cell>
          <cell r="BA236">
            <v>0</v>
          </cell>
          <cell r="BB236">
            <v>0</v>
          </cell>
          <cell r="BG236">
            <v>0</v>
          </cell>
          <cell r="BH236">
            <v>0</v>
          </cell>
          <cell r="BI236">
            <v>277931</v>
          </cell>
          <cell r="BJ236">
            <v>14.942526881720431</v>
          </cell>
          <cell r="BK236">
            <v>0</v>
          </cell>
          <cell r="BL236">
            <v>0</v>
          </cell>
          <cell r="BO236">
            <v>0</v>
          </cell>
          <cell r="BP236">
            <v>0</v>
          </cell>
          <cell r="CF236">
            <v>2939.5121817081886</v>
          </cell>
          <cell r="CG236">
            <v>727.32</v>
          </cell>
          <cell r="CJ236">
            <v>0</v>
          </cell>
          <cell r="CK236">
            <v>0</v>
          </cell>
          <cell r="CL236">
            <v>0</v>
          </cell>
          <cell r="CM236">
            <v>0</v>
          </cell>
          <cell r="CN236">
            <v>0</v>
          </cell>
          <cell r="CO236">
            <v>0</v>
          </cell>
          <cell r="CX236">
            <v>0</v>
          </cell>
          <cell r="CY236">
            <v>0</v>
          </cell>
          <cell r="DJ236" t="str">
            <v>НКРЕ</v>
          </cell>
          <cell r="DL236">
            <v>40526</v>
          </cell>
          <cell r="DM236">
            <v>1852</v>
          </cell>
          <cell r="DO236" t="str">
            <v>тариф на теплову енергію для населення</v>
          </cell>
        </row>
        <row r="237">
          <cell r="AF237">
            <v>40250</v>
          </cell>
          <cell r="AG237">
            <v>17</v>
          </cell>
          <cell r="AM237">
            <v>52899.738974119035</v>
          </cell>
          <cell r="AO237">
            <v>21482054.999999996</v>
          </cell>
          <cell r="AQ237">
            <v>19137700</v>
          </cell>
          <cell r="AU237">
            <v>0</v>
          </cell>
          <cell r="AW237">
            <v>0</v>
          </cell>
          <cell r="AY237">
            <v>18247700</v>
          </cell>
          <cell r="AZ237">
            <v>344.94877203321568</v>
          </cell>
          <cell r="BA237">
            <v>0</v>
          </cell>
          <cell r="BB237">
            <v>0</v>
          </cell>
          <cell r="BG237">
            <v>0</v>
          </cell>
          <cell r="BH237">
            <v>0</v>
          </cell>
          <cell r="BI237">
            <v>890000</v>
          </cell>
          <cell r="BJ237">
            <v>16.824279613845139</v>
          </cell>
          <cell r="BK237">
            <v>0</v>
          </cell>
          <cell r="BL237">
            <v>0</v>
          </cell>
          <cell r="BO237">
            <v>0</v>
          </cell>
          <cell r="BP237">
            <v>0</v>
          </cell>
          <cell r="CF237">
            <v>8360.3034829061799</v>
          </cell>
          <cell r="CG237">
            <v>2182.66</v>
          </cell>
          <cell r="CJ237">
            <v>0</v>
          </cell>
          <cell r="CK237">
            <v>0</v>
          </cell>
          <cell r="CL237">
            <v>0</v>
          </cell>
          <cell r="CM237">
            <v>0</v>
          </cell>
          <cell r="CN237">
            <v>0</v>
          </cell>
          <cell r="CO237">
            <v>0</v>
          </cell>
          <cell r="CX237">
            <v>0</v>
          </cell>
          <cell r="CY237">
            <v>0</v>
          </cell>
          <cell r="DJ237" t="str">
            <v>НКРКП</v>
          </cell>
          <cell r="DL237">
            <v>40816</v>
          </cell>
          <cell r="DM237">
            <v>146</v>
          </cell>
        </row>
        <row r="238">
          <cell r="AF238">
            <v>40250</v>
          </cell>
          <cell r="AG238">
            <v>16</v>
          </cell>
          <cell r="AM238">
            <v>5700</v>
          </cell>
          <cell r="AO238">
            <v>2622342</v>
          </cell>
          <cell r="AQ238">
            <v>2057400</v>
          </cell>
          <cell r="AU238">
            <v>0</v>
          </cell>
          <cell r="AW238">
            <v>0</v>
          </cell>
          <cell r="AY238">
            <v>1966100</v>
          </cell>
          <cell r="AZ238">
            <v>344.92982456140351</v>
          </cell>
          <cell r="BA238">
            <v>0</v>
          </cell>
          <cell r="BB238">
            <v>0</v>
          </cell>
          <cell r="BG238">
            <v>0</v>
          </cell>
          <cell r="BH238">
            <v>0</v>
          </cell>
          <cell r="BI238">
            <v>91300</v>
          </cell>
          <cell r="BJ238">
            <v>16.017543859649123</v>
          </cell>
          <cell r="BK238">
            <v>0</v>
          </cell>
          <cell r="BL238">
            <v>0</v>
          </cell>
          <cell r="BO238">
            <v>0</v>
          </cell>
          <cell r="BP238">
            <v>0</v>
          </cell>
          <cell r="CF238">
            <v>900.7816150935098</v>
          </cell>
          <cell r="CG238">
            <v>2182.66</v>
          </cell>
          <cell r="CJ238">
            <v>0</v>
          </cell>
          <cell r="CK238">
            <v>0</v>
          </cell>
          <cell r="CL238">
            <v>0</v>
          </cell>
          <cell r="CM238">
            <v>0</v>
          </cell>
          <cell r="CN238">
            <v>0</v>
          </cell>
          <cell r="CO238">
            <v>0</v>
          </cell>
          <cell r="CX238">
            <v>0</v>
          </cell>
          <cell r="CY238">
            <v>0</v>
          </cell>
          <cell r="DJ238" t="str">
            <v>НКРКП</v>
          </cell>
          <cell r="DL238">
            <v>40816</v>
          </cell>
          <cell r="DM238">
            <v>146</v>
          </cell>
        </row>
        <row r="239">
          <cell r="AF239">
            <v>39948</v>
          </cell>
          <cell r="AG239">
            <v>103</v>
          </cell>
          <cell r="AO239">
            <v>1947158.9999999995</v>
          </cell>
          <cell r="AQ239">
            <v>1947159</v>
          </cell>
          <cell r="AY239">
            <v>0</v>
          </cell>
          <cell r="AZ239">
            <v>0</v>
          </cell>
          <cell r="BC239">
            <v>0</v>
          </cell>
          <cell r="BD239">
            <v>0</v>
          </cell>
          <cell r="BG239">
            <v>0</v>
          </cell>
          <cell r="BH239">
            <v>0</v>
          </cell>
          <cell r="BI239">
            <v>45289</v>
          </cell>
          <cell r="BJ239">
            <v>482.49663252975239</v>
          </cell>
          <cell r="BK239">
            <v>0</v>
          </cell>
          <cell r="BL239">
            <v>0</v>
          </cell>
          <cell r="BM239">
            <v>1446357</v>
          </cell>
          <cell r="BN239">
            <v>15409.09231680618</v>
          </cell>
          <cell r="BO239">
            <v>0</v>
          </cell>
          <cell r="BP239">
            <v>0</v>
          </cell>
          <cell r="BY239">
            <v>1984.32</v>
          </cell>
          <cell r="CF239">
            <v>0</v>
          </cell>
          <cell r="CG239">
            <v>0</v>
          </cell>
          <cell r="CX239">
            <v>0</v>
          </cell>
          <cell r="CY239">
            <v>0</v>
          </cell>
          <cell r="DB239">
            <v>0</v>
          </cell>
          <cell r="DC239">
            <v>0</v>
          </cell>
          <cell r="DJ239" t="str">
            <v>МОС</v>
          </cell>
          <cell r="DL239">
            <v>40540</v>
          </cell>
          <cell r="DM239">
            <v>3007</v>
          </cell>
          <cell r="DO239" t="str">
            <v>плата за одиницю приєднаного теплового навантаженняз централізованого опалення</v>
          </cell>
        </row>
        <row r="240">
          <cell r="AF240">
            <v>40250</v>
          </cell>
          <cell r="AG240">
            <v>17</v>
          </cell>
          <cell r="AO240">
            <v>10771419</v>
          </cell>
          <cell r="AQ240">
            <v>9596008</v>
          </cell>
          <cell r="AY240">
            <v>0</v>
          </cell>
          <cell r="AZ240">
            <v>0</v>
          </cell>
          <cell r="BC240">
            <v>0</v>
          </cell>
          <cell r="BD240">
            <v>0</v>
          </cell>
          <cell r="BG240">
            <v>0</v>
          </cell>
          <cell r="BH240">
            <v>0</v>
          </cell>
          <cell r="BI240">
            <v>96000</v>
          </cell>
          <cell r="BJ240">
            <v>271.21400439440714</v>
          </cell>
          <cell r="BK240">
            <v>0</v>
          </cell>
          <cell r="BL240">
            <v>0</v>
          </cell>
          <cell r="BM240">
            <v>7604765</v>
          </cell>
          <cell r="BN240">
            <v>21484.57050133785</v>
          </cell>
          <cell r="BO240">
            <v>0</v>
          </cell>
          <cell r="BP240">
            <v>0</v>
          </cell>
          <cell r="BY240">
            <v>2313.73</v>
          </cell>
          <cell r="CF240">
            <v>0</v>
          </cell>
          <cell r="CG240">
            <v>0</v>
          </cell>
          <cell r="CX240">
            <v>0</v>
          </cell>
          <cell r="CY240">
            <v>0</v>
          </cell>
          <cell r="DB240">
            <v>0</v>
          </cell>
          <cell r="DC240">
            <v>0</v>
          </cell>
          <cell r="DJ240" t="str">
            <v>МОС</v>
          </cell>
          <cell r="DL240">
            <v>40304</v>
          </cell>
          <cell r="DM240">
            <v>944</v>
          </cell>
          <cell r="DO240" t="str">
            <v>плата за одиницю приєднаного теплового навантаження з централізованого опалення та ГВП</v>
          </cell>
        </row>
        <row r="241">
          <cell r="AF241">
            <v>40250</v>
          </cell>
          <cell r="AG241">
            <v>16</v>
          </cell>
          <cell r="AO241">
            <v>853071.85920000006</v>
          </cell>
          <cell r="AQ241">
            <v>669300</v>
          </cell>
          <cell r="AY241">
            <v>0</v>
          </cell>
          <cell r="AZ241">
            <v>0</v>
          </cell>
          <cell r="BC241">
            <v>0</v>
          </cell>
          <cell r="BD241">
            <v>0</v>
          </cell>
          <cell r="BG241">
            <v>0</v>
          </cell>
          <cell r="BH241">
            <v>0</v>
          </cell>
          <cell r="BI241">
            <v>14900</v>
          </cell>
          <cell r="BJ241">
            <v>352.74621212121207</v>
          </cell>
          <cell r="BK241">
            <v>0</v>
          </cell>
          <cell r="BL241">
            <v>0</v>
          </cell>
          <cell r="BM241">
            <v>545079</v>
          </cell>
          <cell r="BN241">
            <v>12904.332386363638</v>
          </cell>
          <cell r="BO241">
            <v>0</v>
          </cell>
          <cell r="BP241">
            <v>0</v>
          </cell>
          <cell r="BY241">
            <v>2313.73</v>
          </cell>
          <cell r="CF241">
            <v>0</v>
          </cell>
          <cell r="CG241">
            <v>0</v>
          </cell>
          <cell r="CX241">
            <v>0</v>
          </cell>
          <cell r="CY241">
            <v>0</v>
          </cell>
          <cell r="DB241">
            <v>0</v>
          </cell>
          <cell r="DC241">
            <v>0</v>
          </cell>
          <cell r="DJ241" t="str">
            <v>МОС</v>
          </cell>
          <cell r="DL241">
            <v>40304</v>
          </cell>
          <cell r="DM241">
            <v>944</v>
          </cell>
          <cell r="DO241" t="str">
            <v>плата за одиницю приєднаного теплового навантаження з централізованого опалення та ГВП</v>
          </cell>
        </row>
        <row r="242">
          <cell r="W242">
            <v>315.77999999999997</v>
          </cell>
          <cell r="AF242">
            <v>40039</v>
          </cell>
          <cell r="AG242">
            <v>718</v>
          </cell>
          <cell r="AH242">
            <v>315.78153570569316</v>
          </cell>
          <cell r="AM242">
            <v>10237.261</v>
          </cell>
          <cell r="AO242">
            <v>3232722.2785799997</v>
          </cell>
          <cell r="AQ242">
            <v>3232738</v>
          </cell>
          <cell r="AU242">
            <v>0</v>
          </cell>
          <cell r="AW242">
            <v>0</v>
          </cell>
          <cell r="AY242">
            <v>1178788.6162800002</v>
          </cell>
          <cell r="AZ242">
            <v>115.14687534878716</v>
          </cell>
          <cell r="BA242">
            <v>0</v>
          </cell>
          <cell r="BB242">
            <v>0</v>
          </cell>
          <cell r="BC242">
            <v>0</v>
          </cell>
          <cell r="BD242">
            <v>0</v>
          </cell>
          <cell r="BG242">
            <v>0</v>
          </cell>
          <cell r="BH242">
            <v>0</v>
          </cell>
          <cell r="BI242">
            <v>224375</v>
          </cell>
          <cell r="BJ242">
            <v>21.917483592535152</v>
          </cell>
          <cell r="BK242">
            <v>0</v>
          </cell>
          <cell r="BL242">
            <v>0</v>
          </cell>
          <cell r="BM242">
            <v>1735309</v>
          </cell>
          <cell r="BN242">
            <v>169.50910990742543</v>
          </cell>
          <cell r="BO242">
            <v>0</v>
          </cell>
          <cell r="BP242">
            <v>0</v>
          </cell>
          <cell r="BY242">
            <v>2440</v>
          </cell>
          <cell r="CF242">
            <v>1620.729</v>
          </cell>
          <cell r="CG242">
            <v>727.32</v>
          </cell>
          <cell r="CJ242">
            <v>0</v>
          </cell>
          <cell r="CK242">
            <v>0</v>
          </cell>
          <cell r="CL242">
            <v>0</v>
          </cell>
          <cell r="CM242">
            <v>0</v>
          </cell>
          <cell r="CN242">
            <v>0</v>
          </cell>
          <cell r="CO242">
            <v>0</v>
          </cell>
          <cell r="CX242">
            <v>0</v>
          </cell>
          <cell r="CY242">
            <v>0</v>
          </cell>
          <cell r="DB242">
            <v>0</v>
          </cell>
          <cell r="DC242">
            <v>0</v>
          </cell>
          <cell r="DJ242" t="str">
            <v>НКРЕ</v>
          </cell>
          <cell r="DL242">
            <v>40526</v>
          </cell>
          <cell r="DM242">
            <v>1717</v>
          </cell>
          <cell r="DO242" t="str">
            <v>тариф на теплову енергію</v>
          </cell>
          <cell r="DT242">
            <v>347.36</v>
          </cell>
        </row>
        <row r="243">
          <cell r="W243">
            <v>238.92</v>
          </cell>
          <cell r="AF243">
            <v>40039</v>
          </cell>
          <cell r="AG243">
            <v>715</v>
          </cell>
          <cell r="AH243">
            <v>238.92102996120127</v>
          </cell>
          <cell r="AM243">
            <v>70241.209000000003</v>
          </cell>
          <cell r="AO243">
            <v>16782029.654279999</v>
          </cell>
          <cell r="AQ243">
            <v>16782102</v>
          </cell>
          <cell r="AU243">
            <v>0</v>
          </cell>
          <cell r="AW243">
            <v>0</v>
          </cell>
          <cell r="AY243">
            <v>8206358.8332000012</v>
          </cell>
          <cell r="AZ243">
            <v>116.83111595075194</v>
          </cell>
          <cell r="BA243">
            <v>0</v>
          </cell>
          <cell r="BB243">
            <v>0</v>
          </cell>
          <cell r="BC243">
            <v>0</v>
          </cell>
          <cell r="BD243">
            <v>0</v>
          </cell>
          <cell r="BG243">
            <v>0</v>
          </cell>
          <cell r="BH243">
            <v>0</v>
          </cell>
          <cell r="BI243">
            <v>1594506</v>
          </cell>
          <cell r="BJ243">
            <v>22.700435011020382</v>
          </cell>
          <cell r="BK243">
            <v>0</v>
          </cell>
          <cell r="BL243">
            <v>0</v>
          </cell>
          <cell r="BM243">
            <v>5604413</v>
          </cell>
          <cell r="BN243">
            <v>79.788105583433222</v>
          </cell>
          <cell r="BO243">
            <v>0</v>
          </cell>
          <cell r="BP243">
            <v>0</v>
          </cell>
          <cell r="BY243">
            <v>2440</v>
          </cell>
          <cell r="CF243">
            <v>11283.01</v>
          </cell>
          <cell r="CG243">
            <v>727.32</v>
          </cell>
          <cell r="CJ243">
            <v>0</v>
          </cell>
          <cell r="CK243">
            <v>0</v>
          </cell>
          <cell r="CL243">
            <v>0</v>
          </cell>
          <cell r="CM243">
            <v>0</v>
          </cell>
          <cell r="CN243">
            <v>0</v>
          </cell>
          <cell r="CO243">
            <v>0</v>
          </cell>
          <cell r="CX243">
            <v>0</v>
          </cell>
          <cell r="CY243">
            <v>0</v>
          </cell>
          <cell r="DB243">
            <v>0</v>
          </cell>
          <cell r="DC243">
            <v>0</v>
          </cell>
          <cell r="DJ243" t="str">
            <v>НКРЕ</v>
          </cell>
          <cell r="DL243">
            <v>40526</v>
          </cell>
          <cell r="DM243">
            <v>1717</v>
          </cell>
          <cell r="DO243" t="str">
            <v>тариф на теплову енергію</v>
          </cell>
          <cell r="DT243">
            <v>262.81</v>
          </cell>
        </row>
        <row r="244">
          <cell r="W244">
            <v>646.38</v>
          </cell>
          <cell r="AF244">
            <v>40039</v>
          </cell>
          <cell r="AG244">
            <v>716</v>
          </cell>
          <cell r="AH244">
            <v>598.50204769702657</v>
          </cell>
          <cell r="AM244">
            <v>16385.969000000001</v>
          </cell>
          <cell r="AO244">
            <v>10591562.64222</v>
          </cell>
          <cell r="AQ244">
            <v>9807036</v>
          </cell>
          <cell r="AU244">
            <v>0</v>
          </cell>
          <cell r="AW244">
            <v>0</v>
          </cell>
          <cell r="AY244">
            <v>4909865.2954199994</v>
          </cell>
          <cell r="AZ244">
            <v>299.63838546380742</v>
          </cell>
          <cell r="BA244">
            <v>381192</v>
          </cell>
          <cell r="BB244">
            <v>23.263317537095304</v>
          </cell>
          <cell r="BC244">
            <v>0</v>
          </cell>
          <cell r="BD244">
            <v>0</v>
          </cell>
          <cell r="BG244">
            <v>0</v>
          </cell>
          <cell r="BH244">
            <v>0</v>
          </cell>
          <cell r="BI244">
            <v>306117</v>
          </cell>
          <cell r="BJ244">
            <v>18.681653797831547</v>
          </cell>
          <cell r="BK244">
            <v>0</v>
          </cell>
          <cell r="BL244">
            <v>0</v>
          </cell>
          <cell r="BM244">
            <v>3777172</v>
          </cell>
          <cell r="BN244">
            <v>230.51258061088726</v>
          </cell>
          <cell r="BO244">
            <v>0</v>
          </cell>
          <cell r="BP244">
            <v>0</v>
          </cell>
          <cell r="BY244">
            <v>2440</v>
          </cell>
          <cell r="CF244">
            <v>2249.4870000000001</v>
          </cell>
          <cell r="CG244">
            <v>2182.66</v>
          </cell>
          <cell r="CJ244">
            <v>0</v>
          </cell>
          <cell r="CK244">
            <v>0</v>
          </cell>
          <cell r="CL244">
            <v>0</v>
          </cell>
          <cell r="CM244">
            <v>0</v>
          </cell>
          <cell r="CN244">
            <v>0</v>
          </cell>
          <cell r="CO244">
            <v>0</v>
          </cell>
          <cell r="CX244">
            <v>0</v>
          </cell>
          <cell r="CY244">
            <v>0</v>
          </cell>
          <cell r="DB244">
            <v>0</v>
          </cell>
          <cell r="DC244">
            <v>0</v>
          </cell>
          <cell r="DJ244" t="str">
            <v>НКРКП</v>
          </cell>
          <cell r="DL244">
            <v>40816</v>
          </cell>
          <cell r="DM244">
            <v>45</v>
          </cell>
          <cell r="DT244">
            <v>861.81</v>
          </cell>
        </row>
        <row r="245">
          <cell r="W245">
            <v>722.49</v>
          </cell>
          <cell r="AF245">
            <v>40039</v>
          </cell>
          <cell r="AG245">
            <v>717</v>
          </cell>
          <cell r="AH245">
            <v>481.66187244303956</v>
          </cell>
          <cell r="AM245">
            <v>3375.59</v>
          </cell>
          <cell r="AO245">
            <v>2438830.0191000002</v>
          </cell>
          <cell r="AQ245">
            <v>1625893</v>
          </cell>
          <cell r="AU245">
            <v>0</v>
          </cell>
          <cell r="AW245">
            <v>0</v>
          </cell>
          <cell r="AY245">
            <v>1198711.1751999999</v>
          </cell>
          <cell r="AZ245">
            <v>355.11160277166357</v>
          </cell>
          <cell r="BA245">
            <v>5367</v>
          </cell>
          <cell r="BB245">
            <v>1.5899442764079761</v>
          </cell>
          <cell r="BC245">
            <v>0</v>
          </cell>
          <cell r="BD245">
            <v>0</v>
          </cell>
          <cell r="BG245">
            <v>0</v>
          </cell>
          <cell r="BH245">
            <v>0</v>
          </cell>
          <cell r="BI245">
            <v>61452</v>
          </cell>
          <cell r="BJ245">
            <v>18.204817528195072</v>
          </cell>
          <cell r="BK245">
            <v>0</v>
          </cell>
          <cell r="BL245">
            <v>0</v>
          </cell>
          <cell r="BM245">
            <v>298859</v>
          </cell>
          <cell r="BN245">
            <v>88.535337526180598</v>
          </cell>
          <cell r="BO245">
            <v>0</v>
          </cell>
          <cell r="BP245">
            <v>0</v>
          </cell>
          <cell r="BY245">
            <v>2440</v>
          </cell>
          <cell r="CF245">
            <v>540.91999999999996</v>
          </cell>
          <cell r="CG245">
            <v>2216.06</v>
          </cell>
          <cell r="CJ245">
            <v>0</v>
          </cell>
          <cell r="CK245">
            <v>0</v>
          </cell>
          <cell r="CL245">
            <v>0</v>
          </cell>
          <cell r="CM245">
            <v>0</v>
          </cell>
          <cell r="CN245">
            <v>0</v>
          </cell>
          <cell r="CO245">
            <v>0</v>
          </cell>
          <cell r="CX245">
            <v>0</v>
          </cell>
          <cell r="CY245">
            <v>0</v>
          </cell>
          <cell r="DB245">
            <v>0</v>
          </cell>
          <cell r="DC245">
            <v>0</v>
          </cell>
          <cell r="DJ245" t="str">
            <v>НКРКП</v>
          </cell>
          <cell r="DL245">
            <v>40816</v>
          </cell>
          <cell r="DM245">
            <v>45</v>
          </cell>
          <cell r="DT245">
            <v>968.61</v>
          </cell>
        </row>
        <row r="246">
          <cell r="AF246">
            <v>39855</v>
          </cell>
          <cell r="AG246">
            <v>3</v>
          </cell>
          <cell r="AM246">
            <v>82182</v>
          </cell>
          <cell r="AO246">
            <v>9796916.2199999988</v>
          </cell>
          <cell r="AQ246">
            <v>9217710</v>
          </cell>
          <cell r="AU246">
            <v>0</v>
          </cell>
          <cell r="AW246">
            <v>0</v>
          </cell>
          <cell r="AY246">
            <v>7696340.2296000011</v>
          </cell>
          <cell r="AZ246">
            <v>93.649950470906049</v>
          </cell>
          <cell r="BA246">
            <v>0</v>
          </cell>
          <cell r="BB246">
            <v>0</v>
          </cell>
          <cell r="BG246">
            <v>0</v>
          </cell>
          <cell r="BH246">
            <v>0</v>
          </cell>
          <cell r="BI246">
            <v>1521370</v>
          </cell>
          <cell r="BJ246">
            <v>18.51220461901633</v>
          </cell>
          <cell r="BK246">
            <v>0</v>
          </cell>
          <cell r="BL246">
            <v>0</v>
          </cell>
          <cell r="BO246">
            <v>0</v>
          </cell>
          <cell r="BP246">
            <v>0</v>
          </cell>
          <cell r="CF246">
            <v>10581.78</v>
          </cell>
          <cell r="CG246">
            <v>727.32</v>
          </cell>
          <cell r="CJ246">
            <v>0</v>
          </cell>
          <cell r="CK246">
            <v>0</v>
          </cell>
          <cell r="CL246">
            <v>0</v>
          </cell>
          <cell r="CM246">
            <v>0</v>
          </cell>
          <cell r="CN246">
            <v>0</v>
          </cell>
          <cell r="CO246">
            <v>0</v>
          </cell>
          <cell r="CX246">
            <v>0</v>
          </cell>
          <cell r="CY246">
            <v>0</v>
          </cell>
          <cell r="DJ246" t="str">
            <v>НКРЕ</v>
          </cell>
          <cell r="DL246">
            <v>40526</v>
          </cell>
          <cell r="DM246">
            <v>1732</v>
          </cell>
          <cell r="DO246" t="str">
            <v>умовно-зміна величина двоставкового тарифу</v>
          </cell>
        </row>
        <row r="247">
          <cell r="AF247">
            <v>39855</v>
          </cell>
          <cell r="AG247">
            <v>4</v>
          </cell>
          <cell r="AM247">
            <v>19581</v>
          </cell>
          <cell r="AO247">
            <v>6071905.5777000003</v>
          </cell>
          <cell r="AQ247">
            <v>5763810</v>
          </cell>
          <cell r="AU247">
            <v>0</v>
          </cell>
          <cell r="AW247">
            <v>0</v>
          </cell>
          <cell r="AY247">
            <v>5401321.3347500004</v>
          </cell>
          <cell r="AZ247">
            <v>275.84501990449928</v>
          </cell>
          <cell r="BA247">
            <v>0</v>
          </cell>
          <cell r="BB247">
            <v>0</v>
          </cell>
          <cell r="BG247">
            <v>0</v>
          </cell>
          <cell r="BH247">
            <v>0</v>
          </cell>
          <cell r="BI247">
            <v>362488.5</v>
          </cell>
          <cell r="BJ247">
            <v>18.512256779531178</v>
          </cell>
          <cell r="BK247">
            <v>0</v>
          </cell>
          <cell r="BL247">
            <v>0</v>
          </cell>
          <cell r="BO247">
            <v>0</v>
          </cell>
          <cell r="BP247">
            <v>0</v>
          </cell>
          <cell r="CF247">
            <v>2521.3310000000001</v>
          </cell>
          <cell r="CG247">
            <v>2142.25</v>
          </cell>
          <cell r="CJ247">
            <v>0</v>
          </cell>
          <cell r="CK247">
            <v>0</v>
          </cell>
          <cell r="CL247">
            <v>0</v>
          </cell>
          <cell r="CM247">
            <v>0</v>
          </cell>
          <cell r="CN247">
            <v>0</v>
          </cell>
          <cell r="CO247">
            <v>0</v>
          </cell>
          <cell r="CX247">
            <v>0</v>
          </cell>
          <cell r="CY247">
            <v>0</v>
          </cell>
          <cell r="DJ247" t="str">
            <v>НКРКП</v>
          </cell>
          <cell r="DL247">
            <v>41012</v>
          </cell>
          <cell r="DM247">
            <v>157</v>
          </cell>
        </row>
        <row r="248">
          <cell r="AF248">
            <v>39855</v>
          </cell>
          <cell r="AG248">
            <v>5</v>
          </cell>
          <cell r="AM248">
            <v>5357</v>
          </cell>
          <cell r="AO248">
            <v>1784639.5511999999</v>
          </cell>
          <cell r="AQ248">
            <v>1576880</v>
          </cell>
          <cell r="AU248">
            <v>0</v>
          </cell>
          <cell r="AW248">
            <v>0</v>
          </cell>
          <cell r="AY248">
            <v>1477719.7655</v>
          </cell>
          <cell r="AZ248">
            <v>275.84837885010268</v>
          </cell>
          <cell r="BA248">
            <v>0</v>
          </cell>
          <cell r="BB248">
            <v>0</v>
          </cell>
          <cell r="BG248">
            <v>0</v>
          </cell>
          <cell r="BH248">
            <v>0</v>
          </cell>
          <cell r="BI248">
            <v>99160</v>
          </cell>
          <cell r="BJ248">
            <v>18.510360276274035</v>
          </cell>
          <cell r="BK248">
            <v>0</v>
          </cell>
          <cell r="BL248">
            <v>0</v>
          </cell>
          <cell r="BO248">
            <v>0</v>
          </cell>
          <cell r="BP248">
            <v>0</v>
          </cell>
          <cell r="CF248">
            <v>689.798</v>
          </cell>
          <cell r="CG248">
            <v>2142.25</v>
          </cell>
          <cell r="CJ248">
            <v>0</v>
          </cell>
          <cell r="CK248">
            <v>0</v>
          </cell>
          <cell r="CL248">
            <v>0</v>
          </cell>
          <cell r="CM248">
            <v>0</v>
          </cell>
          <cell r="CN248">
            <v>0</v>
          </cell>
          <cell r="CO248">
            <v>0</v>
          </cell>
          <cell r="CX248">
            <v>0</v>
          </cell>
          <cell r="CY248">
            <v>0</v>
          </cell>
          <cell r="DJ248" t="str">
            <v>НКРКП</v>
          </cell>
          <cell r="DL248">
            <v>41012</v>
          </cell>
          <cell r="DM248">
            <v>157</v>
          </cell>
        </row>
        <row r="249">
          <cell r="AF249">
            <v>39855</v>
          </cell>
          <cell r="AG249">
            <v>3</v>
          </cell>
          <cell r="AO249">
            <v>5346419.9304</v>
          </cell>
          <cell r="AQ249">
            <v>5070570</v>
          </cell>
          <cell r="AY249">
            <v>1228009.99728</v>
          </cell>
          <cell r="AZ249">
            <v>2449.5336295090601</v>
          </cell>
          <cell r="BC249">
            <v>0</v>
          </cell>
          <cell r="BD249">
            <v>0</v>
          </cell>
          <cell r="BG249">
            <v>0</v>
          </cell>
          <cell r="BH249">
            <v>0</v>
          </cell>
          <cell r="BI249">
            <v>242750</v>
          </cell>
          <cell r="BJ249">
            <v>484.21779128866757</v>
          </cell>
          <cell r="BK249">
            <v>0</v>
          </cell>
          <cell r="BL249">
            <v>0</v>
          </cell>
          <cell r="BM249">
            <v>2660350</v>
          </cell>
          <cell r="BN249">
            <v>5306.6479961063105</v>
          </cell>
          <cell r="BO249">
            <v>0</v>
          </cell>
          <cell r="BP249">
            <v>0</v>
          </cell>
          <cell r="BY249">
            <v>1422</v>
          </cell>
          <cell r="CF249">
            <v>1688.404</v>
          </cell>
          <cell r="CG249">
            <v>727.32</v>
          </cell>
          <cell r="CX249">
            <v>0</v>
          </cell>
          <cell r="CY249">
            <v>0</v>
          </cell>
          <cell r="DB249">
            <v>0</v>
          </cell>
          <cell r="DC249">
            <v>0</v>
          </cell>
          <cell r="DJ249" t="str">
            <v>МОС</v>
          </cell>
          <cell r="DL249">
            <v>40541</v>
          </cell>
          <cell r="DM249">
            <v>631</v>
          </cell>
          <cell r="DO249" t="str">
            <v>умовно-постійна частина дв.тарифу - абонплата на централізоване опалення (встановлено в грн/кв.м/міс.)</v>
          </cell>
        </row>
        <row r="250">
          <cell r="AF250">
            <v>39855</v>
          </cell>
          <cell r="AG250">
            <v>4</v>
          </cell>
          <cell r="AO250">
            <v>2015175.4656000002</v>
          </cell>
          <cell r="AQ250">
            <v>1775570</v>
          </cell>
          <cell r="AY250">
            <v>860940.28350000002</v>
          </cell>
          <cell r="AZ250">
            <v>7214.90583517699</v>
          </cell>
          <cell r="BC250">
            <v>0</v>
          </cell>
          <cell r="BD250">
            <v>0</v>
          </cell>
          <cell r="BG250">
            <v>0</v>
          </cell>
          <cell r="BH250">
            <v>0</v>
          </cell>
          <cell r="BI250">
            <v>57780</v>
          </cell>
          <cell r="BJ250">
            <v>484.21158487530164</v>
          </cell>
          <cell r="BK250">
            <v>0</v>
          </cell>
          <cell r="BL250">
            <v>0</v>
          </cell>
          <cell r="BM250">
            <v>633230</v>
          </cell>
          <cell r="BN250">
            <v>5306.6338160364703</v>
          </cell>
          <cell r="BO250">
            <v>0</v>
          </cell>
          <cell r="BP250">
            <v>0</v>
          </cell>
          <cell r="BY250">
            <v>1422</v>
          </cell>
          <cell r="CF250">
            <v>401.88600000000002</v>
          </cell>
          <cell r="CG250">
            <v>2142.25</v>
          </cell>
          <cell r="CX250">
            <v>0</v>
          </cell>
          <cell r="CY250">
            <v>0</v>
          </cell>
          <cell r="DB250">
            <v>0</v>
          </cell>
          <cell r="DC250">
            <v>0</v>
          </cell>
          <cell r="DJ250" t="str">
            <v>НКРКП</v>
          </cell>
          <cell r="DL250">
            <v>41012</v>
          </cell>
          <cell r="DM250">
            <v>157</v>
          </cell>
          <cell r="DO250" t="str">
            <v>умовно-постійна частина двоставкового тарифу на т.е. для ЦОП</v>
          </cell>
        </row>
        <row r="251">
          <cell r="AF251">
            <v>39855</v>
          </cell>
          <cell r="AG251">
            <v>5</v>
          </cell>
          <cell r="AO251">
            <v>662330.01261000009</v>
          </cell>
          <cell r="AQ251">
            <v>490820</v>
          </cell>
          <cell r="AY251">
            <v>237969.69899999999</v>
          </cell>
          <cell r="AZ251">
            <v>7213.8262095307373</v>
          </cell>
          <cell r="BC251">
            <v>0</v>
          </cell>
          <cell r="BD251">
            <v>0</v>
          </cell>
          <cell r="BG251">
            <v>0</v>
          </cell>
          <cell r="BH251">
            <v>0</v>
          </cell>
          <cell r="BI251">
            <v>15970</v>
          </cell>
          <cell r="BJ251">
            <v>484.11543591609069</v>
          </cell>
          <cell r="BK251">
            <v>0</v>
          </cell>
          <cell r="BL251">
            <v>0</v>
          </cell>
          <cell r="BM251">
            <v>175070</v>
          </cell>
          <cell r="BN251">
            <v>5307.0813629198492</v>
          </cell>
          <cell r="BO251">
            <v>0</v>
          </cell>
          <cell r="BP251">
            <v>0</v>
          </cell>
          <cell r="BY251">
            <v>1422</v>
          </cell>
          <cell r="CF251">
            <v>111.084</v>
          </cell>
          <cell r="CG251">
            <v>2142.25</v>
          </cell>
          <cell r="CX251">
            <v>0</v>
          </cell>
          <cell r="CY251">
            <v>0</v>
          </cell>
          <cell r="DB251">
            <v>0</v>
          </cell>
          <cell r="DC251">
            <v>0</v>
          </cell>
          <cell r="DJ251" t="str">
            <v>НКРКП</v>
          </cell>
          <cell r="DL251">
            <v>41012</v>
          </cell>
          <cell r="DM251">
            <v>157</v>
          </cell>
          <cell r="DO251" t="str">
            <v>умовно-постійна частина двоставкового тарифу на т.е. для ЦОП</v>
          </cell>
        </row>
        <row r="252">
          <cell r="AF252">
            <v>39682</v>
          </cell>
          <cell r="AG252">
            <v>825</v>
          </cell>
          <cell r="AM252">
            <v>159699.49112195123</v>
          </cell>
          <cell r="AO252">
            <v>19316929.929232538</v>
          </cell>
          <cell r="AQ252">
            <v>19316927</v>
          </cell>
          <cell r="AU252">
            <v>0</v>
          </cell>
          <cell r="AW252">
            <v>0</v>
          </cell>
          <cell r="AY252">
            <v>16032387.48144</v>
          </cell>
          <cell r="AZ252">
            <v>100.39097412775848</v>
          </cell>
          <cell r="BA252">
            <v>0</v>
          </cell>
          <cell r="BB252">
            <v>0</v>
          </cell>
          <cell r="BG252">
            <v>1184241.3304536073</v>
          </cell>
          <cell r="BH252">
            <v>7.4154358422425135</v>
          </cell>
          <cell r="BI252">
            <v>2100298.5432427796</v>
          </cell>
          <cell r="BJ252">
            <v>13.151566911624846</v>
          </cell>
          <cell r="BK252">
            <v>0</v>
          </cell>
          <cell r="BL252">
            <v>0</v>
          </cell>
          <cell r="BO252">
            <v>0</v>
          </cell>
          <cell r="BP252">
            <v>0</v>
          </cell>
          <cell r="CF252">
            <v>22043.200000000001</v>
          </cell>
          <cell r="CG252">
            <v>727.31669999999997</v>
          </cell>
          <cell r="CJ252">
            <v>0</v>
          </cell>
          <cell r="CK252">
            <v>0</v>
          </cell>
          <cell r="CL252">
            <v>0</v>
          </cell>
          <cell r="CM252">
            <v>0</v>
          </cell>
          <cell r="CN252">
            <v>0</v>
          </cell>
          <cell r="CO252">
            <v>0</v>
          </cell>
          <cell r="CX252">
            <v>0</v>
          </cell>
          <cell r="CY252">
            <v>0</v>
          </cell>
          <cell r="DJ252" t="str">
            <v>МОС</v>
          </cell>
          <cell r="DL252">
            <v>40541</v>
          </cell>
          <cell r="DM252">
            <v>111</v>
          </cell>
          <cell r="DO252" t="str">
            <v>Умовно-зміна частина дв.тарифу - Тариф за теплову енергію згідно з показниками обліку теплової енергії</v>
          </cell>
        </row>
        <row r="253">
          <cell r="AF253">
            <v>39878</v>
          </cell>
          <cell r="AG253">
            <v>1506</v>
          </cell>
          <cell r="AM253">
            <v>35202.015219512192</v>
          </cell>
          <cell r="AO253">
            <v>11132990.002161214</v>
          </cell>
          <cell r="AQ253">
            <v>11133000</v>
          </cell>
          <cell r="AU253">
            <v>0</v>
          </cell>
          <cell r="AW253">
            <v>0</v>
          </cell>
          <cell r="AY253">
            <v>10408999.9475</v>
          </cell>
          <cell r="AZ253">
            <v>295.6932971760769</v>
          </cell>
          <cell r="BA253">
            <v>0</v>
          </cell>
          <cell r="BB253">
            <v>0</v>
          </cell>
          <cell r="BG253">
            <v>261038.28537793714</v>
          </cell>
          <cell r="BH253">
            <v>7.4154358422425126</v>
          </cell>
          <cell r="BI253">
            <v>462961.65858345071</v>
          </cell>
          <cell r="BJ253">
            <v>13.151566911624844</v>
          </cell>
          <cell r="BK253">
            <v>0</v>
          </cell>
          <cell r="BL253">
            <v>0</v>
          </cell>
          <cell r="BO253">
            <v>0</v>
          </cell>
          <cell r="BP253">
            <v>0</v>
          </cell>
          <cell r="CF253">
            <v>4858.91</v>
          </cell>
          <cell r="CG253">
            <v>2142.25</v>
          </cell>
          <cell r="CJ253">
            <v>0</v>
          </cell>
          <cell r="CK253">
            <v>0</v>
          </cell>
          <cell r="CL253">
            <v>0</v>
          </cell>
          <cell r="CM253">
            <v>0</v>
          </cell>
          <cell r="CN253">
            <v>0</v>
          </cell>
          <cell r="CO253">
            <v>0</v>
          </cell>
          <cell r="CX253">
            <v>0</v>
          </cell>
          <cell r="CY253">
            <v>0</v>
          </cell>
          <cell r="DJ253" t="str">
            <v>НКРКП</v>
          </cell>
          <cell r="DL253">
            <v>40816</v>
          </cell>
          <cell r="DM253">
            <v>162</v>
          </cell>
        </row>
        <row r="254">
          <cell r="AF254">
            <v>39878</v>
          </cell>
          <cell r="AG254">
            <v>1507</v>
          </cell>
          <cell r="AM254">
            <v>27546.581853658536</v>
          </cell>
          <cell r="AO254">
            <v>8711889.9655467868</v>
          </cell>
          <cell r="AQ254">
            <v>8711890</v>
          </cell>
          <cell r="AU254">
            <v>0</v>
          </cell>
          <cell r="AW254">
            <v>0</v>
          </cell>
          <cell r="AY254">
            <v>8145340.3400249993</v>
          </cell>
          <cell r="AZ254">
            <v>295.69332352366598</v>
          </cell>
          <cell r="BA254">
            <v>0</v>
          </cell>
          <cell r="BB254">
            <v>0</v>
          </cell>
          <cell r="BG254">
            <v>204269.9104088867</v>
          </cell>
          <cell r="BH254">
            <v>7.4154358422425126</v>
          </cell>
          <cell r="BI254">
            <v>362280.71443494095</v>
          </cell>
          <cell r="BJ254">
            <v>13.151566911624844</v>
          </cell>
          <cell r="BK254">
            <v>0</v>
          </cell>
          <cell r="BL254">
            <v>0</v>
          </cell>
          <cell r="BO254">
            <v>0</v>
          </cell>
          <cell r="BP254">
            <v>0</v>
          </cell>
          <cell r="CF254">
            <v>3802.2449999999999</v>
          </cell>
          <cell r="CG254">
            <v>2142.2449999999999</v>
          </cell>
          <cell r="CJ254">
            <v>0</v>
          </cell>
          <cell r="CK254">
            <v>0</v>
          </cell>
          <cell r="CL254">
            <v>0</v>
          </cell>
          <cell r="CM254">
            <v>0</v>
          </cell>
          <cell r="CN254">
            <v>0</v>
          </cell>
          <cell r="CO254">
            <v>0</v>
          </cell>
          <cell r="CX254">
            <v>0</v>
          </cell>
          <cell r="CY254">
            <v>0</v>
          </cell>
          <cell r="DJ254" t="str">
            <v>НКРКП</v>
          </cell>
          <cell r="DL254">
            <v>40816</v>
          </cell>
          <cell r="DM254">
            <v>162</v>
          </cell>
        </row>
        <row r="255">
          <cell r="AF255">
            <v>39682</v>
          </cell>
          <cell r="AG255">
            <v>825</v>
          </cell>
          <cell r="AO255">
            <v>18172080.696390204</v>
          </cell>
          <cell r="AQ255">
            <v>16101410</v>
          </cell>
          <cell r="AY255">
            <v>3011337.5424000002</v>
          </cell>
          <cell r="AZ255">
            <v>3421.7240720110935</v>
          </cell>
          <cell r="BC255">
            <v>0</v>
          </cell>
          <cell r="BD255">
            <v>0</v>
          </cell>
          <cell r="BG255">
            <v>222433.39801639714</v>
          </cell>
          <cell r="BH255">
            <v>252.74672855349806</v>
          </cell>
          <cell r="BI255">
            <v>482181.96536543313</v>
          </cell>
          <cell r="BJ255">
            <v>547.89395567578129</v>
          </cell>
          <cell r="BK255">
            <v>0</v>
          </cell>
          <cell r="BL255">
            <v>0</v>
          </cell>
          <cell r="BM255">
            <v>8386398.1023648037</v>
          </cell>
          <cell r="BN255">
            <v>9529.300472061821</v>
          </cell>
          <cell r="BO255">
            <v>0</v>
          </cell>
          <cell r="BP255">
            <v>0</v>
          </cell>
          <cell r="BY255">
            <v>1714.7511057499</v>
          </cell>
          <cell r="CF255">
            <v>4140.32</v>
          </cell>
          <cell r="CG255">
            <v>727.32</v>
          </cell>
          <cell r="CX255">
            <v>0</v>
          </cell>
          <cell r="CY255">
            <v>0</v>
          </cell>
          <cell r="DB255">
            <v>0</v>
          </cell>
          <cell r="DC255">
            <v>0</v>
          </cell>
          <cell r="DJ255" t="str">
            <v>МОС</v>
          </cell>
          <cell r="DL255">
            <v>41086</v>
          </cell>
          <cell r="DM255">
            <v>450</v>
          </cell>
          <cell r="DO255" t="str">
            <v>Умовно-зміна частина дв. тарифу - абонентна плата (затверджена у грн за кв.м)</v>
          </cell>
        </row>
        <row r="256">
          <cell r="AF256">
            <v>39878</v>
          </cell>
          <cell r="AG256">
            <v>1506</v>
          </cell>
          <cell r="AO256">
            <v>5385054.7351527456</v>
          </cell>
          <cell r="AQ256">
            <v>4670768.5</v>
          </cell>
          <cell r="AY256">
            <v>1955103.04</v>
          </cell>
          <cell r="AZ256">
            <v>10078.391006528187</v>
          </cell>
          <cell r="BC256">
            <v>0</v>
          </cell>
          <cell r="BD256">
            <v>0</v>
          </cell>
          <cell r="BG256">
            <v>49030.236773401673</v>
          </cell>
          <cell r="BH256">
            <v>252.74672855349812</v>
          </cell>
          <cell r="BI256">
            <v>106285.72930396257</v>
          </cell>
          <cell r="BJ256">
            <v>547.89395567578151</v>
          </cell>
          <cell r="BK256">
            <v>0</v>
          </cell>
          <cell r="BL256">
            <v>0</v>
          </cell>
          <cell r="BM256">
            <v>1848585.1868550833</v>
          </cell>
          <cell r="BN256">
            <v>9529.300472061821</v>
          </cell>
          <cell r="BO256">
            <v>0</v>
          </cell>
          <cell r="BP256">
            <v>0</v>
          </cell>
          <cell r="BY256">
            <v>1714.7511057499</v>
          </cell>
          <cell r="CF256">
            <v>912.64</v>
          </cell>
          <cell r="CG256">
            <v>2142.25</v>
          </cell>
          <cell r="CX256">
            <v>0</v>
          </cell>
          <cell r="CY256">
            <v>0</v>
          </cell>
          <cell r="DB256">
            <v>0</v>
          </cell>
          <cell r="DC256">
            <v>0</v>
          </cell>
          <cell r="DJ256" t="str">
            <v>МОС</v>
          </cell>
          <cell r="DL256">
            <v>41086</v>
          </cell>
          <cell r="DM256">
            <v>450</v>
          </cell>
          <cell r="DO256" t="str">
            <v xml:space="preserve">Плата за одиницю приєднаного теплового навантаження розрахунку за 0,1 Гкал в годину </v>
          </cell>
        </row>
        <row r="257">
          <cell r="AF257">
            <v>39878</v>
          </cell>
          <cell r="AG257">
            <v>1507</v>
          </cell>
          <cell r="AO257">
            <v>4213959.0623804126</v>
          </cell>
          <cell r="AQ257">
            <v>3655010</v>
          </cell>
          <cell r="AY257">
            <v>1529930.6824999999</v>
          </cell>
          <cell r="AZ257">
            <v>10078.435403524581</v>
          </cell>
          <cell r="BC257">
            <v>0</v>
          </cell>
          <cell r="BD257">
            <v>0</v>
          </cell>
          <cell r="BG257">
            <v>38367.559986569548</v>
          </cell>
          <cell r="BH257">
            <v>252.74672855349817</v>
          </cell>
          <cell r="BI257">
            <v>83171.617417077243</v>
          </cell>
          <cell r="BJ257">
            <v>547.8939556757814</v>
          </cell>
          <cell r="BK257">
            <v>0</v>
          </cell>
          <cell r="BL257">
            <v>0</v>
          </cell>
          <cell r="BM257">
            <v>1446570.6819801172</v>
          </cell>
          <cell r="BN257">
            <v>9529.300472061821</v>
          </cell>
          <cell r="BO257">
            <v>0</v>
          </cell>
          <cell r="BP257">
            <v>0</v>
          </cell>
          <cell r="BY257">
            <v>1714.7511057499</v>
          </cell>
          <cell r="CF257">
            <v>714.17</v>
          </cell>
          <cell r="CG257">
            <v>2142.25</v>
          </cell>
          <cell r="CX257">
            <v>0</v>
          </cell>
          <cell r="CY257">
            <v>0</v>
          </cell>
          <cell r="DB257">
            <v>0</v>
          </cell>
          <cell r="DC257">
            <v>0</v>
          </cell>
          <cell r="DJ257" t="str">
            <v>МОС</v>
          </cell>
          <cell r="DL257">
            <v>41086</v>
          </cell>
          <cell r="DM257">
            <v>450</v>
          </cell>
          <cell r="DO257" t="str">
            <v xml:space="preserve">Плата за одиницю приєднаного теплового навантаження розрахунку за 0,1 Гкал в годину </v>
          </cell>
        </row>
        <row r="258">
          <cell r="W258">
            <v>264.8416666666667</v>
          </cell>
          <cell r="AF258">
            <v>39965</v>
          </cell>
          <cell r="AG258" t="str">
            <v xml:space="preserve"> №6/1/2-255, 6/1/2-256</v>
          </cell>
          <cell r="AH258">
            <v>259.73166666666663</v>
          </cell>
          <cell r="AM258">
            <v>99960</v>
          </cell>
          <cell r="AO258">
            <v>26473573.000000004</v>
          </cell>
          <cell r="AQ258">
            <v>25962777.399999999</v>
          </cell>
          <cell r="AU258">
            <v>0</v>
          </cell>
          <cell r="AW258">
            <v>20678214.780000001</v>
          </cell>
          <cell r="AY258">
            <v>0</v>
          </cell>
          <cell r="AZ258">
            <v>0</v>
          </cell>
          <cell r="BA258">
            <v>0</v>
          </cell>
          <cell r="BB258">
            <v>0</v>
          </cell>
          <cell r="BC258">
            <v>0</v>
          </cell>
          <cell r="BD258">
            <v>0</v>
          </cell>
          <cell r="BG258">
            <v>0</v>
          </cell>
          <cell r="BH258">
            <v>0</v>
          </cell>
          <cell r="BI258">
            <v>523900</v>
          </cell>
          <cell r="BJ258">
            <v>5.2410964385754299</v>
          </cell>
          <cell r="BK258">
            <v>0</v>
          </cell>
          <cell r="BL258">
            <v>0</v>
          </cell>
          <cell r="BM258">
            <v>3250721.6</v>
          </cell>
          <cell r="BN258">
            <v>32.520224089635853</v>
          </cell>
          <cell r="BO258">
            <v>0</v>
          </cell>
          <cell r="BP258">
            <v>0</v>
          </cell>
          <cell r="BY258">
            <v>2088.15</v>
          </cell>
          <cell r="CF258">
            <v>0</v>
          </cell>
          <cell r="CG258">
            <v>0</v>
          </cell>
          <cell r="CJ258">
            <v>0</v>
          </cell>
          <cell r="CK258">
            <v>0</v>
          </cell>
          <cell r="CL258">
            <v>0</v>
          </cell>
          <cell r="CM258">
            <v>116098</v>
          </cell>
          <cell r="CN258">
            <v>178.11</v>
          </cell>
          <cell r="CO258">
            <v>311.69</v>
          </cell>
          <cell r="CX258">
            <v>0</v>
          </cell>
          <cell r="CY258">
            <v>0</v>
          </cell>
          <cell r="DB258">
            <v>0</v>
          </cell>
          <cell r="DC258">
            <v>0</v>
          </cell>
          <cell r="DJ258" t="str">
            <v>МОС</v>
          </cell>
          <cell r="DL258">
            <v>40066</v>
          </cell>
          <cell r="DM258" t="str">
            <v>№2212</v>
          </cell>
          <cell r="DO258" t="str">
            <v>Тариф на транспортування, постачання теплової енергії</v>
          </cell>
          <cell r="DT258">
            <v>264.8417</v>
          </cell>
        </row>
        <row r="259">
          <cell r="W259">
            <v>518.49166666666679</v>
          </cell>
          <cell r="AF259">
            <v>39965</v>
          </cell>
          <cell r="AG259" t="str">
            <v xml:space="preserve"> №6/1/2-255, 6/1/2-256</v>
          </cell>
          <cell r="AH259">
            <v>502.66166646452393</v>
          </cell>
          <cell r="AM259">
            <v>8245</v>
          </cell>
          <cell r="AO259">
            <v>4274963.7916666679</v>
          </cell>
          <cell r="AQ259">
            <v>4144445.4399999999</v>
          </cell>
          <cell r="AU259">
            <v>0</v>
          </cell>
          <cell r="AW259">
            <v>3735118.8000000003</v>
          </cell>
          <cell r="AY259">
            <v>0</v>
          </cell>
          <cell r="AZ259">
            <v>0</v>
          </cell>
          <cell r="BA259">
            <v>0</v>
          </cell>
          <cell r="BB259">
            <v>0</v>
          </cell>
          <cell r="BC259">
            <v>0</v>
          </cell>
          <cell r="BD259">
            <v>0</v>
          </cell>
          <cell r="BG259">
            <v>0</v>
          </cell>
          <cell r="BH259">
            <v>0</v>
          </cell>
          <cell r="BI259">
            <v>43203.8</v>
          </cell>
          <cell r="BJ259">
            <v>5.24</v>
          </cell>
          <cell r="BK259">
            <v>0</v>
          </cell>
          <cell r="BL259">
            <v>0</v>
          </cell>
          <cell r="BM259">
            <v>268100</v>
          </cell>
          <cell r="BN259">
            <v>32.516676773802303</v>
          </cell>
          <cell r="BO259">
            <v>0</v>
          </cell>
          <cell r="BP259">
            <v>0</v>
          </cell>
          <cell r="BY259">
            <v>2088.15</v>
          </cell>
          <cell r="CF259">
            <v>0</v>
          </cell>
          <cell r="CG259">
            <v>0</v>
          </cell>
          <cell r="CJ259">
            <v>0</v>
          </cell>
          <cell r="CK259">
            <v>0</v>
          </cell>
          <cell r="CL259">
            <v>0</v>
          </cell>
          <cell r="CM259">
            <v>9576</v>
          </cell>
          <cell r="CN259">
            <v>390.05</v>
          </cell>
          <cell r="CO259">
            <v>832.21</v>
          </cell>
          <cell r="CX259">
            <v>0</v>
          </cell>
          <cell r="CY259">
            <v>0</v>
          </cell>
          <cell r="DB259">
            <v>0</v>
          </cell>
          <cell r="DC259">
            <v>0</v>
          </cell>
          <cell r="DJ259" t="str">
            <v>МОС</v>
          </cell>
          <cell r="DL259">
            <v>41206</v>
          </cell>
          <cell r="DM259" t="str">
            <v>№1264</v>
          </cell>
          <cell r="DT259">
            <v>995.20830000000001</v>
          </cell>
        </row>
        <row r="260">
          <cell r="W260">
            <v>555.40833333333342</v>
          </cell>
          <cell r="AF260">
            <v>39965</v>
          </cell>
          <cell r="AG260" t="str">
            <v xml:space="preserve"> №6/1/2-255, 6/1/2-256</v>
          </cell>
          <cell r="AH260">
            <v>502.66</v>
          </cell>
          <cell r="AM260">
            <v>9825</v>
          </cell>
          <cell r="AO260">
            <v>5456886.8750000009</v>
          </cell>
          <cell r="AQ260">
            <v>4938634.5</v>
          </cell>
          <cell r="AU260">
            <v>0</v>
          </cell>
          <cell r="AW260">
            <v>4450860.55</v>
          </cell>
          <cell r="AY260">
            <v>0</v>
          </cell>
          <cell r="AZ260">
            <v>0</v>
          </cell>
          <cell r="BA260">
            <v>0</v>
          </cell>
          <cell r="BB260">
            <v>0</v>
          </cell>
          <cell r="BC260">
            <v>0</v>
          </cell>
          <cell r="BD260">
            <v>0</v>
          </cell>
          <cell r="BG260">
            <v>0</v>
          </cell>
          <cell r="BH260">
            <v>0</v>
          </cell>
          <cell r="BI260">
            <v>51483</v>
          </cell>
          <cell r="BJ260">
            <v>5.24</v>
          </cell>
          <cell r="BK260">
            <v>0</v>
          </cell>
          <cell r="BL260">
            <v>0</v>
          </cell>
          <cell r="BM260">
            <v>319400</v>
          </cell>
          <cell r="BN260">
            <v>32.5089058524173</v>
          </cell>
          <cell r="BO260">
            <v>0</v>
          </cell>
          <cell r="BP260">
            <v>0</v>
          </cell>
          <cell r="BY260">
            <v>2088.15</v>
          </cell>
          <cell r="CF260">
            <v>0</v>
          </cell>
          <cell r="CG260">
            <v>0</v>
          </cell>
          <cell r="CJ260">
            <v>0</v>
          </cell>
          <cell r="CK260">
            <v>0</v>
          </cell>
          <cell r="CL260">
            <v>0</v>
          </cell>
          <cell r="CM260">
            <v>11411</v>
          </cell>
          <cell r="CN260">
            <v>390.05</v>
          </cell>
          <cell r="CO260">
            <v>832.21</v>
          </cell>
          <cell r="CX260">
            <v>0</v>
          </cell>
          <cell r="CY260">
            <v>0</v>
          </cell>
          <cell r="DB260">
            <v>0</v>
          </cell>
          <cell r="DC260">
            <v>0</v>
          </cell>
          <cell r="DJ260" t="str">
            <v>МОС</v>
          </cell>
          <cell r="DL260">
            <v>41206</v>
          </cell>
          <cell r="DM260" t="str">
            <v>№1264</v>
          </cell>
          <cell r="DT260">
            <v>995.20830000000001</v>
          </cell>
        </row>
        <row r="261">
          <cell r="W261">
            <v>268.09209600000003</v>
          </cell>
          <cell r="AF261">
            <v>40157</v>
          </cell>
          <cell r="AG261" t="str">
            <v>В423/01-15/3805</v>
          </cell>
          <cell r="AH261">
            <v>265.43771934635021</v>
          </cell>
          <cell r="AM261">
            <v>177427.73</v>
          </cell>
          <cell r="AO261">
            <v>47566972.024222091</v>
          </cell>
          <cell r="AQ261">
            <v>47096012</v>
          </cell>
          <cell r="AU261">
            <v>0</v>
          </cell>
          <cell r="AW261">
            <v>0</v>
          </cell>
          <cell r="AY261">
            <v>21306051.478666838</v>
          </cell>
          <cell r="AZ261">
            <v>120.0829852169491</v>
          </cell>
          <cell r="BA261">
            <v>0</v>
          </cell>
          <cell r="BB261">
            <v>0</v>
          </cell>
          <cell r="BC261">
            <v>0</v>
          </cell>
          <cell r="BD261">
            <v>0</v>
          </cell>
          <cell r="BG261">
            <v>0</v>
          </cell>
          <cell r="BH261">
            <v>0</v>
          </cell>
          <cell r="BI261">
            <v>5224127</v>
          </cell>
          <cell r="BJ261">
            <v>29.443689551796666</v>
          </cell>
          <cell r="BK261">
            <v>0</v>
          </cell>
          <cell r="BL261">
            <v>0</v>
          </cell>
          <cell r="BM261">
            <v>14192611.93</v>
          </cell>
          <cell r="BN261">
            <v>79.990945778317737</v>
          </cell>
          <cell r="BO261">
            <v>0</v>
          </cell>
          <cell r="BP261">
            <v>0</v>
          </cell>
          <cell r="BY261">
            <v>2259.2199999999998</v>
          </cell>
          <cell r="CF261">
            <v>29294.050800000001</v>
          </cell>
          <cell r="CG261">
            <v>727.31667000000004</v>
          </cell>
          <cell r="CJ261">
            <v>0</v>
          </cell>
          <cell r="CK261">
            <v>0</v>
          </cell>
          <cell r="CL261">
            <v>0</v>
          </cell>
          <cell r="CM261">
            <v>0</v>
          </cell>
          <cell r="CN261">
            <v>0</v>
          </cell>
          <cell r="CO261">
            <v>0</v>
          </cell>
          <cell r="CX261">
            <v>0</v>
          </cell>
          <cell r="CY261">
            <v>0</v>
          </cell>
          <cell r="DB261">
            <v>0</v>
          </cell>
          <cell r="DC261">
            <v>0</v>
          </cell>
          <cell r="DJ261" t="str">
            <v>НКРЕ</v>
          </cell>
          <cell r="DL261">
            <v>40526</v>
          </cell>
          <cell r="DM261">
            <v>1815</v>
          </cell>
          <cell r="DO261" t="str">
            <v>Тариф на теплову енергію</v>
          </cell>
          <cell r="DT261">
            <v>294.89999999999998</v>
          </cell>
        </row>
        <row r="262">
          <cell r="W262">
            <v>578.70275000000004</v>
          </cell>
          <cell r="AF262">
            <v>40157</v>
          </cell>
          <cell r="AG262" t="str">
            <v>В424/01-15/3806</v>
          </cell>
          <cell r="AH262">
            <v>503.21977478241263</v>
          </cell>
          <cell r="AM262">
            <v>38840.101699999999</v>
          </cell>
          <cell r="AO262">
            <v>22476873.664069675</v>
          </cell>
          <cell r="AQ262">
            <v>19545107.23</v>
          </cell>
          <cell r="AU262">
            <v>0</v>
          </cell>
          <cell r="AW262">
            <v>0</v>
          </cell>
          <cell r="AY262">
            <v>13996658.876526</v>
          </cell>
          <cell r="AZ262">
            <v>360.36617474989777</v>
          </cell>
          <cell r="BA262">
            <v>0</v>
          </cell>
          <cell r="BB262">
            <v>0</v>
          </cell>
          <cell r="BC262">
            <v>0</v>
          </cell>
          <cell r="BD262">
            <v>0</v>
          </cell>
          <cell r="BG262">
            <v>0</v>
          </cell>
          <cell r="BH262">
            <v>0</v>
          </cell>
          <cell r="BI262">
            <v>1143595.8600000001</v>
          </cell>
          <cell r="BJ262">
            <v>29.443688609085186</v>
          </cell>
          <cell r="BK262">
            <v>0</v>
          </cell>
          <cell r="BL262">
            <v>0</v>
          </cell>
          <cell r="BM262">
            <v>3106856.46</v>
          </cell>
          <cell r="BN262">
            <v>79.990945543790886</v>
          </cell>
          <cell r="BO262">
            <v>0</v>
          </cell>
          <cell r="BP262">
            <v>0</v>
          </cell>
          <cell r="BY262">
            <v>2259.2199999999998</v>
          </cell>
          <cell r="CF262">
            <v>6412.6611000000003</v>
          </cell>
          <cell r="CG262">
            <v>2182.66</v>
          </cell>
          <cell r="CJ262">
            <v>0</v>
          </cell>
          <cell r="CK262">
            <v>0</v>
          </cell>
          <cell r="CL262">
            <v>0</v>
          </cell>
          <cell r="CM262">
            <v>0</v>
          </cell>
          <cell r="CN262">
            <v>0</v>
          </cell>
          <cell r="CO262">
            <v>0</v>
          </cell>
          <cell r="CX262">
            <v>0</v>
          </cell>
          <cell r="CY262">
            <v>0</v>
          </cell>
          <cell r="DB262">
            <v>0</v>
          </cell>
          <cell r="DC262">
            <v>0</v>
          </cell>
          <cell r="DJ262" t="str">
            <v>НКРКП</v>
          </cell>
          <cell r="DL262">
            <v>40942</v>
          </cell>
          <cell r="DM262">
            <v>42</v>
          </cell>
          <cell r="DT262">
            <v>864.42</v>
          </cell>
        </row>
        <row r="263">
          <cell r="W263">
            <v>578.70275000000004</v>
          </cell>
          <cell r="AF263">
            <v>40157</v>
          </cell>
          <cell r="AG263" t="str">
            <v>В424/01-15/3806</v>
          </cell>
          <cell r="AH263">
            <v>503.21978082003329</v>
          </cell>
          <cell r="AM263">
            <v>13593.1675</v>
          </cell>
          <cell r="AO263">
            <v>7866403.4134606253</v>
          </cell>
          <cell r="AQ263">
            <v>6840350.7699999996</v>
          </cell>
          <cell r="AU263">
            <v>0</v>
          </cell>
          <cell r="AW263">
            <v>0</v>
          </cell>
          <cell r="AY263">
            <v>4898517.8643460004</v>
          </cell>
          <cell r="AZ263">
            <v>360.36618134412015</v>
          </cell>
          <cell r="BA263">
            <v>0</v>
          </cell>
          <cell r="BB263">
            <v>0</v>
          </cell>
          <cell r="BC263">
            <v>0</v>
          </cell>
          <cell r="BD263">
            <v>0</v>
          </cell>
          <cell r="BG263">
            <v>0</v>
          </cell>
          <cell r="BH263">
            <v>0</v>
          </cell>
          <cell r="BI263">
            <v>400232.99</v>
          </cell>
          <cell r="BJ263">
            <v>29.443688529549863</v>
          </cell>
          <cell r="BK263">
            <v>0</v>
          </cell>
          <cell r="BL263">
            <v>0</v>
          </cell>
          <cell r="BM263">
            <v>1087330.32</v>
          </cell>
          <cell r="BN263">
            <v>79.990945451087839</v>
          </cell>
          <cell r="BO263">
            <v>0</v>
          </cell>
          <cell r="BP263">
            <v>0</v>
          </cell>
          <cell r="BY263">
            <v>2259.2199999999998</v>
          </cell>
          <cell r="CF263">
            <v>2244.2881000000002</v>
          </cell>
          <cell r="CG263">
            <v>2182.66</v>
          </cell>
          <cell r="CJ263">
            <v>0</v>
          </cell>
          <cell r="CK263">
            <v>0</v>
          </cell>
          <cell r="CL263">
            <v>0</v>
          </cell>
          <cell r="CM263">
            <v>0</v>
          </cell>
          <cell r="CN263">
            <v>0</v>
          </cell>
          <cell r="CO263">
            <v>0</v>
          </cell>
          <cell r="CX263">
            <v>0</v>
          </cell>
          <cell r="CY263">
            <v>0</v>
          </cell>
          <cell r="DB263">
            <v>0</v>
          </cell>
          <cell r="DC263">
            <v>0</v>
          </cell>
          <cell r="DJ263" t="str">
            <v>НКРКП</v>
          </cell>
          <cell r="DL263">
            <v>40942</v>
          </cell>
          <cell r="DM263">
            <v>42</v>
          </cell>
          <cell r="DT263">
            <v>864.42</v>
          </cell>
        </row>
        <row r="264">
          <cell r="W264">
            <v>202.5</v>
          </cell>
          <cell r="AF264">
            <v>39786</v>
          </cell>
          <cell r="AG264">
            <v>1142</v>
          </cell>
          <cell r="AH264">
            <v>202.49513122507651</v>
          </cell>
          <cell r="AM264">
            <v>64698</v>
          </cell>
          <cell r="AO264">
            <v>13101345</v>
          </cell>
          <cell r="AQ264">
            <v>13101030</v>
          </cell>
          <cell r="AU264">
            <v>0</v>
          </cell>
          <cell r="AW264">
            <v>0</v>
          </cell>
          <cell r="AY264">
            <v>7482349.2784679998</v>
          </cell>
          <cell r="AZ264">
            <v>115.6503953517574</v>
          </cell>
          <cell r="BA264">
            <v>20478</v>
          </cell>
          <cell r="BB264">
            <v>0.31651673931187979</v>
          </cell>
          <cell r="BC264">
            <v>0</v>
          </cell>
          <cell r="BD264">
            <v>0</v>
          </cell>
          <cell r="BG264">
            <v>0</v>
          </cell>
          <cell r="BH264">
            <v>0</v>
          </cell>
          <cell r="BI264">
            <v>809474</v>
          </cell>
          <cell r="BJ264">
            <v>12.511576864818078</v>
          </cell>
          <cell r="BK264">
            <v>0</v>
          </cell>
          <cell r="BL264">
            <v>0</v>
          </cell>
          <cell r="BM264">
            <v>3669499</v>
          </cell>
          <cell r="BN264">
            <v>56.717348295155958</v>
          </cell>
          <cell r="BO264">
            <v>0</v>
          </cell>
          <cell r="BP264">
            <v>0</v>
          </cell>
          <cell r="BY264">
            <v>2080.52</v>
          </cell>
          <cell r="CF264">
            <v>10287.603999999999</v>
          </cell>
          <cell r="CG264">
            <v>727.31700000000001</v>
          </cell>
          <cell r="CJ264">
            <v>0</v>
          </cell>
          <cell r="CK264">
            <v>0</v>
          </cell>
          <cell r="CL264">
            <v>0</v>
          </cell>
          <cell r="CM264">
            <v>0</v>
          </cell>
          <cell r="CN264">
            <v>0</v>
          </cell>
          <cell r="CO264">
            <v>0</v>
          </cell>
          <cell r="CX264">
            <v>0</v>
          </cell>
          <cell r="CY264">
            <v>0</v>
          </cell>
          <cell r="DB264">
            <v>0</v>
          </cell>
          <cell r="DC264">
            <v>0</v>
          </cell>
          <cell r="DJ264" t="str">
            <v>НКРЕ</v>
          </cell>
          <cell r="DL264">
            <v>40526</v>
          </cell>
          <cell r="DM264">
            <v>1754</v>
          </cell>
          <cell r="DO264" t="str">
            <v>тариф на теплову енергію</v>
          </cell>
          <cell r="DT264">
            <v>222.75</v>
          </cell>
        </row>
        <row r="265">
          <cell r="W265">
            <v>533.62</v>
          </cell>
          <cell r="AF265">
            <v>39878</v>
          </cell>
          <cell r="AG265">
            <v>1503</v>
          </cell>
          <cell r="AH265">
            <v>437.3914342034526</v>
          </cell>
          <cell r="AM265">
            <v>16741</v>
          </cell>
          <cell r="AO265">
            <v>8933332.4199999999</v>
          </cell>
          <cell r="AQ265">
            <v>7322370</v>
          </cell>
          <cell r="AU265">
            <v>0</v>
          </cell>
          <cell r="AW265">
            <v>0</v>
          </cell>
          <cell r="AY265">
            <v>5944520.9560000002</v>
          </cell>
          <cell r="AZ265">
            <v>355.08756681201839</v>
          </cell>
          <cell r="BA265">
            <v>0</v>
          </cell>
          <cell r="BB265">
            <v>0</v>
          </cell>
          <cell r="BC265">
            <v>0</v>
          </cell>
          <cell r="BD265">
            <v>0</v>
          </cell>
          <cell r="BG265">
            <v>0</v>
          </cell>
          <cell r="BH265">
            <v>0</v>
          </cell>
          <cell r="BI265">
            <v>211126</v>
          </cell>
          <cell r="BJ265">
            <v>12.611313541604444</v>
          </cell>
          <cell r="BK265">
            <v>0</v>
          </cell>
          <cell r="BL265">
            <v>0</v>
          </cell>
          <cell r="BM265">
            <v>949501</v>
          </cell>
          <cell r="BN265">
            <v>56.717101726300697</v>
          </cell>
          <cell r="BO265">
            <v>0</v>
          </cell>
          <cell r="BP265">
            <v>0</v>
          </cell>
          <cell r="BY265">
            <v>2080.52</v>
          </cell>
          <cell r="CF265">
            <v>2774.8960000000002</v>
          </cell>
          <cell r="CG265">
            <v>2142.25</v>
          </cell>
          <cell r="CJ265">
            <v>0</v>
          </cell>
          <cell r="CK265">
            <v>0</v>
          </cell>
          <cell r="CL265">
            <v>0</v>
          </cell>
          <cell r="CM265">
            <v>0</v>
          </cell>
          <cell r="CN265">
            <v>0</v>
          </cell>
          <cell r="CO265">
            <v>0</v>
          </cell>
          <cell r="CX265">
            <v>0</v>
          </cell>
          <cell r="CY265">
            <v>0</v>
          </cell>
          <cell r="DB265">
            <v>0</v>
          </cell>
          <cell r="DC265">
            <v>0</v>
          </cell>
          <cell r="DJ265" t="str">
            <v>НКРКП</v>
          </cell>
          <cell r="DL265">
            <v>40816</v>
          </cell>
          <cell r="DM265">
            <v>95</v>
          </cell>
          <cell r="DT265">
            <v>799.93</v>
          </cell>
        </row>
        <row r="266">
          <cell r="W266">
            <v>533.62</v>
          </cell>
          <cell r="AF266">
            <v>39878</v>
          </cell>
          <cell r="AG266">
            <v>1504</v>
          </cell>
          <cell r="AH266">
            <v>436.9666340235031</v>
          </cell>
          <cell r="AM266">
            <v>5718.4</v>
          </cell>
          <cell r="AO266">
            <v>3051452.608</v>
          </cell>
          <cell r="AQ266">
            <v>2498750</v>
          </cell>
          <cell r="AU266">
            <v>0</v>
          </cell>
          <cell r="AW266">
            <v>0</v>
          </cell>
          <cell r="AY266">
            <v>2026831.9967500002</v>
          </cell>
          <cell r="AZ266">
            <v>354.44040234156415</v>
          </cell>
          <cell r="BA266">
            <v>0</v>
          </cell>
          <cell r="BB266">
            <v>0</v>
          </cell>
          <cell r="BC266">
            <v>0</v>
          </cell>
          <cell r="BD266">
            <v>0</v>
          </cell>
          <cell r="BG266">
            <v>0</v>
          </cell>
          <cell r="BH266">
            <v>0</v>
          </cell>
          <cell r="BI266">
            <v>73286</v>
          </cell>
          <cell r="BJ266">
            <v>12.81582260772244</v>
          </cell>
          <cell r="BK266">
            <v>0</v>
          </cell>
          <cell r="BL266">
            <v>0</v>
          </cell>
          <cell r="BM266">
            <v>324334</v>
          </cell>
          <cell r="BN266">
            <v>56.717613318410748</v>
          </cell>
          <cell r="BO266">
            <v>0</v>
          </cell>
          <cell r="BP266">
            <v>0</v>
          </cell>
          <cell r="BY266">
            <v>2080.52</v>
          </cell>
          <cell r="CF266">
            <v>946.12300000000005</v>
          </cell>
          <cell r="CG266">
            <v>2142.25</v>
          </cell>
          <cell r="CJ266">
            <v>0</v>
          </cell>
          <cell r="CK266">
            <v>0</v>
          </cell>
          <cell r="CL266">
            <v>0</v>
          </cell>
          <cell r="CM266">
            <v>0</v>
          </cell>
          <cell r="CN266">
            <v>0</v>
          </cell>
          <cell r="CO266">
            <v>0</v>
          </cell>
          <cell r="CX266">
            <v>0</v>
          </cell>
          <cell r="CY266">
            <v>0</v>
          </cell>
          <cell r="DB266">
            <v>0</v>
          </cell>
          <cell r="DC266">
            <v>0</v>
          </cell>
          <cell r="DJ266" t="str">
            <v>НКРКП</v>
          </cell>
          <cell r="DL266">
            <v>40816</v>
          </cell>
          <cell r="DM266">
            <v>95</v>
          </cell>
          <cell r="DT266">
            <v>799.93</v>
          </cell>
        </row>
        <row r="267">
          <cell r="W267">
            <v>542.55999999999995</v>
          </cell>
          <cell r="AF267">
            <v>39878</v>
          </cell>
          <cell r="AG267">
            <v>1505</v>
          </cell>
          <cell r="AH267">
            <v>484.42557803468208</v>
          </cell>
          <cell r="AM267">
            <v>2768</v>
          </cell>
          <cell r="AO267">
            <v>1501806.0799999998</v>
          </cell>
          <cell r="AQ267">
            <v>1340890</v>
          </cell>
          <cell r="AU267">
            <v>0</v>
          </cell>
          <cell r="AW267">
            <v>0</v>
          </cell>
          <cell r="AY267">
            <v>1045156.6455</v>
          </cell>
          <cell r="AZ267">
            <v>377.58549331647396</v>
          </cell>
          <cell r="BA267">
            <v>0</v>
          </cell>
          <cell r="BB267">
            <v>0</v>
          </cell>
          <cell r="BC267">
            <v>0</v>
          </cell>
          <cell r="BD267">
            <v>0</v>
          </cell>
          <cell r="BG267">
            <v>0</v>
          </cell>
          <cell r="BH267">
            <v>0</v>
          </cell>
          <cell r="BI267">
            <v>36118</v>
          </cell>
          <cell r="BJ267">
            <v>13.048410404624278</v>
          </cell>
          <cell r="BK267">
            <v>0</v>
          </cell>
          <cell r="BL267">
            <v>0</v>
          </cell>
          <cell r="BM267">
            <v>216543</v>
          </cell>
          <cell r="BN267">
            <v>78.230852601156073</v>
          </cell>
          <cell r="BO267">
            <v>0</v>
          </cell>
          <cell r="BP267">
            <v>0</v>
          </cell>
          <cell r="BY267">
            <v>2255.66</v>
          </cell>
          <cell r="CF267">
            <v>487.87799999999999</v>
          </cell>
          <cell r="CG267">
            <v>2142.25</v>
          </cell>
          <cell r="CJ267">
            <v>0</v>
          </cell>
          <cell r="CK267">
            <v>0</v>
          </cell>
          <cell r="CL267">
            <v>0</v>
          </cell>
          <cell r="CM267">
            <v>0</v>
          </cell>
          <cell r="CN267">
            <v>0</v>
          </cell>
          <cell r="CO267">
            <v>0</v>
          </cell>
          <cell r="CX267">
            <v>0</v>
          </cell>
          <cell r="CY267">
            <v>0</v>
          </cell>
          <cell r="DB267">
            <v>0</v>
          </cell>
          <cell r="DC267">
            <v>0</v>
          </cell>
          <cell r="DJ267" t="str">
            <v>НКРКП</v>
          </cell>
          <cell r="DL267">
            <v>40816</v>
          </cell>
          <cell r="DM267">
            <v>95</v>
          </cell>
          <cell r="DT267">
            <v>826.28</v>
          </cell>
        </row>
        <row r="268">
          <cell r="W268">
            <v>255.43</v>
          </cell>
          <cell r="AF268">
            <v>40268</v>
          </cell>
          <cell r="AG268">
            <v>806</v>
          </cell>
          <cell r="AH268">
            <v>255.43</v>
          </cell>
          <cell r="AM268">
            <v>16392.401049211134</v>
          </cell>
          <cell r="AO268">
            <v>4187111</v>
          </cell>
          <cell r="AQ268">
            <v>4187111</v>
          </cell>
          <cell r="AU268">
            <v>0</v>
          </cell>
          <cell r="AW268">
            <v>0</v>
          </cell>
          <cell r="AY268">
            <v>1967326</v>
          </cell>
          <cell r="AZ268">
            <v>120.01451124176073</v>
          </cell>
          <cell r="BA268">
            <v>0</v>
          </cell>
          <cell r="BB268">
            <v>0</v>
          </cell>
          <cell r="BC268">
            <v>0</v>
          </cell>
          <cell r="BD268">
            <v>0</v>
          </cell>
          <cell r="BG268">
            <v>0</v>
          </cell>
          <cell r="BH268">
            <v>0</v>
          </cell>
          <cell r="BI268">
            <v>441549</v>
          </cell>
          <cell r="BJ268">
            <v>26.936200418379165</v>
          </cell>
          <cell r="BK268">
            <v>0</v>
          </cell>
          <cell r="BL268">
            <v>0</v>
          </cell>
          <cell r="BM268">
            <v>1474007</v>
          </cell>
          <cell r="BN268">
            <v>89.920140165856608</v>
          </cell>
          <cell r="BO268">
            <v>0</v>
          </cell>
          <cell r="BP268">
            <v>0</v>
          </cell>
          <cell r="BY268">
            <v>3485.58</v>
          </cell>
          <cell r="CF268">
            <v>2704.8974316669414</v>
          </cell>
          <cell r="CG268">
            <v>727.32</v>
          </cell>
          <cell r="CJ268">
            <v>0</v>
          </cell>
          <cell r="CK268">
            <v>0</v>
          </cell>
          <cell r="CL268">
            <v>0</v>
          </cell>
          <cell r="CM268">
            <v>0</v>
          </cell>
          <cell r="CN268">
            <v>0</v>
          </cell>
          <cell r="CO268">
            <v>0</v>
          </cell>
          <cell r="CX268">
            <v>0</v>
          </cell>
          <cell r="CY268">
            <v>0</v>
          </cell>
          <cell r="DB268">
            <v>0</v>
          </cell>
          <cell r="DC268">
            <v>0</v>
          </cell>
          <cell r="DJ268" t="str">
            <v>НКРЕ</v>
          </cell>
          <cell r="DL268">
            <v>40526</v>
          </cell>
          <cell r="DM268">
            <v>1804</v>
          </cell>
          <cell r="DO268" t="str">
            <v>тариф на теплову енергію для населення населенного пункту м.Боярка</v>
          </cell>
          <cell r="DT268">
            <v>280.97000000000003</v>
          </cell>
        </row>
        <row r="269">
          <cell r="W269">
            <v>572.70000000000005</v>
          </cell>
          <cell r="AF269">
            <v>40268</v>
          </cell>
          <cell r="AG269">
            <v>805</v>
          </cell>
          <cell r="AH269">
            <v>498.0000096426582</v>
          </cell>
          <cell r="AM269">
            <v>9017.8994237820843</v>
          </cell>
          <cell r="AO269">
            <v>5164551</v>
          </cell>
          <cell r="AQ269">
            <v>4490914</v>
          </cell>
          <cell r="AU269">
            <v>0</v>
          </cell>
          <cell r="AW269">
            <v>0</v>
          </cell>
          <cell r="AY269">
            <v>3021077.5</v>
          </cell>
          <cell r="AZ269">
            <v>335.00900354164384</v>
          </cell>
          <cell r="BA269">
            <v>0</v>
          </cell>
          <cell r="BB269">
            <v>0</v>
          </cell>
          <cell r="BC269">
            <v>0</v>
          </cell>
          <cell r="BD269">
            <v>0</v>
          </cell>
          <cell r="BG269">
            <v>0</v>
          </cell>
          <cell r="BH269">
            <v>0</v>
          </cell>
          <cell r="BI269">
            <v>243457</v>
          </cell>
          <cell r="BJ269">
            <v>26.997085303252888</v>
          </cell>
          <cell r="BK269">
            <v>0</v>
          </cell>
          <cell r="BL269">
            <v>0</v>
          </cell>
          <cell r="BM269">
            <v>1042053</v>
          </cell>
          <cell r="BN269">
            <v>115.55385029598895</v>
          </cell>
          <cell r="BO269">
            <v>0</v>
          </cell>
          <cell r="BP269">
            <v>0</v>
          </cell>
          <cell r="BY269">
            <v>3485.58</v>
          </cell>
          <cell r="CF269">
            <v>1384.1264787003015</v>
          </cell>
          <cell r="CG269">
            <v>2182.66</v>
          </cell>
          <cell r="CJ269">
            <v>0</v>
          </cell>
          <cell r="CK269">
            <v>0</v>
          </cell>
          <cell r="CL269">
            <v>0</v>
          </cell>
          <cell r="CM269">
            <v>0</v>
          </cell>
          <cell r="CN269">
            <v>0</v>
          </cell>
          <cell r="CO269">
            <v>0</v>
          </cell>
          <cell r="CX269">
            <v>0</v>
          </cell>
          <cell r="CY269">
            <v>0</v>
          </cell>
          <cell r="DB269">
            <v>0</v>
          </cell>
          <cell r="DC269">
            <v>0</v>
          </cell>
          <cell r="DJ269" t="str">
            <v>НКРКП</v>
          </cell>
          <cell r="DL269">
            <v>40816</v>
          </cell>
          <cell r="DM269">
            <v>43</v>
          </cell>
          <cell r="DT269">
            <v>822.21</v>
          </cell>
        </row>
        <row r="270">
          <cell r="W270">
            <v>617.55999999999995</v>
          </cell>
          <cell r="AF270">
            <v>40268</v>
          </cell>
          <cell r="AG270">
            <v>804</v>
          </cell>
          <cell r="AH270">
            <v>498.03457037363029</v>
          </cell>
          <cell r="AM270">
            <v>5956.8997344387599</v>
          </cell>
          <cell r="AO270">
            <v>3678743</v>
          </cell>
          <cell r="AQ270">
            <v>2966742</v>
          </cell>
          <cell r="AU270">
            <v>0</v>
          </cell>
          <cell r="AW270">
            <v>0</v>
          </cell>
          <cell r="AY270">
            <v>2158770</v>
          </cell>
          <cell r="AZ270">
            <v>362.39824342173392</v>
          </cell>
          <cell r="BA270">
            <v>0</v>
          </cell>
          <cell r="BB270">
            <v>0</v>
          </cell>
          <cell r="BC270">
            <v>0</v>
          </cell>
          <cell r="BD270">
            <v>0</v>
          </cell>
          <cell r="BG270">
            <v>0</v>
          </cell>
          <cell r="BH270">
            <v>0</v>
          </cell>
          <cell r="BI270">
            <v>160822</v>
          </cell>
          <cell r="BJ270">
            <v>26.997600626083415</v>
          </cell>
          <cell r="BK270">
            <v>0</v>
          </cell>
          <cell r="BL270">
            <v>0</v>
          </cell>
          <cell r="BM270">
            <v>533100</v>
          </cell>
          <cell r="BN270">
            <v>89.492861012579553</v>
          </cell>
          <cell r="BO270">
            <v>0</v>
          </cell>
          <cell r="BP270">
            <v>0</v>
          </cell>
          <cell r="BY270">
            <v>3485.58</v>
          </cell>
          <cell r="CF270">
            <v>989.05463975149598</v>
          </cell>
          <cell r="CG270">
            <v>2182.66</v>
          </cell>
          <cell r="CJ270">
            <v>0</v>
          </cell>
          <cell r="CK270">
            <v>0</v>
          </cell>
          <cell r="CL270">
            <v>0</v>
          </cell>
          <cell r="CM270">
            <v>0</v>
          </cell>
          <cell r="CN270">
            <v>0</v>
          </cell>
          <cell r="CO270">
            <v>0</v>
          </cell>
          <cell r="CX270">
            <v>0</v>
          </cell>
          <cell r="CY270">
            <v>0</v>
          </cell>
          <cell r="DB270">
            <v>0</v>
          </cell>
          <cell r="DC270">
            <v>0</v>
          </cell>
          <cell r="DJ270" t="str">
            <v>НКРКП</v>
          </cell>
          <cell r="DL270">
            <v>40816</v>
          </cell>
          <cell r="DM270">
            <v>43</v>
          </cell>
          <cell r="DT270">
            <v>867.07</v>
          </cell>
        </row>
        <row r="271">
          <cell r="W271">
            <v>467.04</v>
          </cell>
          <cell r="AF271">
            <v>40268</v>
          </cell>
          <cell r="AG271">
            <v>810</v>
          </cell>
          <cell r="AH271">
            <v>449.08251648753924</v>
          </cell>
          <cell r="AM271">
            <v>155.11947584789311</v>
          </cell>
          <cell r="AO271">
            <v>72447</v>
          </cell>
          <cell r="AQ271">
            <v>69661.444569999905</v>
          </cell>
          <cell r="AU271">
            <v>0</v>
          </cell>
          <cell r="AW271">
            <v>0</v>
          </cell>
          <cell r="AY271">
            <v>18684.247347392949</v>
          </cell>
          <cell r="AZ271">
            <v>120.45068644838852</v>
          </cell>
          <cell r="BA271">
            <v>0</v>
          </cell>
          <cell r="BB271">
            <v>0</v>
          </cell>
          <cell r="BC271">
            <v>0</v>
          </cell>
          <cell r="BD271">
            <v>0</v>
          </cell>
          <cell r="BG271">
            <v>0</v>
          </cell>
          <cell r="BH271">
            <v>0</v>
          </cell>
          <cell r="BI271">
            <v>6968.4666660000003</v>
          </cell>
          <cell r="BJ271">
            <v>44.923222102897846</v>
          </cell>
          <cell r="BK271">
            <v>0</v>
          </cell>
          <cell r="BL271">
            <v>0</v>
          </cell>
          <cell r="BM271">
            <v>38513.445899899998</v>
          </cell>
          <cell r="BN271">
            <v>248.28246543113303</v>
          </cell>
          <cell r="BO271">
            <v>0</v>
          </cell>
          <cell r="BP271">
            <v>0</v>
          </cell>
          <cell r="BY271">
            <v>3485.58</v>
          </cell>
          <cell r="CF271">
            <v>25.689008964417312</v>
          </cell>
          <cell r="CG271">
            <v>727.324568</v>
          </cell>
          <cell r="CJ271">
            <v>0</v>
          </cell>
          <cell r="CK271">
            <v>0</v>
          </cell>
          <cell r="CL271">
            <v>0</v>
          </cell>
          <cell r="CM271">
            <v>0</v>
          </cell>
          <cell r="CN271">
            <v>0</v>
          </cell>
          <cell r="CO271">
            <v>0</v>
          </cell>
          <cell r="CX271">
            <v>0</v>
          </cell>
          <cell r="CY271">
            <v>0</v>
          </cell>
          <cell r="DB271">
            <v>0</v>
          </cell>
          <cell r="DC271">
            <v>0</v>
          </cell>
          <cell r="DJ271" t="str">
            <v>НКРЕ</v>
          </cell>
          <cell r="DL271">
            <v>40526</v>
          </cell>
          <cell r="DM271">
            <v>1804</v>
          </cell>
          <cell r="DO271" t="str">
            <v>тариф на теплову енергію для населення населенного пункту с. Гореничі</v>
          </cell>
          <cell r="DT271">
            <v>513.74</v>
          </cell>
        </row>
        <row r="272">
          <cell r="W272">
            <v>820.83</v>
          </cell>
          <cell r="AF272">
            <v>40268</v>
          </cell>
          <cell r="AG272">
            <v>809</v>
          </cell>
          <cell r="AH272">
            <v>723.19413178563548</v>
          </cell>
          <cell r="AM272">
            <v>502.10031309771813</v>
          </cell>
          <cell r="AO272">
            <v>412139</v>
          </cell>
          <cell r="AQ272">
            <v>363116</v>
          </cell>
          <cell r="AU272">
            <v>0</v>
          </cell>
          <cell r="AW272">
            <v>0</v>
          </cell>
          <cell r="AY272">
            <v>157987.72</v>
          </cell>
          <cell r="AZ272">
            <v>314.65369743605919</v>
          </cell>
          <cell r="BA272">
            <v>0</v>
          </cell>
          <cell r="BB272">
            <v>0</v>
          </cell>
          <cell r="BC272">
            <v>0</v>
          </cell>
          <cell r="BD272">
            <v>0</v>
          </cell>
          <cell r="BG272">
            <v>0</v>
          </cell>
          <cell r="BH272">
            <v>0</v>
          </cell>
          <cell r="BI272">
            <v>26889.466659999998</v>
          </cell>
          <cell r="BJ272">
            <v>53.553973097735955</v>
          </cell>
          <cell r="BK272">
            <v>0</v>
          </cell>
          <cell r="BL272">
            <v>0</v>
          </cell>
          <cell r="BM272">
            <v>154023</v>
          </cell>
          <cell r="BN272">
            <v>306.75742671768506</v>
          </cell>
          <cell r="BO272">
            <v>0</v>
          </cell>
          <cell r="BP272">
            <v>0</v>
          </cell>
          <cell r="BY272">
            <v>3485.58</v>
          </cell>
          <cell r="CF272">
            <v>72.383110516525718</v>
          </cell>
          <cell r="CG272">
            <v>2182.66</v>
          </cell>
          <cell r="CJ272">
            <v>0</v>
          </cell>
          <cell r="CK272">
            <v>0</v>
          </cell>
          <cell r="CL272">
            <v>0</v>
          </cell>
          <cell r="CM272">
            <v>0</v>
          </cell>
          <cell r="CN272">
            <v>0</v>
          </cell>
          <cell r="CO272">
            <v>0</v>
          </cell>
          <cell r="CX272">
            <v>0</v>
          </cell>
          <cell r="CY272">
            <v>0</v>
          </cell>
          <cell r="DB272">
            <v>0</v>
          </cell>
          <cell r="DC272">
            <v>0</v>
          </cell>
          <cell r="DJ272" t="str">
            <v>НКРКП</v>
          </cell>
          <cell r="DL272">
            <v>40816</v>
          </cell>
          <cell r="DM272">
            <v>43</v>
          </cell>
          <cell r="DT272">
            <v>999.9</v>
          </cell>
        </row>
        <row r="273">
          <cell r="W273">
            <v>805.57</v>
          </cell>
          <cell r="AF273">
            <v>40268</v>
          </cell>
          <cell r="AG273">
            <v>796</v>
          </cell>
          <cell r="AH273">
            <v>752.87157227941725</v>
          </cell>
          <cell r="AM273">
            <v>267.19962262745634</v>
          </cell>
          <cell r="AO273">
            <v>215248</v>
          </cell>
          <cell r="AQ273">
            <v>201167</v>
          </cell>
          <cell r="AU273">
            <v>0</v>
          </cell>
          <cell r="AW273">
            <v>0</v>
          </cell>
          <cell r="AY273">
            <v>16544.888787809352</v>
          </cell>
          <cell r="AZ273">
            <v>61.919581416763826</v>
          </cell>
          <cell r="BA273">
            <v>0</v>
          </cell>
          <cell r="BB273">
            <v>0</v>
          </cell>
          <cell r="BC273">
            <v>0</v>
          </cell>
          <cell r="BD273">
            <v>0</v>
          </cell>
          <cell r="BG273">
            <v>0</v>
          </cell>
          <cell r="BH273">
            <v>0</v>
          </cell>
          <cell r="BI273">
            <v>12197</v>
          </cell>
          <cell r="BJ273">
            <v>45.64751955883446</v>
          </cell>
          <cell r="BK273">
            <v>0</v>
          </cell>
          <cell r="BL273">
            <v>0</v>
          </cell>
          <cell r="BM273">
            <v>157250</v>
          </cell>
          <cell r="BN273">
            <v>588.51131020961873</v>
          </cell>
          <cell r="BO273">
            <v>0</v>
          </cell>
          <cell r="BP273">
            <v>0</v>
          </cell>
          <cell r="BY273">
            <v>3485.58</v>
          </cell>
          <cell r="CF273">
            <v>22.747896386734858</v>
          </cell>
          <cell r="CG273">
            <v>727.31511109999997</v>
          </cell>
          <cell r="CJ273">
            <v>0</v>
          </cell>
          <cell r="CK273">
            <v>0</v>
          </cell>
          <cell r="CL273">
            <v>0</v>
          </cell>
          <cell r="CM273">
            <v>0</v>
          </cell>
          <cell r="CN273">
            <v>0</v>
          </cell>
          <cell r="CO273">
            <v>0</v>
          </cell>
          <cell r="CX273">
            <v>0</v>
          </cell>
          <cell r="CY273">
            <v>0</v>
          </cell>
          <cell r="DB273">
            <v>0</v>
          </cell>
          <cell r="DC273">
            <v>0</v>
          </cell>
          <cell r="DJ273" t="str">
            <v>НКРЕ</v>
          </cell>
          <cell r="DL273">
            <v>40526</v>
          </cell>
          <cell r="DM273">
            <v>1804</v>
          </cell>
          <cell r="DO273" t="str">
            <v>тариф на теплову енергію для населення населенного пункту с. Музичі</v>
          </cell>
          <cell r="DT273">
            <v>886.14444500000002</v>
          </cell>
        </row>
        <row r="274">
          <cell r="W274">
            <v>1010.86</v>
          </cell>
          <cell r="AF274">
            <v>40268</v>
          </cell>
          <cell r="AG274">
            <v>797</v>
          </cell>
          <cell r="AH274">
            <v>886.72002424194966</v>
          </cell>
          <cell r="AM274">
            <v>555.80001187108007</v>
          </cell>
          <cell r="AO274">
            <v>561836</v>
          </cell>
          <cell r="AQ274">
            <v>492839</v>
          </cell>
          <cell r="AU274">
            <v>0</v>
          </cell>
          <cell r="AW274">
            <v>0</v>
          </cell>
          <cell r="AY274">
            <v>99737.746548489784</v>
          </cell>
          <cell r="AZ274">
            <v>179.44898240056952</v>
          </cell>
          <cell r="BA274">
            <v>0</v>
          </cell>
          <cell r="BB274">
            <v>0</v>
          </cell>
          <cell r="BC274">
            <v>0</v>
          </cell>
          <cell r="BD274">
            <v>0</v>
          </cell>
          <cell r="BG274">
            <v>0</v>
          </cell>
          <cell r="BH274">
            <v>0</v>
          </cell>
          <cell r="BI274">
            <v>24766</v>
          </cell>
          <cell r="BJ274">
            <v>44.559193002940361</v>
          </cell>
          <cell r="BK274">
            <v>0</v>
          </cell>
          <cell r="BL274">
            <v>0</v>
          </cell>
          <cell r="BM274">
            <v>332062</v>
          </cell>
          <cell r="BN274">
            <v>597.44870980143673</v>
          </cell>
          <cell r="BO274">
            <v>0</v>
          </cell>
          <cell r="BP274">
            <v>0</v>
          </cell>
          <cell r="BY274">
            <v>3485.58</v>
          </cell>
          <cell r="CF274">
            <v>45.695605362264395</v>
          </cell>
          <cell r="CG274">
            <v>2182.6551100000001</v>
          </cell>
          <cell r="CJ274">
            <v>0</v>
          </cell>
          <cell r="CK274">
            <v>0</v>
          </cell>
          <cell r="CL274">
            <v>0</v>
          </cell>
          <cell r="CM274">
            <v>0</v>
          </cell>
          <cell r="CN274">
            <v>0</v>
          </cell>
          <cell r="CO274">
            <v>0</v>
          </cell>
          <cell r="CX274">
            <v>0</v>
          </cell>
          <cell r="CY274">
            <v>0</v>
          </cell>
          <cell r="DB274">
            <v>0</v>
          </cell>
          <cell r="DC274">
            <v>0</v>
          </cell>
          <cell r="DJ274" t="str">
            <v>НКРКП</v>
          </cell>
          <cell r="DL274">
            <v>40816</v>
          </cell>
          <cell r="DM274">
            <v>43</v>
          </cell>
          <cell r="DT274">
            <v>1019.73</v>
          </cell>
        </row>
        <row r="275">
          <cell r="W275">
            <v>222.24</v>
          </cell>
          <cell r="AF275">
            <v>40268</v>
          </cell>
          <cell r="AG275">
            <v>779</v>
          </cell>
          <cell r="AH275">
            <v>222.24023965848275</v>
          </cell>
          <cell r="AM275">
            <v>1919.3979481641468</v>
          </cell>
          <cell r="AO275">
            <v>426567</v>
          </cell>
          <cell r="AQ275">
            <v>426567.46</v>
          </cell>
          <cell r="AU275">
            <v>0</v>
          </cell>
          <cell r="AW275">
            <v>0</v>
          </cell>
          <cell r="AY275">
            <v>184184</v>
          </cell>
          <cell r="AZ275">
            <v>95.959256482568975</v>
          </cell>
          <cell r="BA275">
            <v>0</v>
          </cell>
          <cell r="BB275">
            <v>0</v>
          </cell>
          <cell r="BC275">
            <v>0</v>
          </cell>
          <cell r="BD275">
            <v>0</v>
          </cell>
          <cell r="BG275">
            <v>0</v>
          </cell>
          <cell r="BH275">
            <v>0</v>
          </cell>
          <cell r="BI275">
            <v>42244</v>
          </cell>
          <cell r="BJ275">
            <v>22.008984661260719</v>
          </cell>
          <cell r="BK275">
            <v>0</v>
          </cell>
          <cell r="BL275">
            <v>0</v>
          </cell>
          <cell r="BM275">
            <v>175084.44566</v>
          </cell>
          <cell r="BN275">
            <v>91.218418685642348</v>
          </cell>
          <cell r="BO275">
            <v>0</v>
          </cell>
          <cell r="BP275">
            <v>0</v>
          </cell>
          <cell r="BY275">
            <v>3485.58</v>
          </cell>
          <cell r="CF275">
            <v>253.23824184188604</v>
          </cell>
          <cell r="CG275">
            <v>727.31511109999997</v>
          </cell>
          <cell r="CJ275">
            <v>0</v>
          </cell>
          <cell r="CK275">
            <v>0</v>
          </cell>
          <cell r="CL275">
            <v>0</v>
          </cell>
          <cell r="CM275">
            <v>0</v>
          </cell>
          <cell r="CN275">
            <v>0</v>
          </cell>
          <cell r="CO275">
            <v>0</v>
          </cell>
          <cell r="CX275">
            <v>0</v>
          </cell>
          <cell r="CY275">
            <v>0</v>
          </cell>
          <cell r="DB275">
            <v>0</v>
          </cell>
          <cell r="DC275">
            <v>0</v>
          </cell>
          <cell r="DJ275" t="str">
            <v>НКРЕ</v>
          </cell>
          <cell r="DL275">
            <v>40526</v>
          </cell>
          <cell r="DM275">
            <v>1804</v>
          </cell>
          <cell r="DO275" t="str">
            <v>тариф на теплову енергію для населення населенного пункту с. Семиполки</v>
          </cell>
          <cell r="DT275">
            <v>244.46</v>
          </cell>
        </row>
        <row r="276">
          <cell r="W276">
            <v>710.44</v>
          </cell>
          <cell r="AF276">
            <v>40268</v>
          </cell>
          <cell r="AG276">
            <v>791</v>
          </cell>
          <cell r="AH276">
            <v>623.18990174171051</v>
          </cell>
          <cell r="AM276">
            <v>4219.8004053825798</v>
          </cell>
          <cell r="AO276">
            <v>2997915</v>
          </cell>
          <cell r="AQ276">
            <v>2629737</v>
          </cell>
          <cell r="AU276">
            <v>0</v>
          </cell>
          <cell r="AW276">
            <v>0</v>
          </cell>
          <cell r="AY276">
            <v>1724203.9999999998</v>
          </cell>
          <cell r="AZ276">
            <v>408.59847252507154</v>
          </cell>
          <cell r="BA276">
            <v>0</v>
          </cell>
          <cell r="BB276">
            <v>0</v>
          </cell>
          <cell r="BC276">
            <v>0</v>
          </cell>
          <cell r="BD276">
            <v>0</v>
          </cell>
          <cell r="BG276">
            <v>0</v>
          </cell>
          <cell r="BH276">
            <v>0</v>
          </cell>
          <cell r="BI276">
            <v>275189</v>
          </cell>
          <cell r="BJ276">
            <v>65.213747941486005</v>
          </cell>
          <cell r="BK276">
            <v>0</v>
          </cell>
          <cell r="BL276">
            <v>0</v>
          </cell>
          <cell r="BM276">
            <v>504008.45666600001</v>
          </cell>
          <cell r="BN276">
            <v>119.43893270949745</v>
          </cell>
          <cell r="BO276">
            <v>0</v>
          </cell>
          <cell r="BP276">
            <v>0</v>
          </cell>
          <cell r="BY276">
            <v>3485.58</v>
          </cell>
          <cell r="CF276">
            <v>789.95714535953402</v>
          </cell>
          <cell r="CG276">
            <v>2182.6551100000001</v>
          </cell>
          <cell r="CJ276">
            <v>0</v>
          </cell>
          <cell r="CK276">
            <v>0</v>
          </cell>
          <cell r="CL276">
            <v>0</v>
          </cell>
          <cell r="CM276">
            <v>0</v>
          </cell>
          <cell r="CN276">
            <v>0</v>
          </cell>
          <cell r="CO276">
            <v>0</v>
          </cell>
          <cell r="CX276">
            <v>0</v>
          </cell>
          <cell r="CY276">
            <v>0</v>
          </cell>
          <cell r="DB276">
            <v>0</v>
          </cell>
          <cell r="DC276">
            <v>0</v>
          </cell>
          <cell r="DJ276" t="str">
            <v>НКРКП</v>
          </cell>
          <cell r="DL276">
            <v>40816</v>
          </cell>
          <cell r="DM276">
            <v>43</v>
          </cell>
          <cell r="DT276">
            <v>999.9</v>
          </cell>
        </row>
        <row r="277">
          <cell r="W277">
            <v>934.79</v>
          </cell>
          <cell r="AF277">
            <v>40268</v>
          </cell>
          <cell r="AG277">
            <v>792</v>
          </cell>
          <cell r="AH277">
            <v>623.19055555555553</v>
          </cell>
          <cell r="AM277">
            <v>18</v>
          </cell>
          <cell r="AO277">
            <v>16826.22</v>
          </cell>
          <cell r="AQ277">
            <v>11217.43</v>
          </cell>
          <cell r="AU277">
            <v>0</v>
          </cell>
          <cell r="AW277">
            <v>0</v>
          </cell>
          <cell r="AY277">
            <v>7019.0000000000036</v>
          </cell>
          <cell r="AZ277">
            <v>389.94444444444463</v>
          </cell>
          <cell r="BA277">
            <v>0</v>
          </cell>
          <cell r="BB277">
            <v>0</v>
          </cell>
          <cell r="BC277">
            <v>0</v>
          </cell>
          <cell r="BD277">
            <v>0</v>
          </cell>
          <cell r="BG277">
            <v>0</v>
          </cell>
          <cell r="BH277">
            <v>0</v>
          </cell>
          <cell r="BI277">
            <v>1876</v>
          </cell>
          <cell r="BJ277">
            <v>104.22222222222223</v>
          </cell>
          <cell r="BK277">
            <v>0</v>
          </cell>
          <cell r="BL277">
            <v>0</v>
          </cell>
          <cell r="BM277">
            <v>2036.456666</v>
          </cell>
          <cell r="BN277">
            <v>113.13648144444444</v>
          </cell>
          <cell r="BO277">
            <v>0</v>
          </cell>
          <cell r="BP277">
            <v>0</v>
          </cell>
          <cell r="BY277">
            <v>3485.58</v>
          </cell>
          <cell r="CF277">
            <v>3.2158009034847406</v>
          </cell>
          <cell r="CG277">
            <v>2182.66</v>
          </cell>
          <cell r="CJ277">
            <v>0</v>
          </cell>
          <cell r="CK277">
            <v>0</v>
          </cell>
          <cell r="CL277">
            <v>0</v>
          </cell>
          <cell r="CM277">
            <v>0</v>
          </cell>
          <cell r="CN277">
            <v>0</v>
          </cell>
          <cell r="CO277">
            <v>0</v>
          </cell>
          <cell r="CX277">
            <v>0</v>
          </cell>
          <cell r="CY277">
            <v>0</v>
          </cell>
          <cell r="DB277">
            <v>0</v>
          </cell>
          <cell r="DC277">
            <v>0</v>
          </cell>
          <cell r="DJ277" t="str">
            <v>НКРКП</v>
          </cell>
          <cell r="DL277">
            <v>40816</v>
          </cell>
          <cell r="DM277">
            <v>43</v>
          </cell>
          <cell r="DT277">
            <v>999.9</v>
          </cell>
        </row>
        <row r="278">
          <cell r="W278">
            <v>235.15024197365713</v>
          </cell>
          <cell r="AF278">
            <v>40268</v>
          </cell>
          <cell r="AG278">
            <v>783</v>
          </cell>
          <cell r="AH278">
            <v>235.15024197365713</v>
          </cell>
          <cell r="AM278">
            <v>11695.487986391665</v>
          </cell>
          <cell r="AO278">
            <v>2750196.83</v>
          </cell>
          <cell r="AQ278">
            <v>2750196.83</v>
          </cell>
          <cell r="AU278">
            <v>0</v>
          </cell>
          <cell r="AW278">
            <v>0</v>
          </cell>
          <cell r="AY278">
            <v>688163</v>
          </cell>
          <cell r="AZ278">
            <v>58.840041629790477</v>
          </cell>
          <cell r="BA278">
            <v>0</v>
          </cell>
          <cell r="BB278">
            <v>0</v>
          </cell>
          <cell r="BC278">
            <v>0</v>
          </cell>
          <cell r="BD278">
            <v>0</v>
          </cell>
          <cell r="BG278">
            <v>0</v>
          </cell>
          <cell r="BH278">
            <v>0</v>
          </cell>
          <cell r="BI278">
            <v>407772</v>
          </cell>
          <cell r="BJ278">
            <v>34.865753397760301</v>
          </cell>
          <cell r="BK278">
            <v>0</v>
          </cell>
          <cell r="BL278">
            <v>0</v>
          </cell>
          <cell r="BM278">
            <v>1309902</v>
          </cell>
          <cell r="BN278">
            <v>112.0006280647838</v>
          </cell>
          <cell r="BO278">
            <v>0</v>
          </cell>
          <cell r="BP278">
            <v>0</v>
          </cell>
          <cell r="BY278">
            <v>3485.58</v>
          </cell>
          <cell r="CF278">
            <v>946.16262442941195</v>
          </cell>
          <cell r="CG278">
            <v>727.32</v>
          </cell>
          <cell r="CJ278">
            <v>0</v>
          </cell>
          <cell r="CK278">
            <v>0</v>
          </cell>
          <cell r="CL278">
            <v>0</v>
          </cell>
          <cell r="CM278">
            <v>0</v>
          </cell>
          <cell r="CN278">
            <v>0</v>
          </cell>
          <cell r="CO278">
            <v>0</v>
          </cell>
          <cell r="CX278">
            <v>0</v>
          </cell>
          <cell r="CY278">
            <v>0</v>
          </cell>
          <cell r="DB278">
            <v>0</v>
          </cell>
          <cell r="DC278">
            <v>0</v>
          </cell>
          <cell r="DJ278" t="str">
            <v>НКРЕ</v>
          </cell>
          <cell r="DL278">
            <v>40526</v>
          </cell>
          <cell r="DM278">
            <v>1804</v>
          </cell>
          <cell r="DO278" t="str">
            <v>тариф на теплову енергію для населення населенного пункту смт.Чабани</v>
          </cell>
          <cell r="DT278">
            <v>258.67</v>
          </cell>
        </row>
        <row r="279">
          <cell r="W279">
            <v>574.63</v>
          </cell>
          <cell r="AF279">
            <v>40268</v>
          </cell>
          <cell r="AG279">
            <v>784</v>
          </cell>
          <cell r="AH279">
            <v>499.68113644621917</v>
          </cell>
          <cell r="AM279">
            <v>1829.500722203853</v>
          </cell>
          <cell r="AO279">
            <v>1051286</v>
          </cell>
          <cell r="AQ279">
            <v>914167</v>
          </cell>
          <cell r="AU279">
            <v>0</v>
          </cell>
          <cell r="AW279">
            <v>0</v>
          </cell>
          <cell r="AY279">
            <v>591955.60000000009</v>
          </cell>
          <cell r="AZ279">
            <v>323.56128249401212</v>
          </cell>
          <cell r="BA279">
            <v>0</v>
          </cell>
          <cell r="BB279">
            <v>0</v>
          </cell>
          <cell r="BC279">
            <v>0</v>
          </cell>
          <cell r="BD279">
            <v>0</v>
          </cell>
          <cell r="BG279">
            <v>0</v>
          </cell>
          <cell r="BH279">
            <v>0</v>
          </cell>
          <cell r="BI279">
            <v>63804</v>
          </cell>
          <cell r="BJ279">
            <v>34.875088719910657</v>
          </cell>
          <cell r="BK279">
            <v>0</v>
          </cell>
          <cell r="BL279">
            <v>0</v>
          </cell>
          <cell r="BM279">
            <v>204894</v>
          </cell>
          <cell r="BN279">
            <v>111.99448981533094</v>
          </cell>
          <cell r="BO279">
            <v>0</v>
          </cell>
          <cell r="BP279">
            <v>0</v>
          </cell>
          <cell r="BY279">
            <v>3485.58</v>
          </cell>
          <cell r="CF279">
            <v>271.20834211466746</v>
          </cell>
          <cell r="CG279">
            <v>2182.66</v>
          </cell>
          <cell r="CJ279">
            <v>0</v>
          </cell>
          <cell r="CK279">
            <v>0</v>
          </cell>
          <cell r="CL279">
            <v>0</v>
          </cell>
          <cell r="CM279">
            <v>0</v>
          </cell>
          <cell r="CN279">
            <v>0</v>
          </cell>
          <cell r="CO279">
            <v>0</v>
          </cell>
          <cell r="CX279">
            <v>0</v>
          </cell>
          <cell r="CY279">
            <v>0</v>
          </cell>
          <cell r="DB279">
            <v>0</v>
          </cell>
          <cell r="DC279">
            <v>0</v>
          </cell>
          <cell r="DJ279" t="str">
            <v>НКРКП</v>
          </cell>
          <cell r="DL279">
            <v>40816</v>
          </cell>
          <cell r="DM279">
            <v>43</v>
          </cell>
          <cell r="DT279">
            <v>807.12949827164061</v>
          </cell>
        </row>
        <row r="280">
          <cell r="W280">
            <v>684.56</v>
          </cell>
          <cell r="AF280">
            <v>40268</v>
          </cell>
          <cell r="AG280">
            <v>785</v>
          </cell>
          <cell r="AH280">
            <v>499.67908486259165</v>
          </cell>
          <cell r="AM280">
            <v>2442.180378637373</v>
          </cell>
          <cell r="AO280">
            <v>1671819</v>
          </cell>
          <cell r="AQ280">
            <v>1220306.4566669001</v>
          </cell>
          <cell r="AU280">
            <v>0</v>
          </cell>
          <cell r="AW280">
            <v>0</v>
          </cell>
          <cell r="AY280">
            <v>781809.63</v>
          </cell>
          <cell r="AZ280">
            <v>320.12771736222641</v>
          </cell>
          <cell r="BA280">
            <v>0</v>
          </cell>
          <cell r="BB280">
            <v>0</v>
          </cell>
          <cell r="BC280">
            <v>0</v>
          </cell>
          <cell r="BD280">
            <v>0</v>
          </cell>
          <cell r="BG280">
            <v>0</v>
          </cell>
          <cell r="BH280">
            <v>0</v>
          </cell>
          <cell r="BI280">
            <v>86792.566659999997</v>
          </cell>
          <cell r="BJ280">
            <v>35.5389664986279</v>
          </cell>
          <cell r="BK280">
            <v>0</v>
          </cell>
          <cell r="BL280">
            <v>0</v>
          </cell>
          <cell r="BM280">
            <v>278870</v>
          </cell>
          <cell r="BN280">
            <v>114.1889446166122</v>
          </cell>
          <cell r="BO280">
            <v>0</v>
          </cell>
          <cell r="BP280">
            <v>0</v>
          </cell>
          <cell r="BY280">
            <v>3485.58</v>
          </cell>
          <cell r="CF280">
            <v>358.19121164084191</v>
          </cell>
          <cell r="CG280">
            <v>2182.66</v>
          </cell>
          <cell r="CJ280">
            <v>0</v>
          </cell>
          <cell r="CK280">
            <v>0</v>
          </cell>
          <cell r="CL280">
            <v>0</v>
          </cell>
          <cell r="CM280">
            <v>0</v>
          </cell>
          <cell r="CN280">
            <v>0</v>
          </cell>
          <cell r="CO280">
            <v>0</v>
          </cell>
          <cell r="CX280">
            <v>0</v>
          </cell>
          <cell r="CY280">
            <v>0</v>
          </cell>
          <cell r="DB280">
            <v>0</v>
          </cell>
          <cell r="DC280">
            <v>0</v>
          </cell>
          <cell r="DJ280" t="str">
            <v>НКРКП</v>
          </cell>
          <cell r="DL280">
            <v>40816</v>
          </cell>
          <cell r="DM280">
            <v>43</v>
          </cell>
          <cell r="DT280">
            <v>914.58</v>
          </cell>
        </row>
        <row r="281">
          <cell r="W281">
            <v>273.27</v>
          </cell>
          <cell r="AF281">
            <v>40268</v>
          </cell>
          <cell r="AG281">
            <v>802</v>
          </cell>
          <cell r="AH281">
            <v>253.02470259270302</v>
          </cell>
          <cell r="AM281">
            <v>1362.1583049731037</v>
          </cell>
          <cell r="AO281">
            <v>372237</v>
          </cell>
          <cell r="AQ281">
            <v>344659.7</v>
          </cell>
          <cell r="AU281">
            <v>0</v>
          </cell>
          <cell r="AW281">
            <v>0</v>
          </cell>
          <cell r="AY281">
            <v>137897</v>
          </cell>
          <cell r="AZ281">
            <v>101.23419539164563</v>
          </cell>
          <cell r="BA281">
            <v>0</v>
          </cell>
          <cell r="BB281">
            <v>0</v>
          </cell>
          <cell r="BC281">
            <v>0</v>
          </cell>
          <cell r="BD281">
            <v>0</v>
          </cell>
          <cell r="BG281">
            <v>0</v>
          </cell>
          <cell r="BH281">
            <v>0</v>
          </cell>
          <cell r="BI281">
            <v>24621.62</v>
          </cell>
          <cell r="BJ281">
            <v>18.07544681855914</v>
          </cell>
          <cell r="BK281">
            <v>0</v>
          </cell>
          <cell r="BL281">
            <v>0</v>
          </cell>
          <cell r="BM281">
            <v>158294</v>
          </cell>
          <cell r="BN281">
            <v>116.20822588834531</v>
          </cell>
          <cell r="BO281">
            <v>0</v>
          </cell>
          <cell r="BP281">
            <v>0</v>
          </cell>
          <cell r="BY281">
            <v>3485.58</v>
          </cell>
          <cell r="CF281">
            <v>189.59732569208268</v>
          </cell>
          <cell r="CG281">
            <v>727.31511109999997</v>
          </cell>
          <cell r="CJ281">
            <v>0</v>
          </cell>
          <cell r="CK281">
            <v>0</v>
          </cell>
          <cell r="CL281">
            <v>0</v>
          </cell>
          <cell r="CM281">
            <v>0</v>
          </cell>
          <cell r="CN281">
            <v>0</v>
          </cell>
          <cell r="CO281">
            <v>0</v>
          </cell>
          <cell r="CX281">
            <v>0</v>
          </cell>
          <cell r="CY281">
            <v>0</v>
          </cell>
          <cell r="DB281">
            <v>0</v>
          </cell>
          <cell r="DC281">
            <v>0</v>
          </cell>
          <cell r="DJ281" t="str">
            <v>НКРЕ</v>
          </cell>
          <cell r="DL281">
            <v>40526</v>
          </cell>
          <cell r="DM281">
            <v>1804</v>
          </cell>
          <cell r="DO281" t="str">
            <v>тариф на теплову енергію для населення населенного пункту смт. Гостомель</v>
          </cell>
          <cell r="DT281">
            <v>300.60000000000002</v>
          </cell>
        </row>
        <row r="282">
          <cell r="W282">
            <v>712.98</v>
          </cell>
          <cell r="AF282">
            <v>40268</v>
          </cell>
          <cell r="AG282">
            <v>803</v>
          </cell>
          <cell r="AH282">
            <v>475.31562051597058</v>
          </cell>
          <cell r="AM282">
            <v>68.501220230581495</v>
          </cell>
          <cell r="AO282">
            <v>48839.999999999993</v>
          </cell>
          <cell r="AQ282">
            <v>32559.7</v>
          </cell>
          <cell r="AU282">
            <v>0</v>
          </cell>
          <cell r="AW282">
            <v>0</v>
          </cell>
          <cell r="AY282">
            <v>22179</v>
          </cell>
          <cell r="AZ282">
            <v>323.77525429975435</v>
          </cell>
          <cell r="BA282">
            <v>0</v>
          </cell>
          <cell r="BB282">
            <v>0</v>
          </cell>
          <cell r="BC282">
            <v>0</v>
          </cell>
          <cell r="BD282">
            <v>0</v>
          </cell>
          <cell r="BG282">
            <v>0</v>
          </cell>
          <cell r="BH282">
            <v>0</v>
          </cell>
          <cell r="BI282">
            <v>1238.21</v>
          </cell>
          <cell r="BJ282">
            <v>18.075736400491405</v>
          </cell>
          <cell r="BK282">
            <v>0</v>
          </cell>
          <cell r="BL282">
            <v>0</v>
          </cell>
          <cell r="BM282">
            <v>7961</v>
          </cell>
          <cell r="BN282">
            <v>116.21690786240788</v>
          </cell>
          <cell r="BO282">
            <v>0</v>
          </cell>
          <cell r="BP282">
            <v>0</v>
          </cell>
          <cell r="BY282">
            <v>3485.58</v>
          </cell>
          <cell r="CF282">
            <v>10.161454372188064</v>
          </cell>
          <cell r="CG282">
            <v>2182.66</v>
          </cell>
          <cell r="CJ282">
            <v>0</v>
          </cell>
          <cell r="CK282">
            <v>0</v>
          </cell>
          <cell r="CL282">
            <v>0</v>
          </cell>
          <cell r="CM282">
            <v>0</v>
          </cell>
          <cell r="CN282">
            <v>0</v>
          </cell>
          <cell r="CO282">
            <v>0</v>
          </cell>
          <cell r="CX282">
            <v>0</v>
          </cell>
          <cell r="CY282">
            <v>0</v>
          </cell>
          <cell r="DB282">
            <v>0</v>
          </cell>
          <cell r="DC282">
            <v>0</v>
          </cell>
          <cell r="DJ282" t="str">
            <v>НКРКП</v>
          </cell>
          <cell r="DL282">
            <v>40816</v>
          </cell>
          <cell r="DM282">
            <v>43</v>
          </cell>
          <cell r="DT282">
            <v>945.58</v>
          </cell>
        </row>
        <row r="283">
          <cell r="W283">
            <v>256.49</v>
          </cell>
          <cell r="AF283">
            <v>40268</v>
          </cell>
          <cell r="AG283">
            <v>786</v>
          </cell>
          <cell r="AH283">
            <v>237.49509641373439</v>
          </cell>
          <cell r="AM283">
            <v>4770.2795430621072</v>
          </cell>
          <cell r="AO283">
            <v>1223529</v>
          </cell>
          <cell r="AQ283">
            <v>1132918</v>
          </cell>
          <cell r="AU283">
            <v>0</v>
          </cell>
          <cell r="AW283">
            <v>0</v>
          </cell>
          <cell r="AY283">
            <v>516894</v>
          </cell>
          <cell r="AZ283">
            <v>108.35717180385591</v>
          </cell>
          <cell r="BA283">
            <v>0</v>
          </cell>
          <cell r="BB283">
            <v>0</v>
          </cell>
          <cell r="BC283">
            <v>0</v>
          </cell>
          <cell r="BD283">
            <v>0</v>
          </cell>
          <cell r="BG283">
            <v>0</v>
          </cell>
          <cell r="BH283">
            <v>0</v>
          </cell>
          <cell r="BI283">
            <v>142103.55499999999</v>
          </cell>
          <cell r="BJ283">
            <v>29.789355889357754</v>
          </cell>
          <cell r="BK283">
            <v>0</v>
          </cell>
          <cell r="BL283">
            <v>0</v>
          </cell>
          <cell r="BM283">
            <v>418742.55499999999</v>
          </cell>
          <cell r="BN283">
            <v>87.781554774713157</v>
          </cell>
          <cell r="BO283">
            <v>0</v>
          </cell>
          <cell r="BP283">
            <v>0</v>
          </cell>
          <cell r="BY283">
            <v>3485.58</v>
          </cell>
          <cell r="CF283">
            <v>710.68305560138583</v>
          </cell>
          <cell r="CG283">
            <v>727.32</v>
          </cell>
          <cell r="CJ283">
            <v>0</v>
          </cell>
          <cell r="CK283">
            <v>0</v>
          </cell>
          <cell r="CL283">
            <v>0</v>
          </cell>
          <cell r="CM283">
            <v>0</v>
          </cell>
          <cell r="CN283">
            <v>0</v>
          </cell>
          <cell r="CO283">
            <v>0</v>
          </cell>
          <cell r="CX283">
            <v>0</v>
          </cell>
          <cell r="CY283">
            <v>0</v>
          </cell>
          <cell r="DB283">
            <v>0</v>
          </cell>
          <cell r="DC283">
            <v>0</v>
          </cell>
          <cell r="DJ283" t="str">
            <v>НКРЕ</v>
          </cell>
          <cell r="DL283">
            <v>40526</v>
          </cell>
          <cell r="DM283">
            <v>1804</v>
          </cell>
          <cell r="DO283" t="str">
            <v>тариф на теплову енергію для населення населенного пункту с. Тарасівка</v>
          </cell>
          <cell r="DT283">
            <v>282.14</v>
          </cell>
        </row>
        <row r="284">
          <cell r="W284">
            <v>609.52</v>
          </cell>
          <cell r="AF284">
            <v>40268</v>
          </cell>
          <cell r="AG284">
            <v>787</v>
          </cell>
          <cell r="AH284">
            <v>530.02142060340668</v>
          </cell>
          <cell r="AM284">
            <v>1025.1000787504922</v>
          </cell>
          <cell r="AO284">
            <v>624819</v>
          </cell>
          <cell r="AQ284">
            <v>543325</v>
          </cell>
          <cell r="AU284">
            <v>0</v>
          </cell>
          <cell r="AW284">
            <v>0</v>
          </cell>
          <cell r="AY284">
            <v>379375.54</v>
          </cell>
          <cell r="AZ284">
            <v>370.08634363039533</v>
          </cell>
          <cell r="BA284">
            <v>0</v>
          </cell>
          <cell r="BB284">
            <v>0</v>
          </cell>
          <cell r="BC284">
            <v>0</v>
          </cell>
          <cell r="BD284">
            <v>0</v>
          </cell>
          <cell r="BG284">
            <v>0</v>
          </cell>
          <cell r="BH284">
            <v>0</v>
          </cell>
          <cell r="BI284">
            <v>36225.550000000003</v>
          </cell>
          <cell r="BJ284">
            <v>35.338549621570408</v>
          </cell>
          <cell r="BK284">
            <v>0</v>
          </cell>
          <cell r="BL284">
            <v>0</v>
          </cell>
          <cell r="BM284">
            <v>113025</v>
          </cell>
          <cell r="BN284">
            <v>110.25752737992923</v>
          </cell>
          <cell r="BO284">
            <v>0</v>
          </cell>
          <cell r="BP284">
            <v>0</v>
          </cell>
          <cell r="BY284">
            <v>3485.58</v>
          </cell>
          <cell r="CF284">
            <v>173.81339283259877</v>
          </cell>
          <cell r="CG284">
            <v>2182.66</v>
          </cell>
          <cell r="CJ284">
            <v>0</v>
          </cell>
          <cell r="CK284">
            <v>0</v>
          </cell>
          <cell r="CL284">
            <v>0</v>
          </cell>
          <cell r="CM284">
            <v>0</v>
          </cell>
          <cell r="CN284">
            <v>0</v>
          </cell>
          <cell r="CO284">
            <v>0</v>
          </cell>
          <cell r="CX284">
            <v>0</v>
          </cell>
          <cell r="CY284">
            <v>0</v>
          </cell>
          <cell r="DB284">
            <v>0</v>
          </cell>
          <cell r="DC284">
            <v>0</v>
          </cell>
          <cell r="DJ284" t="str">
            <v>НКРКП</v>
          </cell>
          <cell r="DL284">
            <v>40816</v>
          </cell>
          <cell r="DM284">
            <v>43</v>
          </cell>
          <cell r="DT284">
            <v>875.48</v>
          </cell>
        </row>
        <row r="285">
          <cell r="W285">
            <v>886.17</v>
          </cell>
          <cell r="AF285">
            <v>40268</v>
          </cell>
          <cell r="AG285">
            <v>788</v>
          </cell>
          <cell r="AH285">
            <v>590.77732905944265</v>
          </cell>
          <cell r="AM285">
            <v>124.79998194477358</v>
          </cell>
          <cell r="AO285">
            <v>110594</v>
          </cell>
          <cell r="AQ285">
            <v>73729</v>
          </cell>
          <cell r="AU285">
            <v>0</v>
          </cell>
          <cell r="AW285">
            <v>0</v>
          </cell>
          <cell r="AY285">
            <v>53125.64</v>
          </cell>
          <cell r="AZ285">
            <v>425.68627953415194</v>
          </cell>
          <cell r="BA285">
            <v>0</v>
          </cell>
          <cell r="BB285">
            <v>0</v>
          </cell>
          <cell r="BC285">
            <v>0</v>
          </cell>
          <cell r="BD285">
            <v>0</v>
          </cell>
          <cell r="BG285">
            <v>0</v>
          </cell>
          <cell r="BH285">
            <v>0</v>
          </cell>
          <cell r="BI285">
            <v>5065</v>
          </cell>
          <cell r="BJ285">
            <v>40.584941768992891</v>
          </cell>
          <cell r="BK285">
            <v>0</v>
          </cell>
          <cell r="BL285">
            <v>0</v>
          </cell>
          <cell r="BM285">
            <v>13750</v>
          </cell>
          <cell r="BN285">
            <v>110.17629799084941</v>
          </cell>
          <cell r="BO285">
            <v>0</v>
          </cell>
          <cell r="BP285">
            <v>0</v>
          </cell>
          <cell r="BY285">
            <v>3485.58</v>
          </cell>
          <cell r="CF285">
            <v>24.339860537142755</v>
          </cell>
          <cell r="CG285">
            <v>2182.66</v>
          </cell>
          <cell r="CJ285">
            <v>0</v>
          </cell>
          <cell r="CK285">
            <v>0</v>
          </cell>
          <cell r="CL285">
            <v>0</v>
          </cell>
          <cell r="CM285">
            <v>0</v>
          </cell>
          <cell r="CN285">
            <v>0</v>
          </cell>
          <cell r="CO285">
            <v>0</v>
          </cell>
          <cell r="CX285">
            <v>0</v>
          </cell>
          <cell r="CY285">
            <v>0</v>
          </cell>
          <cell r="DB285">
            <v>0</v>
          </cell>
          <cell r="DC285">
            <v>0</v>
          </cell>
          <cell r="DJ285" t="str">
            <v>НКРКП</v>
          </cell>
          <cell r="DL285">
            <v>40816</v>
          </cell>
          <cell r="DM285">
            <v>43</v>
          </cell>
          <cell r="DT285">
            <v>999.9</v>
          </cell>
        </row>
        <row r="286">
          <cell r="W286">
            <v>365.66</v>
          </cell>
          <cell r="AF286">
            <v>40091</v>
          </cell>
          <cell r="AG286">
            <v>106</v>
          </cell>
          <cell r="AH286">
            <v>365.65979381443299</v>
          </cell>
          <cell r="AM286">
            <v>1552</v>
          </cell>
          <cell r="AO286">
            <v>567504.32000000007</v>
          </cell>
          <cell r="AQ286">
            <v>567504</v>
          </cell>
          <cell r="AU286">
            <v>0</v>
          </cell>
          <cell r="AW286">
            <v>0</v>
          </cell>
          <cell r="AY286">
            <v>188957.73600000003</v>
          </cell>
          <cell r="AZ286">
            <v>121.75111855670106</v>
          </cell>
          <cell r="BA286">
            <v>0</v>
          </cell>
          <cell r="BB286">
            <v>0</v>
          </cell>
          <cell r="BC286">
            <v>0</v>
          </cell>
          <cell r="BD286">
            <v>0</v>
          </cell>
          <cell r="BG286">
            <v>0</v>
          </cell>
          <cell r="BH286">
            <v>0</v>
          </cell>
          <cell r="BI286">
            <v>19741</v>
          </cell>
          <cell r="BJ286">
            <v>12.719716494845361</v>
          </cell>
          <cell r="BK286">
            <v>0</v>
          </cell>
          <cell r="BL286">
            <v>0</v>
          </cell>
          <cell r="BM286">
            <v>279330</v>
          </cell>
          <cell r="BN286">
            <v>179.98067010309279</v>
          </cell>
          <cell r="BO286">
            <v>0</v>
          </cell>
          <cell r="BP286">
            <v>0</v>
          </cell>
          <cell r="BY286">
            <v>1855.73</v>
          </cell>
          <cell r="CF286">
            <v>259.8</v>
          </cell>
          <cell r="CG286">
            <v>727.32</v>
          </cell>
          <cell r="CJ286">
            <v>0</v>
          </cell>
          <cell r="CK286">
            <v>0</v>
          </cell>
          <cell r="CL286">
            <v>0</v>
          </cell>
          <cell r="CM286">
            <v>0</v>
          </cell>
          <cell r="CN286">
            <v>0</v>
          </cell>
          <cell r="CO286">
            <v>0</v>
          </cell>
          <cell r="CX286">
            <v>0</v>
          </cell>
          <cell r="CY286">
            <v>0</v>
          </cell>
          <cell r="DB286">
            <v>0</v>
          </cell>
          <cell r="DC286">
            <v>0</v>
          </cell>
          <cell r="DJ286" t="str">
            <v>НКРЕ</v>
          </cell>
          <cell r="DL286">
            <v>40526</v>
          </cell>
          <cell r="DM286">
            <v>1802</v>
          </cell>
          <cell r="DO286" t="str">
            <v>на теплову енергію (модульна котельня с. Нове)</v>
          </cell>
          <cell r="DT286">
            <v>402.23</v>
          </cell>
        </row>
        <row r="287">
          <cell r="W287">
            <v>692.62</v>
          </cell>
          <cell r="AF287">
            <v>40091</v>
          </cell>
          <cell r="AG287">
            <v>107</v>
          </cell>
          <cell r="AH287">
            <v>602.27950310559004</v>
          </cell>
          <cell r="AM287">
            <v>483</v>
          </cell>
          <cell r="AO287">
            <v>334535.46000000002</v>
          </cell>
          <cell r="AQ287">
            <v>290901</v>
          </cell>
          <cell r="AU287">
            <v>0</v>
          </cell>
          <cell r="AW287">
            <v>0</v>
          </cell>
          <cell r="AY287">
            <v>173072.3775</v>
          </cell>
          <cell r="AZ287">
            <v>358.32790372670809</v>
          </cell>
          <cell r="BA287">
            <v>0</v>
          </cell>
          <cell r="BB287">
            <v>0</v>
          </cell>
          <cell r="BC287">
            <v>0</v>
          </cell>
          <cell r="BD287">
            <v>0</v>
          </cell>
          <cell r="BG287">
            <v>0</v>
          </cell>
          <cell r="BH287">
            <v>0</v>
          </cell>
          <cell r="BI287">
            <v>6144</v>
          </cell>
          <cell r="BJ287">
            <v>12.720496894409937</v>
          </cell>
          <cell r="BK287">
            <v>0</v>
          </cell>
          <cell r="BL287">
            <v>0</v>
          </cell>
          <cell r="BM287">
            <v>86930</v>
          </cell>
          <cell r="BN287">
            <v>179.9792960662526</v>
          </cell>
          <cell r="BO287">
            <v>0</v>
          </cell>
          <cell r="BP287">
            <v>0</v>
          </cell>
          <cell r="BY287">
            <v>1855.73</v>
          </cell>
          <cell r="CF287">
            <v>80.790000000000006</v>
          </cell>
          <cell r="CG287">
            <v>2142.25</v>
          </cell>
          <cell r="CJ287">
            <v>0</v>
          </cell>
          <cell r="CK287">
            <v>0</v>
          </cell>
          <cell r="CL287">
            <v>0</v>
          </cell>
          <cell r="CM287">
            <v>0</v>
          </cell>
          <cell r="CN287">
            <v>0</v>
          </cell>
          <cell r="CO287">
            <v>0</v>
          </cell>
          <cell r="CX287">
            <v>0</v>
          </cell>
          <cell r="CY287">
            <v>0</v>
          </cell>
          <cell r="DB287">
            <v>0</v>
          </cell>
          <cell r="DC287">
            <v>0</v>
          </cell>
          <cell r="DJ287" t="str">
            <v>НКРКП</v>
          </cell>
          <cell r="DL287">
            <v>40816</v>
          </cell>
          <cell r="DM287">
            <v>129</v>
          </cell>
          <cell r="DO287" t="str">
            <v>на теплову енергію (модульна котельня с. Нова)</v>
          </cell>
          <cell r="DT287">
            <v>961.87</v>
          </cell>
        </row>
        <row r="288">
          <cell r="W288">
            <v>692.62</v>
          </cell>
          <cell r="AF288">
            <v>40091</v>
          </cell>
          <cell r="AG288">
            <v>107</v>
          </cell>
          <cell r="AH288">
            <v>602.28002763669861</v>
          </cell>
          <cell r="AM288">
            <v>32.999600000000001</v>
          </cell>
          <cell r="AO288">
            <v>22856.182951999999</v>
          </cell>
          <cell r="AQ288">
            <v>19875</v>
          </cell>
          <cell r="AU288">
            <v>0</v>
          </cell>
          <cell r="AW288">
            <v>0</v>
          </cell>
          <cell r="AY288">
            <v>11825.22</v>
          </cell>
          <cell r="AZ288">
            <v>358.34434356780082</v>
          </cell>
          <cell r="BA288">
            <v>0</v>
          </cell>
          <cell r="BB288">
            <v>0</v>
          </cell>
          <cell r="BC288">
            <v>0</v>
          </cell>
          <cell r="BD288">
            <v>0</v>
          </cell>
          <cell r="BG288">
            <v>0</v>
          </cell>
          <cell r="BH288">
            <v>0</v>
          </cell>
          <cell r="BI288">
            <v>420</v>
          </cell>
          <cell r="BJ288">
            <v>12.72742699911514</v>
          </cell>
          <cell r="BK288">
            <v>0</v>
          </cell>
          <cell r="BL288">
            <v>0</v>
          </cell>
          <cell r="BM288">
            <v>5939</v>
          </cell>
          <cell r="BN288">
            <v>179.97187844701148</v>
          </cell>
          <cell r="BO288">
            <v>0</v>
          </cell>
          <cell r="BP288">
            <v>0</v>
          </cell>
          <cell r="BY288">
            <v>1855.73</v>
          </cell>
          <cell r="CF288">
            <v>5.52</v>
          </cell>
          <cell r="CG288">
            <v>2142.25</v>
          </cell>
          <cell r="CJ288">
            <v>0</v>
          </cell>
          <cell r="CK288">
            <v>0</v>
          </cell>
          <cell r="CL288">
            <v>0</v>
          </cell>
          <cell r="CM288">
            <v>0</v>
          </cell>
          <cell r="CN288">
            <v>0</v>
          </cell>
          <cell r="CO288">
            <v>0</v>
          </cell>
          <cell r="CX288">
            <v>0</v>
          </cell>
          <cell r="CY288">
            <v>0</v>
          </cell>
          <cell r="DB288">
            <v>0</v>
          </cell>
          <cell r="DC288">
            <v>0</v>
          </cell>
          <cell r="DJ288" t="str">
            <v>НКРКП</v>
          </cell>
          <cell r="DL288">
            <v>40816</v>
          </cell>
          <cell r="DM288">
            <v>129</v>
          </cell>
          <cell r="DO288" t="str">
            <v>на теплову енергію (модульна котельня с. Нова)</v>
          </cell>
          <cell r="DT288">
            <v>961.87</v>
          </cell>
        </row>
        <row r="289">
          <cell r="W289">
            <v>443.86</v>
          </cell>
          <cell r="AF289">
            <v>40091</v>
          </cell>
          <cell r="AG289">
            <v>104</v>
          </cell>
          <cell r="AH289">
            <v>443.86209003870442</v>
          </cell>
          <cell r="AM289">
            <v>4909</v>
          </cell>
          <cell r="AO289">
            <v>2178908.7400000002</v>
          </cell>
          <cell r="AQ289">
            <v>2178919</v>
          </cell>
          <cell r="AU289">
            <v>0</v>
          </cell>
          <cell r="AW289">
            <v>0</v>
          </cell>
          <cell r="AY289">
            <v>575819.24400000006</v>
          </cell>
          <cell r="AZ289">
            <v>117.29868486453454</v>
          </cell>
          <cell r="BA289">
            <v>0</v>
          </cell>
          <cell r="BB289">
            <v>0</v>
          </cell>
          <cell r="BC289">
            <v>0</v>
          </cell>
          <cell r="BD289">
            <v>0</v>
          </cell>
          <cell r="BG289">
            <v>0</v>
          </cell>
          <cell r="BH289">
            <v>0</v>
          </cell>
          <cell r="BI289">
            <v>163519</v>
          </cell>
          <cell r="BJ289">
            <v>33.310042778569972</v>
          </cell>
          <cell r="BK289">
            <v>0</v>
          </cell>
          <cell r="BL289">
            <v>0</v>
          </cell>
          <cell r="BM289">
            <v>929615</v>
          </cell>
          <cell r="BN289">
            <v>189.36952536158077</v>
          </cell>
          <cell r="BO289">
            <v>0</v>
          </cell>
          <cell r="BP289">
            <v>0</v>
          </cell>
          <cell r="BY289">
            <v>1855.73</v>
          </cell>
          <cell r="CF289">
            <v>791.7</v>
          </cell>
          <cell r="CG289">
            <v>727.32</v>
          </cell>
          <cell r="CJ289">
            <v>0</v>
          </cell>
          <cell r="CK289">
            <v>0</v>
          </cell>
          <cell r="CL289">
            <v>0</v>
          </cell>
          <cell r="CM289">
            <v>0</v>
          </cell>
          <cell r="CN289">
            <v>0</v>
          </cell>
          <cell r="CO289">
            <v>0</v>
          </cell>
          <cell r="CX289">
            <v>0</v>
          </cell>
          <cell r="CY289">
            <v>0</v>
          </cell>
          <cell r="DB289">
            <v>0</v>
          </cell>
          <cell r="DC289">
            <v>0</v>
          </cell>
          <cell r="DJ289" t="str">
            <v>НКРЕ</v>
          </cell>
          <cell r="DL289">
            <v>40526</v>
          </cell>
          <cell r="DM289" t="str">
            <v>№1802</v>
          </cell>
          <cell r="DO289" t="str">
            <v>на теплову енергію від основної котельні</v>
          </cell>
          <cell r="DT289">
            <v>488.25</v>
          </cell>
        </row>
        <row r="290">
          <cell r="W290">
            <v>772.86</v>
          </cell>
          <cell r="AF290">
            <v>40091</v>
          </cell>
          <cell r="AG290">
            <v>105</v>
          </cell>
          <cell r="AH290">
            <v>672.05120852109792</v>
          </cell>
          <cell r="AM290">
            <v>2441</v>
          </cell>
          <cell r="AO290">
            <v>1886551.26</v>
          </cell>
          <cell r="AQ290">
            <v>1640477</v>
          </cell>
          <cell r="AU290">
            <v>0</v>
          </cell>
          <cell r="AW290">
            <v>0</v>
          </cell>
          <cell r="AY290">
            <v>843317</v>
          </cell>
          <cell r="AZ290">
            <v>345.48013109381401</v>
          </cell>
          <cell r="BA290">
            <v>0</v>
          </cell>
          <cell r="BB290">
            <v>0</v>
          </cell>
          <cell r="BC290">
            <v>0</v>
          </cell>
          <cell r="BD290">
            <v>0</v>
          </cell>
          <cell r="BG290">
            <v>0</v>
          </cell>
          <cell r="BH290">
            <v>0</v>
          </cell>
          <cell r="BI290">
            <v>81310</v>
          </cell>
          <cell r="BJ290">
            <v>33.310118803768944</v>
          </cell>
          <cell r="BK290">
            <v>0</v>
          </cell>
          <cell r="BL290">
            <v>0</v>
          </cell>
          <cell r="BM290">
            <v>462251</v>
          </cell>
          <cell r="BN290">
            <v>189.36952068824252</v>
          </cell>
          <cell r="BO290">
            <v>0</v>
          </cell>
          <cell r="BP290">
            <v>0</v>
          </cell>
          <cell r="BY290">
            <v>1855.73</v>
          </cell>
          <cell r="CF290">
            <v>393.65947018321856</v>
          </cell>
          <cell r="CG290">
            <v>2142.25</v>
          </cell>
          <cell r="CJ290">
            <v>0</v>
          </cell>
          <cell r="CK290">
            <v>0</v>
          </cell>
          <cell r="CL290">
            <v>0</v>
          </cell>
          <cell r="CM290">
            <v>0</v>
          </cell>
          <cell r="CN290">
            <v>0</v>
          </cell>
          <cell r="CO290">
            <v>0</v>
          </cell>
          <cell r="CX290">
            <v>0</v>
          </cell>
          <cell r="CY290">
            <v>0</v>
          </cell>
          <cell r="DB290">
            <v>0</v>
          </cell>
          <cell r="DC290">
            <v>0</v>
          </cell>
          <cell r="DJ290" t="str">
            <v>НКРКП</v>
          </cell>
          <cell r="DL290">
            <v>40816</v>
          </cell>
          <cell r="DM290">
            <v>129</v>
          </cell>
          <cell r="DO290" t="str">
            <v>на теплову енергію (основна котельня с. Нова)</v>
          </cell>
          <cell r="DT290">
            <v>999.9</v>
          </cell>
        </row>
        <row r="291">
          <cell r="W291">
            <v>772.86</v>
          </cell>
          <cell r="AF291">
            <v>40091</v>
          </cell>
          <cell r="AG291">
            <v>105</v>
          </cell>
          <cell r="AH291">
            <v>672.05000180901277</v>
          </cell>
          <cell r="AM291">
            <v>72.000595000000004</v>
          </cell>
          <cell r="AO291">
            <v>55646.379851700003</v>
          </cell>
          <cell r="AQ291">
            <v>48388</v>
          </cell>
          <cell r="AU291">
            <v>0</v>
          </cell>
          <cell r="AW291">
            <v>0</v>
          </cell>
          <cell r="AY291">
            <v>24875</v>
          </cell>
          <cell r="AZ291">
            <v>345.48325607586992</v>
          </cell>
          <cell r="BA291">
            <v>0</v>
          </cell>
          <cell r="BB291">
            <v>0</v>
          </cell>
          <cell r="BC291">
            <v>0</v>
          </cell>
          <cell r="BD291">
            <v>0</v>
          </cell>
          <cell r="BG291">
            <v>0</v>
          </cell>
          <cell r="BH291">
            <v>0</v>
          </cell>
          <cell r="BI291">
            <v>2398</v>
          </cell>
          <cell r="BJ291">
            <v>33.305280324419542</v>
          </cell>
          <cell r="BK291">
            <v>0</v>
          </cell>
          <cell r="BL291">
            <v>0</v>
          </cell>
          <cell r="BM291">
            <v>13635</v>
          </cell>
          <cell r="BN291">
            <v>189.37343503897432</v>
          </cell>
          <cell r="BO291">
            <v>0</v>
          </cell>
          <cell r="BP291">
            <v>0</v>
          </cell>
          <cell r="BY291">
            <v>1855.73</v>
          </cell>
          <cell r="CF291">
            <v>11.611623293266426</v>
          </cell>
          <cell r="CG291">
            <v>2142.25</v>
          </cell>
          <cell r="CJ291">
            <v>0</v>
          </cell>
          <cell r="CK291">
            <v>0</v>
          </cell>
          <cell r="CL291">
            <v>0</v>
          </cell>
          <cell r="CM291">
            <v>0</v>
          </cell>
          <cell r="CN291">
            <v>0</v>
          </cell>
          <cell r="CO291">
            <v>0</v>
          </cell>
          <cell r="CX291">
            <v>0</v>
          </cell>
          <cell r="CY291">
            <v>0</v>
          </cell>
          <cell r="DB291">
            <v>0</v>
          </cell>
          <cell r="DC291">
            <v>0</v>
          </cell>
          <cell r="DJ291" t="str">
            <v>НКРКП</v>
          </cell>
          <cell r="DL291">
            <v>40816</v>
          </cell>
          <cell r="DM291">
            <v>129</v>
          </cell>
          <cell r="DO291" t="str">
            <v>на теплову енергію (основна котельня с. Нова)</v>
          </cell>
          <cell r="DT291">
            <v>999.9</v>
          </cell>
        </row>
        <row r="292">
          <cell r="W292">
            <v>183.27</v>
          </cell>
          <cell r="AF292">
            <v>39699</v>
          </cell>
          <cell r="AG292">
            <v>118</v>
          </cell>
          <cell r="AH292">
            <v>203.91325668495776</v>
          </cell>
          <cell r="AM292">
            <v>114810</v>
          </cell>
          <cell r="AO292">
            <v>21041228.700000003</v>
          </cell>
          <cell r="AQ292">
            <v>23411281</v>
          </cell>
          <cell r="AU292">
            <v>18234923.699999999</v>
          </cell>
          <cell r="AW292">
            <v>0</v>
          </cell>
          <cell r="AY292">
            <v>0</v>
          </cell>
          <cell r="AZ292">
            <v>0</v>
          </cell>
          <cell r="BA292">
            <v>0</v>
          </cell>
          <cell r="BB292">
            <v>0</v>
          </cell>
          <cell r="BC292">
            <v>0</v>
          </cell>
          <cell r="BD292">
            <v>0</v>
          </cell>
          <cell r="BG292">
            <v>0</v>
          </cell>
          <cell r="BH292">
            <v>0</v>
          </cell>
          <cell r="BI292">
            <v>0</v>
          </cell>
          <cell r="BJ292">
            <v>0</v>
          </cell>
          <cell r="BK292">
            <v>0</v>
          </cell>
          <cell r="BL292">
            <v>0</v>
          </cell>
          <cell r="BM292">
            <v>3611189</v>
          </cell>
          <cell r="BN292">
            <v>31.453610312690532</v>
          </cell>
          <cell r="BO292">
            <v>0</v>
          </cell>
          <cell r="BP292">
            <v>0</v>
          </cell>
          <cell r="BY292">
            <v>1819</v>
          </cell>
          <cell r="CF292">
            <v>0</v>
          </cell>
          <cell r="CG292">
            <v>0</v>
          </cell>
          <cell r="CJ292">
            <v>131965</v>
          </cell>
          <cell r="CK292">
            <v>138.18</v>
          </cell>
          <cell r="CL292">
            <v>216.99</v>
          </cell>
          <cell r="CM292">
            <v>0</v>
          </cell>
          <cell r="CN292">
            <v>0</v>
          </cell>
          <cell r="CO292">
            <v>0</v>
          </cell>
          <cell r="CX292">
            <v>0</v>
          </cell>
          <cell r="CY292">
            <v>0</v>
          </cell>
          <cell r="DB292">
            <v>0</v>
          </cell>
          <cell r="DC292">
            <v>0</v>
          </cell>
          <cell r="DJ292" t="str">
            <v>НКРЕ</v>
          </cell>
          <cell r="DL292">
            <v>40526</v>
          </cell>
          <cell r="DM292">
            <v>1802</v>
          </cell>
          <cell r="DO292" t="str">
            <v>на теплову енергію (Кіровоградська ТЕЦ)</v>
          </cell>
          <cell r="DT292">
            <v>229.09</v>
          </cell>
        </row>
        <row r="293">
          <cell r="W293">
            <v>407.62</v>
          </cell>
          <cell r="AF293">
            <v>39699</v>
          </cell>
          <cell r="AG293">
            <v>118</v>
          </cell>
          <cell r="AH293">
            <v>412.88431396939916</v>
          </cell>
          <cell r="AM293">
            <v>64312</v>
          </cell>
          <cell r="AO293">
            <v>26214857.440000001</v>
          </cell>
          <cell r="AQ293">
            <v>26553416</v>
          </cell>
          <cell r="AU293">
            <v>23654182.383700002</v>
          </cell>
          <cell r="AW293">
            <v>0</v>
          </cell>
          <cell r="AY293">
            <v>0</v>
          </cell>
          <cell r="AZ293">
            <v>0</v>
          </cell>
          <cell r="BA293">
            <v>0</v>
          </cell>
          <cell r="BB293">
            <v>0</v>
          </cell>
          <cell r="BC293">
            <v>0</v>
          </cell>
          <cell r="BD293">
            <v>0</v>
          </cell>
          <cell r="BG293">
            <v>0</v>
          </cell>
          <cell r="BH293">
            <v>0</v>
          </cell>
          <cell r="BI293">
            <v>0</v>
          </cell>
          <cell r="BJ293">
            <v>0</v>
          </cell>
          <cell r="BK293">
            <v>0</v>
          </cell>
          <cell r="BL293">
            <v>0</v>
          </cell>
          <cell r="BM293">
            <v>2022844</v>
          </cell>
          <cell r="BN293">
            <v>31.453601194178379</v>
          </cell>
          <cell r="BO293">
            <v>0</v>
          </cell>
          <cell r="BP293">
            <v>0</v>
          </cell>
          <cell r="BY293">
            <v>1819</v>
          </cell>
          <cell r="CF293">
            <v>0</v>
          </cell>
          <cell r="CG293">
            <v>0</v>
          </cell>
          <cell r="CJ293">
            <v>73921.63</v>
          </cell>
          <cell r="CK293">
            <v>319.99</v>
          </cell>
          <cell r="CL293">
            <v>626.66999999999996</v>
          </cell>
          <cell r="CM293">
            <v>0</v>
          </cell>
          <cell r="CN293">
            <v>0</v>
          </cell>
          <cell r="CO293">
            <v>0</v>
          </cell>
          <cell r="CX293">
            <v>0</v>
          </cell>
          <cell r="CY293">
            <v>0</v>
          </cell>
          <cell r="DB293">
            <v>0</v>
          </cell>
          <cell r="DC293">
            <v>0</v>
          </cell>
          <cell r="DJ293" t="str">
            <v>НКРКП</v>
          </cell>
          <cell r="DL293">
            <v>40816</v>
          </cell>
          <cell r="DM293">
            <v>129</v>
          </cell>
          <cell r="DO293" t="str">
            <v>на теплову енергію (Кіровоградська ТЕЦ)</v>
          </cell>
          <cell r="DT293">
            <v>649.34</v>
          </cell>
        </row>
        <row r="294">
          <cell r="W294">
            <v>531.67999999999995</v>
          </cell>
          <cell r="AF294">
            <v>39699</v>
          </cell>
          <cell r="AG294">
            <v>118</v>
          </cell>
          <cell r="AH294">
            <v>412.88965052698313</v>
          </cell>
          <cell r="AM294">
            <v>25238</v>
          </cell>
          <cell r="AO294">
            <v>13418539.839999998</v>
          </cell>
          <cell r="AQ294">
            <v>10420509</v>
          </cell>
          <cell r="AU294">
            <v>9282625.1089000013</v>
          </cell>
          <cell r="AW294">
            <v>0</v>
          </cell>
          <cell r="AY294">
            <v>0</v>
          </cell>
          <cell r="AZ294">
            <v>0</v>
          </cell>
          <cell r="BA294">
            <v>0</v>
          </cell>
          <cell r="BB294">
            <v>0</v>
          </cell>
          <cell r="BC294">
            <v>0</v>
          </cell>
          <cell r="BD294">
            <v>0</v>
          </cell>
          <cell r="BG294">
            <v>0</v>
          </cell>
          <cell r="BH294">
            <v>0</v>
          </cell>
          <cell r="BI294">
            <v>0</v>
          </cell>
          <cell r="BJ294">
            <v>0</v>
          </cell>
          <cell r="BK294">
            <v>0</v>
          </cell>
          <cell r="BL294">
            <v>0</v>
          </cell>
          <cell r="BM294">
            <v>793826</v>
          </cell>
          <cell r="BN294">
            <v>31.453601711704572</v>
          </cell>
          <cell r="BO294">
            <v>0</v>
          </cell>
          <cell r="BP294">
            <v>0</v>
          </cell>
          <cell r="BY294">
            <v>1819</v>
          </cell>
          <cell r="CF294">
            <v>0</v>
          </cell>
          <cell r="CG294">
            <v>0</v>
          </cell>
          <cell r="CJ294">
            <v>29009.11</v>
          </cell>
          <cell r="CK294">
            <v>319.99</v>
          </cell>
          <cell r="CL294">
            <v>626.66999999999996</v>
          </cell>
          <cell r="CM294">
            <v>0</v>
          </cell>
          <cell r="CN294">
            <v>0</v>
          </cell>
          <cell r="CO294">
            <v>0</v>
          </cell>
          <cell r="CX294">
            <v>0</v>
          </cell>
          <cell r="CY294">
            <v>0</v>
          </cell>
          <cell r="DB294">
            <v>0</v>
          </cell>
          <cell r="DC294">
            <v>0</v>
          </cell>
          <cell r="DJ294" t="str">
            <v>НКРКП</v>
          </cell>
          <cell r="DL294">
            <v>40816</v>
          </cell>
          <cell r="DM294">
            <v>129</v>
          </cell>
          <cell r="DO294" t="str">
            <v>на теплову енергію (Кіровоградська ТЕЦ)</v>
          </cell>
          <cell r="DT294">
            <v>791.88</v>
          </cell>
        </row>
        <row r="295">
          <cell r="W295">
            <v>763.72</v>
          </cell>
          <cell r="AF295">
            <v>40161</v>
          </cell>
          <cell r="AG295">
            <v>1391</v>
          </cell>
          <cell r="AH295">
            <v>665.3700023497513</v>
          </cell>
          <cell r="AM295">
            <v>1230.30043</v>
          </cell>
          <cell r="AO295">
            <v>939605.04439960001</v>
          </cell>
          <cell r="AQ295">
            <v>818605</v>
          </cell>
          <cell r="AU295">
            <v>0</v>
          </cell>
          <cell r="AW295">
            <v>0</v>
          </cell>
          <cell r="AY295">
            <v>415360.19799999997</v>
          </cell>
          <cell r="AZ295">
            <v>337.60875626126534</v>
          </cell>
          <cell r="BA295">
            <v>0</v>
          </cell>
          <cell r="BB295">
            <v>0</v>
          </cell>
          <cell r="BC295">
            <v>0</v>
          </cell>
          <cell r="BD295">
            <v>0</v>
          </cell>
          <cell r="BG295">
            <v>0</v>
          </cell>
          <cell r="BH295">
            <v>0</v>
          </cell>
          <cell r="BI295">
            <v>75700</v>
          </cell>
          <cell r="BJ295">
            <v>61.529686696118603</v>
          </cell>
          <cell r="BK295">
            <v>0</v>
          </cell>
          <cell r="BL295">
            <v>0</v>
          </cell>
          <cell r="BM295">
            <v>239200</v>
          </cell>
          <cell r="BN295">
            <v>194.42405624453858</v>
          </cell>
          <cell r="BO295">
            <v>0</v>
          </cell>
          <cell r="BP295">
            <v>0</v>
          </cell>
          <cell r="BY295">
            <v>1855.73</v>
          </cell>
          <cell r="CF295">
            <v>190.3</v>
          </cell>
          <cell r="CG295">
            <v>2182.66</v>
          </cell>
          <cell r="CJ295">
            <v>0</v>
          </cell>
          <cell r="CK295">
            <v>0</v>
          </cell>
          <cell r="CL295">
            <v>0</v>
          </cell>
          <cell r="CM295">
            <v>0</v>
          </cell>
          <cell r="CN295">
            <v>0</v>
          </cell>
          <cell r="CO295">
            <v>0</v>
          </cell>
          <cell r="CX295">
            <v>0</v>
          </cell>
          <cell r="CY295">
            <v>0</v>
          </cell>
          <cell r="DB295">
            <v>0</v>
          </cell>
          <cell r="DC295">
            <v>0</v>
          </cell>
          <cell r="DJ295" t="str">
            <v>НКРКП</v>
          </cell>
          <cell r="DL295">
            <v>40816</v>
          </cell>
          <cell r="DM295">
            <v>129</v>
          </cell>
          <cell r="DO295" t="str">
            <v>на теплову енергію (Центральна міська лікарня)</v>
          </cell>
          <cell r="DT295">
            <v>999.9</v>
          </cell>
        </row>
        <row r="296">
          <cell r="W296">
            <v>303.91000000000003</v>
          </cell>
          <cell r="AF296">
            <v>40161</v>
          </cell>
          <cell r="AG296">
            <v>1391</v>
          </cell>
          <cell r="AH296">
            <v>303.90952380952382</v>
          </cell>
          <cell r="AM296">
            <v>630</v>
          </cell>
          <cell r="AO296">
            <v>191463.30000000002</v>
          </cell>
          <cell r="AQ296">
            <v>191463</v>
          </cell>
          <cell r="AU296">
            <v>0</v>
          </cell>
          <cell r="AW296">
            <v>0</v>
          </cell>
          <cell r="AY296">
            <v>67495.296000000002</v>
          </cell>
          <cell r="AZ296">
            <v>107.13539047619048</v>
          </cell>
          <cell r="BA296">
            <v>0</v>
          </cell>
          <cell r="BB296">
            <v>0</v>
          </cell>
          <cell r="BC296">
            <v>0</v>
          </cell>
          <cell r="BD296">
            <v>0</v>
          </cell>
          <cell r="BG296">
            <v>0</v>
          </cell>
          <cell r="BH296">
            <v>0</v>
          </cell>
          <cell r="BI296">
            <v>12008</v>
          </cell>
          <cell r="BJ296">
            <v>19.06031746031746</v>
          </cell>
          <cell r="BK296">
            <v>0</v>
          </cell>
          <cell r="BL296">
            <v>0</v>
          </cell>
          <cell r="BM296">
            <v>85269</v>
          </cell>
          <cell r="BN296">
            <v>135.34761904761905</v>
          </cell>
          <cell r="BO296">
            <v>0</v>
          </cell>
          <cell r="BP296">
            <v>0</v>
          </cell>
          <cell r="BY296">
            <v>1855.73</v>
          </cell>
          <cell r="CF296">
            <v>92.8</v>
          </cell>
          <cell r="CG296">
            <v>727.32</v>
          </cell>
          <cell r="CJ296">
            <v>0</v>
          </cell>
          <cell r="CK296">
            <v>0</v>
          </cell>
          <cell r="CL296">
            <v>0</v>
          </cell>
          <cell r="CM296">
            <v>0</v>
          </cell>
          <cell r="CN296">
            <v>0</v>
          </cell>
          <cell r="CO296">
            <v>0</v>
          </cell>
          <cell r="CX296">
            <v>0</v>
          </cell>
          <cell r="CY296">
            <v>0</v>
          </cell>
          <cell r="DB296">
            <v>0</v>
          </cell>
          <cell r="DC296">
            <v>0</v>
          </cell>
          <cell r="DJ296" t="str">
            <v>НКРЕ</v>
          </cell>
          <cell r="DL296">
            <v>40526</v>
          </cell>
          <cell r="DM296">
            <v>1802</v>
          </cell>
          <cell r="DO296" t="str">
            <v>на теплову енергію (Лікарня швидкої медичної допомоги)</v>
          </cell>
          <cell r="DT296">
            <v>334.3</v>
          </cell>
        </row>
        <row r="297">
          <cell r="W297">
            <v>590.78</v>
          </cell>
          <cell r="AF297">
            <v>40161</v>
          </cell>
          <cell r="AG297">
            <v>1391</v>
          </cell>
          <cell r="AH297">
            <v>514.08711839166051</v>
          </cell>
          <cell r="AM297">
            <v>2686</v>
          </cell>
          <cell r="AO297">
            <v>1586835.0799999998</v>
          </cell>
          <cell r="AQ297">
            <v>1380838</v>
          </cell>
          <cell r="AU297">
            <v>0</v>
          </cell>
          <cell r="AW297">
            <v>0</v>
          </cell>
          <cell r="AY297">
            <v>861692.34140000003</v>
          </cell>
          <cell r="AZ297">
            <v>320.80876448250189</v>
          </cell>
          <cell r="BA297">
            <v>0</v>
          </cell>
          <cell r="BB297">
            <v>0</v>
          </cell>
          <cell r="BC297">
            <v>0</v>
          </cell>
          <cell r="BD297">
            <v>0</v>
          </cell>
          <cell r="BG297">
            <v>0</v>
          </cell>
          <cell r="BH297">
            <v>0</v>
          </cell>
          <cell r="BI297">
            <v>51195</v>
          </cell>
          <cell r="BJ297">
            <v>19.059940431868949</v>
          </cell>
          <cell r="BK297">
            <v>0</v>
          </cell>
          <cell r="BL297">
            <v>0</v>
          </cell>
          <cell r="BM297">
            <v>363550</v>
          </cell>
          <cell r="BN297">
            <v>135.34996276991811</v>
          </cell>
          <cell r="BO297">
            <v>0</v>
          </cell>
          <cell r="BP297">
            <v>0</v>
          </cell>
          <cell r="BY297">
            <v>1855.73</v>
          </cell>
          <cell r="CF297">
            <v>394.79</v>
          </cell>
          <cell r="CG297">
            <v>2182.66</v>
          </cell>
          <cell r="CJ297">
            <v>0</v>
          </cell>
          <cell r="CK297">
            <v>0</v>
          </cell>
          <cell r="CL297">
            <v>0</v>
          </cell>
          <cell r="CM297">
            <v>0</v>
          </cell>
          <cell r="CN297">
            <v>0</v>
          </cell>
          <cell r="CO297">
            <v>0</v>
          </cell>
          <cell r="CX297">
            <v>0</v>
          </cell>
          <cell r="CY297">
            <v>0</v>
          </cell>
          <cell r="DB297">
            <v>0</v>
          </cell>
          <cell r="DC297">
            <v>0</v>
          </cell>
          <cell r="DJ297" t="str">
            <v>НКРКП</v>
          </cell>
          <cell r="DL297">
            <v>40816</v>
          </cell>
          <cell r="DM297">
            <v>129</v>
          </cell>
          <cell r="DO297" t="str">
            <v>на теплову енергію (Лікарня швидкої медичної допомоги)</v>
          </cell>
          <cell r="DT297">
            <v>821.43</v>
          </cell>
        </row>
        <row r="298">
          <cell r="W298">
            <v>236.79</v>
          </cell>
          <cell r="AF298">
            <v>39645</v>
          </cell>
          <cell r="AG298">
            <v>724</v>
          </cell>
          <cell r="AH298">
            <v>227.68278890293394</v>
          </cell>
          <cell r="AM298">
            <v>45093</v>
          </cell>
          <cell r="AO298">
            <v>10677571.469999999</v>
          </cell>
          <cell r="AQ298">
            <v>10266900</v>
          </cell>
          <cell r="AU298">
            <v>0</v>
          </cell>
          <cell r="AW298">
            <v>0</v>
          </cell>
          <cell r="AY298">
            <v>5105786.4000000004</v>
          </cell>
          <cell r="AZ298">
            <v>113.22791564100859</v>
          </cell>
          <cell r="BA298">
            <v>0</v>
          </cell>
          <cell r="BB298">
            <v>0</v>
          </cell>
          <cell r="BC298">
            <v>0</v>
          </cell>
          <cell r="BD298">
            <v>0</v>
          </cell>
          <cell r="BG298">
            <v>0</v>
          </cell>
          <cell r="BH298">
            <v>0</v>
          </cell>
          <cell r="BI298">
            <v>752573</v>
          </cell>
          <cell r="BJ298">
            <v>16.68935311467412</v>
          </cell>
          <cell r="BK298">
            <v>0</v>
          </cell>
          <cell r="BL298">
            <v>0</v>
          </cell>
          <cell r="BM298">
            <v>2206000</v>
          </cell>
          <cell r="BN298">
            <v>48.921118577162751</v>
          </cell>
          <cell r="BO298">
            <v>0</v>
          </cell>
          <cell r="BP298">
            <v>0</v>
          </cell>
          <cell r="BY298">
            <v>0</v>
          </cell>
          <cell r="CF298">
            <v>7020</v>
          </cell>
          <cell r="CG298">
            <v>727.32</v>
          </cell>
          <cell r="CJ298">
            <v>0</v>
          </cell>
          <cell r="CK298">
            <v>0</v>
          </cell>
          <cell r="CL298">
            <v>0</v>
          </cell>
          <cell r="CM298">
            <v>0</v>
          </cell>
          <cell r="CN298">
            <v>0</v>
          </cell>
          <cell r="CO298">
            <v>0</v>
          </cell>
          <cell r="CX298">
            <v>0</v>
          </cell>
          <cell r="CY298">
            <v>0</v>
          </cell>
          <cell r="DB298">
            <v>0</v>
          </cell>
          <cell r="DC298">
            <v>0</v>
          </cell>
          <cell r="DJ298" t="str">
            <v>НКРЕ</v>
          </cell>
          <cell r="DL298">
            <v>40526</v>
          </cell>
          <cell r="DM298">
            <v>1756</v>
          </cell>
          <cell r="DO298" t="str">
            <v>тарифи на теплову енергію</v>
          </cell>
          <cell r="DT298">
            <v>260.47000000000003</v>
          </cell>
        </row>
        <row r="299">
          <cell r="W299">
            <v>552.91999999999996</v>
          </cell>
          <cell r="AF299">
            <v>39863</v>
          </cell>
          <cell r="AG299">
            <v>1373</v>
          </cell>
          <cell r="AH299">
            <v>453.21310813538793</v>
          </cell>
          <cell r="AM299">
            <v>14861</v>
          </cell>
          <cell r="AO299">
            <v>8216944.1199999992</v>
          </cell>
          <cell r="AQ299">
            <v>6735200</v>
          </cell>
          <cell r="AU299">
            <v>0</v>
          </cell>
          <cell r="AW299">
            <v>0</v>
          </cell>
          <cell r="AY299">
            <v>4972804.9250000007</v>
          </cell>
          <cell r="AZ299">
            <v>334.62115099925984</v>
          </cell>
          <cell r="BA299">
            <v>0</v>
          </cell>
          <cell r="BB299">
            <v>0</v>
          </cell>
          <cell r="BC299">
            <v>0</v>
          </cell>
          <cell r="BD299">
            <v>0</v>
          </cell>
          <cell r="BG299">
            <v>0</v>
          </cell>
          <cell r="BH299">
            <v>0</v>
          </cell>
          <cell r="BI299">
            <v>309193</v>
          </cell>
          <cell r="BJ299">
            <v>20.805665836753921</v>
          </cell>
          <cell r="BK299">
            <v>0</v>
          </cell>
          <cell r="BL299">
            <v>0</v>
          </cell>
          <cell r="BM299">
            <v>727100</v>
          </cell>
          <cell r="BN299">
            <v>48.926720947446334</v>
          </cell>
          <cell r="BO299">
            <v>0</v>
          </cell>
          <cell r="BP299">
            <v>0</v>
          </cell>
          <cell r="BY299">
            <v>0</v>
          </cell>
          <cell r="CF299">
            <v>2321.3000000000002</v>
          </cell>
          <cell r="CG299">
            <v>2142.25</v>
          </cell>
          <cell r="CJ299">
            <v>0</v>
          </cell>
          <cell r="CK299">
            <v>0</v>
          </cell>
          <cell r="CL299">
            <v>0</v>
          </cell>
          <cell r="CM299">
            <v>0</v>
          </cell>
          <cell r="CN299">
            <v>0</v>
          </cell>
          <cell r="CO299">
            <v>0</v>
          </cell>
          <cell r="CX299">
            <v>0</v>
          </cell>
          <cell r="CY299">
            <v>0</v>
          </cell>
          <cell r="DB299">
            <v>0</v>
          </cell>
          <cell r="DC299">
            <v>0</v>
          </cell>
          <cell r="DJ299" t="str">
            <v>НКРКП</v>
          </cell>
          <cell r="DL299">
            <v>40816</v>
          </cell>
          <cell r="DM299">
            <v>93</v>
          </cell>
          <cell r="DT299">
            <v>804.36</v>
          </cell>
        </row>
        <row r="300">
          <cell r="W300">
            <v>558.75</v>
          </cell>
          <cell r="AF300">
            <v>39863</v>
          </cell>
          <cell r="AG300">
            <v>1374</v>
          </cell>
          <cell r="AH300">
            <v>454.2680947744239</v>
          </cell>
          <cell r="AM300">
            <v>3081</v>
          </cell>
          <cell r="AO300">
            <v>1721508.75</v>
          </cell>
          <cell r="AQ300">
            <v>1399600</v>
          </cell>
          <cell r="AU300">
            <v>0</v>
          </cell>
          <cell r="AW300">
            <v>0</v>
          </cell>
          <cell r="AY300">
            <v>1034920.9750000001</v>
          </cell>
          <cell r="AZ300">
            <v>335.90424375202861</v>
          </cell>
          <cell r="BA300">
            <v>0</v>
          </cell>
          <cell r="BB300">
            <v>0</v>
          </cell>
          <cell r="BC300">
            <v>0</v>
          </cell>
          <cell r="BD300">
            <v>0</v>
          </cell>
          <cell r="BG300">
            <v>0</v>
          </cell>
          <cell r="BH300">
            <v>0</v>
          </cell>
          <cell r="BI300">
            <v>63989</v>
          </cell>
          <cell r="BJ300">
            <v>20.768906199285947</v>
          </cell>
          <cell r="BK300">
            <v>0</v>
          </cell>
          <cell r="BL300">
            <v>0</v>
          </cell>
          <cell r="BM300">
            <v>150500</v>
          </cell>
          <cell r="BN300">
            <v>48.847776695877961</v>
          </cell>
          <cell r="BO300">
            <v>0</v>
          </cell>
          <cell r="BP300">
            <v>0</v>
          </cell>
          <cell r="BY300">
            <v>0</v>
          </cell>
          <cell r="CF300">
            <v>483.1</v>
          </cell>
          <cell r="CG300">
            <v>2142.25</v>
          </cell>
          <cell r="CJ300">
            <v>0</v>
          </cell>
          <cell r="CK300">
            <v>0</v>
          </cell>
          <cell r="CL300">
            <v>0</v>
          </cell>
          <cell r="CM300">
            <v>0</v>
          </cell>
          <cell r="CN300">
            <v>0</v>
          </cell>
          <cell r="CO300">
            <v>0</v>
          </cell>
          <cell r="CX300">
            <v>0</v>
          </cell>
          <cell r="CY300">
            <v>0</v>
          </cell>
          <cell r="DB300">
            <v>0</v>
          </cell>
          <cell r="DC300">
            <v>0</v>
          </cell>
          <cell r="DJ300" t="str">
            <v>НКРКП</v>
          </cell>
          <cell r="DL300">
            <v>40816</v>
          </cell>
          <cell r="DM300">
            <v>93</v>
          </cell>
          <cell r="DT300">
            <v>811.15</v>
          </cell>
        </row>
        <row r="301">
          <cell r="W301">
            <v>599.28</v>
          </cell>
          <cell r="AF301">
            <v>39863</v>
          </cell>
          <cell r="AG301">
            <v>1381</v>
          </cell>
          <cell r="AH301">
            <v>535.07340946166391</v>
          </cell>
          <cell r="AM301">
            <v>613</v>
          </cell>
          <cell r="AO301">
            <v>367358.63999999996</v>
          </cell>
          <cell r="AQ301">
            <v>328000</v>
          </cell>
          <cell r="AU301">
            <v>0</v>
          </cell>
          <cell r="AW301">
            <v>0</v>
          </cell>
          <cell r="AY301">
            <v>201889.92450000002</v>
          </cell>
          <cell r="AZ301">
            <v>329.3473482871126</v>
          </cell>
          <cell r="BA301">
            <v>0</v>
          </cell>
          <cell r="BB301">
            <v>0</v>
          </cell>
          <cell r="BC301">
            <v>0</v>
          </cell>
          <cell r="BD301">
            <v>0</v>
          </cell>
          <cell r="BG301">
            <v>0</v>
          </cell>
          <cell r="BH301">
            <v>0</v>
          </cell>
          <cell r="BI301">
            <v>13601</v>
          </cell>
          <cell r="BJ301">
            <v>22.187601957585645</v>
          </cell>
          <cell r="BK301">
            <v>0</v>
          </cell>
          <cell r="BL301">
            <v>0</v>
          </cell>
          <cell r="BM301">
            <v>57100</v>
          </cell>
          <cell r="BN301">
            <v>93.148450244698211</v>
          </cell>
          <cell r="BO301">
            <v>0</v>
          </cell>
          <cell r="BP301">
            <v>0</v>
          </cell>
          <cell r="BY301">
            <v>783</v>
          </cell>
          <cell r="CF301">
            <v>94.242000000000004</v>
          </cell>
          <cell r="CG301">
            <v>2142.25</v>
          </cell>
          <cell r="CJ301">
            <v>0</v>
          </cell>
          <cell r="CK301">
            <v>0</v>
          </cell>
          <cell r="CL301">
            <v>0</v>
          </cell>
          <cell r="CM301">
            <v>0</v>
          </cell>
          <cell r="CN301">
            <v>0</v>
          </cell>
          <cell r="CO301">
            <v>0</v>
          </cell>
          <cell r="CX301">
            <v>0</v>
          </cell>
          <cell r="CY301">
            <v>0</v>
          </cell>
          <cell r="DB301">
            <v>0</v>
          </cell>
          <cell r="DC301">
            <v>0</v>
          </cell>
          <cell r="DJ301" t="str">
            <v>НКРКП</v>
          </cell>
          <cell r="DL301">
            <v>40816</v>
          </cell>
          <cell r="DM301">
            <v>93</v>
          </cell>
          <cell r="DT301">
            <v>846.78</v>
          </cell>
        </row>
        <row r="302">
          <cell r="W302">
            <v>725.9</v>
          </cell>
          <cell r="AF302">
            <v>39863</v>
          </cell>
          <cell r="AG302">
            <v>1377</v>
          </cell>
          <cell r="AH302">
            <v>648.12206572769958</v>
          </cell>
          <cell r="AM302">
            <v>426</v>
          </cell>
          <cell r="AO302">
            <v>309233.39999999997</v>
          </cell>
          <cell r="AQ302">
            <v>276100</v>
          </cell>
          <cell r="AU302">
            <v>0</v>
          </cell>
          <cell r="AW302">
            <v>0</v>
          </cell>
          <cell r="AY302">
            <v>137849.503</v>
          </cell>
          <cell r="AZ302">
            <v>323.59038262910798</v>
          </cell>
          <cell r="BA302">
            <v>0</v>
          </cell>
          <cell r="BB302">
            <v>0</v>
          </cell>
          <cell r="BC302">
            <v>0</v>
          </cell>
          <cell r="BD302">
            <v>0</v>
          </cell>
          <cell r="BG302">
            <v>0</v>
          </cell>
          <cell r="BH302">
            <v>0</v>
          </cell>
          <cell r="BI302">
            <v>11713</v>
          </cell>
          <cell r="BJ302">
            <v>27.495305164319248</v>
          </cell>
          <cell r="BK302">
            <v>0</v>
          </cell>
          <cell r="BL302">
            <v>0</v>
          </cell>
          <cell r="BM302">
            <v>55600</v>
          </cell>
          <cell r="BN302">
            <v>130.51643192488262</v>
          </cell>
          <cell r="BO302">
            <v>0</v>
          </cell>
          <cell r="BP302">
            <v>0</v>
          </cell>
          <cell r="BY302">
            <v>846</v>
          </cell>
          <cell r="CF302">
            <v>64.347999999999999</v>
          </cell>
          <cell r="CG302">
            <v>2142.25</v>
          </cell>
          <cell r="CJ302">
            <v>0</v>
          </cell>
          <cell r="CK302">
            <v>0</v>
          </cell>
          <cell r="CL302">
            <v>0</v>
          </cell>
          <cell r="CM302">
            <v>0</v>
          </cell>
          <cell r="CN302">
            <v>0</v>
          </cell>
          <cell r="CO302">
            <v>0</v>
          </cell>
          <cell r="CX302">
            <v>0</v>
          </cell>
          <cell r="CY302">
            <v>0</v>
          </cell>
          <cell r="DB302">
            <v>0</v>
          </cell>
          <cell r="DC302">
            <v>0</v>
          </cell>
          <cell r="DJ302" t="str">
            <v>НКРКП</v>
          </cell>
          <cell r="DL302">
            <v>40816</v>
          </cell>
          <cell r="DM302">
            <v>93</v>
          </cell>
          <cell r="DT302">
            <v>969.05</v>
          </cell>
        </row>
        <row r="303">
          <cell r="W303">
            <v>210.45</v>
          </cell>
          <cell r="AF303">
            <v>39645</v>
          </cell>
          <cell r="AG303">
            <v>727</v>
          </cell>
          <cell r="AH303">
            <v>202.35977151418672</v>
          </cell>
          <cell r="AM303">
            <v>32037</v>
          </cell>
          <cell r="AO303">
            <v>6742186.6499999994</v>
          </cell>
          <cell r="AQ303">
            <v>6483000</v>
          </cell>
          <cell r="AU303">
            <v>0</v>
          </cell>
          <cell r="AW303">
            <v>0</v>
          </cell>
          <cell r="AY303">
            <v>3551150.8098000004</v>
          </cell>
          <cell r="AZ303">
            <v>110.84529793051784</v>
          </cell>
          <cell r="BA303">
            <v>0</v>
          </cell>
          <cell r="BB303">
            <v>0</v>
          </cell>
          <cell r="BC303">
            <v>0</v>
          </cell>
          <cell r="BD303">
            <v>0</v>
          </cell>
          <cell r="BG303">
            <v>0</v>
          </cell>
          <cell r="BH303">
            <v>0</v>
          </cell>
          <cell r="BI303">
            <v>564627</v>
          </cell>
          <cell r="BJ303">
            <v>17.62421575053844</v>
          </cell>
          <cell r="BK303">
            <v>0</v>
          </cell>
          <cell r="BL303">
            <v>0</v>
          </cell>
          <cell r="BM303">
            <v>1149100</v>
          </cell>
          <cell r="BN303">
            <v>35.867902737459815</v>
          </cell>
          <cell r="BO303">
            <v>0</v>
          </cell>
          <cell r="BP303">
            <v>0</v>
          </cell>
          <cell r="BY303">
            <v>1395</v>
          </cell>
          <cell r="CF303">
            <v>4882.5150000000003</v>
          </cell>
          <cell r="CG303">
            <v>727.32</v>
          </cell>
          <cell r="CJ303">
            <v>0</v>
          </cell>
          <cell r="CK303">
            <v>0</v>
          </cell>
          <cell r="CL303">
            <v>0</v>
          </cell>
          <cell r="CM303">
            <v>0</v>
          </cell>
          <cell r="CN303">
            <v>0</v>
          </cell>
          <cell r="CO303">
            <v>0</v>
          </cell>
          <cell r="CX303">
            <v>0</v>
          </cell>
          <cell r="CY303">
            <v>0</v>
          </cell>
          <cell r="DB303">
            <v>0</v>
          </cell>
          <cell r="DC303">
            <v>0</v>
          </cell>
          <cell r="DJ303" t="str">
            <v>НКРЕ</v>
          </cell>
          <cell r="DL303">
            <v>40526</v>
          </cell>
          <cell r="DM303">
            <v>1756</v>
          </cell>
          <cell r="DO303" t="str">
            <v>тарифи на теплову енергію</v>
          </cell>
          <cell r="DT303">
            <v>231.5</v>
          </cell>
        </row>
        <row r="304">
          <cell r="W304">
            <v>574.47</v>
          </cell>
          <cell r="AF304">
            <v>39863</v>
          </cell>
          <cell r="AG304">
            <v>1375</v>
          </cell>
          <cell r="AH304">
            <v>422.40454402019566</v>
          </cell>
          <cell r="AM304">
            <v>3169</v>
          </cell>
          <cell r="AO304">
            <v>1820495.4300000002</v>
          </cell>
          <cell r="AQ304">
            <v>1338600</v>
          </cell>
          <cell r="AU304">
            <v>0</v>
          </cell>
          <cell r="AW304">
            <v>0</v>
          </cell>
          <cell r="AY304">
            <v>1034805.2935</v>
          </cell>
          <cell r="AZ304">
            <v>326.54001057115812</v>
          </cell>
          <cell r="BA304">
            <v>0</v>
          </cell>
          <cell r="BB304">
            <v>0</v>
          </cell>
          <cell r="BC304">
            <v>0</v>
          </cell>
          <cell r="BD304">
            <v>0</v>
          </cell>
          <cell r="BG304">
            <v>0</v>
          </cell>
          <cell r="BH304">
            <v>0</v>
          </cell>
          <cell r="BI304">
            <v>69639</v>
          </cell>
          <cell r="BJ304">
            <v>21.975071000315555</v>
          </cell>
          <cell r="BK304">
            <v>0</v>
          </cell>
          <cell r="BL304">
            <v>0</v>
          </cell>
          <cell r="BM304">
            <v>113700</v>
          </cell>
          <cell r="BN304">
            <v>35.878826128116124</v>
          </cell>
          <cell r="BO304">
            <v>0</v>
          </cell>
          <cell r="BP304">
            <v>0</v>
          </cell>
          <cell r="BY304">
            <v>1395</v>
          </cell>
          <cell r="CF304">
            <v>483.04599999999999</v>
          </cell>
          <cell r="CG304">
            <v>2142.25</v>
          </cell>
          <cell r="CJ304">
            <v>0</v>
          </cell>
          <cell r="CK304">
            <v>0</v>
          </cell>
          <cell r="CL304">
            <v>0</v>
          </cell>
          <cell r="CM304">
            <v>0</v>
          </cell>
          <cell r="CN304">
            <v>0</v>
          </cell>
          <cell r="CO304">
            <v>0</v>
          </cell>
          <cell r="CX304">
            <v>0</v>
          </cell>
          <cell r="CY304">
            <v>0</v>
          </cell>
          <cell r="DB304">
            <v>0</v>
          </cell>
          <cell r="DC304">
            <v>0</v>
          </cell>
          <cell r="DJ304" t="str">
            <v>НКРКП</v>
          </cell>
          <cell r="DL304">
            <v>40816</v>
          </cell>
          <cell r="DM304">
            <v>93</v>
          </cell>
          <cell r="DT304">
            <v>819.83</v>
          </cell>
        </row>
        <row r="305">
          <cell r="W305">
            <v>582.61</v>
          </cell>
          <cell r="AF305">
            <v>39863</v>
          </cell>
          <cell r="AG305">
            <v>1376</v>
          </cell>
          <cell r="AH305">
            <v>422.18065205772314</v>
          </cell>
          <cell r="AM305">
            <v>1871</v>
          </cell>
          <cell r="AO305">
            <v>1090063.31</v>
          </cell>
          <cell r="AQ305">
            <v>789900</v>
          </cell>
          <cell r="AU305">
            <v>0</v>
          </cell>
          <cell r="AW305">
            <v>0</v>
          </cell>
          <cell r="AY305">
            <v>610766.18625000003</v>
          </cell>
          <cell r="AZ305">
            <v>326.43836785141639</v>
          </cell>
          <cell r="BA305">
            <v>0</v>
          </cell>
          <cell r="BB305">
            <v>0</v>
          </cell>
          <cell r="BC305">
            <v>0</v>
          </cell>
          <cell r="BD305">
            <v>0</v>
          </cell>
          <cell r="BG305">
            <v>0</v>
          </cell>
          <cell r="BH305">
            <v>0</v>
          </cell>
          <cell r="BI305">
            <v>41050</v>
          </cell>
          <cell r="BJ305">
            <v>21.940138963121324</v>
          </cell>
          <cell r="BK305">
            <v>0</v>
          </cell>
          <cell r="BL305">
            <v>0</v>
          </cell>
          <cell r="BM305">
            <v>67000</v>
          </cell>
          <cell r="BN305">
            <v>35.809727418492784</v>
          </cell>
          <cell r="BO305">
            <v>0</v>
          </cell>
          <cell r="BP305">
            <v>0</v>
          </cell>
          <cell r="BY305">
            <v>1395</v>
          </cell>
          <cell r="CF305">
            <v>285.10500000000002</v>
          </cell>
          <cell r="CG305">
            <v>2142.25</v>
          </cell>
          <cell r="CJ305">
            <v>0</v>
          </cell>
          <cell r="CK305">
            <v>0</v>
          </cell>
          <cell r="CL305">
            <v>0</v>
          </cell>
          <cell r="CM305">
            <v>0</v>
          </cell>
          <cell r="CN305">
            <v>0</v>
          </cell>
          <cell r="CO305">
            <v>0</v>
          </cell>
          <cell r="CX305">
            <v>0</v>
          </cell>
          <cell r="CY305">
            <v>0</v>
          </cell>
          <cell r="DB305">
            <v>0</v>
          </cell>
          <cell r="DC305">
            <v>0</v>
          </cell>
          <cell r="DJ305" t="str">
            <v>НКРКП</v>
          </cell>
          <cell r="DL305">
            <v>40816</v>
          </cell>
          <cell r="DM305">
            <v>93</v>
          </cell>
          <cell r="DT305">
            <v>827.9</v>
          </cell>
        </row>
        <row r="306">
          <cell r="W306">
            <v>939.4</v>
          </cell>
          <cell r="AF306">
            <v>39863</v>
          </cell>
          <cell r="AG306">
            <v>1384</v>
          </cell>
          <cell r="AH306">
            <v>838.75</v>
          </cell>
          <cell r="AM306">
            <v>240</v>
          </cell>
          <cell r="AO306">
            <v>225456</v>
          </cell>
          <cell r="AQ306">
            <v>201300</v>
          </cell>
          <cell r="AU306">
            <v>0</v>
          </cell>
          <cell r="AW306">
            <v>0</v>
          </cell>
          <cell r="AY306">
            <v>84297.537500000006</v>
          </cell>
          <cell r="AZ306">
            <v>351.23973958333335</v>
          </cell>
          <cell r="BA306">
            <v>0</v>
          </cell>
          <cell r="BB306">
            <v>0</v>
          </cell>
          <cell r="BC306">
            <v>0</v>
          </cell>
          <cell r="BD306">
            <v>0</v>
          </cell>
          <cell r="BG306">
            <v>0</v>
          </cell>
          <cell r="BH306">
            <v>0</v>
          </cell>
          <cell r="BI306">
            <v>9000</v>
          </cell>
          <cell r="BJ306">
            <v>37.5</v>
          </cell>
          <cell r="BK306">
            <v>0</v>
          </cell>
          <cell r="BL306">
            <v>0</v>
          </cell>
          <cell r="BM306">
            <v>62000</v>
          </cell>
          <cell r="BN306">
            <v>258.33333333333331</v>
          </cell>
          <cell r="BO306">
            <v>0</v>
          </cell>
          <cell r="BP306">
            <v>0</v>
          </cell>
          <cell r="BY306">
            <v>944</v>
          </cell>
          <cell r="CF306">
            <v>39.35</v>
          </cell>
          <cell r="CG306">
            <v>2142.25</v>
          </cell>
          <cell r="CJ306">
            <v>0</v>
          </cell>
          <cell r="CK306">
            <v>0</v>
          </cell>
          <cell r="CL306">
            <v>0</v>
          </cell>
          <cell r="CM306">
            <v>0</v>
          </cell>
          <cell r="CN306">
            <v>0</v>
          </cell>
          <cell r="CO306">
            <v>0</v>
          </cell>
          <cell r="CX306">
            <v>0</v>
          </cell>
          <cell r="CY306">
            <v>0</v>
          </cell>
          <cell r="DB306">
            <v>0</v>
          </cell>
          <cell r="DC306">
            <v>0</v>
          </cell>
          <cell r="DJ306" t="str">
            <v>НКРКП</v>
          </cell>
          <cell r="DL306">
            <v>40816</v>
          </cell>
          <cell r="DM306">
            <v>93</v>
          </cell>
          <cell r="DT306">
            <v>999.9</v>
          </cell>
        </row>
        <row r="307">
          <cell r="W307">
            <v>853.49</v>
          </cell>
          <cell r="AF307">
            <v>39863</v>
          </cell>
          <cell r="AG307">
            <v>1378</v>
          </cell>
          <cell r="AH307">
            <v>743.45991561181438</v>
          </cell>
          <cell r="AM307">
            <v>237</v>
          </cell>
          <cell r="AO307">
            <v>202277.13</v>
          </cell>
          <cell r="AQ307">
            <v>176200</v>
          </cell>
          <cell r="AU307">
            <v>0</v>
          </cell>
          <cell r="AW307">
            <v>0</v>
          </cell>
          <cell r="AY307">
            <v>78965.477249999996</v>
          </cell>
          <cell r="AZ307">
            <v>333.18766772151895</v>
          </cell>
          <cell r="BA307">
            <v>0</v>
          </cell>
          <cell r="BB307">
            <v>0</v>
          </cell>
          <cell r="BC307">
            <v>0</v>
          </cell>
          <cell r="BD307">
            <v>0</v>
          </cell>
          <cell r="BG307">
            <v>0</v>
          </cell>
          <cell r="BH307">
            <v>0</v>
          </cell>
          <cell r="BI307">
            <v>12484</v>
          </cell>
          <cell r="BJ307">
            <v>52.675105485232066</v>
          </cell>
          <cell r="BK307">
            <v>0</v>
          </cell>
          <cell r="BL307">
            <v>0</v>
          </cell>
          <cell r="BM307">
            <v>43200</v>
          </cell>
          <cell r="BN307">
            <v>182.27848101265823</v>
          </cell>
          <cell r="BO307">
            <v>0</v>
          </cell>
          <cell r="BP307">
            <v>0</v>
          </cell>
          <cell r="BY307">
            <v>994</v>
          </cell>
          <cell r="CF307">
            <v>36.860999999999997</v>
          </cell>
          <cell r="CG307">
            <v>2142.25</v>
          </cell>
          <cell r="CJ307">
            <v>0</v>
          </cell>
          <cell r="CK307">
            <v>0</v>
          </cell>
          <cell r="CL307">
            <v>0</v>
          </cell>
          <cell r="CM307">
            <v>0</v>
          </cell>
          <cell r="CN307">
            <v>0</v>
          </cell>
          <cell r="CO307">
            <v>0</v>
          </cell>
          <cell r="CX307">
            <v>0</v>
          </cell>
          <cell r="CY307">
            <v>0</v>
          </cell>
          <cell r="DB307">
            <v>0</v>
          </cell>
          <cell r="DC307">
            <v>0</v>
          </cell>
          <cell r="DJ307" t="str">
            <v>НКРКП</v>
          </cell>
          <cell r="DL307">
            <v>40816</v>
          </cell>
          <cell r="DM307">
            <v>93</v>
          </cell>
          <cell r="DT307">
            <v>999.9</v>
          </cell>
        </row>
        <row r="308">
          <cell r="W308">
            <v>822.41</v>
          </cell>
          <cell r="AF308">
            <v>39863</v>
          </cell>
          <cell r="AG308">
            <v>1379</v>
          </cell>
          <cell r="AH308">
            <v>734.29487179487182</v>
          </cell>
          <cell r="AM308">
            <v>312</v>
          </cell>
          <cell r="AO308">
            <v>256591.91999999998</v>
          </cell>
          <cell r="AQ308">
            <v>229100</v>
          </cell>
          <cell r="AU308">
            <v>0</v>
          </cell>
          <cell r="AW308">
            <v>0</v>
          </cell>
          <cell r="AY308">
            <v>99845.987999999998</v>
          </cell>
          <cell r="AZ308">
            <v>320.01919230769232</v>
          </cell>
          <cell r="BA308">
            <v>0</v>
          </cell>
          <cell r="BB308">
            <v>0</v>
          </cell>
          <cell r="BC308">
            <v>0</v>
          </cell>
          <cell r="BD308">
            <v>0</v>
          </cell>
          <cell r="BG308">
            <v>0</v>
          </cell>
          <cell r="BH308">
            <v>0</v>
          </cell>
          <cell r="BI308">
            <v>14572</v>
          </cell>
          <cell r="BJ308">
            <v>46.705128205128204</v>
          </cell>
          <cell r="BK308">
            <v>0</v>
          </cell>
          <cell r="BL308">
            <v>0</v>
          </cell>
          <cell r="BM308">
            <v>57200</v>
          </cell>
          <cell r="BN308">
            <v>183.33333333333334</v>
          </cell>
          <cell r="BO308">
            <v>0</v>
          </cell>
          <cell r="BP308">
            <v>0</v>
          </cell>
          <cell r="BY308">
            <v>871</v>
          </cell>
          <cell r="CF308">
            <v>46.607999999999997</v>
          </cell>
          <cell r="CG308">
            <v>2142.25</v>
          </cell>
          <cell r="CJ308">
            <v>0</v>
          </cell>
          <cell r="CK308">
            <v>0</v>
          </cell>
          <cell r="CL308">
            <v>0</v>
          </cell>
          <cell r="CM308">
            <v>0</v>
          </cell>
          <cell r="CN308">
            <v>0</v>
          </cell>
          <cell r="CO308">
            <v>0</v>
          </cell>
          <cell r="CX308">
            <v>0</v>
          </cell>
          <cell r="CY308">
            <v>0</v>
          </cell>
          <cell r="DB308">
            <v>0</v>
          </cell>
          <cell r="DC308">
            <v>0</v>
          </cell>
          <cell r="DJ308" t="str">
            <v>НКРКП</v>
          </cell>
          <cell r="DL308">
            <v>40816</v>
          </cell>
          <cell r="DM308">
            <v>93</v>
          </cell>
          <cell r="DT308">
            <v>999.9</v>
          </cell>
        </row>
        <row r="309">
          <cell r="W309">
            <v>620.98</v>
          </cell>
          <cell r="AF309">
            <v>39863</v>
          </cell>
          <cell r="AG309">
            <v>1389</v>
          </cell>
          <cell r="AH309">
            <v>514.91442542787286</v>
          </cell>
          <cell r="AM309">
            <v>818</v>
          </cell>
          <cell r="AO309">
            <v>507961.64</v>
          </cell>
          <cell r="AQ309">
            <v>421200</v>
          </cell>
          <cell r="AU309">
            <v>0</v>
          </cell>
          <cell r="AW309">
            <v>0</v>
          </cell>
          <cell r="AY309">
            <v>282025.07024999999</v>
          </cell>
          <cell r="AZ309">
            <v>344.77392451100241</v>
          </cell>
          <cell r="BA309">
            <v>0</v>
          </cell>
          <cell r="BB309">
            <v>0</v>
          </cell>
          <cell r="BC309">
            <v>0</v>
          </cell>
          <cell r="BD309">
            <v>0</v>
          </cell>
          <cell r="BG309">
            <v>0</v>
          </cell>
          <cell r="BH309">
            <v>0</v>
          </cell>
          <cell r="BI309">
            <v>15038</v>
          </cell>
          <cell r="BJ309">
            <v>18.383863080684595</v>
          </cell>
          <cell r="BK309">
            <v>0</v>
          </cell>
          <cell r="BL309">
            <v>0</v>
          </cell>
          <cell r="BM309">
            <v>57300</v>
          </cell>
          <cell r="BN309">
            <v>70.048899755501225</v>
          </cell>
          <cell r="BO309">
            <v>0</v>
          </cell>
          <cell r="BP309">
            <v>0</v>
          </cell>
          <cell r="BY309">
            <v>862</v>
          </cell>
          <cell r="CF309">
            <v>131.649</v>
          </cell>
          <cell r="CG309">
            <v>2142.25</v>
          </cell>
          <cell r="CJ309">
            <v>0</v>
          </cell>
          <cell r="CK309">
            <v>0</v>
          </cell>
          <cell r="CL309">
            <v>0</v>
          </cell>
          <cell r="CM309">
            <v>0</v>
          </cell>
          <cell r="CN309">
            <v>0</v>
          </cell>
          <cell r="CO309">
            <v>0</v>
          </cell>
          <cell r="CX309">
            <v>0</v>
          </cell>
          <cell r="CY309">
            <v>0</v>
          </cell>
          <cell r="DB309">
            <v>0</v>
          </cell>
          <cell r="DC309">
            <v>0</v>
          </cell>
          <cell r="DJ309" t="str">
            <v>НКРКП</v>
          </cell>
          <cell r="DL309">
            <v>40816</v>
          </cell>
          <cell r="DM309">
            <v>93</v>
          </cell>
          <cell r="DT309">
            <v>880.05</v>
          </cell>
        </row>
        <row r="310">
          <cell r="W310">
            <v>528.72</v>
          </cell>
          <cell r="AF310">
            <v>39863</v>
          </cell>
          <cell r="AG310">
            <v>1388</v>
          </cell>
          <cell r="AH310">
            <v>452.67489711934155</v>
          </cell>
          <cell r="AM310">
            <v>486</v>
          </cell>
          <cell r="AO310">
            <v>256957.92</v>
          </cell>
          <cell r="AQ310">
            <v>220000</v>
          </cell>
          <cell r="AU310">
            <v>0</v>
          </cell>
          <cell r="AW310">
            <v>0</v>
          </cell>
          <cell r="AY310">
            <v>152656.73500000002</v>
          </cell>
          <cell r="AZ310">
            <v>314.10850823045268</v>
          </cell>
          <cell r="BA310">
            <v>0</v>
          </cell>
          <cell r="BB310">
            <v>0</v>
          </cell>
          <cell r="BC310">
            <v>0</v>
          </cell>
          <cell r="BD310">
            <v>0</v>
          </cell>
          <cell r="BG310">
            <v>0</v>
          </cell>
          <cell r="BH310">
            <v>0</v>
          </cell>
          <cell r="BI310">
            <v>9882</v>
          </cell>
          <cell r="BJ310">
            <v>20.333333333333332</v>
          </cell>
          <cell r="BK310">
            <v>0</v>
          </cell>
          <cell r="BL310">
            <v>0</v>
          </cell>
          <cell r="BM310">
            <v>29100</v>
          </cell>
          <cell r="BN310">
            <v>59.876543209876544</v>
          </cell>
          <cell r="BO310">
            <v>0</v>
          </cell>
          <cell r="BP310">
            <v>0</v>
          </cell>
          <cell r="BY310">
            <v>935</v>
          </cell>
          <cell r="CF310">
            <v>71.260000000000005</v>
          </cell>
          <cell r="CG310">
            <v>2142.25</v>
          </cell>
          <cell r="CJ310">
            <v>0</v>
          </cell>
          <cell r="CK310">
            <v>0</v>
          </cell>
          <cell r="CL310">
            <v>0</v>
          </cell>
          <cell r="CM310">
            <v>0</v>
          </cell>
          <cell r="CN310">
            <v>0</v>
          </cell>
          <cell r="CO310">
            <v>0</v>
          </cell>
          <cell r="CX310">
            <v>0</v>
          </cell>
          <cell r="CY310">
            <v>0</v>
          </cell>
          <cell r="DB310">
            <v>0</v>
          </cell>
          <cell r="DC310">
            <v>0</v>
          </cell>
          <cell r="DJ310" t="str">
            <v>НКРКП</v>
          </cell>
          <cell r="DL310">
            <v>40816</v>
          </cell>
          <cell r="DM310">
            <v>93</v>
          </cell>
          <cell r="DT310">
            <v>764.75</v>
          </cell>
        </row>
        <row r="311">
          <cell r="W311">
            <v>522.29999999999995</v>
          </cell>
          <cell r="AF311">
            <v>39863</v>
          </cell>
          <cell r="AG311">
            <v>1380</v>
          </cell>
          <cell r="AH311">
            <v>466.34093376764389</v>
          </cell>
          <cell r="AM311">
            <v>921</v>
          </cell>
          <cell r="AO311">
            <v>481038.29999999993</v>
          </cell>
          <cell r="AQ311">
            <v>429500</v>
          </cell>
          <cell r="AU311">
            <v>0</v>
          </cell>
          <cell r="AW311">
            <v>0</v>
          </cell>
          <cell r="AY311">
            <v>295131.35574999999</v>
          </cell>
          <cell r="AZ311">
            <v>320.44664033659063</v>
          </cell>
          <cell r="BA311">
            <v>0</v>
          </cell>
          <cell r="BB311">
            <v>0</v>
          </cell>
          <cell r="BC311">
            <v>0</v>
          </cell>
          <cell r="BD311">
            <v>0</v>
          </cell>
          <cell r="BG311">
            <v>0</v>
          </cell>
          <cell r="BH311">
            <v>0</v>
          </cell>
          <cell r="BI311">
            <v>10065</v>
          </cell>
          <cell r="BJ311">
            <v>10.928338762214985</v>
          </cell>
          <cell r="BK311">
            <v>0</v>
          </cell>
          <cell r="BL311">
            <v>0</v>
          </cell>
          <cell r="BM311">
            <v>64100</v>
          </cell>
          <cell r="BN311">
            <v>69.598262757871879</v>
          </cell>
          <cell r="BO311">
            <v>0</v>
          </cell>
          <cell r="BP311">
            <v>0</v>
          </cell>
          <cell r="BY311">
            <v>975</v>
          </cell>
          <cell r="CF311">
            <v>137.767</v>
          </cell>
          <cell r="CG311">
            <v>2142.25</v>
          </cell>
          <cell r="CJ311">
            <v>0</v>
          </cell>
          <cell r="CK311">
            <v>0</v>
          </cell>
          <cell r="CL311">
            <v>0</v>
          </cell>
          <cell r="CM311">
            <v>0</v>
          </cell>
          <cell r="CN311">
            <v>0</v>
          </cell>
          <cell r="CO311">
            <v>0</v>
          </cell>
          <cell r="CX311">
            <v>0</v>
          </cell>
          <cell r="CY311">
            <v>0</v>
          </cell>
          <cell r="DB311">
            <v>0</v>
          </cell>
          <cell r="DC311">
            <v>0</v>
          </cell>
          <cell r="DJ311" t="str">
            <v>НКРКП</v>
          </cell>
          <cell r="DL311">
            <v>40816</v>
          </cell>
          <cell r="DM311">
            <v>93</v>
          </cell>
          <cell r="DT311">
            <v>763.09</v>
          </cell>
        </row>
        <row r="312">
          <cell r="W312">
            <v>522.79999999999995</v>
          </cell>
          <cell r="AF312">
            <v>39863</v>
          </cell>
          <cell r="AG312">
            <v>1383</v>
          </cell>
          <cell r="AH312">
            <v>413.2832167832168</v>
          </cell>
          <cell r="AM312">
            <v>572</v>
          </cell>
          <cell r="AO312">
            <v>299041.59999999998</v>
          </cell>
          <cell r="AQ312">
            <v>236398</v>
          </cell>
          <cell r="AU312">
            <v>0</v>
          </cell>
          <cell r="AW312">
            <v>0</v>
          </cell>
          <cell r="AY312">
            <v>182815.33049999998</v>
          </cell>
          <cell r="AZ312">
            <v>319.60722115384613</v>
          </cell>
          <cell r="BA312">
            <v>0</v>
          </cell>
          <cell r="BB312">
            <v>0</v>
          </cell>
          <cell r="BC312">
            <v>0</v>
          </cell>
          <cell r="BD312">
            <v>0</v>
          </cell>
          <cell r="BG312">
            <v>0</v>
          </cell>
          <cell r="BH312">
            <v>0</v>
          </cell>
          <cell r="BI312">
            <v>12323</v>
          </cell>
          <cell r="BJ312">
            <v>21.543706293706293</v>
          </cell>
          <cell r="BK312">
            <v>0</v>
          </cell>
          <cell r="BL312">
            <v>0</v>
          </cell>
          <cell r="BM312">
            <v>13100</v>
          </cell>
          <cell r="BN312">
            <v>22.902097902097903</v>
          </cell>
          <cell r="BO312">
            <v>0</v>
          </cell>
          <cell r="BP312">
            <v>0</v>
          </cell>
          <cell r="BY312">
            <v>981</v>
          </cell>
          <cell r="CF312">
            <v>85.337999999999994</v>
          </cell>
          <cell r="CG312">
            <v>2142.25</v>
          </cell>
          <cell r="CJ312">
            <v>0</v>
          </cell>
          <cell r="CK312">
            <v>0</v>
          </cell>
          <cell r="CL312">
            <v>0</v>
          </cell>
          <cell r="CM312">
            <v>0</v>
          </cell>
          <cell r="CN312">
            <v>0</v>
          </cell>
          <cell r="CO312">
            <v>0</v>
          </cell>
          <cell r="CX312">
            <v>0</v>
          </cell>
          <cell r="CY312">
            <v>0</v>
          </cell>
          <cell r="DB312">
            <v>0</v>
          </cell>
          <cell r="DC312">
            <v>0</v>
          </cell>
          <cell r="DJ312" t="str">
            <v>НКРКП</v>
          </cell>
          <cell r="DL312">
            <v>40816</v>
          </cell>
          <cell r="DM312">
            <v>93</v>
          </cell>
          <cell r="DT312">
            <v>739.01</v>
          </cell>
        </row>
        <row r="313">
          <cell r="W313">
            <v>504</v>
          </cell>
          <cell r="AF313">
            <v>39863</v>
          </cell>
          <cell r="AG313">
            <v>1385</v>
          </cell>
          <cell r="AH313">
            <v>400</v>
          </cell>
          <cell r="AM313">
            <v>25</v>
          </cell>
          <cell r="AO313">
            <v>12600</v>
          </cell>
          <cell r="AQ313">
            <v>10000</v>
          </cell>
          <cell r="AU313">
            <v>0</v>
          </cell>
          <cell r="AW313">
            <v>0</v>
          </cell>
          <cell r="AY313">
            <v>7821.3547499999995</v>
          </cell>
          <cell r="AZ313">
            <v>312.85418999999996</v>
          </cell>
          <cell r="BA313">
            <v>0</v>
          </cell>
          <cell r="BB313">
            <v>0</v>
          </cell>
          <cell r="BC313">
            <v>0</v>
          </cell>
          <cell r="BD313">
            <v>0</v>
          </cell>
          <cell r="BG313">
            <v>0</v>
          </cell>
          <cell r="BH313">
            <v>0</v>
          </cell>
          <cell r="BI313">
            <v>528</v>
          </cell>
          <cell r="BJ313">
            <v>21.12</v>
          </cell>
          <cell r="BK313">
            <v>0</v>
          </cell>
          <cell r="BL313">
            <v>0</v>
          </cell>
          <cell r="BM313">
            <v>600</v>
          </cell>
          <cell r="BN313">
            <v>24</v>
          </cell>
          <cell r="BO313">
            <v>0</v>
          </cell>
          <cell r="BP313">
            <v>0</v>
          </cell>
          <cell r="BY313">
            <v>981</v>
          </cell>
          <cell r="CF313">
            <v>3.6509999999999998</v>
          </cell>
          <cell r="CG313">
            <v>2142.25</v>
          </cell>
          <cell r="CJ313">
            <v>0</v>
          </cell>
          <cell r="CK313">
            <v>0</v>
          </cell>
          <cell r="CL313">
            <v>0</v>
          </cell>
          <cell r="CM313">
            <v>0</v>
          </cell>
          <cell r="CN313">
            <v>0</v>
          </cell>
          <cell r="CO313">
            <v>0</v>
          </cell>
          <cell r="CX313">
            <v>0</v>
          </cell>
          <cell r="CY313">
            <v>0</v>
          </cell>
          <cell r="DB313">
            <v>0</v>
          </cell>
          <cell r="DC313">
            <v>0</v>
          </cell>
          <cell r="DJ313" t="str">
            <v>НКРКП</v>
          </cell>
          <cell r="DL313">
            <v>40816</v>
          </cell>
          <cell r="DM313">
            <v>93</v>
          </cell>
          <cell r="DT313">
            <v>739.01</v>
          </cell>
        </row>
        <row r="314">
          <cell r="W314">
            <v>234.73</v>
          </cell>
          <cell r="AF314">
            <v>39926</v>
          </cell>
          <cell r="AG314">
            <v>360</v>
          </cell>
          <cell r="AH314">
            <v>217.34494756385155</v>
          </cell>
          <cell r="AM314">
            <v>805293.7</v>
          </cell>
          <cell r="AO314">
            <v>189026590.20099998</v>
          </cell>
          <cell r="AQ314">
            <v>175026517</v>
          </cell>
          <cell r="AU314">
            <v>0</v>
          </cell>
          <cell r="AW314">
            <v>0</v>
          </cell>
          <cell r="AY314">
            <v>92830659.055200011</v>
          </cell>
          <cell r="AZ314">
            <v>115.27553121947932</v>
          </cell>
          <cell r="BA314">
            <v>6629473</v>
          </cell>
          <cell r="BB314">
            <v>8.2323666508256554</v>
          </cell>
          <cell r="BC314">
            <v>0</v>
          </cell>
          <cell r="BD314">
            <v>0</v>
          </cell>
          <cell r="BG314">
            <v>0</v>
          </cell>
          <cell r="BH314">
            <v>0</v>
          </cell>
          <cell r="BI314">
            <v>18288130</v>
          </cell>
          <cell r="BJ314">
            <v>22.709888330183137</v>
          </cell>
          <cell r="BK314">
            <v>0</v>
          </cell>
          <cell r="BL314">
            <v>0</v>
          </cell>
          <cell r="BM314">
            <v>41857608</v>
          </cell>
          <cell r="BN314">
            <v>51.978064648959759</v>
          </cell>
          <cell r="BO314">
            <v>0</v>
          </cell>
          <cell r="BP314">
            <v>0</v>
          </cell>
          <cell r="BY314">
            <v>1997</v>
          </cell>
          <cell r="CF314">
            <v>127633.86</v>
          </cell>
          <cell r="CG314">
            <v>727.32</v>
          </cell>
          <cell r="CJ314">
            <v>0</v>
          </cell>
          <cell r="CK314">
            <v>0</v>
          </cell>
          <cell r="CL314">
            <v>0</v>
          </cell>
          <cell r="CM314">
            <v>0</v>
          </cell>
          <cell r="CN314">
            <v>0</v>
          </cell>
          <cell r="CO314">
            <v>0</v>
          </cell>
          <cell r="CX314">
            <v>0</v>
          </cell>
          <cell r="CY314">
            <v>0</v>
          </cell>
          <cell r="DB314">
            <v>0</v>
          </cell>
          <cell r="DC314">
            <v>0</v>
          </cell>
          <cell r="DJ314" t="str">
            <v>НКРЕ</v>
          </cell>
          <cell r="DL314">
            <v>40526</v>
          </cell>
          <cell r="DM314">
            <v>1854</v>
          </cell>
          <cell r="DO314" t="str">
            <v>тариф на теплову енергію</v>
          </cell>
          <cell r="DT314">
            <v>258.2</v>
          </cell>
        </row>
        <row r="315">
          <cell r="W315">
            <v>481.96</v>
          </cell>
          <cell r="AF315">
            <v>39926</v>
          </cell>
          <cell r="AG315">
            <v>361</v>
          </cell>
          <cell r="AH315">
            <v>446.26057655662601</v>
          </cell>
          <cell r="AM315">
            <v>127522.6</v>
          </cell>
          <cell r="AO315">
            <v>61460792.296000004</v>
          </cell>
          <cell r="AQ315">
            <v>56908309</v>
          </cell>
          <cell r="AU315">
            <v>0</v>
          </cell>
          <cell r="AW315">
            <v>0</v>
          </cell>
          <cell r="AY315">
            <v>41111169.962500006</v>
          </cell>
          <cell r="AZ315">
            <v>322.38340468669873</v>
          </cell>
          <cell r="BA315">
            <v>3701791</v>
          </cell>
          <cell r="BB315">
            <v>29.028509456363029</v>
          </cell>
          <cell r="BC315">
            <v>0</v>
          </cell>
          <cell r="BD315">
            <v>0</v>
          </cell>
          <cell r="BG315">
            <v>0</v>
          </cell>
          <cell r="BH315">
            <v>0</v>
          </cell>
          <cell r="BI315">
            <v>3023678</v>
          </cell>
          <cell r="BJ315">
            <v>23.710918692059288</v>
          </cell>
          <cell r="BK315">
            <v>0</v>
          </cell>
          <cell r="BL315">
            <v>0</v>
          </cell>
          <cell r="BM315">
            <v>6727919</v>
          </cell>
          <cell r="BN315">
            <v>52.758640429225878</v>
          </cell>
          <cell r="BO315">
            <v>0</v>
          </cell>
          <cell r="BP315">
            <v>0</v>
          </cell>
          <cell r="BY315">
            <v>1997</v>
          </cell>
          <cell r="CF315">
            <v>19190.650000000001</v>
          </cell>
          <cell r="CG315">
            <v>2142.25</v>
          </cell>
          <cell r="CJ315">
            <v>0</v>
          </cell>
          <cell r="CK315">
            <v>0</v>
          </cell>
          <cell r="CL315">
            <v>0</v>
          </cell>
          <cell r="CM315">
            <v>0</v>
          </cell>
          <cell r="CN315">
            <v>0</v>
          </cell>
          <cell r="CO315">
            <v>0</v>
          </cell>
          <cell r="CX315">
            <v>0</v>
          </cell>
          <cell r="CY315">
            <v>0</v>
          </cell>
          <cell r="DB315">
            <v>0</v>
          </cell>
          <cell r="DC315">
            <v>0</v>
          </cell>
          <cell r="DJ315" t="str">
            <v>НКРКП</v>
          </cell>
          <cell r="DL315">
            <v>40942</v>
          </cell>
          <cell r="DM315">
            <v>28</v>
          </cell>
          <cell r="DT315">
            <v>758.64</v>
          </cell>
        </row>
        <row r="316">
          <cell r="W316">
            <v>481.96</v>
          </cell>
          <cell r="AF316">
            <v>39926</v>
          </cell>
          <cell r="AG316">
            <v>361</v>
          </cell>
          <cell r="AH316">
            <v>446.26300883246449</v>
          </cell>
          <cell r="AM316">
            <v>47631.1</v>
          </cell>
          <cell r="AO316">
            <v>22956284.955999997</v>
          </cell>
          <cell r="AQ316">
            <v>21255998</v>
          </cell>
          <cell r="AU316">
            <v>0</v>
          </cell>
          <cell r="AW316">
            <v>0</v>
          </cell>
          <cell r="AY316">
            <v>15355433.774999999</v>
          </cell>
          <cell r="AZ316">
            <v>322.38251426064062</v>
          </cell>
          <cell r="BA316">
            <v>1382667</v>
          </cell>
          <cell r="BB316">
            <v>29.02865984619293</v>
          </cell>
          <cell r="BC316">
            <v>0</v>
          </cell>
          <cell r="BD316">
            <v>0</v>
          </cell>
          <cell r="BG316">
            <v>0</v>
          </cell>
          <cell r="BH316">
            <v>0</v>
          </cell>
          <cell r="BI316">
            <v>1129383</v>
          </cell>
          <cell r="BJ316">
            <v>23.711041735336789</v>
          </cell>
          <cell r="BK316">
            <v>0</v>
          </cell>
          <cell r="BL316">
            <v>0</v>
          </cell>
          <cell r="BM316">
            <v>2512966</v>
          </cell>
          <cell r="BN316">
            <v>52.758932714130054</v>
          </cell>
          <cell r="BO316">
            <v>0</v>
          </cell>
          <cell r="BP316">
            <v>0</v>
          </cell>
          <cell r="BY316">
            <v>1997</v>
          </cell>
          <cell r="CF316">
            <v>7167.9</v>
          </cell>
          <cell r="CG316">
            <v>2142.25</v>
          </cell>
          <cell r="CJ316">
            <v>0</v>
          </cell>
          <cell r="CK316">
            <v>0</v>
          </cell>
          <cell r="CL316">
            <v>0</v>
          </cell>
          <cell r="CM316">
            <v>0</v>
          </cell>
          <cell r="CN316">
            <v>0</v>
          </cell>
          <cell r="CO316">
            <v>0</v>
          </cell>
          <cell r="CX316">
            <v>0</v>
          </cell>
          <cell r="CY316">
            <v>0</v>
          </cell>
          <cell r="DB316">
            <v>0</v>
          </cell>
          <cell r="DC316">
            <v>0</v>
          </cell>
          <cell r="DJ316" t="str">
            <v>НКРКП</v>
          </cell>
          <cell r="DL316">
            <v>40942</v>
          </cell>
          <cell r="DM316">
            <v>28</v>
          </cell>
          <cell r="DT316">
            <v>758.64</v>
          </cell>
        </row>
        <row r="317">
          <cell r="W317">
            <v>234.73</v>
          </cell>
          <cell r="AF317">
            <v>39926</v>
          </cell>
          <cell r="AG317">
            <v>360</v>
          </cell>
          <cell r="AH317">
            <v>217.34494714926331</v>
          </cell>
          <cell r="AM317">
            <v>12488</v>
          </cell>
          <cell r="AO317">
            <v>2931308.2399999998</v>
          </cell>
          <cell r="AQ317">
            <v>2714203.7</v>
          </cell>
          <cell r="AU317">
            <v>0</v>
          </cell>
          <cell r="AW317">
            <v>0</v>
          </cell>
          <cell r="AY317">
            <v>1439562.6564</v>
          </cell>
          <cell r="AZ317">
            <v>115.2756771620756</v>
          </cell>
          <cell r="BA317">
            <v>102805.8</v>
          </cell>
          <cell r="BB317">
            <v>8.2323670723894935</v>
          </cell>
          <cell r="BC317">
            <v>0</v>
          </cell>
          <cell r="BD317">
            <v>0</v>
          </cell>
          <cell r="BG317">
            <v>0</v>
          </cell>
          <cell r="BH317">
            <v>0</v>
          </cell>
          <cell r="BI317">
            <v>283601.09999999998</v>
          </cell>
          <cell r="BJ317">
            <v>22.709889493914154</v>
          </cell>
          <cell r="BK317">
            <v>0</v>
          </cell>
          <cell r="BL317">
            <v>0</v>
          </cell>
          <cell r="BM317">
            <v>649102.1</v>
          </cell>
          <cell r="BN317">
            <v>51.978066944266494</v>
          </cell>
          <cell r="BO317">
            <v>0</v>
          </cell>
          <cell r="BP317">
            <v>0</v>
          </cell>
          <cell r="BY317">
            <v>1997</v>
          </cell>
          <cell r="CF317">
            <v>1979.27</v>
          </cell>
          <cell r="CG317">
            <v>727.32</v>
          </cell>
          <cell r="CJ317">
            <v>0</v>
          </cell>
          <cell r="CK317">
            <v>0</v>
          </cell>
          <cell r="CL317">
            <v>0</v>
          </cell>
          <cell r="CM317">
            <v>0</v>
          </cell>
          <cell r="CN317">
            <v>0</v>
          </cell>
          <cell r="CO317">
            <v>0</v>
          </cell>
          <cell r="CX317">
            <v>0</v>
          </cell>
          <cell r="CY317">
            <v>0</v>
          </cell>
          <cell r="DB317">
            <v>0</v>
          </cell>
          <cell r="DC317">
            <v>0</v>
          </cell>
          <cell r="DJ317" t="str">
            <v>НКРЕ</v>
          </cell>
          <cell r="DL317">
            <v>40526</v>
          </cell>
          <cell r="DM317">
            <v>1854</v>
          </cell>
          <cell r="DO317" t="str">
            <v>тариф на теплову енергію</v>
          </cell>
          <cell r="DT317">
            <v>258.2</v>
          </cell>
        </row>
        <row r="318">
          <cell r="W318">
            <v>481.96</v>
          </cell>
          <cell r="AF318">
            <v>39926</v>
          </cell>
          <cell r="AG318">
            <v>361</v>
          </cell>
          <cell r="AH318">
            <v>446.26057315191525</v>
          </cell>
          <cell r="AM318">
            <v>5447</v>
          </cell>
          <cell r="AO318">
            <v>2625236.12</v>
          </cell>
          <cell r="AQ318">
            <v>2430781.3419584823</v>
          </cell>
          <cell r="AU318">
            <v>0</v>
          </cell>
          <cell r="AW318">
            <v>0</v>
          </cell>
          <cell r="AY318">
            <v>1756022.0573072319</v>
          </cell>
          <cell r="AZ318">
            <v>322.38334079442478</v>
          </cell>
          <cell r="BA318">
            <v>158118.29</v>
          </cell>
          <cell r="BB318">
            <v>29.028509271158438</v>
          </cell>
          <cell r="BC318">
            <v>0</v>
          </cell>
          <cell r="BD318">
            <v>0</v>
          </cell>
          <cell r="BG318">
            <v>0</v>
          </cell>
          <cell r="BH318">
            <v>0</v>
          </cell>
          <cell r="BI318">
            <v>129153.37</v>
          </cell>
          <cell r="BJ318">
            <v>23.710917936478793</v>
          </cell>
          <cell r="BK318">
            <v>0</v>
          </cell>
          <cell r="BL318">
            <v>0</v>
          </cell>
          <cell r="BM318">
            <v>287376.3</v>
          </cell>
          <cell r="BN318">
            <v>52.758637782265467</v>
          </cell>
          <cell r="BO318">
            <v>0</v>
          </cell>
          <cell r="BP318">
            <v>0</v>
          </cell>
          <cell r="BY318">
            <v>1997</v>
          </cell>
          <cell r="CF318">
            <v>819.70921101983049</v>
          </cell>
          <cell r="CG318">
            <v>2142.25</v>
          </cell>
          <cell r="CJ318">
            <v>0</v>
          </cell>
          <cell r="CK318">
            <v>0</v>
          </cell>
          <cell r="CL318">
            <v>0</v>
          </cell>
          <cell r="CM318">
            <v>0</v>
          </cell>
          <cell r="CN318">
            <v>0</v>
          </cell>
          <cell r="CO318">
            <v>0</v>
          </cell>
          <cell r="CX318">
            <v>0</v>
          </cell>
          <cell r="CY318">
            <v>0</v>
          </cell>
          <cell r="DB318">
            <v>0</v>
          </cell>
          <cell r="DC318">
            <v>0</v>
          </cell>
          <cell r="DJ318" t="str">
            <v>НКРКП</v>
          </cell>
          <cell r="DL318">
            <v>40942</v>
          </cell>
          <cell r="DM318">
            <v>28</v>
          </cell>
          <cell r="DT318">
            <v>758.64</v>
          </cell>
        </row>
        <row r="319">
          <cell r="W319">
            <v>481.96</v>
          </cell>
          <cell r="AF319">
            <v>39926</v>
          </cell>
          <cell r="AG319">
            <v>361</v>
          </cell>
          <cell r="AH319">
            <v>446.26300167068098</v>
          </cell>
          <cell r="AM319">
            <v>181.4</v>
          </cell>
          <cell r="AO319">
            <v>87427.543999999994</v>
          </cell>
          <cell r="AQ319">
            <v>80952.108503061536</v>
          </cell>
          <cell r="AU319">
            <v>0</v>
          </cell>
          <cell r="AW319">
            <v>0</v>
          </cell>
          <cell r="AY319">
            <v>58480.156816316296</v>
          </cell>
          <cell r="AZ319">
            <v>322.38234187605457</v>
          </cell>
          <cell r="BA319">
            <v>5265.8</v>
          </cell>
          <cell r="BB319">
            <v>29.028665931642777</v>
          </cell>
          <cell r="BC319">
            <v>0</v>
          </cell>
          <cell r="BD319">
            <v>0</v>
          </cell>
          <cell r="BG319">
            <v>0</v>
          </cell>
          <cell r="BH319">
            <v>0</v>
          </cell>
          <cell r="BI319">
            <v>4301.1838909870276</v>
          </cell>
          <cell r="BJ319">
            <v>23.71104680808725</v>
          </cell>
          <cell r="BK319">
            <v>0</v>
          </cell>
          <cell r="BL319">
            <v>0</v>
          </cell>
          <cell r="BM319">
            <v>9570.468897557821</v>
          </cell>
          <cell r="BN319">
            <v>52.758924462832532</v>
          </cell>
          <cell r="BO319">
            <v>0</v>
          </cell>
          <cell r="BP319">
            <v>0</v>
          </cell>
          <cell r="BY319">
            <v>1997</v>
          </cell>
          <cell r="CF319">
            <v>27.298474415365291</v>
          </cell>
          <cell r="CG319">
            <v>2142.25</v>
          </cell>
          <cell r="CJ319">
            <v>0</v>
          </cell>
          <cell r="CK319">
            <v>0</v>
          </cell>
          <cell r="CL319">
            <v>0</v>
          </cell>
          <cell r="CM319">
            <v>0</v>
          </cell>
          <cell r="CN319">
            <v>0</v>
          </cell>
          <cell r="CO319">
            <v>0</v>
          </cell>
          <cell r="CX319">
            <v>0</v>
          </cell>
          <cell r="CY319">
            <v>0</v>
          </cell>
          <cell r="DB319">
            <v>0</v>
          </cell>
          <cell r="DC319">
            <v>0</v>
          </cell>
          <cell r="DJ319" t="str">
            <v>НКРКП</v>
          </cell>
          <cell r="DL319">
            <v>40942</v>
          </cell>
          <cell r="DM319">
            <v>28</v>
          </cell>
          <cell r="DT319">
            <v>758.64</v>
          </cell>
        </row>
        <row r="320">
          <cell r="W320">
            <v>184.13</v>
          </cell>
          <cell r="AF320">
            <v>39926</v>
          </cell>
          <cell r="AG320">
            <v>360</v>
          </cell>
          <cell r="AH320">
            <v>217.34492322100178</v>
          </cell>
          <cell r="AM320">
            <v>29565.7</v>
          </cell>
          <cell r="AO320">
            <v>5443932.341</v>
          </cell>
          <cell r="AQ320">
            <v>6425954.796475172</v>
          </cell>
          <cell r="AU320">
            <v>0</v>
          </cell>
          <cell r="AW320">
            <v>0</v>
          </cell>
          <cell r="AY320">
            <v>3408216.2111096531</v>
          </cell>
          <cell r="AZ320">
            <v>115.27601954662508</v>
          </cell>
          <cell r="BA320">
            <v>243395.63727953154</v>
          </cell>
          <cell r="BB320">
            <v>8.2323651149653667</v>
          </cell>
          <cell r="BC320">
            <v>0</v>
          </cell>
          <cell r="BD320">
            <v>0</v>
          </cell>
          <cell r="BG320">
            <v>0</v>
          </cell>
          <cell r="BH320">
            <v>0</v>
          </cell>
          <cell r="BI320">
            <v>671433.68477767997</v>
          </cell>
          <cell r="BJ320">
            <v>22.709886279630787</v>
          </cell>
          <cell r="BK320">
            <v>0</v>
          </cell>
          <cell r="BL320">
            <v>0</v>
          </cell>
          <cell r="BM320">
            <v>1536767.6751551346</v>
          </cell>
          <cell r="BN320">
            <v>51.978058194297262</v>
          </cell>
          <cell r="BO320">
            <v>0</v>
          </cell>
          <cell r="BP320">
            <v>0</v>
          </cell>
          <cell r="BY320">
            <v>1997</v>
          </cell>
          <cell r="CF320">
            <v>4685.9927007502238</v>
          </cell>
          <cell r="CG320">
            <v>727.32</v>
          </cell>
          <cell r="CJ320">
            <v>0</v>
          </cell>
          <cell r="CK320">
            <v>0</v>
          </cell>
          <cell r="CL320">
            <v>0</v>
          </cell>
          <cell r="CM320">
            <v>0</v>
          </cell>
          <cell r="CN320">
            <v>0</v>
          </cell>
          <cell r="CO320">
            <v>0</v>
          </cell>
          <cell r="CX320">
            <v>0</v>
          </cell>
          <cell r="CY320">
            <v>0</v>
          </cell>
          <cell r="DB320">
            <v>0</v>
          </cell>
          <cell r="DC320">
            <v>0</v>
          </cell>
          <cell r="DJ320" t="str">
            <v>НКРЕ</v>
          </cell>
          <cell r="DL320">
            <v>40526</v>
          </cell>
          <cell r="DM320">
            <v>1854</v>
          </cell>
          <cell r="DO320" t="str">
            <v>Тариф на теплову енергію</v>
          </cell>
          <cell r="DT320">
            <v>230.16</v>
          </cell>
        </row>
        <row r="321">
          <cell r="W321">
            <v>698.28333333333342</v>
          </cell>
          <cell r="AF321">
            <v>39926</v>
          </cell>
          <cell r="AG321">
            <v>361</v>
          </cell>
          <cell r="AH321">
            <v>446.26114150386496</v>
          </cell>
          <cell r="AM321">
            <v>2150.3000000000002</v>
          </cell>
          <cell r="AO321">
            <v>1501518.6516666671</v>
          </cell>
          <cell r="AQ321">
            <v>959595.3325757609</v>
          </cell>
          <cell r="AU321">
            <v>0</v>
          </cell>
          <cell r="AW321">
            <v>0</v>
          </cell>
          <cell r="AY321">
            <v>693221.78058781812</v>
          </cell>
          <cell r="AZ321">
            <v>322.38375137786267</v>
          </cell>
          <cell r="BA321">
            <v>62420.081510245698</v>
          </cell>
          <cell r="BB321">
            <v>29.028545556548245</v>
          </cell>
          <cell r="BC321">
            <v>0</v>
          </cell>
          <cell r="BD321">
            <v>0</v>
          </cell>
          <cell r="BG321">
            <v>0</v>
          </cell>
          <cell r="BH321">
            <v>0</v>
          </cell>
          <cell r="BI321">
            <v>50985.651103850243</v>
          </cell>
          <cell r="BJ321">
            <v>23.710947823024807</v>
          </cell>
          <cell r="BK321">
            <v>0</v>
          </cell>
          <cell r="BL321">
            <v>0</v>
          </cell>
          <cell r="BM321">
            <v>113447.04432721778</v>
          </cell>
          <cell r="BN321">
            <v>52.75870544910839</v>
          </cell>
          <cell r="BO321">
            <v>0</v>
          </cell>
          <cell r="BP321">
            <v>0</v>
          </cell>
          <cell r="BY321">
            <v>1997</v>
          </cell>
          <cell r="CF321">
            <v>323.59518290947278</v>
          </cell>
          <cell r="CG321">
            <v>2142.25</v>
          </cell>
          <cell r="CJ321">
            <v>0</v>
          </cell>
          <cell r="CK321">
            <v>0</v>
          </cell>
          <cell r="CL321">
            <v>0</v>
          </cell>
          <cell r="CM321">
            <v>0</v>
          </cell>
          <cell r="CN321">
            <v>0</v>
          </cell>
          <cell r="CO321">
            <v>0</v>
          </cell>
          <cell r="CX321">
            <v>0</v>
          </cell>
          <cell r="CY321">
            <v>0</v>
          </cell>
          <cell r="DB321">
            <v>0</v>
          </cell>
          <cell r="DC321">
            <v>0</v>
          </cell>
          <cell r="DJ321" t="str">
            <v>НКРКП</v>
          </cell>
          <cell r="DL321">
            <v>40942</v>
          </cell>
          <cell r="DM321">
            <v>28</v>
          </cell>
          <cell r="DT321">
            <v>940.52</v>
          </cell>
        </row>
        <row r="322">
          <cell r="W322">
            <v>698.28333333333342</v>
          </cell>
          <cell r="AF322">
            <v>39926</v>
          </cell>
          <cell r="AG322">
            <v>361</v>
          </cell>
          <cell r="AH322">
            <v>446.26115164580057</v>
          </cell>
          <cell r="AM322">
            <v>78.5</v>
          </cell>
          <cell r="AO322">
            <v>54815.241666666676</v>
          </cell>
          <cell r="AQ322">
            <v>35031.500404195343</v>
          </cell>
          <cell r="AU322">
            <v>0</v>
          </cell>
          <cell r="AW322">
            <v>0</v>
          </cell>
          <cell r="AY322">
            <v>25306.908924684936</v>
          </cell>
          <cell r="AZ322">
            <v>322.3810054099992</v>
          </cell>
          <cell r="BA322">
            <v>2278.7405791393749</v>
          </cell>
          <cell r="BB322">
            <v>29.028542409418787</v>
          </cell>
          <cell r="BC322">
            <v>0</v>
          </cell>
          <cell r="BD322">
            <v>0</v>
          </cell>
          <cell r="BG322">
            <v>0</v>
          </cell>
          <cell r="BH322">
            <v>0</v>
          </cell>
          <cell r="BI322">
            <v>1861.3094581709643</v>
          </cell>
          <cell r="BJ322">
            <v>23.710948511732028</v>
          </cell>
          <cell r="BK322">
            <v>0</v>
          </cell>
          <cell r="BL322">
            <v>0</v>
          </cell>
          <cell r="BM322">
            <v>4141.5584010446892</v>
          </cell>
          <cell r="BN322">
            <v>52.75870574579222</v>
          </cell>
          <cell r="BO322">
            <v>0</v>
          </cell>
          <cell r="BP322">
            <v>0</v>
          </cell>
          <cell r="BY322">
            <v>1997</v>
          </cell>
          <cell r="CF322">
            <v>11.813237915595723</v>
          </cell>
          <cell r="CG322">
            <v>2142.25</v>
          </cell>
          <cell r="CJ322">
            <v>0</v>
          </cell>
          <cell r="CK322">
            <v>0</v>
          </cell>
          <cell r="CL322">
            <v>0</v>
          </cell>
          <cell r="CM322">
            <v>0</v>
          </cell>
          <cell r="CN322">
            <v>0</v>
          </cell>
          <cell r="CO322">
            <v>0</v>
          </cell>
          <cell r="CX322">
            <v>0</v>
          </cell>
          <cell r="CY322">
            <v>0</v>
          </cell>
          <cell r="DB322">
            <v>0</v>
          </cell>
          <cell r="DC322">
            <v>0</v>
          </cell>
          <cell r="DJ322" t="str">
            <v>НКРКП</v>
          </cell>
          <cell r="DL322">
            <v>40942</v>
          </cell>
          <cell r="DM322">
            <v>28</v>
          </cell>
          <cell r="DT322">
            <v>940.52</v>
          </cell>
        </row>
        <row r="323">
          <cell r="W323">
            <v>234.73</v>
          </cell>
          <cell r="AF323">
            <v>39926</v>
          </cell>
          <cell r="AG323">
            <v>360</v>
          </cell>
          <cell r="AH323">
            <v>217.3449486691506</v>
          </cell>
          <cell r="AM323">
            <v>3730.7</v>
          </cell>
          <cell r="AO323">
            <v>875707.21099999989</v>
          </cell>
          <cell r="AQ323">
            <v>810848.8</v>
          </cell>
          <cell r="AU323">
            <v>0</v>
          </cell>
          <cell r="AW323">
            <v>0</v>
          </cell>
          <cell r="AY323">
            <v>430058.43983207073</v>
          </cell>
          <cell r="AZ323">
            <v>115.27553537729401</v>
          </cell>
          <cell r="BA323">
            <v>30712.488034351667</v>
          </cell>
          <cell r="BB323">
            <v>8.2323660531138039</v>
          </cell>
          <cell r="BC323">
            <v>0</v>
          </cell>
          <cell r="BD323">
            <v>0</v>
          </cell>
          <cell r="BG323">
            <v>0</v>
          </cell>
          <cell r="BH323">
            <v>0</v>
          </cell>
          <cell r="BI323">
            <v>84723.782398417345</v>
          </cell>
          <cell r="BJ323">
            <v>22.709888867616627</v>
          </cell>
          <cell r="BK323">
            <v>0</v>
          </cell>
          <cell r="BL323">
            <v>0</v>
          </cell>
          <cell r="BM323">
            <v>193914.56380368586</v>
          </cell>
          <cell r="BN323">
            <v>51.978064117641694</v>
          </cell>
          <cell r="BO323">
            <v>0</v>
          </cell>
          <cell r="BP323">
            <v>0</v>
          </cell>
          <cell r="BY323">
            <v>1997</v>
          </cell>
          <cell r="CF323">
            <v>591.29192079424558</v>
          </cell>
          <cell r="CG323">
            <v>727.32</v>
          </cell>
          <cell r="CJ323">
            <v>0</v>
          </cell>
          <cell r="CK323">
            <v>0</v>
          </cell>
          <cell r="CL323">
            <v>0</v>
          </cell>
          <cell r="CM323">
            <v>0</v>
          </cell>
          <cell r="CN323">
            <v>0</v>
          </cell>
          <cell r="CO323">
            <v>0</v>
          </cell>
          <cell r="CX323">
            <v>0</v>
          </cell>
          <cell r="CY323">
            <v>0</v>
          </cell>
          <cell r="DB323">
            <v>0</v>
          </cell>
          <cell r="DC323">
            <v>0</v>
          </cell>
          <cell r="DJ323" t="str">
            <v>НКРЕ</v>
          </cell>
          <cell r="DL323">
            <v>40526</v>
          </cell>
          <cell r="DM323">
            <v>1854</v>
          </cell>
          <cell r="DO323" t="str">
            <v>тариф на теплову енергію</v>
          </cell>
          <cell r="DT323">
            <v>258.2</v>
          </cell>
        </row>
        <row r="324">
          <cell r="W324">
            <v>481.96</v>
          </cell>
          <cell r="AF324">
            <v>39926</v>
          </cell>
          <cell r="AG324">
            <v>361</v>
          </cell>
          <cell r="AH324">
            <v>446.26057368075323</v>
          </cell>
          <cell r="AM324">
            <v>4567</v>
          </cell>
          <cell r="AO324">
            <v>2201111.3199999998</v>
          </cell>
          <cell r="AQ324">
            <v>2038072.04</v>
          </cell>
          <cell r="AU324">
            <v>0</v>
          </cell>
          <cell r="AW324">
            <v>0</v>
          </cell>
          <cell r="AY324">
            <v>1472325.5799999998</v>
          </cell>
          <cell r="AZ324">
            <v>322.38352966936719</v>
          </cell>
          <cell r="BA324">
            <v>132573.20000000001</v>
          </cell>
          <cell r="BB324">
            <v>29.028508867965844</v>
          </cell>
          <cell r="BC324">
            <v>0</v>
          </cell>
          <cell r="BD324">
            <v>0</v>
          </cell>
          <cell r="BG324">
            <v>0</v>
          </cell>
          <cell r="BH324">
            <v>0</v>
          </cell>
          <cell r="BI324">
            <v>108287.76</v>
          </cell>
          <cell r="BJ324">
            <v>23.710917451280928</v>
          </cell>
          <cell r="BK324">
            <v>0</v>
          </cell>
          <cell r="BL324">
            <v>0</v>
          </cell>
          <cell r="BM324">
            <v>240948.7</v>
          </cell>
          <cell r="BN324">
            <v>52.75863805561638</v>
          </cell>
          <cell r="BO324">
            <v>0</v>
          </cell>
          <cell r="BP324">
            <v>0</v>
          </cell>
          <cell r="BY324">
            <v>1997</v>
          </cell>
          <cell r="CF324">
            <v>687.28</v>
          </cell>
          <cell r="CG324">
            <v>2142.25</v>
          </cell>
          <cell r="CJ324">
            <v>0</v>
          </cell>
          <cell r="CK324">
            <v>0</v>
          </cell>
          <cell r="CL324">
            <v>0</v>
          </cell>
          <cell r="CM324">
            <v>0</v>
          </cell>
          <cell r="CN324">
            <v>0</v>
          </cell>
          <cell r="CO324">
            <v>0</v>
          </cell>
          <cell r="CX324">
            <v>0</v>
          </cell>
          <cell r="CY324">
            <v>0</v>
          </cell>
          <cell r="DB324">
            <v>0</v>
          </cell>
          <cell r="DC324">
            <v>0</v>
          </cell>
          <cell r="DJ324" t="str">
            <v>НКРКП</v>
          </cell>
          <cell r="DL324">
            <v>40942</v>
          </cell>
          <cell r="DM324">
            <v>28</v>
          </cell>
          <cell r="DT324">
            <v>758.64</v>
          </cell>
        </row>
        <row r="325">
          <cell r="W325">
            <v>481.96</v>
          </cell>
          <cell r="AF325">
            <v>39926</v>
          </cell>
          <cell r="AG325">
            <v>361</v>
          </cell>
          <cell r="AH325">
            <v>446.26300167068098</v>
          </cell>
          <cell r="AM325">
            <v>164.7</v>
          </cell>
          <cell r="AO325">
            <v>79378.811999999991</v>
          </cell>
          <cell r="AQ325">
            <v>73499.516375161154</v>
          </cell>
          <cell r="AU325">
            <v>0</v>
          </cell>
          <cell r="AW325">
            <v>0</v>
          </cell>
          <cell r="AY325">
            <v>53096.371706986174</v>
          </cell>
          <cell r="AZ325">
            <v>322.38234187605451</v>
          </cell>
          <cell r="BA325">
            <v>4781.0207549985689</v>
          </cell>
          <cell r="BB325">
            <v>29.028662750446685</v>
          </cell>
          <cell r="BC325">
            <v>0</v>
          </cell>
          <cell r="BD325">
            <v>0</v>
          </cell>
          <cell r="BG325">
            <v>0</v>
          </cell>
          <cell r="BH325">
            <v>0</v>
          </cell>
          <cell r="BI325">
            <v>3905.2094092919706</v>
          </cell>
          <cell r="BJ325">
            <v>23.711046808087254</v>
          </cell>
          <cell r="BK325">
            <v>0</v>
          </cell>
          <cell r="BL325">
            <v>0</v>
          </cell>
          <cell r="BM325">
            <v>8689.3948590285163</v>
          </cell>
          <cell r="BN325">
            <v>52.758924462832525</v>
          </cell>
          <cell r="BO325">
            <v>0</v>
          </cell>
          <cell r="BP325">
            <v>0</v>
          </cell>
          <cell r="BY325">
            <v>1997</v>
          </cell>
          <cell r="CF325">
            <v>24.785329306563742</v>
          </cell>
          <cell r="CG325">
            <v>2142.25</v>
          </cell>
          <cell r="CJ325">
            <v>0</v>
          </cell>
          <cell r="CK325">
            <v>0</v>
          </cell>
          <cell r="CL325">
            <v>0</v>
          </cell>
          <cell r="CM325">
            <v>0</v>
          </cell>
          <cell r="CN325">
            <v>0</v>
          </cell>
          <cell r="CO325">
            <v>0</v>
          </cell>
          <cell r="CX325">
            <v>0</v>
          </cell>
          <cell r="CY325">
            <v>0</v>
          </cell>
          <cell r="DB325">
            <v>0</v>
          </cell>
          <cell r="DC325">
            <v>0</v>
          </cell>
          <cell r="DJ325" t="str">
            <v>НКРКП</v>
          </cell>
          <cell r="DL325">
            <v>40942</v>
          </cell>
          <cell r="DM325">
            <v>28</v>
          </cell>
          <cell r="DT325">
            <v>758.64</v>
          </cell>
        </row>
        <row r="326">
          <cell r="W326">
            <v>234.73</v>
          </cell>
          <cell r="AF326">
            <v>39926</v>
          </cell>
          <cell r="AG326">
            <v>360</v>
          </cell>
          <cell r="AH326">
            <v>217.34493941989962</v>
          </cell>
          <cell r="AM326">
            <v>1634.2</v>
          </cell>
          <cell r="AO326">
            <v>383595.766</v>
          </cell>
          <cell r="AQ326">
            <v>355185.1</v>
          </cell>
          <cell r="AU326">
            <v>0</v>
          </cell>
          <cell r="AW326">
            <v>0</v>
          </cell>
          <cell r="AY326">
            <v>188383.1532</v>
          </cell>
          <cell r="AZ326">
            <v>115.27545783869783</v>
          </cell>
          <cell r="BA326">
            <v>13453.3</v>
          </cell>
          <cell r="BB326">
            <v>8.2323461020682895</v>
          </cell>
          <cell r="BC326">
            <v>0</v>
          </cell>
          <cell r="BD326">
            <v>0</v>
          </cell>
          <cell r="BG326">
            <v>0</v>
          </cell>
          <cell r="BH326">
            <v>0</v>
          </cell>
          <cell r="BI326">
            <v>37112.5</v>
          </cell>
          <cell r="BJ326">
            <v>22.709888630522578</v>
          </cell>
          <cell r="BK326">
            <v>0</v>
          </cell>
          <cell r="BL326">
            <v>0</v>
          </cell>
          <cell r="BM326">
            <v>84942.5</v>
          </cell>
          <cell r="BN326">
            <v>51.978032064618773</v>
          </cell>
          <cell r="BO326">
            <v>0</v>
          </cell>
          <cell r="BP326">
            <v>0</v>
          </cell>
          <cell r="BY326">
            <v>1997</v>
          </cell>
          <cell r="CF326">
            <v>259.01</v>
          </cell>
          <cell r="CG326">
            <v>727.32</v>
          </cell>
          <cell r="CJ326">
            <v>0</v>
          </cell>
          <cell r="CK326">
            <v>0</v>
          </cell>
          <cell r="CL326">
            <v>0</v>
          </cell>
          <cell r="CM326">
            <v>0</v>
          </cell>
          <cell r="CN326">
            <v>0</v>
          </cell>
          <cell r="CO326">
            <v>0</v>
          </cell>
          <cell r="CX326">
            <v>0</v>
          </cell>
          <cell r="CY326">
            <v>0</v>
          </cell>
          <cell r="DB326">
            <v>0</v>
          </cell>
          <cell r="DC326">
            <v>0</v>
          </cell>
          <cell r="DJ326" t="str">
            <v>НКРЕ</v>
          </cell>
          <cell r="DL326">
            <v>40526</v>
          </cell>
          <cell r="DM326">
            <v>1854</v>
          </cell>
          <cell r="DO326" t="str">
            <v>тариф на теплову енергію</v>
          </cell>
          <cell r="DT326">
            <v>258.2</v>
          </cell>
        </row>
        <row r="327">
          <cell r="W327">
            <v>481.96</v>
          </cell>
          <cell r="AF327">
            <v>39926</v>
          </cell>
          <cell r="AG327">
            <v>361</v>
          </cell>
          <cell r="AH327">
            <v>446.26057359763814</v>
          </cell>
          <cell r="AM327">
            <v>4742</v>
          </cell>
          <cell r="AO327">
            <v>2285454.3199999998</v>
          </cell>
          <cell r="AQ327">
            <v>2116167.64</v>
          </cell>
          <cell r="AU327">
            <v>0</v>
          </cell>
          <cell r="AW327">
            <v>0</v>
          </cell>
          <cell r="AY327">
            <v>1528752.4450000001</v>
          </cell>
          <cell r="AZ327">
            <v>322.38558519611979</v>
          </cell>
          <cell r="BA327">
            <v>137653.19</v>
          </cell>
          <cell r="BB327">
            <v>29.028509067903837</v>
          </cell>
          <cell r="BC327">
            <v>0</v>
          </cell>
          <cell r="BD327">
            <v>0</v>
          </cell>
          <cell r="BG327">
            <v>0</v>
          </cell>
          <cell r="BH327">
            <v>0</v>
          </cell>
          <cell r="BI327">
            <v>112437.17</v>
          </cell>
          <cell r="BJ327">
            <v>23.710917334458035</v>
          </cell>
          <cell r="BK327">
            <v>0</v>
          </cell>
          <cell r="BL327">
            <v>0</v>
          </cell>
          <cell r="BM327">
            <v>250181.46</v>
          </cell>
          <cell r="BN327">
            <v>52.758637705609445</v>
          </cell>
          <cell r="BO327">
            <v>0</v>
          </cell>
          <cell r="BP327">
            <v>0</v>
          </cell>
          <cell r="BY327">
            <v>1997</v>
          </cell>
          <cell r="CF327">
            <v>713.62</v>
          </cell>
          <cell r="CG327">
            <v>2142.25</v>
          </cell>
          <cell r="CJ327">
            <v>0</v>
          </cell>
          <cell r="CK327">
            <v>0</v>
          </cell>
          <cell r="CL327">
            <v>0</v>
          </cell>
          <cell r="CM327">
            <v>0</v>
          </cell>
          <cell r="CN327">
            <v>0</v>
          </cell>
          <cell r="CO327">
            <v>0</v>
          </cell>
          <cell r="CX327">
            <v>0</v>
          </cell>
          <cell r="CY327">
            <v>0</v>
          </cell>
          <cell r="DB327">
            <v>0</v>
          </cell>
          <cell r="DC327">
            <v>0</v>
          </cell>
          <cell r="DJ327" t="str">
            <v>НКРКП</v>
          </cell>
          <cell r="DL327">
            <v>40942</v>
          </cell>
          <cell r="DM327">
            <v>28</v>
          </cell>
          <cell r="DT327">
            <v>758.64</v>
          </cell>
        </row>
        <row r="328">
          <cell r="W328">
            <v>234.73</v>
          </cell>
          <cell r="AF328">
            <v>39926</v>
          </cell>
          <cell r="AG328">
            <v>360</v>
          </cell>
          <cell r="AH328">
            <v>217.34494737464524</v>
          </cell>
          <cell r="AM328">
            <v>6764.8</v>
          </cell>
          <cell r="AO328">
            <v>1587901.504</v>
          </cell>
          <cell r="AQ328">
            <v>1470295.1</v>
          </cell>
          <cell r="AU328">
            <v>0</v>
          </cell>
          <cell r="AW328">
            <v>0</v>
          </cell>
          <cell r="AY328">
            <v>779817.95760000008</v>
          </cell>
          <cell r="AZ328">
            <v>115.27583337275308</v>
          </cell>
          <cell r="BA328">
            <v>55690.3</v>
          </cell>
          <cell r="BB328">
            <v>8.2323645931882687</v>
          </cell>
          <cell r="BC328">
            <v>0</v>
          </cell>
          <cell r="BD328">
            <v>0</v>
          </cell>
          <cell r="BG328">
            <v>0</v>
          </cell>
          <cell r="BH328">
            <v>0</v>
          </cell>
          <cell r="BI328">
            <v>153627.9</v>
          </cell>
          <cell r="BJ328">
            <v>22.709895340586563</v>
          </cell>
          <cell r="BK328">
            <v>0</v>
          </cell>
          <cell r="BL328">
            <v>0</v>
          </cell>
          <cell r="BM328">
            <v>351621.2</v>
          </cell>
          <cell r="BN328">
            <v>51.978062913907287</v>
          </cell>
          <cell r="BO328">
            <v>0</v>
          </cell>
          <cell r="BP328">
            <v>0</v>
          </cell>
          <cell r="BY328">
            <v>1997</v>
          </cell>
          <cell r="CF328">
            <v>1072.18</v>
          </cell>
          <cell r="CG328">
            <v>727.32</v>
          </cell>
          <cell r="CJ328">
            <v>0</v>
          </cell>
          <cell r="CK328">
            <v>0</v>
          </cell>
          <cell r="CL328">
            <v>0</v>
          </cell>
          <cell r="CM328">
            <v>0</v>
          </cell>
          <cell r="CN328">
            <v>0</v>
          </cell>
          <cell r="CO328">
            <v>0</v>
          </cell>
          <cell r="CX328">
            <v>0</v>
          </cell>
          <cell r="CY328">
            <v>0</v>
          </cell>
          <cell r="DB328">
            <v>0</v>
          </cell>
          <cell r="DC328">
            <v>0</v>
          </cell>
          <cell r="DJ328" t="str">
            <v>НКРЕ</v>
          </cell>
          <cell r="DL328">
            <v>40526</v>
          </cell>
          <cell r="DM328">
            <v>1854</v>
          </cell>
          <cell r="DO328" t="str">
            <v>тариф на теплову енергію</v>
          </cell>
          <cell r="DT328">
            <v>258.2</v>
          </cell>
        </row>
        <row r="329">
          <cell r="W329">
            <v>481.96</v>
          </cell>
          <cell r="AF329">
            <v>39926</v>
          </cell>
          <cell r="AG329">
            <v>361</v>
          </cell>
          <cell r="AH329">
            <v>446.26055312954878</v>
          </cell>
          <cell r="AM329">
            <v>343.5</v>
          </cell>
          <cell r="AO329">
            <v>165553.25999999998</v>
          </cell>
          <cell r="AQ329">
            <v>153290.5</v>
          </cell>
          <cell r="AU329">
            <v>0</v>
          </cell>
          <cell r="AW329">
            <v>0</v>
          </cell>
          <cell r="AY329">
            <v>110738.686575</v>
          </cell>
          <cell r="AZ329">
            <v>322.38336703056768</v>
          </cell>
          <cell r="BA329">
            <v>9971.2999999999993</v>
          </cell>
          <cell r="BB329">
            <v>29.02852983988355</v>
          </cell>
          <cell r="BC329">
            <v>0</v>
          </cell>
          <cell r="BD329">
            <v>0</v>
          </cell>
          <cell r="BG329">
            <v>0</v>
          </cell>
          <cell r="BH329">
            <v>0</v>
          </cell>
          <cell r="BI329">
            <v>8144.7</v>
          </cell>
          <cell r="BJ329">
            <v>23.710917030567686</v>
          </cell>
          <cell r="BK329">
            <v>0</v>
          </cell>
          <cell r="BL329">
            <v>0</v>
          </cell>
          <cell r="BM329">
            <v>18122.599999999999</v>
          </cell>
          <cell r="BN329">
            <v>52.758660844250358</v>
          </cell>
          <cell r="BO329">
            <v>0</v>
          </cell>
          <cell r="BP329">
            <v>0</v>
          </cell>
          <cell r="BY329">
            <v>1997</v>
          </cell>
          <cell r="CF329">
            <v>51.692700000000002</v>
          </cell>
          <cell r="CG329">
            <v>2142.25</v>
          </cell>
          <cell r="CJ329">
            <v>0</v>
          </cell>
          <cell r="CK329">
            <v>0</v>
          </cell>
          <cell r="CL329">
            <v>0</v>
          </cell>
          <cell r="CM329">
            <v>0</v>
          </cell>
          <cell r="CN329">
            <v>0</v>
          </cell>
          <cell r="CO329">
            <v>0</v>
          </cell>
          <cell r="CX329">
            <v>0</v>
          </cell>
          <cell r="CY329">
            <v>0</v>
          </cell>
          <cell r="DB329">
            <v>0</v>
          </cell>
          <cell r="DC329">
            <v>0</v>
          </cell>
          <cell r="DJ329" t="str">
            <v>НКРКП</v>
          </cell>
          <cell r="DL329">
            <v>40942</v>
          </cell>
          <cell r="DM329">
            <v>28</v>
          </cell>
          <cell r="DT329">
            <v>758.64</v>
          </cell>
        </row>
        <row r="330">
          <cell r="W330">
            <v>481.96</v>
          </cell>
          <cell r="AF330">
            <v>39926</v>
          </cell>
          <cell r="AG330">
            <v>361</v>
          </cell>
          <cell r="AH330">
            <v>446.26455026455028</v>
          </cell>
          <cell r="AM330">
            <v>18.899999999999999</v>
          </cell>
          <cell r="AO330">
            <v>9109.0439999999981</v>
          </cell>
          <cell r="AQ330">
            <v>8434.4</v>
          </cell>
          <cell r="AU330">
            <v>0</v>
          </cell>
          <cell r="AW330">
            <v>0</v>
          </cell>
          <cell r="AY330">
            <v>6093.0302949999996</v>
          </cell>
          <cell r="AZ330">
            <v>322.3825552910053</v>
          </cell>
          <cell r="BA330">
            <v>548.64</v>
          </cell>
          <cell r="BB330">
            <v>29.028571428571428</v>
          </cell>
          <cell r="BC330">
            <v>0</v>
          </cell>
          <cell r="BD330">
            <v>0</v>
          </cell>
          <cell r="BG330">
            <v>0</v>
          </cell>
          <cell r="BH330">
            <v>0</v>
          </cell>
          <cell r="BI330">
            <v>448.14</v>
          </cell>
          <cell r="BJ330">
            <v>23.711111111111112</v>
          </cell>
          <cell r="BK330">
            <v>0</v>
          </cell>
          <cell r="BL330">
            <v>0</v>
          </cell>
          <cell r="BM330">
            <v>997.14</v>
          </cell>
          <cell r="BN330">
            <v>52.75873015873016</v>
          </cell>
          <cell r="BO330">
            <v>0</v>
          </cell>
          <cell r="BP330">
            <v>0</v>
          </cell>
          <cell r="BY330">
            <v>1997</v>
          </cell>
          <cell r="CF330">
            <v>2.84422</v>
          </cell>
          <cell r="CG330">
            <v>2142.25</v>
          </cell>
          <cell r="CJ330">
            <v>0</v>
          </cell>
          <cell r="CK330">
            <v>0</v>
          </cell>
          <cell r="CL330">
            <v>0</v>
          </cell>
          <cell r="CM330">
            <v>0</v>
          </cell>
          <cell r="CN330">
            <v>0</v>
          </cell>
          <cell r="CO330">
            <v>0</v>
          </cell>
          <cell r="CX330">
            <v>0</v>
          </cell>
          <cell r="CY330">
            <v>0</v>
          </cell>
          <cell r="DB330">
            <v>0</v>
          </cell>
          <cell r="DC330">
            <v>0</v>
          </cell>
          <cell r="DJ330" t="str">
            <v>НКРКП</v>
          </cell>
          <cell r="DL330">
            <v>40942</v>
          </cell>
          <cell r="DM330">
            <v>28</v>
          </cell>
          <cell r="DT330">
            <v>758.64</v>
          </cell>
        </row>
        <row r="331">
          <cell r="W331">
            <v>226.21666666666667</v>
          </cell>
          <cell r="AF331">
            <v>39926</v>
          </cell>
          <cell r="AG331">
            <v>362</v>
          </cell>
          <cell r="AH331">
            <v>225.8994713378963</v>
          </cell>
          <cell r="AM331">
            <v>73493.5</v>
          </cell>
          <cell r="AO331">
            <v>16625454.591666667</v>
          </cell>
          <cell r="AQ331">
            <v>16602142.796771681</v>
          </cell>
          <cell r="AU331">
            <v>0</v>
          </cell>
          <cell r="AW331">
            <v>0</v>
          </cell>
          <cell r="AY331">
            <v>7974808.499723372</v>
          </cell>
          <cell r="AZ331">
            <v>108.51039207172569</v>
          </cell>
          <cell r="BA331">
            <v>0</v>
          </cell>
          <cell r="BB331">
            <v>0</v>
          </cell>
          <cell r="BC331">
            <v>0</v>
          </cell>
          <cell r="BD331">
            <v>0</v>
          </cell>
          <cell r="BG331">
            <v>0</v>
          </cell>
          <cell r="BH331">
            <v>0</v>
          </cell>
          <cell r="BI331">
            <v>1734551.020588544</v>
          </cell>
          <cell r="BJ331">
            <v>23.601420813929721</v>
          </cell>
          <cell r="BK331">
            <v>0</v>
          </cell>
          <cell r="BL331">
            <v>0</v>
          </cell>
          <cell r="BM331">
            <v>5344365.0826966744</v>
          </cell>
          <cell r="BN331">
            <v>72.718881026167949</v>
          </cell>
          <cell r="BO331">
            <v>0</v>
          </cell>
          <cell r="BP331">
            <v>0</v>
          </cell>
          <cell r="BY331">
            <v>2017</v>
          </cell>
          <cell r="CF331">
            <v>10964.648984935615</v>
          </cell>
          <cell r="CG331">
            <v>727.32</v>
          </cell>
          <cell r="CJ331">
            <v>0</v>
          </cell>
          <cell r="CK331">
            <v>0</v>
          </cell>
          <cell r="CL331">
            <v>0</v>
          </cell>
          <cell r="CM331">
            <v>0</v>
          </cell>
          <cell r="CN331">
            <v>0</v>
          </cell>
          <cell r="CO331">
            <v>0</v>
          </cell>
          <cell r="CX331">
            <v>0</v>
          </cell>
          <cell r="CY331">
            <v>0</v>
          </cell>
          <cell r="DB331">
            <v>0</v>
          </cell>
          <cell r="DC331">
            <v>0</v>
          </cell>
          <cell r="DJ331" t="str">
            <v>НКРЕ</v>
          </cell>
          <cell r="DL331">
            <v>40526</v>
          </cell>
          <cell r="DM331">
            <v>1854</v>
          </cell>
          <cell r="DO331" t="str">
            <v>Тариф на теплову енергію</v>
          </cell>
          <cell r="DT331">
            <v>248.49</v>
          </cell>
        </row>
        <row r="332">
          <cell r="W332">
            <v>641.45833333333337</v>
          </cell>
          <cell r="AF332">
            <v>39926</v>
          </cell>
          <cell r="AG332">
            <v>363</v>
          </cell>
          <cell r="AH332">
            <v>438.8426148860575</v>
          </cell>
          <cell r="AM332">
            <v>6524.7</v>
          </cell>
          <cell r="AO332">
            <v>4185323.1875</v>
          </cell>
          <cell r="AQ332">
            <v>2863316.4093470592</v>
          </cell>
          <cell r="AU332">
            <v>0</v>
          </cell>
          <cell r="AW332">
            <v>0</v>
          </cell>
          <cell r="AY332">
            <v>2099668.3997759041</v>
          </cell>
          <cell r="AZ332">
            <v>321.80305604486097</v>
          </cell>
          <cell r="BA332">
            <v>0</v>
          </cell>
          <cell r="BB332">
            <v>0</v>
          </cell>
          <cell r="BC332">
            <v>0</v>
          </cell>
          <cell r="BD332">
            <v>0</v>
          </cell>
          <cell r="BG332">
            <v>0</v>
          </cell>
          <cell r="BH332">
            <v>0</v>
          </cell>
          <cell r="BI332">
            <v>140367.28232101721</v>
          </cell>
          <cell r="BJ332">
            <v>21.513216289027419</v>
          </cell>
          <cell r="BK332">
            <v>0</v>
          </cell>
          <cell r="BL332">
            <v>0</v>
          </cell>
          <cell r="BM332">
            <v>474444.201192134</v>
          </cell>
          <cell r="BN332">
            <v>72.715098194880071</v>
          </cell>
          <cell r="BO332">
            <v>0</v>
          </cell>
          <cell r="BP332">
            <v>0</v>
          </cell>
          <cell r="BY332">
            <v>2017</v>
          </cell>
          <cell r="CF332">
            <v>980.1229547325961</v>
          </cell>
          <cell r="CG332">
            <v>2142.25</v>
          </cell>
          <cell r="CJ332">
            <v>0</v>
          </cell>
          <cell r="CK332">
            <v>0</v>
          </cell>
          <cell r="CL332">
            <v>0</v>
          </cell>
          <cell r="CM332">
            <v>0</v>
          </cell>
          <cell r="CN332">
            <v>0</v>
          </cell>
          <cell r="CO332">
            <v>0</v>
          </cell>
          <cell r="CX332">
            <v>0</v>
          </cell>
          <cell r="CY332">
            <v>0</v>
          </cell>
          <cell r="DB332">
            <v>0</v>
          </cell>
          <cell r="DC332">
            <v>0</v>
          </cell>
          <cell r="DJ332" t="str">
            <v>НКРКП</v>
          </cell>
          <cell r="DL332">
            <v>40942</v>
          </cell>
          <cell r="DM332">
            <v>28</v>
          </cell>
          <cell r="DT332">
            <v>715.75</v>
          </cell>
        </row>
        <row r="333">
          <cell r="W333">
            <v>641.45833333333337</v>
          </cell>
          <cell r="AF333">
            <v>39926</v>
          </cell>
          <cell r="AG333">
            <v>363</v>
          </cell>
          <cell r="AH333">
            <v>438.84265075376885</v>
          </cell>
          <cell r="AM333">
            <v>1704.4</v>
          </cell>
          <cell r="AO333">
            <v>1093301.5833333335</v>
          </cell>
          <cell r="AQ333">
            <v>747963.41394472367</v>
          </cell>
          <cell r="AU333">
            <v>0</v>
          </cell>
          <cell r="AW333">
            <v>0</v>
          </cell>
          <cell r="AY333">
            <v>548481.12872286094</v>
          </cell>
          <cell r="AZ333">
            <v>321.80305604486091</v>
          </cell>
          <cell r="BA333">
            <v>0</v>
          </cell>
          <cell r="BB333">
            <v>0</v>
          </cell>
          <cell r="BC333">
            <v>0</v>
          </cell>
          <cell r="BD333">
            <v>0</v>
          </cell>
          <cell r="BG333">
            <v>0</v>
          </cell>
          <cell r="BH333">
            <v>0</v>
          </cell>
          <cell r="BI333">
            <v>36667.171880234506</v>
          </cell>
          <cell r="BJ333">
            <v>21.513243299832496</v>
          </cell>
          <cell r="BK333">
            <v>0</v>
          </cell>
          <cell r="BL333">
            <v>0</v>
          </cell>
          <cell r="BM333">
            <v>123935.68153266332</v>
          </cell>
          <cell r="BN333">
            <v>72.715138190954775</v>
          </cell>
          <cell r="BO333">
            <v>0</v>
          </cell>
          <cell r="BP333">
            <v>0</v>
          </cell>
          <cell r="BY333">
            <v>2017</v>
          </cell>
          <cell r="CF333">
            <v>256.03040201790685</v>
          </cell>
          <cell r="CG333">
            <v>2142.25</v>
          </cell>
          <cell r="CJ333">
            <v>0</v>
          </cell>
          <cell r="CK333">
            <v>0</v>
          </cell>
          <cell r="CL333">
            <v>0</v>
          </cell>
          <cell r="CM333">
            <v>0</v>
          </cell>
          <cell r="CN333">
            <v>0</v>
          </cell>
          <cell r="CO333">
            <v>0</v>
          </cell>
          <cell r="CX333">
            <v>0</v>
          </cell>
          <cell r="CY333">
            <v>0</v>
          </cell>
          <cell r="DB333">
            <v>0</v>
          </cell>
          <cell r="DC333">
            <v>0</v>
          </cell>
          <cell r="DJ333" t="str">
            <v>НКРКП</v>
          </cell>
          <cell r="DL333">
            <v>40942</v>
          </cell>
          <cell r="DM333">
            <v>28</v>
          </cell>
          <cell r="DT333">
            <v>715.75</v>
          </cell>
        </row>
        <row r="334">
          <cell r="W334">
            <v>243.97</v>
          </cell>
          <cell r="AF334">
            <v>39926</v>
          </cell>
          <cell r="AG334">
            <v>362</v>
          </cell>
          <cell r="AH334">
            <v>225.89504916227472</v>
          </cell>
          <cell r="AM334">
            <v>955</v>
          </cell>
          <cell r="AO334">
            <v>232991.35</v>
          </cell>
          <cell r="AQ334">
            <v>215729.77194997235</v>
          </cell>
          <cell r="AU334">
            <v>0</v>
          </cell>
          <cell r="AW334">
            <v>0</v>
          </cell>
          <cell r="AY334">
            <v>103625.39583291365</v>
          </cell>
          <cell r="AZ334">
            <v>108.5082678878677</v>
          </cell>
          <cell r="BA334">
            <v>0</v>
          </cell>
          <cell r="BB334">
            <v>0</v>
          </cell>
          <cell r="BC334">
            <v>0</v>
          </cell>
          <cell r="BD334">
            <v>0</v>
          </cell>
          <cell r="BG334">
            <v>0</v>
          </cell>
          <cell r="BH334">
            <v>0</v>
          </cell>
          <cell r="BI334">
            <v>22538.915650088333</v>
          </cell>
          <cell r="BJ334">
            <v>23.600958795904013</v>
          </cell>
          <cell r="BK334">
            <v>0</v>
          </cell>
          <cell r="BL334">
            <v>0</v>
          </cell>
          <cell r="BM334">
            <v>69445.171904661838</v>
          </cell>
          <cell r="BN334">
            <v>72.717457491792501</v>
          </cell>
          <cell r="BO334">
            <v>0</v>
          </cell>
          <cell r="BP334">
            <v>0</v>
          </cell>
          <cell r="BY334">
            <v>2017</v>
          </cell>
          <cell r="CF334">
            <v>142.47565835246334</v>
          </cell>
          <cell r="CG334">
            <v>727.32</v>
          </cell>
          <cell r="CJ334">
            <v>0</v>
          </cell>
          <cell r="CK334">
            <v>0</v>
          </cell>
          <cell r="CL334">
            <v>0</v>
          </cell>
          <cell r="CM334">
            <v>0</v>
          </cell>
          <cell r="CN334">
            <v>0</v>
          </cell>
          <cell r="CO334">
            <v>0</v>
          </cell>
          <cell r="CX334">
            <v>0</v>
          </cell>
          <cell r="CY334">
            <v>0</v>
          </cell>
          <cell r="DB334">
            <v>0</v>
          </cell>
          <cell r="DC334">
            <v>0</v>
          </cell>
          <cell r="DJ334" t="str">
            <v>НКРЕ</v>
          </cell>
          <cell r="DL334">
            <v>40526</v>
          </cell>
          <cell r="DM334">
            <v>1854</v>
          </cell>
          <cell r="DO334" t="str">
            <v>Тариф на теплову енергію</v>
          </cell>
          <cell r="DT334">
            <v>268.37</v>
          </cell>
        </row>
        <row r="335">
          <cell r="W335">
            <v>243.97</v>
          </cell>
          <cell r="AF335">
            <v>39926</v>
          </cell>
          <cell r="AG335">
            <v>362</v>
          </cell>
          <cell r="AH335">
            <v>225.89504916227472</v>
          </cell>
          <cell r="AM335">
            <v>14369.7</v>
          </cell>
          <cell r="AO335">
            <v>3505775.7090000003</v>
          </cell>
          <cell r="AQ335">
            <v>3246044.0879471391</v>
          </cell>
          <cell r="AU335">
            <v>0</v>
          </cell>
          <cell r="AW335">
            <v>0</v>
          </cell>
          <cell r="AY335">
            <v>1559231.2570682925</v>
          </cell>
          <cell r="AZ335">
            <v>108.50826788786769</v>
          </cell>
          <cell r="BA335">
            <v>0</v>
          </cell>
          <cell r="BB335">
            <v>0</v>
          </cell>
          <cell r="BC335">
            <v>0</v>
          </cell>
          <cell r="BD335">
            <v>0</v>
          </cell>
          <cell r="BG335">
            <v>0</v>
          </cell>
          <cell r="BH335">
            <v>0</v>
          </cell>
          <cell r="BI335">
            <v>339138.69760950189</v>
          </cell>
          <cell r="BJ335">
            <v>23.600958795904013</v>
          </cell>
          <cell r="BK335">
            <v>0</v>
          </cell>
          <cell r="BL335">
            <v>0</v>
          </cell>
          <cell r="BM335">
            <v>1044928.0489198108</v>
          </cell>
          <cell r="BN335">
            <v>72.717457491792501</v>
          </cell>
          <cell r="BO335">
            <v>0</v>
          </cell>
          <cell r="BP335">
            <v>0</v>
          </cell>
          <cell r="BY335">
            <v>2017</v>
          </cell>
          <cell r="CF335">
            <v>2143.8036312328718</v>
          </cell>
          <cell r="CG335">
            <v>727.32</v>
          </cell>
          <cell r="CJ335">
            <v>0</v>
          </cell>
          <cell r="CK335">
            <v>0</v>
          </cell>
          <cell r="CL335">
            <v>0</v>
          </cell>
          <cell r="CM335">
            <v>0</v>
          </cell>
          <cell r="CN335">
            <v>0</v>
          </cell>
          <cell r="CO335">
            <v>0</v>
          </cell>
          <cell r="CX335">
            <v>0</v>
          </cell>
          <cell r="CY335">
            <v>0</v>
          </cell>
          <cell r="DB335">
            <v>0</v>
          </cell>
          <cell r="DC335">
            <v>0</v>
          </cell>
          <cell r="DJ335" t="str">
            <v>НКРЕ</v>
          </cell>
          <cell r="DL335">
            <v>40526</v>
          </cell>
          <cell r="DM335">
            <v>1854</v>
          </cell>
          <cell r="DO335" t="str">
            <v>Тариф на теплову енергію</v>
          </cell>
          <cell r="DT335">
            <v>248.49</v>
          </cell>
        </row>
        <row r="336">
          <cell r="W336">
            <v>473.95</v>
          </cell>
          <cell r="AF336">
            <v>39926</v>
          </cell>
          <cell r="AG336">
            <v>363</v>
          </cell>
          <cell r="AH336">
            <v>438.8426148860575</v>
          </cell>
          <cell r="AM336">
            <v>1159</v>
          </cell>
          <cell r="AO336">
            <v>549308.04999999993</v>
          </cell>
          <cell r="AQ336">
            <v>508618.59065294062</v>
          </cell>
          <cell r="AU336">
            <v>0</v>
          </cell>
          <cell r="AW336">
            <v>0</v>
          </cell>
          <cell r="AY336">
            <v>372969.74195599381</v>
          </cell>
          <cell r="AZ336">
            <v>321.80305604486091</v>
          </cell>
          <cell r="BA336">
            <v>0</v>
          </cell>
          <cell r="BB336">
            <v>0</v>
          </cell>
          <cell r="BC336">
            <v>0</v>
          </cell>
          <cell r="BD336">
            <v>0</v>
          </cell>
          <cell r="BG336">
            <v>0</v>
          </cell>
          <cell r="BH336">
            <v>0</v>
          </cell>
          <cell r="BI336">
            <v>24933.817678982781</v>
          </cell>
          <cell r="BJ336">
            <v>21.513216289027422</v>
          </cell>
          <cell r="BK336">
            <v>0</v>
          </cell>
          <cell r="BL336">
            <v>0</v>
          </cell>
          <cell r="BM336">
            <v>84276.798807865998</v>
          </cell>
          <cell r="BN336">
            <v>72.715098194880071</v>
          </cell>
          <cell r="BO336">
            <v>0</v>
          </cell>
          <cell r="BP336">
            <v>0</v>
          </cell>
          <cell r="BY336">
            <v>2017</v>
          </cell>
          <cell r="CF336">
            <v>174.10187511074517</v>
          </cell>
          <cell r="CG336">
            <v>2142.25</v>
          </cell>
          <cell r="CJ336">
            <v>0</v>
          </cell>
          <cell r="CK336">
            <v>0</v>
          </cell>
          <cell r="CL336">
            <v>0</v>
          </cell>
          <cell r="CM336">
            <v>0</v>
          </cell>
          <cell r="CN336">
            <v>0</v>
          </cell>
          <cell r="CO336">
            <v>0</v>
          </cell>
          <cell r="CX336">
            <v>0</v>
          </cell>
          <cell r="CY336">
            <v>0</v>
          </cell>
          <cell r="DB336">
            <v>0</v>
          </cell>
          <cell r="DC336">
            <v>0</v>
          </cell>
          <cell r="DJ336" t="str">
            <v>НКРКП</v>
          </cell>
          <cell r="DL336">
            <v>40942</v>
          </cell>
          <cell r="DM336">
            <v>28</v>
          </cell>
          <cell r="DT336">
            <v>715.75</v>
          </cell>
        </row>
        <row r="337">
          <cell r="W337">
            <v>473.95</v>
          </cell>
          <cell r="AF337">
            <v>39926</v>
          </cell>
          <cell r="AG337">
            <v>363</v>
          </cell>
          <cell r="AH337">
            <v>438.84265075376879</v>
          </cell>
          <cell r="AM337">
            <v>206</v>
          </cell>
          <cell r="AO337">
            <v>97633.7</v>
          </cell>
          <cell r="AQ337">
            <v>90401.586055276377</v>
          </cell>
          <cell r="AU337">
            <v>0</v>
          </cell>
          <cell r="AW337">
            <v>0</v>
          </cell>
          <cell r="AY337">
            <v>66291.429545241263</v>
          </cell>
          <cell r="AZ337">
            <v>321.80305604486051</v>
          </cell>
          <cell r="BA337">
            <v>0</v>
          </cell>
          <cell r="BB337">
            <v>0</v>
          </cell>
          <cell r="BC337">
            <v>0</v>
          </cell>
          <cell r="BD337">
            <v>0</v>
          </cell>
          <cell r="BG337">
            <v>0</v>
          </cell>
          <cell r="BH337">
            <v>0</v>
          </cell>
          <cell r="BI337">
            <v>4431.7281197654938</v>
          </cell>
          <cell r="BJ337">
            <v>21.513243299832496</v>
          </cell>
          <cell r="BK337">
            <v>0</v>
          </cell>
          <cell r="BL337">
            <v>0</v>
          </cell>
          <cell r="BM337">
            <v>14979.318467336683</v>
          </cell>
          <cell r="BN337">
            <v>72.715138190954775</v>
          </cell>
          <cell r="BO337">
            <v>0</v>
          </cell>
          <cell r="BP337">
            <v>0</v>
          </cell>
          <cell r="BY337">
            <v>2017</v>
          </cell>
          <cell r="CF337">
            <v>30.9447681387519</v>
          </cell>
          <cell r="CG337">
            <v>2142.25</v>
          </cell>
          <cell r="CJ337">
            <v>0</v>
          </cell>
          <cell r="CK337">
            <v>0</v>
          </cell>
          <cell r="CL337">
            <v>0</v>
          </cell>
          <cell r="CM337">
            <v>0</v>
          </cell>
          <cell r="CN337">
            <v>0</v>
          </cell>
          <cell r="CO337">
            <v>0</v>
          </cell>
          <cell r="CX337">
            <v>0</v>
          </cell>
          <cell r="CY337">
            <v>0</v>
          </cell>
          <cell r="DB337">
            <v>0</v>
          </cell>
          <cell r="DC337">
            <v>0</v>
          </cell>
          <cell r="DJ337" t="str">
            <v>НКРКП</v>
          </cell>
          <cell r="DL337">
            <v>40942</v>
          </cell>
          <cell r="DM337">
            <v>28</v>
          </cell>
          <cell r="DT337">
            <v>715.75</v>
          </cell>
        </row>
        <row r="338">
          <cell r="W338">
            <v>176.39166666666665</v>
          </cell>
          <cell r="AF338">
            <v>39926</v>
          </cell>
          <cell r="AG338">
            <v>362</v>
          </cell>
          <cell r="AH338">
            <v>225.8994713378963</v>
          </cell>
          <cell r="AM338">
            <v>1693.3</v>
          </cell>
          <cell r="AO338">
            <v>298684.00916666666</v>
          </cell>
          <cell r="AQ338">
            <v>382515.57481645979</v>
          </cell>
          <cell r="AU338">
            <v>0</v>
          </cell>
          <cell r="AW338">
            <v>0</v>
          </cell>
          <cell r="AY338">
            <v>183740.64689505313</v>
          </cell>
          <cell r="AZ338">
            <v>108.5103920717257</v>
          </cell>
          <cell r="BA338">
            <v>0</v>
          </cell>
          <cell r="BB338">
            <v>0</v>
          </cell>
          <cell r="BC338">
            <v>0</v>
          </cell>
          <cell r="BD338">
            <v>0</v>
          </cell>
          <cell r="BG338">
            <v>0</v>
          </cell>
          <cell r="BH338">
            <v>0</v>
          </cell>
          <cell r="BI338">
            <v>39964.285864227197</v>
          </cell>
          <cell r="BJ338">
            <v>23.601420813929721</v>
          </cell>
          <cell r="BK338">
            <v>0</v>
          </cell>
          <cell r="BL338">
            <v>0</v>
          </cell>
          <cell r="BM338">
            <v>123134.88124161019</v>
          </cell>
          <cell r="BN338">
            <v>72.718881026167949</v>
          </cell>
          <cell r="BO338">
            <v>0</v>
          </cell>
          <cell r="BP338">
            <v>0</v>
          </cell>
          <cell r="BY338">
            <v>2017</v>
          </cell>
          <cell r="CF338">
            <v>252.62696872773071</v>
          </cell>
          <cell r="CG338">
            <v>727.32</v>
          </cell>
          <cell r="CJ338">
            <v>0</v>
          </cell>
          <cell r="CK338">
            <v>0</v>
          </cell>
          <cell r="CL338">
            <v>0</v>
          </cell>
          <cell r="CM338">
            <v>0</v>
          </cell>
          <cell r="CN338">
            <v>0</v>
          </cell>
          <cell r="CO338">
            <v>0</v>
          </cell>
          <cell r="CX338">
            <v>0</v>
          </cell>
          <cell r="CY338">
            <v>0</v>
          </cell>
          <cell r="DB338">
            <v>0</v>
          </cell>
          <cell r="DC338">
            <v>0</v>
          </cell>
          <cell r="DJ338" t="str">
            <v>НКРЕ</v>
          </cell>
          <cell r="DL338">
            <v>40526</v>
          </cell>
          <cell r="DM338">
            <v>1854</v>
          </cell>
          <cell r="DO338" t="str">
            <v>Тариф на теплову енергію</v>
          </cell>
          <cell r="DT338">
            <v>220.49</v>
          </cell>
        </row>
        <row r="339">
          <cell r="W339">
            <v>198.61</v>
          </cell>
          <cell r="AF339">
            <v>39926</v>
          </cell>
          <cell r="AG339">
            <v>358</v>
          </cell>
          <cell r="AH339">
            <v>229.08787014620614</v>
          </cell>
          <cell r="AM339">
            <v>207330</v>
          </cell>
          <cell r="AO339">
            <v>41177811.300000004</v>
          </cell>
          <cell r="AQ339">
            <v>47496788.117412917</v>
          </cell>
          <cell r="AU339">
            <v>0</v>
          </cell>
          <cell r="AW339">
            <v>0</v>
          </cell>
          <cell r="AY339">
            <v>23859458.134796113</v>
          </cell>
          <cell r="AZ339">
            <v>115.0796225090248</v>
          </cell>
          <cell r="BA339">
            <v>348143.06145482429</v>
          </cell>
          <cell r="BB339">
            <v>1.6791735950167572</v>
          </cell>
          <cell r="BC339">
            <v>0</v>
          </cell>
          <cell r="BD339">
            <v>0</v>
          </cell>
          <cell r="BG339">
            <v>0</v>
          </cell>
          <cell r="BH339">
            <v>0</v>
          </cell>
          <cell r="BI339">
            <v>8133757.9801669698</v>
          </cell>
          <cell r="BJ339">
            <v>39.230974678854821</v>
          </cell>
          <cell r="BK339">
            <v>0</v>
          </cell>
          <cell r="BL339">
            <v>0</v>
          </cell>
          <cell r="BM339">
            <v>11394227.605992988</v>
          </cell>
          <cell r="BN339">
            <v>54.956965253426844</v>
          </cell>
          <cell r="BO339">
            <v>0</v>
          </cell>
          <cell r="BP339">
            <v>0</v>
          </cell>
          <cell r="BY339">
            <v>1832</v>
          </cell>
          <cell r="CF339">
            <v>32804.75794570471</v>
          </cell>
          <cell r="CG339">
            <v>727.31700000000001</v>
          </cell>
          <cell r="CJ339">
            <v>0</v>
          </cell>
          <cell r="CK339">
            <v>0</v>
          </cell>
          <cell r="CL339">
            <v>0</v>
          </cell>
          <cell r="CM339">
            <v>0</v>
          </cell>
          <cell r="CN339">
            <v>0</v>
          </cell>
          <cell r="CO339">
            <v>0</v>
          </cell>
          <cell r="CX339">
            <v>0</v>
          </cell>
          <cell r="CY339">
            <v>0</v>
          </cell>
          <cell r="DB339">
            <v>0</v>
          </cell>
          <cell r="DC339">
            <v>0</v>
          </cell>
          <cell r="DJ339" t="str">
            <v>НКРЕ</v>
          </cell>
          <cell r="DL339">
            <v>40526</v>
          </cell>
          <cell r="DM339">
            <v>1854</v>
          </cell>
          <cell r="DO339" t="str">
            <v>Тариф на теплову енергію</v>
          </cell>
          <cell r="DT339">
            <v>218.47</v>
          </cell>
        </row>
        <row r="340">
          <cell r="W340">
            <v>766.18</v>
          </cell>
          <cell r="AF340">
            <v>39926</v>
          </cell>
          <cell r="AG340">
            <v>359</v>
          </cell>
          <cell r="AH340">
            <v>453.22363550710003</v>
          </cell>
          <cell r="AM340">
            <v>26673</v>
          </cell>
          <cell r="AO340">
            <v>20436319.139999997</v>
          </cell>
          <cell r="AQ340">
            <v>12088834.029880879</v>
          </cell>
          <cell r="AU340">
            <v>0</v>
          </cell>
          <cell r="AW340">
            <v>0</v>
          </cell>
          <cell r="AY340">
            <v>9130170.345787907</v>
          </cell>
          <cell r="AZ340">
            <v>342.30009169526886</v>
          </cell>
          <cell r="BA340">
            <v>8257.3389864728451</v>
          </cell>
          <cell r="BB340">
            <v>0.30957668752944345</v>
          </cell>
          <cell r="BC340">
            <v>0</v>
          </cell>
          <cell r="BD340">
            <v>0</v>
          </cell>
          <cell r="BG340">
            <v>0</v>
          </cell>
          <cell r="BH340">
            <v>0</v>
          </cell>
          <cell r="BI340">
            <v>1046348.4554815263</v>
          </cell>
          <cell r="BJ340">
            <v>39.228750252372301</v>
          </cell>
          <cell r="BK340">
            <v>0</v>
          </cell>
          <cell r="BL340">
            <v>0</v>
          </cell>
          <cell r="BM340">
            <v>1465677.6700989299</v>
          </cell>
          <cell r="BN340">
            <v>54.949862036476205</v>
          </cell>
          <cell r="BO340">
            <v>0</v>
          </cell>
          <cell r="BP340">
            <v>0</v>
          </cell>
          <cell r="BY340">
            <v>1832</v>
          </cell>
          <cell r="CF340">
            <v>4261.9537149202506</v>
          </cell>
          <cell r="CG340">
            <v>2142.25</v>
          </cell>
          <cell r="CJ340">
            <v>0</v>
          </cell>
          <cell r="CK340">
            <v>0</v>
          </cell>
          <cell r="CL340">
            <v>0</v>
          </cell>
          <cell r="CM340">
            <v>0</v>
          </cell>
          <cell r="CN340">
            <v>0</v>
          </cell>
          <cell r="CO340">
            <v>0</v>
          </cell>
          <cell r="CX340">
            <v>0</v>
          </cell>
          <cell r="CY340">
            <v>0</v>
          </cell>
          <cell r="DB340">
            <v>0</v>
          </cell>
          <cell r="DC340">
            <v>0</v>
          </cell>
          <cell r="DJ340" t="str">
            <v>НКРКП</v>
          </cell>
          <cell r="DL340">
            <v>40942</v>
          </cell>
          <cell r="DM340">
            <v>28</v>
          </cell>
          <cell r="DT340">
            <v>999.9</v>
          </cell>
        </row>
        <row r="341">
          <cell r="W341">
            <v>766.18</v>
          </cell>
          <cell r="AF341">
            <v>39926</v>
          </cell>
          <cell r="AG341">
            <v>359</v>
          </cell>
          <cell r="AH341">
            <v>453.21876947733955</v>
          </cell>
          <cell r="AM341">
            <v>10836</v>
          </cell>
          <cell r="AO341">
            <v>8302326.4799999995</v>
          </cell>
          <cell r="AQ341">
            <v>4911078.5860564513</v>
          </cell>
          <cell r="AU341">
            <v>0</v>
          </cell>
          <cell r="AW341">
            <v>0</v>
          </cell>
          <cell r="AY341">
            <v>3709062.7713026446</v>
          </cell>
          <cell r="AZ341">
            <v>342.29076885406465</v>
          </cell>
          <cell r="BA341">
            <v>3376.9032143175141</v>
          </cell>
          <cell r="BB341">
            <v>0.31163743210755945</v>
          </cell>
          <cell r="BC341">
            <v>0</v>
          </cell>
          <cell r="BD341">
            <v>0</v>
          </cell>
          <cell r="BG341">
            <v>0</v>
          </cell>
          <cell r="BH341">
            <v>0</v>
          </cell>
          <cell r="BI341">
            <v>425103.87320808478</v>
          </cell>
          <cell r="BJ341">
            <v>39.230700739025913</v>
          </cell>
          <cell r="BK341">
            <v>0</v>
          </cell>
          <cell r="BL341">
            <v>0</v>
          </cell>
          <cell r="BM341">
            <v>596650.55649541446</v>
          </cell>
          <cell r="BN341">
            <v>55.061882290089926</v>
          </cell>
          <cell r="BO341">
            <v>0</v>
          </cell>
          <cell r="BP341">
            <v>0</v>
          </cell>
          <cell r="BY341">
            <v>1832</v>
          </cell>
          <cell r="CF341">
            <v>1731.3865194550797</v>
          </cell>
          <cell r="CG341">
            <v>2142.25</v>
          </cell>
          <cell r="CJ341">
            <v>0</v>
          </cell>
          <cell r="CK341">
            <v>0</v>
          </cell>
          <cell r="CL341">
            <v>0</v>
          </cell>
          <cell r="CM341">
            <v>0</v>
          </cell>
          <cell r="CN341">
            <v>0</v>
          </cell>
          <cell r="CO341">
            <v>0</v>
          </cell>
          <cell r="CX341">
            <v>0</v>
          </cell>
          <cell r="CY341">
            <v>0</v>
          </cell>
          <cell r="DB341">
            <v>0</v>
          </cell>
          <cell r="DC341">
            <v>0</v>
          </cell>
          <cell r="DJ341" t="str">
            <v>НКРКП</v>
          </cell>
          <cell r="DL341">
            <v>40942</v>
          </cell>
          <cell r="DM341">
            <v>28</v>
          </cell>
          <cell r="DT341">
            <v>999.9</v>
          </cell>
        </row>
        <row r="342">
          <cell r="W342">
            <v>198.61</v>
          </cell>
          <cell r="AF342">
            <v>39926</v>
          </cell>
          <cell r="AG342">
            <v>358</v>
          </cell>
          <cell r="AH342">
            <v>229.08787014620611</v>
          </cell>
          <cell r="AM342">
            <v>12933</v>
          </cell>
          <cell r="AO342">
            <v>2568623.1300000004</v>
          </cell>
          <cell r="AQ342">
            <v>2962793.4246008839</v>
          </cell>
          <cell r="AU342">
            <v>0</v>
          </cell>
          <cell r="AW342">
            <v>0</v>
          </cell>
          <cell r="AY342">
            <v>1488324.7579092178</v>
          </cell>
          <cell r="AZ342">
            <v>115.0796225090248</v>
          </cell>
          <cell r="BA342">
            <v>21716.752104351723</v>
          </cell>
          <cell r="BB342">
            <v>1.6791735950167574</v>
          </cell>
          <cell r="BC342">
            <v>0</v>
          </cell>
          <cell r="BD342">
            <v>0</v>
          </cell>
          <cell r="BG342">
            <v>0</v>
          </cell>
          <cell r="BH342">
            <v>0</v>
          </cell>
          <cell r="BI342">
            <v>507374.19552162936</v>
          </cell>
          <cell r="BJ342">
            <v>39.230974678854821</v>
          </cell>
          <cell r="BK342">
            <v>0</v>
          </cell>
          <cell r="BL342">
            <v>0</v>
          </cell>
          <cell r="BM342">
            <v>710758.43162256933</v>
          </cell>
          <cell r="BN342">
            <v>54.956965253426844</v>
          </cell>
          <cell r="BO342">
            <v>0</v>
          </cell>
          <cell r="BP342">
            <v>0</v>
          </cell>
          <cell r="BY342">
            <v>1832</v>
          </cell>
          <cell r="CF342">
            <v>2046.3219722751123</v>
          </cell>
          <cell r="CG342">
            <v>727.31700000000001</v>
          </cell>
          <cell r="CJ342">
            <v>0</v>
          </cell>
          <cell r="CK342">
            <v>0</v>
          </cell>
          <cell r="CL342">
            <v>0</v>
          </cell>
          <cell r="CM342">
            <v>0</v>
          </cell>
          <cell r="CN342">
            <v>0</v>
          </cell>
          <cell r="CO342">
            <v>0</v>
          </cell>
          <cell r="CX342">
            <v>0</v>
          </cell>
          <cell r="CY342">
            <v>0</v>
          </cell>
          <cell r="DB342">
            <v>0</v>
          </cell>
          <cell r="DC342">
            <v>0</v>
          </cell>
          <cell r="DJ342" t="str">
            <v>НКРЕ</v>
          </cell>
          <cell r="DL342">
            <v>40526</v>
          </cell>
          <cell r="DM342">
            <v>1854</v>
          </cell>
          <cell r="DO342" t="str">
            <v>Тариф на теплову енергію</v>
          </cell>
          <cell r="DT342">
            <v>218.47</v>
          </cell>
        </row>
        <row r="343">
          <cell r="W343">
            <v>766.18</v>
          </cell>
          <cell r="AF343">
            <v>39926</v>
          </cell>
          <cell r="AG343">
            <v>359</v>
          </cell>
          <cell r="AH343">
            <v>453.22363550710008</v>
          </cell>
          <cell r="AM343">
            <v>988</v>
          </cell>
          <cell r="AO343">
            <v>756985.84</v>
          </cell>
          <cell r="AQ343">
            <v>447784.95188101486</v>
          </cell>
          <cell r="AU343">
            <v>0</v>
          </cell>
          <cell r="AW343">
            <v>0</v>
          </cell>
          <cell r="AY343">
            <v>338192.49059492565</v>
          </cell>
          <cell r="AZ343">
            <v>342.30009169526886</v>
          </cell>
          <cell r="BA343">
            <v>305.86176727909009</v>
          </cell>
          <cell r="BB343">
            <v>0.3095766875294434</v>
          </cell>
          <cell r="BC343">
            <v>0</v>
          </cell>
          <cell r="BD343">
            <v>0</v>
          </cell>
          <cell r="BG343">
            <v>0</v>
          </cell>
          <cell r="BH343">
            <v>0</v>
          </cell>
          <cell r="BI343">
            <v>38758.005249343834</v>
          </cell>
          <cell r="BJ343">
            <v>39.228750252372301</v>
          </cell>
          <cell r="BK343">
            <v>0</v>
          </cell>
          <cell r="BL343">
            <v>0</v>
          </cell>
          <cell r="BM343">
            <v>54290.463692038495</v>
          </cell>
          <cell r="BN343">
            <v>54.949862036476212</v>
          </cell>
          <cell r="BO343">
            <v>0</v>
          </cell>
          <cell r="BP343">
            <v>0</v>
          </cell>
          <cell r="BY343">
            <v>1832</v>
          </cell>
          <cell r="CF343">
            <v>157.86789151356081</v>
          </cell>
          <cell r="CG343">
            <v>2142.25</v>
          </cell>
          <cell r="CJ343">
            <v>0</v>
          </cell>
          <cell r="CK343">
            <v>0</v>
          </cell>
          <cell r="CL343">
            <v>0</v>
          </cell>
          <cell r="CM343">
            <v>0</v>
          </cell>
          <cell r="CN343">
            <v>0</v>
          </cell>
          <cell r="CO343">
            <v>0</v>
          </cell>
          <cell r="CX343">
            <v>0</v>
          </cell>
          <cell r="CY343">
            <v>0</v>
          </cell>
          <cell r="DB343">
            <v>0</v>
          </cell>
          <cell r="DC343">
            <v>0</v>
          </cell>
          <cell r="DJ343" t="str">
            <v>НКРКП</v>
          </cell>
          <cell r="DL343">
            <v>40942</v>
          </cell>
          <cell r="DM343">
            <v>28</v>
          </cell>
          <cell r="DT343">
            <v>999.9</v>
          </cell>
        </row>
        <row r="344">
          <cell r="W344">
            <v>766.18</v>
          </cell>
          <cell r="AF344">
            <v>39926</v>
          </cell>
          <cell r="AG344">
            <v>359</v>
          </cell>
          <cell r="AH344">
            <v>453.21876947733955</v>
          </cell>
          <cell r="AM344">
            <v>124</v>
          </cell>
          <cell r="AO344">
            <v>95006.319999999992</v>
          </cell>
          <cell r="AQ344">
            <v>56199.127415190102</v>
          </cell>
          <cell r="AU344">
            <v>0</v>
          </cell>
          <cell r="AW344">
            <v>0</v>
          </cell>
          <cell r="AY344">
            <v>42444.055337904014</v>
          </cell>
          <cell r="AZ344">
            <v>342.29076885406465</v>
          </cell>
          <cell r="BA344">
            <v>38.643041581337371</v>
          </cell>
          <cell r="BB344">
            <v>0.31163743210755945</v>
          </cell>
          <cell r="BC344">
            <v>0</v>
          </cell>
          <cell r="BD344">
            <v>0</v>
          </cell>
          <cell r="BG344">
            <v>0</v>
          </cell>
          <cell r="BH344">
            <v>0</v>
          </cell>
          <cell r="BI344">
            <v>4864.6068916392132</v>
          </cell>
          <cell r="BJ344">
            <v>39.230700739025913</v>
          </cell>
          <cell r="BK344">
            <v>0</v>
          </cell>
          <cell r="BL344">
            <v>0</v>
          </cell>
          <cell r="BM344">
            <v>6827.6734039711509</v>
          </cell>
          <cell r="BN344">
            <v>55.061882290089926</v>
          </cell>
          <cell r="BO344">
            <v>0</v>
          </cell>
          <cell r="BP344">
            <v>0</v>
          </cell>
          <cell r="BY344">
            <v>1832</v>
          </cell>
          <cell r="CF344">
            <v>19.812839462202831</v>
          </cell>
          <cell r="CG344">
            <v>2142.25</v>
          </cell>
          <cell r="CJ344">
            <v>0</v>
          </cell>
          <cell r="CK344">
            <v>0</v>
          </cell>
          <cell r="CL344">
            <v>0</v>
          </cell>
          <cell r="CM344">
            <v>0</v>
          </cell>
          <cell r="CN344">
            <v>0</v>
          </cell>
          <cell r="CO344">
            <v>0</v>
          </cell>
          <cell r="CX344">
            <v>0</v>
          </cell>
          <cell r="CY344">
            <v>0</v>
          </cell>
          <cell r="DB344">
            <v>0</v>
          </cell>
          <cell r="DC344">
            <v>0</v>
          </cell>
          <cell r="DJ344" t="str">
            <v>НКРКП</v>
          </cell>
          <cell r="DL344">
            <v>40942</v>
          </cell>
          <cell r="DM344">
            <v>28</v>
          </cell>
          <cell r="DT344">
            <v>999.9</v>
          </cell>
        </row>
        <row r="345">
          <cell r="W345">
            <v>198.61</v>
          </cell>
          <cell r="AF345">
            <v>39926</v>
          </cell>
          <cell r="AG345">
            <v>358</v>
          </cell>
          <cell r="AH345">
            <v>229.08787014620614</v>
          </cell>
          <cell r="AM345">
            <v>11875</v>
          </cell>
          <cell r="AO345">
            <v>2358493.75</v>
          </cell>
          <cell r="AQ345">
            <v>2720418.4579861979</v>
          </cell>
          <cell r="AU345">
            <v>0</v>
          </cell>
          <cell r="AW345">
            <v>0</v>
          </cell>
          <cell r="AY345">
            <v>1366570.5172946695</v>
          </cell>
          <cell r="AZ345">
            <v>115.0796225090248</v>
          </cell>
          <cell r="BA345">
            <v>19940.186440823993</v>
          </cell>
          <cell r="BB345">
            <v>1.6791735950167572</v>
          </cell>
          <cell r="BC345">
            <v>0</v>
          </cell>
          <cell r="BD345">
            <v>0</v>
          </cell>
          <cell r="BG345">
            <v>0</v>
          </cell>
          <cell r="BH345">
            <v>0</v>
          </cell>
          <cell r="BI345">
            <v>465867.824311401</v>
          </cell>
          <cell r="BJ345">
            <v>39.230974678854821</v>
          </cell>
          <cell r="BK345">
            <v>0</v>
          </cell>
          <cell r="BL345">
            <v>0</v>
          </cell>
          <cell r="BM345">
            <v>652613.96238444373</v>
          </cell>
          <cell r="BN345">
            <v>54.956965253426837</v>
          </cell>
          <cell r="BO345">
            <v>0</v>
          </cell>
          <cell r="BP345">
            <v>0</v>
          </cell>
          <cell r="BY345">
            <v>1832</v>
          </cell>
          <cell r="CF345">
            <v>1878.9200820201777</v>
          </cell>
          <cell r="CG345">
            <v>727.31700000000001</v>
          </cell>
          <cell r="CJ345">
            <v>0</v>
          </cell>
          <cell r="CK345">
            <v>0</v>
          </cell>
          <cell r="CL345">
            <v>0</v>
          </cell>
          <cell r="CM345">
            <v>0</v>
          </cell>
          <cell r="CN345">
            <v>0</v>
          </cell>
          <cell r="CO345">
            <v>0</v>
          </cell>
          <cell r="CX345">
            <v>0</v>
          </cell>
          <cell r="CY345">
            <v>0</v>
          </cell>
          <cell r="DB345">
            <v>0</v>
          </cell>
          <cell r="DC345">
            <v>0</v>
          </cell>
          <cell r="DJ345" t="str">
            <v>НКРЕ</v>
          </cell>
          <cell r="DL345">
            <v>40526</v>
          </cell>
          <cell r="DM345">
            <v>1854</v>
          </cell>
          <cell r="DO345" t="str">
            <v>Тариф на теплову енергію</v>
          </cell>
          <cell r="DT345">
            <v>218.47</v>
          </cell>
        </row>
        <row r="346">
          <cell r="W346">
            <v>766.18</v>
          </cell>
          <cell r="AF346">
            <v>39926</v>
          </cell>
          <cell r="AG346">
            <v>359</v>
          </cell>
          <cell r="AH346">
            <v>453.22363550710008</v>
          </cell>
          <cell r="AM346">
            <v>2057</v>
          </cell>
          <cell r="AO346">
            <v>1576032.26</v>
          </cell>
          <cell r="AQ346">
            <v>932281.01823810488</v>
          </cell>
          <cell r="AU346">
            <v>0</v>
          </cell>
          <cell r="AW346">
            <v>0</v>
          </cell>
          <cell r="AY346">
            <v>704111.28861716809</v>
          </cell>
          <cell r="AZ346">
            <v>342.30009169526886</v>
          </cell>
          <cell r="BA346">
            <v>636.79924624806517</v>
          </cell>
          <cell r="BB346">
            <v>0.30957668752944345</v>
          </cell>
          <cell r="BC346">
            <v>0</v>
          </cell>
          <cell r="BD346">
            <v>0</v>
          </cell>
          <cell r="BG346">
            <v>0</v>
          </cell>
          <cell r="BH346">
            <v>0</v>
          </cell>
          <cell r="BI346">
            <v>80693.539269129818</v>
          </cell>
          <cell r="BJ346">
            <v>39.228750252372301</v>
          </cell>
          <cell r="BK346">
            <v>0</v>
          </cell>
          <cell r="BL346">
            <v>0</v>
          </cell>
          <cell r="BM346">
            <v>113031.86620903156</v>
          </cell>
          <cell r="BN346">
            <v>54.949862036476212</v>
          </cell>
          <cell r="BO346">
            <v>0</v>
          </cell>
          <cell r="BP346">
            <v>0</v>
          </cell>
          <cell r="BY346">
            <v>1832</v>
          </cell>
          <cell r="CF346">
            <v>328.67839356618884</v>
          </cell>
          <cell r="CG346">
            <v>2142.25</v>
          </cell>
          <cell r="CJ346">
            <v>0</v>
          </cell>
          <cell r="CK346">
            <v>0</v>
          </cell>
          <cell r="CL346">
            <v>0</v>
          </cell>
          <cell r="CM346">
            <v>0</v>
          </cell>
          <cell r="CN346">
            <v>0</v>
          </cell>
          <cell r="CO346">
            <v>0</v>
          </cell>
          <cell r="CX346">
            <v>0</v>
          </cell>
          <cell r="CY346">
            <v>0</v>
          </cell>
          <cell r="DB346">
            <v>0</v>
          </cell>
          <cell r="DC346">
            <v>0</v>
          </cell>
          <cell r="DJ346" t="str">
            <v>НКРКП</v>
          </cell>
          <cell r="DL346">
            <v>40942</v>
          </cell>
          <cell r="DM346">
            <v>28</v>
          </cell>
          <cell r="DT346">
            <v>999.9</v>
          </cell>
        </row>
        <row r="347">
          <cell r="W347">
            <v>766.18</v>
          </cell>
          <cell r="AF347">
            <v>39926</v>
          </cell>
          <cell r="AG347">
            <v>359</v>
          </cell>
          <cell r="AH347">
            <v>453.21876947733949</v>
          </cell>
          <cell r="AM347">
            <v>271</v>
          </cell>
          <cell r="AO347">
            <v>207634.78</v>
          </cell>
          <cell r="AQ347">
            <v>122822.28652835901</v>
          </cell>
          <cell r="AU347">
            <v>0</v>
          </cell>
          <cell r="AW347">
            <v>0</v>
          </cell>
          <cell r="AY347">
            <v>92760.79835945151</v>
          </cell>
          <cell r="AZ347">
            <v>342.29076885406459</v>
          </cell>
          <cell r="BA347">
            <v>84.453744101148601</v>
          </cell>
          <cell r="BB347">
            <v>0.3116374321075594</v>
          </cell>
          <cell r="BC347">
            <v>0</v>
          </cell>
          <cell r="BD347">
            <v>0</v>
          </cell>
          <cell r="BG347">
            <v>0</v>
          </cell>
          <cell r="BH347">
            <v>0</v>
          </cell>
          <cell r="BI347">
            <v>10631.519900276022</v>
          </cell>
          <cell r="BJ347">
            <v>39.230700739025913</v>
          </cell>
          <cell r="BK347">
            <v>0</v>
          </cell>
          <cell r="BL347">
            <v>0</v>
          </cell>
          <cell r="BM347">
            <v>14921.770100614371</v>
          </cell>
          <cell r="BN347">
            <v>55.061882290089926</v>
          </cell>
          <cell r="BO347">
            <v>0</v>
          </cell>
          <cell r="BP347">
            <v>0</v>
          </cell>
          <cell r="BY347">
            <v>1832</v>
          </cell>
          <cell r="CF347">
            <v>43.300641082717476</v>
          </cell>
          <cell r="CG347">
            <v>2142.25</v>
          </cell>
          <cell r="CJ347">
            <v>0</v>
          </cell>
          <cell r="CK347">
            <v>0</v>
          </cell>
          <cell r="CL347">
            <v>0</v>
          </cell>
          <cell r="CM347">
            <v>0</v>
          </cell>
          <cell r="CN347">
            <v>0</v>
          </cell>
          <cell r="CO347">
            <v>0</v>
          </cell>
          <cell r="CX347">
            <v>0</v>
          </cell>
          <cell r="CY347">
            <v>0</v>
          </cell>
          <cell r="DB347">
            <v>0</v>
          </cell>
          <cell r="DC347">
            <v>0</v>
          </cell>
          <cell r="DJ347" t="str">
            <v>НКРКП</v>
          </cell>
          <cell r="DL347">
            <v>40942</v>
          </cell>
          <cell r="DM347">
            <v>28</v>
          </cell>
          <cell r="DT347">
            <v>999.9</v>
          </cell>
        </row>
        <row r="348">
          <cell r="W348">
            <v>270.56666666666666</v>
          </cell>
          <cell r="AF348">
            <v>39926</v>
          </cell>
          <cell r="AG348">
            <v>354</v>
          </cell>
          <cell r="AH348">
            <v>250.52371942154346</v>
          </cell>
          <cell r="AM348">
            <v>170357.1</v>
          </cell>
          <cell r="AO348">
            <v>46092952.689999998</v>
          </cell>
          <cell r="AQ348">
            <v>42678494.321867824</v>
          </cell>
          <cell r="AU348">
            <v>0</v>
          </cell>
          <cell r="AW348">
            <v>0</v>
          </cell>
          <cell r="AY348">
            <v>19452018.371063735</v>
          </cell>
          <cell r="AZ348">
            <v>114.18378436275174</v>
          </cell>
          <cell r="BA348">
            <v>2681760.1327882148</v>
          </cell>
          <cell r="BB348">
            <v>15.741992161102852</v>
          </cell>
          <cell r="BC348">
            <v>0</v>
          </cell>
          <cell r="BD348">
            <v>0</v>
          </cell>
          <cell r="BG348">
            <v>0</v>
          </cell>
          <cell r="BH348">
            <v>0</v>
          </cell>
          <cell r="BI348">
            <v>5429619.3115623733</v>
          </cell>
          <cell r="BJ348">
            <v>31.871987205478217</v>
          </cell>
          <cell r="BK348">
            <v>0</v>
          </cell>
          <cell r="BL348">
            <v>0</v>
          </cell>
          <cell r="BM348">
            <v>10153350.698067307</v>
          </cell>
          <cell r="BN348">
            <v>59.600396449970724</v>
          </cell>
          <cell r="BO348">
            <v>0</v>
          </cell>
          <cell r="BP348">
            <v>0</v>
          </cell>
          <cell r="BY348">
            <v>1643</v>
          </cell>
          <cell r="CF348">
            <v>26744.786849067445</v>
          </cell>
          <cell r="CG348">
            <v>727.32</v>
          </cell>
          <cell r="CJ348">
            <v>0</v>
          </cell>
          <cell r="CK348">
            <v>0</v>
          </cell>
          <cell r="CL348">
            <v>0</v>
          </cell>
          <cell r="CM348">
            <v>0</v>
          </cell>
          <cell r="CN348">
            <v>0</v>
          </cell>
          <cell r="CO348">
            <v>0</v>
          </cell>
          <cell r="CX348">
            <v>0</v>
          </cell>
          <cell r="CY348">
            <v>0</v>
          </cell>
          <cell r="DB348">
            <v>0</v>
          </cell>
          <cell r="DC348">
            <v>0</v>
          </cell>
          <cell r="DJ348" t="str">
            <v>НКРЕ</v>
          </cell>
          <cell r="DL348">
            <v>40526</v>
          </cell>
          <cell r="DM348">
            <v>1854</v>
          </cell>
          <cell r="DO348" t="str">
            <v>тариф на теплову енергію</v>
          </cell>
          <cell r="DT348">
            <v>297.63</v>
          </cell>
        </row>
        <row r="349">
          <cell r="W349">
            <v>519.44166666666672</v>
          </cell>
          <cell r="AF349">
            <v>39926</v>
          </cell>
          <cell r="AG349">
            <v>355</v>
          </cell>
          <cell r="AH349">
            <v>480.96080901226355</v>
          </cell>
          <cell r="AM349">
            <v>38908.6</v>
          </cell>
          <cell r="AO349">
            <v>20210748.031666666</v>
          </cell>
          <cell r="AQ349">
            <v>18713511.733534556</v>
          </cell>
          <cell r="AU349">
            <v>0</v>
          </cell>
          <cell r="AW349">
            <v>0</v>
          </cell>
          <cell r="AY349">
            <v>12059051.487446286</v>
          </cell>
          <cell r="AZ349">
            <v>309.93280373609656</v>
          </cell>
          <cell r="BA349">
            <v>1969569.8660281394</v>
          </cell>
          <cell r="BB349">
            <v>50.620424945337007</v>
          </cell>
          <cell r="BC349">
            <v>0</v>
          </cell>
          <cell r="BD349">
            <v>0</v>
          </cell>
          <cell r="BG349">
            <v>0</v>
          </cell>
          <cell r="BH349">
            <v>0</v>
          </cell>
          <cell r="BI349">
            <v>1232530.4222739802</v>
          </cell>
          <cell r="BJ349">
            <v>31.677583420477227</v>
          </cell>
          <cell r="BK349">
            <v>0</v>
          </cell>
          <cell r="BL349">
            <v>0</v>
          </cell>
          <cell r="BM349">
            <v>2318922.4140650253</v>
          </cell>
          <cell r="BN349">
            <v>59.599225211522011</v>
          </cell>
          <cell r="BO349">
            <v>0</v>
          </cell>
          <cell r="BP349">
            <v>0</v>
          </cell>
          <cell r="BY349">
            <v>1643</v>
          </cell>
          <cell r="CF349">
            <v>5629.1522872896658</v>
          </cell>
          <cell r="CG349">
            <v>2142.25</v>
          </cell>
          <cell r="CJ349">
            <v>0</v>
          </cell>
          <cell r="CK349">
            <v>0</v>
          </cell>
          <cell r="CL349">
            <v>0</v>
          </cell>
          <cell r="CM349">
            <v>0</v>
          </cell>
          <cell r="CN349">
            <v>0</v>
          </cell>
          <cell r="CO349">
            <v>0</v>
          </cell>
          <cell r="CX349">
            <v>0</v>
          </cell>
          <cell r="CY349">
            <v>0</v>
          </cell>
          <cell r="DB349">
            <v>0</v>
          </cell>
          <cell r="DC349">
            <v>0</v>
          </cell>
          <cell r="DJ349" t="str">
            <v>НКРКП</v>
          </cell>
          <cell r="DL349">
            <v>40942</v>
          </cell>
          <cell r="DM349">
            <v>28</v>
          </cell>
          <cell r="DT349">
            <v>796.74</v>
          </cell>
        </row>
        <row r="350">
          <cell r="W350">
            <v>519.44166666666672</v>
          </cell>
          <cell r="AF350">
            <v>39926</v>
          </cell>
          <cell r="AG350">
            <v>355</v>
          </cell>
          <cell r="AH350">
            <v>480.9608066537541</v>
          </cell>
          <cell r="AM350">
            <v>8399.7000000000007</v>
          </cell>
          <cell r="AO350">
            <v>4363154.1675000004</v>
          </cell>
          <cell r="AQ350">
            <v>4039926.4876495386</v>
          </cell>
          <cell r="AU350">
            <v>0</v>
          </cell>
          <cell r="AW350">
            <v>0</v>
          </cell>
          <cell r="AY350">
            <v>2603293.6027441039</v>
          </cell>
          <cell r="AZ350">
            <v>309.92697390908052</v>
          </cell>
          <cell r="BA350">
            <v>425195.93386122823</v>
          </cell>
          <cell r="BB350">
            <v>50.620371425316165</v>
          </cell>
          <cell r="BC350">
            <v>0</v>
          </cell>
          <cell r="BD350">
            <v>0</v>
          </cell>
          <cell r="BG350">
            <v>0</v>
          </cell>
          <cell r="BH350">
            <v>0</v>
          </cell>
          <cell r="BI350">
            <v>266082.05420986674</v>
          </cell>
          <cell r="BJ350">
            <v>31.677566366640082</v>
          </cell>
          <cell r="BK350">
            <v>0</v>
          </cell>
          <cell r="BL350">
            <v>0</v>
          </cell>
          <cell r="BM350">
            <v>500616.18652159051</v>
          </cell>
          <cell r="BN350">
            <v>59.599293608294403</v>
          </cell>
          <cell r="BO350">
            <v>0</v>
          </cell>
          <cell r="BP350">
            <v>0</v>
          </cell>
          <cell r="BY350">
            <v>1643</v>
          </cell>
          <cell r="CF350">
            <v>1215.2146587672325</v>
          </cell>
          <cell r="CG350">
            <v>2142.25</v>
          </cell>
          <cell r="CJ350">
            <v>0</v>
          </cell>
          <cell r="CK350">
            <v>0</v>
          </cell>
          <cell r="CL350">
            <v>0</v>
          </cell>
          <cell r="CM350">
            <v>0</v>
          </cell>
          <cell r="CN350">
            <v>0</v>
          </cell>
          <cell r="CO350">
            <v>0</v>
          </cell>
          <cell r="CX350">
            <v>0</v>
          </cell>
          <cell r="CY350">
            <v>0</v>
          </cell>
          <cell r="DB350">
            <v>0</v>
          </cell>
          <cell r="DC350">
            <v>0</v>
          </cell>
          <cell r="DJ350" t="str">
            <v>НКРКП</v>
          </cell>
          <cell r="DL350">
            <v>40942</v>
          </cell>
          <cell r="DM350">
            <v>28</v>
          </cell>
          <cell r="DT350">
            <v>796.74</v>
          </cell>
        </row>
        <row r="351">
          <cell r="W351">
            <v>270.56666666666666</v>
          </cell>
          <cell r="AF351">
            <v>39926</v>
          </cell>
          <cell r="AG351">
            <v>354</v>
          </cell>
          <cell r="AH351">
            <v>250.52371942154343</v>
          </cell>
          <cell r="AM351">
            <v>345.3</v>
          </cell>
          <cell r="AO351">
            <v>93426.67</v>
          </cell>
          <cell r="AQ351">
            <v>86505.840316258953</v>
          </cell>
          <cell r="AU351">
            <v>0</v>
          </cell>
          <cell r="AW351">
            <v>0</v>
          </cell>
          <cell r="AY351">
            <v>39427.660740458174</v>
          </cell>
          <cell r="AZ351">
            <v>114.18378436275172</v>
          </cell>
          <cell r="BA351">
            <v>5435.7098932288145</v>
          </cell>
          <cell r="BB351">
            <v>15.74199216110285</v>
          </cell>
          <cell r="BC351">
            <v>0</v>
          </cell>
          <cell r="BD351">
            <v>0</v>
          </cell>
          <cell r="BG351">
            <v>0</v>
          </cell>
          <cell r="BH351">
            <v>0</v>
          </cell>
          <cell r="BI351">
            <v>11005.397182051629</v>
          </cell>
          <cell r="BJ351">
            <v>31.871987205478217</v>
          </cell>
          <cell r="BK351">
            <v>0</v>
          </cell>
          <cell r="BL351">
            <v>0</v>
          </cell>
          <cell r="BM351">
            <v>20580.016894174889</v>
          </cell>
          <cell r="BN351">
            <v>59.600396449970717</v>
          </cell>
          <cell r="BO351">
            <v>0</v>
          </cell>
          <cell r="BP351">
            <v>0</v>
          </cell>
          <cell r="BY351">
            <v>1643</v>
          </cell>
          <cell r="CF351">
            <v>54.209509899986486</v>
          </cell>
          <cell r="CG351">
            <v>727.32</v>
          </cell>
          <cell r="CJ351">
            <v>0</v>
          </cell>
          <cell r="CK351">
            <v>0</v>
          </cell>
          <cell r="CL351">
            <v>0</v>
          </cell>
          <cell r="CM351">
            <v>0</v>
          </cell>
          <cell r="CN351">
            <v>0</v>
          </cell>
          <cell r="CO351">
            <v>0</v>
          </cell>
          <cell r="CX351">
            <v>0</v>
          </cell>
          <cell r="CY351">
            <v>0</v>
          </cell>
          <cell r="DB351">
            <v>0</v>
          </cell>
          <cell r="DC351">
            <v>0</v>
          </cell>
          <cell r="DJ351" t="str">
            <v>НКРЕ</v>
          </cell>
          <cell r="DL351">
            <v>40526</v>
          </cell>
          <cell r="DM351">
            <v>1854</v>
          </cell>
          <cell r="DO351" t="str">
            <v>тариф на теплову енергію</v>
          </cell>
          <cell r="DT351">
            <v>297.63</v>
          </cell>
        </row>
        <row r="352">
          <cell r="W352">
            <v>519.44166666666672</v>
          </cell>
          <cell r="AF352">
            <v>39926</v>
          </cell>
          <cell r="AG352">
            <v>355</v>
          </cell>
          <cell r="AH352">
            <v>480.9608090122635</v>
          </cell>
          <cell r="AM352">
            <v>434.3</v>
          </cell>
          <cell r="AO352">
            <v>225593.51583333337</v>
          </cell>
          <cell r="AQ352">
            <v>208881.27935402605</v>
          </cell>
          <cell r="AU352">
            <v>0</v>
          </cell>
          <cell r="AW352">
            <v>0</v>
          </cell>
          <cell r="AY352">
            <v>134603.81666258673</v>
          </cell>
          <cell r="AZ352">
            <v>309.93280373609656</v>
          </cell>
          <cell r="BA352">
            <v>21984.450553759863</v>
          </cell>
          <cell r="BB352">
            <v>50.620424945337007</v>
          </cell>
          <cell r="BC352">
            <v>0</v>
          </cell>
          <cell r="BD352">
            <v>0</v>
          </cell>
          <cell r="BG352">
            <v>0</v>
          </cell>
          <cell r="BH352">
            <v>0</v>
          </cell>
          <cell r="BI352">
            <v>13757.574479513261</v>
          </cell>
          <cell r="BJ352">
            <v>31.67758342047723</v>
          </cell>
          <cell r="BK352">
            <v>0</v>
          </cell>
          <cell r="BL352">
            <v>0</v>
          </cell>
          <cell r="BM352">
            <v>25883.94350936401</v>
          </cell>
          <cell r="BN352">
            <v>59.599225211522011</v>
          </cell>
          <cell r="BO352">
            <v>0</v>
          </cell>
          <cell r="BP352">
            <v>0</v>
          </cell>
          <cell r="BY352">
            <v>1643</v>
          </cell>
          <cell r="CF352">
            <v>62.832917102386155</v>
          </cell>
          <cell r="CG352">
            <v>2142.25</v>
          </cell>
          <cell r="CJ352">
            <v>0</v>
          </cell>
          <cell r="CK352">
            <v>0</v>
          </cell>
          <cell r="CL352">
            <v>0</v>
          </cell>
          <cell r="CM352">
            <v>0</v>
          </cell>
          <cell r="CN352">
            <v>0</v>
          </cell>
          <cell r="CO352">
            <v>0</v>
          </cell>
          <cell r="CX352">
            <v>0</v>
          </cell>
          <cell r="CY352">
            <v>0</v>
          </cell>
          <cell r="DB352">
            <v>0</v>
          </cell>
          <cell r="DC352">
            <v>0</v>
          </cell>
          <cell r="DJ352" t="str">
            <v>НКРКП</v>
          </cell>
          <cell r="DL352">
            <v>40942</v>
          </cell>
          <cell r="DM352">
            <v>28</v>
          </cell>
          <cell r="DT352">
            <v>796.74</v>
          </cell>
        </row>
        <row r="353">
          <cell r="W353">
            <v>270.56666666666666</v>
          </cell>
          <cell r="AF353">
            <v>39926</v>
          </cell>
          <cell r="AG353">
            <v>354</v>
          </cell>
          <cell r="AH353">
            <v>250.52371942154346</v>
          </cell>
          <cell r="AM353">
            <v>6873.6</v>
          </cell>
          <cell r="AO353">
            <v>1859767.04</v>
          </cell>
          <cell r="AQ353">
            <v>1721999.8378159213</v>
          </cell>
          <cell r="AU353">
            <v>0</v>
          </cell>
          <cell r="AW353">
            <v>0</v>
          </cell>
          <cell r="AY353">
            <v>784853.66019581037</v>
          </cell>
          <cell r="AZ353">
            <v>114.18378436275174</v>
          </cell>
          <cell r="BA353">
            <v>108204.15731855656</v>
          </cell>
          <cell r="BB353">
            <v>15.741992161102852</v>
          </cell>
          <cell r="BC353">
            <v>0</v>
          </cell>
          <cell r="BD353">
            <v>0</v>
          </cell>
          <cell r="BG353">
            <v>0</v>
          </cell>
          <cell r="BH353">
            <v>0</v>
          </cell>
          <cell r="BI353">
            <v>219075.29125557508</v>
          </cell>
          <cell r="BJ353">
            <v>31.871987205478217</v>
          </cell>
          <cell r="BK353">
            <v>0</v>
          </cell>
          <cell r="BL353">
            <v>0</v>
          </cell>
          <cell r="BM353">
            <v>409669.28503851872</v>
          </cell>
          <cell r="BN353">
            <v>59.600396449970717</v>
          </cell>
          <cell r="BO353">
            <v>0</v>
          </cell>
          <cell r="BP353">
            <v>0</v>
          </cell>
          <cell r="BY353">
            <v>1643</v>
          </cell>
          <cell r="CF353">
            <v>1079.1036410325721</v>
          </cell>
          <cell r="CG353">
            <v>727.32</v>
          </cell>
          <cell r="CJ353">
            <v>0</v>
          </cell>
          <cell r="CK353">
            <v>0</v>
          </cell>
          <cell r="CL353">
            <v>0</v>
          </cell>
          <cell r="CM353">
            <v>0</v>
          </cell>
          <cell r="CN353">
            <v>0</v>
          </cell>
          <cell r="CO353">
            <v>0</v>
          </cell>
          <cell r="CX353">
            <v>0</v>
          </cell>
          <cell r="CY353">
            <v>0</v>
          </cell>
          <cell r="DB353">
            <v>0</v>
          </cell>
          <cell r="DC353">
            <v>0</v>
          </cell>
          <cell r="DJ353" t="str">
            <v>НКРЕ</v>
          </cell>
          <cell r="DL353">
            <v>40526</v>
          </cell>
          <cell r="DM353">
            <v>1854</v>
          </cell>
          <cell r="DO353" t="str">
            <v>тариф на теплову енергію</v>
          </cell>
          <cell r="DT353">
            <v>297.63</v>
          </cell>
        </row>
        <row r="354">
          <cell r="W354">
            <v>519.44166666666672</v>
          </cell>
          <cell r="AF354">
            <v>39926</v>
          </cell>
          <cell r="AG354">
            <v>355</v>
          </cell>
          <cell r="AH354">
            <v>480.9608090122635</v>
          </cell>
          <cell r="AM354">
            <v>2733.1</v>
          </cell>
          <cell r="AO354">
            <v>1419686.0191666668</v>
          </cell>
          <cell r="AQ354">
            <v>1314513.9871114173</v>
          </cell>
          <cell r="AU354">
            <v>0</v>
          </cell>
          <cell r="AW354">
            <v>0</v>
          </cell>
          <cell r="AY354">
            <v>847077.34589112538</v>
          </cell>
          <cell r="AZ354">
            <v>309.9328037360965</v>
          </cell>
          <cell r="BA354">
            <v>138350.68341810055</v>
          </cell>
          <cell r="BB354">
            <v>50.620424945337</v>
          </cell>
          <cell r="BC354">
            <v>0</v>
          </cell>
          <cell r="BD354">
            <v>0</v>
          </cell>
          <cell r="BG354">
            <v>0</v>
          </cell>
          <cell r="BH354">
            <v>0</v>
          </cell>
          <cell r="BI354">
            <v>86578.003246506312</v>
          </cell>
          <cell r="BJ354">
            <v>31.67758342047723</v>
          </cell>
          <cell r="BK354">
            <v>0</v>
          </cell>
          <cell r="BL354">
            <v>0</v>
          </cell>
          <cell r="BM354">
            <v>162890.6424256108</v>
          </cell>
          <cell r="BN354">
            <v>59.599225211522011</v>
          </cell>
          <cell r="BO354">
            <v>0</v>
          </cell>
          <cell r="BP354">
            <v>0</v>
          </cell>
          <cell r="BY354">
            <v>1643</v>
          </cell>
          <cell r="CF354">
            <v>395.41479560794744</v>
          </cell>
          <cell r="CG354">
            <v>2142.25</v>
          </cell>
          <cell r="CJ354">
            <v>0</v>
          </cell>
          <cell r="CK354">
            <v>0</v>
          </cell>
          <cell r="CL354">
            <v>0</v>
          </cell>
          <cell r="CM354">
            <v>0</v>
          </cell>
          <cell r="CN354">
            <v>0</v>
          </cell>
          <cell r="CO354">
            <v>0</v>
          </cell>
          <cell r="CX354">
            <v>0</v>
          </cell>
          <cell r="CY354">
            <v>0</v>
          </cell>
          <cell r="DB354">
            <v>0</v>
          </cell>
          <cell r="DC354">
            <v>0</v>
          </cell>
          <cell r="DJ354" t="str">
            <v>НКРКП</v>
          </cell>
          <cell r="DL354">
            <v>40942</v>
          </cell>
          <cell r="DM354">
            <v>28</v>
          </cell>
          <cell r="DT354">
            <v>796.74</v>
          </cell>
        </row>
        <row r="355">
          <cell r="W355">
            <v>519.44166666666672</v>
          </cell>
          <cell r="AF355">
            <v>39926</v>
          </cell>
          <cell r="AG355">
            <v>355</v>
          </cell>
          <cell r="AH355">
            <v>480.96080665375405</v>
          </cell>
          <cell r="AM355">
            <v>377.3</v>
          </cell>
          <cell r="AO355">
            <v>195985.34083333335</v>
          </cell>
          <cell r="AQ355">
            <v>181466.51235046142</v>
          </cell>
          <cell r="AU355">
            <v>0</v>
          </cell>
          <cell r="AW355">
            <v>0</v>
          </cell>
          <cell r="AY355">
            <v>116935.4472558961</v>
          </cell>
          <cell r="AZ355">
            <v>309.92697390908057</v>
          </cell>
          <cell r="BA355">
            <v>19099.066138771788</v>
          </cell>
          <cell r="BB355">
            <v>50.620371425316158</v>
          </cell>
          <cell r="BC355">
            <v>0</v>
          </cell>
          <cell r="BD355">
            <v>0</v>
          </cell>
          <cell r="BG355">
            <v>0</v>
          </cell>
          <cell r="BH355">
            <v>0</v>
          </cell>
          <cell r="BI355">
            <v>11951.945790133303</v>
          </cell>
          <cell r="BJ355">
            <v>31.677566366640079</v>
          </cell>
          <cell r="BK355">
            <v>0</v>
          </cell>
          <cell r="BL355">
            <v>0</v>
          </cell>
          <cell r="BM355">
            <v>22486.81347840948</v>
          </cell>
          <cell r="BN355">
            <v>59.599293608294403</v>
          </cell>
          <cell r="BO355">
            <v>0</v>
          </cell>
          <cell r="BP355">
            <v>0</v>
          </cell>
          <cell r="BY355">
            <v>1643</v>
          </cell>
          <cell r="CF355">
            <v>54.585341232767462</v>
          </cell>
          <cell r="CG355">
            <v>2142.25</v>
          </cell>
          <cell r="CJ355">
            <v>0</v>
          </cell>
          <cell r="CK355">
            <v>0</v>
          </cell>
          <cell r="CL355">
            <v>0</v>
          </cell>
          <cell r="CM355">
            <v>0</v>
          </cell>
          <cell r="CN355">
            <v>0</v>
          </cell>
          <cell r="CO355">
            <v>0</v>
          </cell>
          <cell r="CX355">
            <v>0</v>
          </cell>
          <cell r="CY355">
            <v>0</v>
          </cell>
          <cell r="DB355">
            <v>0</v>
          </cell>
          <cell r="DC355">
            <v>0</v>
          </cell>
          <cell r="DJ355" t="str">
            <v>НКРКП</v>
          </cell>
          <cell r="DL355">
            <v>40942</v>
          </cell>
          <cell r="DM355">
            <v>28</v>
          </cell>
          <cell r="DT355">
            <v>796.74</v>
          </cell>
        </row>
        <row r="356">
          <cell r="W356">
            <v>296.54201756081932</v>
          </cell>
          <cell r="AF356">
            <v>39926</v>
          </cell>
          <cell r="AG356">
            <v>356</v>
          </cell>
          <cell r="AH356">
            <v>274.57594218594375</v>
          </cell>
          <cell r="AM356">
            <v>83155.600000000006</v>
          </cell>
          <cell r="AO356">
            <v>24659129.395480469</v>
          </cell>
          <cell r="AQ356">
            <v>22832527.218037467</v>
          </cell>
          <cell r="AU356">
            <v>0</v>
          </cell>
          <cell r="AW356">
            <v>0</v>
          </cell>
          <cell r="AY356">
            <v>8923373.3762857635</v>
          </cell>
          <cell r="AZ356">
            <v>107.30934989688924</v>
          </cell>
          <cell r="BA356">
            <v>3223260.71200888</v>
          </cell>
          <cell r="BB356">
            <v>38.761799710529175</v>
          </cell>
          <cell r="BC356">
            <v>0</v>
          </cell>
          <cell r="BD356">
            <v>0</v>
          </cell>
          <cell r="BG356">
            <v>0</v>
          </cell>
          <cell r="BH356">
            <v>0</v>
          </cell>
          <cell r="BI356">
            <v>1914063.9970852647</v>
          </cell>
          <cell r="BJ356">
            <v>23.017860457807586</v>
          </cell>
          <cell r="BK356">
            <v>0</v>
          </cell>
          <cell r="BL356">
            <v>0</v>
          </cell>
          <cell r="BM356">
            <v>5711769.3748061787</v>
          </cell>
          <cell r="BN356">
            <v>68.687729687551752</v>
          </cell>
          <cell r="BO356">
            <v>0</v>
          </cell>
          <cell r="BP356">
            <v>0</v>
          </cell>
          <cell r="BY356">
            <v>1564</v>
          </cell>
          <cell r="CF356">
            <v>12268.840917733271</v>
          </cell>
          <cell r="CG356">
            <v>727.32</v>
          </cell>
          <cell r="CJ356">
            <v>0</v>
          </cell>
          <cell r="CK356">
            <v>0</v>
          </cell>
          <cell r="CL356">
            <v>0</v>
          </cell>
          <cell r="CM356">
            <v>0</v>
          </cell>
          <cell r="CN356">
            <v>0</v>
          </cell>
          <cell r="CO356">
            <v>0</v>
          </cell>
          <cell r="CX356">
            <v>0</v>
          </cell>
          <cell r="CY356">
            <v>0</v>
          </cell>
          <cell r="DB356">
            <v>0</v>
          </cell>
          <cell r="DC356">
            <v>0</v>
          </cell>
          <cell r="DJ356" t="str">
            <v>НКРЕ</v>
          </cell>
          <cell r="DL356">
            <v>40526</v>
          </cell>
          <cell r="DM356">
            <v>1854</v>
          </cell>
          <cell r="DO356" t="str">
            <v>Тариф на теплову енергію</v>
          </cell>
          <cell r="DT356">
            <v>326.19</v>
          </cell>
        </row>
        <row r="357">
          <cell r="W357">
            <v>533.39034511962734</v>
          </cell>
          <cell r="AF357">
            <v>39926</v>
          </cell>
          <cell r="AG357">
            <v>357</v>
          </cell>
          <cell r="AH357">
            <v>493.87994918484009</v>
          </cell>
          <cell r="AM357">
            <v>3188.3</v>
          </cell>
          <cell r="AO357">
            <v>1700608.437344908</v>
          </cell>
          <cell r="AQ357">
            <v>1574637.4419860258</v>
          </cell>
          <cell r="AU357">
            <v>0</v>
          </cell>
          <cell r="AW357">
            <v>0</v>
          </cell>
          <cell r="AY357">
            <v>982092.10825511115</v>
          </cell>
          <cell r="AZ357">
            <v>308.03001858517428</v>
          </cell>
          <cell r="BA357">
            <v>187080.76125108806</v>
          </cell>
          <cell r="BB357">
            <v>58.677276683840304</v>
          </cell>
          <cell r="BC357">
            <v>0</v>
          </cell>
          <cell r="BD357">
            <v>0</v>
          </cell>
          <cell r="BG357">
            <v>0</v>
          </cell>
          <cell r="BH357">
            <v>0</v>
          </cell>
          <cell r="BI357">
            <v>69104.585468275822</v>
          </cell>
          <cell r="BJ357">
            <v>21.674430093866896</v>
          </cell>
          <cell r="BK357">
            <v>0</v>
          </cell>
          <cell r="BL357">
            <v>0</v>
          </cell>
          <cell r="BM357">
            <v>218997.13913002567</v>
          </cell>
          <cell r="BN357">
            <v>68.687745547792133</v>
          </cell>
          <cell r="BO357">
            <v>0</v>
          </cell>
          <cell r="BP357">
            <v>0</v>
          </cell>
          <cell r="BY357">
            <v>1564</v>
          </cell>
          <cell r="CF357">
            <v>458.4395417225399</v>
          </cell>
          <cell r="CG357">
            <v>2142.25</v>
          </cell>
          <cell r="CJ357">
            <v>0</v>
          </cell>
          <cell r="CK357">
            <v>0</v>
          </cell>
          <cell r="CL357">
            <v>0</v>
          </cell>
          <cell r="CM357">
            <v>0</v>
          </cell>
          <cell r="CN357">
            <v>0</v>
          </cell>
          <cell r="CO357">
            <v>0</v>
          </cell>
          <cell r="CX357">
            <v>0</v>
          </cell>
          <cell r="CY357">
            <v>0</v>
          </cell>
          <cell r="DB357">
            <v>0</v>
          </cell>
          <cell r="DC357">
            <v>0</v>
          </cell>
          <cell r="DJ357" t="str">
            <v>НКРКП</v>
          </cell>
          <cell r="DL357">
            <v>40942</v>
          </cell>
          <cell r="DM357">
            <v>28</v>
          </cell>
          <cell r="DT357">
            <v>813.16</v>
          </cell>
        </row>
        <row r="358">
          <cell r="W358">
            <v>533.39034511962734</v>
          </cell>
          <cell r="AF358">
            <v>39926</v>
          </cell>
          <cell r="AG358">
            <v>357</v>
          </cell>
          <cell r="AH358">
            <v>493.88003990089135</v>
          </cell>
          <cell r="AM358">
            <v>4436.8999999999996</v>
          </cell>
          <cell r="AO358">
            <v>2366599.6222612741</v>
          </cell>
          <cell r="AQ358">
            <v>2191296.3490362647</v>
          </cell>
          <cell r="AU358">
            <v>0</v>
          </cell>
          <cell r="AW358">
            <v>0</v>
          </cell>
          <cell r="AY358">
            <v>1366697.7095026064</v>
          </cell>
          <cell r="AZ358">
            <v>308.02986533449177</v>
          </cell>
          <cell r="BA358">
            <v>260344.67673842394</v>
          </cell>
          <cell r="BB358">
            <v>58.677156739711052</v>
          </cell>
          <cell r="BC358">
            <v>0</v>
          </cell>
          <cell r="BD358">
            <v>0</v>
          </cell>
          <cell r="BG358">
            <v>0</v>
          </cell>
          <cell r="BH358">
            <v>0</v>
          </cell>
          <cell r="BI358">
            <v>96166.384560929306</v>
          </cell>
          <cell r="BJ358">
            <v>21.674228529137306</v>
          </cell>
          <cell r="BK358">
            <v>0</v>
          </cell>
          <cell r="BL358">
            <v>0</v>
          </cell>
          <cell r="BM358">
            <v>304760.79122823954</v>
          </cell>
          <cell r="BN358">
            <v>68.687775525308112</v>
          </cell>
          <cell r="BO358">
            <v>0</v>
          </cell>
          <cell r="BP358">
            <v>0</v>
          </cell>
          <cell r="BY358">
            <v>1564</v>
          </cell>
          <cell r="CF358">
            <v>637.97302345786272</v>
          </cell>
          <cell r="CG358">
            <v>2142.25</v>
          </cell>
          <cell r="CJ358">
            <v>0</v>
          </cell>
          <cell r="CK358">
            <v>0</v>
          </cell>
          <cell r="CL358">
            <v>0</v>
          </cell>
          <cell r="CM358">
            <v>0</v>
          </cell>
          <cell r="CN358">
            <v>0</v>
          </cell>
          <cell r="CO358">
            <v>0</v>
          </cell>
          <cell r="CX358">
            <v>0</v>
          </cell>
          <cell r="CY358">
            <v>0</v>
          </cell>
          <cell r="DB358">
            <v>0</v>
          </cell>
          <cell r="DC358">
            <v>0</v>
          </cell>
          <cell r="DJ358" t="str">
            <v>НКРКП</v>
          </cell>
          <cell r="DL358">
            <v>40942</v>
          </cell>
          <cell r="DM358">
            <v>28</v>
          </cell>
          <cell r="DT358">
            <v>813.16</v>
          </cell>
        </row>
        <row r="359">
          <cell r="W359">
            <v>129.16999999999999</v>
          </cell>
          <cell r="AF359">
            <v>39926</v>
          </cell>
          <cell r="AG359">
            <v>356</v>
          </cell>
          <cell r="AH359">
            <v>274.57594218594414</v>
          </cell>
          <cell r="AM359">
            <v>4702.8</v>
          </cell>
          <cell r="AO359">
            <v>607460.67599999998</v>
          </cell>
          <cell r="AQ359">
            <v>1291275.7409120582</v>
          </cell>
          <cell r="AU359">
            <v>0</v>
          </cell>
          <cell r="AW359">
            <v>0</v>
          </cell>
          <cell r="AY359">
            <v>504654.4106950913</v>
          </cell>
          <cell r="AZ359">
            <v>107.30934989688936</v>
          </cell>
          <cell r="BA359">
            <v>182288.9916786768</v>
          </cell>
          <cell r="BB359">
            <v>38.761799710529218</v>
          </cell>
          <cell r="BC359">
            <v>0</v>
          </cell>
          <cell r="BD359">
            <v>0</v>
          </cell>
          <cell r="BG359">
            <v>0</v>
          </cell>
          <cell r="BH359">
            <v>0</v>
          </cell>
          <cell r="BI359">
            <v>108248.39416097764</v>
          </cell>
          <cell r="BJ359">
            <v>23.017860457807611</v>
          </cell>
          <cell r="BK359">
            <v>0</v>
          </cell>
          <cell r="BL359">
            <v>0</v>
          </cell>
          <cell r="BM359">
            <v>323024.65517461882</v>
          </cell>
          <cell r="BN359">
            <v>68.687729687551837</v>
          </cell>
          <cell r="BO359">
            <v>0</v>
          </cell>
          <cell r="BP359">
            <v>0</v>
          </cell>
          <cell r="BY359">
            <v>1564</v>
          </cell>
          <cell r="CF359">
            <v>693.85471414933079</v>
          </cell>
          <cell r="CG359">
            <v>727.32</v>
          </cell>
          <cell r="CJ359">
            <v>0</v>
          </cell>
          <cell r="CK359">
            <v>0</v>
          </cell>
          <cell r="CL359">
            <v>0</v>
          </cell>
          <cell r="CM359">
            <v>0</v>
          </cell>
          <cell r="CN359">
            <v>0</v>
          </cell>
          <cell r="CO359">
            <v>0</v>
          </cell>
          <cell r="CX359">
            <v>0</v>
          </cell>
          <cell r="CY359">
            <v>0</v>
          </cell>
          <cell r="DB359">
            <v>0</v>
          </cell>
          <cell r="DC359">
            <v>0</v>
          </cell>
          <cell r="DJ359" t="str">
            <v>НКРЕ</v>
          </cell>
          <cell r="DL359">
            <v>40526</v>
          </cell>
          <cell r="DM359">
            <v>1854</v>
          </cell>
          <cell r="DO359" t="str">
            <v>Тариф на теплову енергію</v>
          </cell>
          <cell r="DT359">
            <v>161.46</v>
          </cell>
        </row>
        <row r="360">
          <cell r="W360">
            <v>533.39</v>
          </cell>
          <cell r="AF360">
            <v>39926</v>
          </cell>
          <cell r="AG360">
            <v>357</v>
          </cell>
          <cell r="AH360">
            <v>493.87994918484031</v>
          </cell>
          <cell r="AM360">
            <v>1316.3</v>
          </cell>
          <cell r="AO360">
            <v>702101.25699999998</v>
          </cell>
          <cell r="AQ360">
            <v>650094.1771120053</v>
          </cell>
          <cell r="AU360">
            <v>0</v>
          </cell>
          <cell r="AW360">
            <v>0</v>
          </cell>
          <cell r="AY360">
            <v>405459.91346366506</v>
          </cell>
          <cell r="AZ360">
            <v>308.03001858517439</v>
          </cell>
          <cell r="BA360">
            <v>77236.899298939039</v>
          </cell>
          <cell r="BB360">
            <v>58.67727668384034</v>
          </cell>
          <cell r="BC360">
            <v>0</v>
          </cell>
          <cell r="BD360">
            <v>0</v>
          </cell>
          <cell r="BG360">
            <v>0</v>
          </cell>
          <cell r="BH360">
            <v>0</v>
          </cell>
          <cell r="BI360">
            <v>28530.052332557003</v>
          </cell>
          <cell r="BJ360">
            <v>21.674430093866903</v>
          </cell>
          <cell r="BK360">
            <v>0</v>
          </cell>
          <cell r="BL360">
            <v>0</v>
          </cell>
          <cell r="BM360">
            <v>90413.679464558809</v>
          </cell>
          <cell r="BN360">
            <v>68.687745547792147</v>
          </cell>
          <cell r="BO360">
            <v>0</v>
          </cell>
          <cell r="BP360">
            <v>0</v>
          </cell>
          <cell r="BY360">
            <v>1564</v>
          </cell>
          <cell r="CF360">
            <v>189.26825228785859</v>
          </cell>
          <cell r="CG360">
            <v>2142.25</v>
          </cell>
          <cell r="CJ360">
            <v>0</v>
          </cell>
          <cell r="CK360">
            <v>0</v>
          </cell>
          <cell r="CL360">
            <v>0</v>
          </cell>
          <cell r="CM360">
            <v>0</v>
          </cell>
          <cell r="CN360">
            <v>0</v>
          </cell>
          <cell r="CO360">
            <v>0</v>
          </cell>
          <cell r="CX360">
            <v>0</v>
          </cell>
          <cell r="CY360">
            <v>0</v>
          </cell>
          <cell r="DB360">
            <v>0</v>
          </cell>
          <cell r="DC360">
            <v>0</v>
          </cell>
          <cell r="DJ360" t="str">
            <v>НКРКП</v>
          </cell>
          <cell r="DL360">
            <v>40942</v>
          </cell>
          <cell r="DM360">
            <v>28</v>
          </cell>
          <cell r="DT360">
            <v>813.16</v>
          </cell>
        </row>
        <row r="361">
          <cell r="W361">
            <v>533.39</v>
          </cell>
          <cell r="AF361">
            <v>39926</v>
          </cell>
          <cell r="AG361">
            <v>357</v>
          </cell>
          <cell r="AH361">
            <v>493.88003990088981</v>
          </cell>
          <cell r="AM361">
            <v>91.5</v>
          </cell>
          <cell r="AO361">
            <v>48805.184999999998</v>
          </cell>
          <cell r="AQ361">
            <v>45190.02365093142</v>
          </cell>
          <cell r="AU361">
            <v>0</v>
          </cell>
          <cell r="AW361">
            <v>0</v>
          </cell>
          <cell r="AY361">
            <v>28184.732678105913</v>
          </cell>
          <cell r="AZ361">
            <v>308.02986533449086</v>
          </cell>
          <cell r="BA361">
            <v>5368.9598416835433</v>
          </cell>
          <cell r="BB361">
            <v>58.67715673971086</v>
          </cell>
          <cell r="BC361">
            <v>0</v>
          </cell>
          <cell r="BD361">
            <v>0</v>
          </cell>
          <cell r="BG361">
            <v>0</v>
          </cell>
          <cell r="BH361">
            <v>0</v>
          </cell>
          <cell r="BI361">
            <v>1983.1919104160575</v>
          </cell>
          <cell r="BJ361">
            <v>21.674228529137238</v>
          </cell>
          <cell r="BK361">
            <v>0</v>
          </cell>
          <cell r="BL361">
            <v>0</v>
          </cell>
          <cell r="BM361">
            <v>6284.9314605656728</v>
          </cell>
          <cell r="BN361">
            <v>68.687775525307899</v>
          </cell>
          <cell r="BO361">
            <v>0</v>
          </cell>
          <cell r="BP361">
            <v>0</v>
          </cell>
          <cell r="BY361">
            <v>1564</v>
          </cell>
          <cell r="CF361">
            <v>13.156602953953046</v>
          </cell>
          <cell r="CG361">
            <v>2142.25</v>
          </cell>
          <cell r="CJ361">
            <v>0</v>
          </cell>
          <cell r="CK361">
            <v>0</v>
          </cell>
          <cell r="CL361">
            <v>0</v>
          </cell>
          <cell r="CM361">
            <v>0</v>
          </cell>
          <cell r="CN361">
            <v>0</v>
          </cell>
          <cell r="CO361">
            <v>0</v>
          </cell>
          <cell r="CX361">
            <v>0</v>
          </cell>
          <cell r="CY361">
            <v>0</v>
          </cell>
          <cell r="DB361">
            <v>0</v>
          </cell>
          <cell r="DC361">
            <v>0</v>
          </cell>
          <cell r="DJ361" t="str">
            <v>НКРКП</v>
          </cell>
          <cell r="DL361">
            <v>40942</v>
          </cell>
          <cell r="DM361">
            <v>28</v>
          </cell>
          <cell r="DT361">
            <v>813.16</v>
          </cell>
        </row>
        <row r="362">
          <cell r="W362">
            <v>129.16999999999999</v>
          </cell>
          <cell r="AF362">
            <v>39926</v>
          </cell>
          <cell r="AG362">
            <v>356</v>
          </cell>
          <cell r="AH362">
            <v>274.57594218594414</v>
          </cell>
          <cell r="AM362">
            <v>6267.1</v>
          </cell>
          <cell r="AO362">
            <v>809521.30699999991</v>
          </cell>
          <cell r="AQ362">
            <v>1720794.8872735305</v>
          </cell>
          <cell r="AU362">
            <v>0</v>
          </cell>
          <cell r="AW362">
            <v>0</v>
          </cell>
          <cell r="AY362">
            <v>672518.42673879524</v>
          </cell>
          <cell r="AZ362">
            <v>107.30934989688934</v>
          </cell>
          <cell r="BA362">
            <v>242924.07496585767</v>
          </cell>
          <cell r="BB362">
            <v>38.761799710529218</v>
          </cell>
          <cell r="BC362">
            <v>0</v>
          </cell>
          <cell r="BD362">
            <v>0</v>
          </cell>
          <cell r="BG362">
            <v>0</v>
          </cell>
          <cell r="BH362">
            <v>0</v>
          </cell>
          <cell r="BI362">
            <v>144255.23327512611</v>
          </cell>
          <cell r="BJ362">
            <v>23.017860457807615</v>
          </cell>
          <cell r="BK362">
            <v>0</v>
          </cell>
          <cell r="BL362">
            <v>0</v>
          </cell>
          <cell r="BM362">
            <v>430472.87072485615</v>
          </cell>
          <cell r="BN362">
            <v>68.687729687551837</v>
          </cell>
          <cell r="BO362">
            <v>0</v>
          </cell>
          <cell r="BP362">
            <v>0</v>
          </cell>
          <cell r="BY362">
            <v>1564</v>
          </cell>
          <cell r="CF362">
            <v>924.65273433811149</v>
          </cell>
          <cell r="CG362">
            <v>727.32</v>
          </cell>
          <cell r="CJ362">
            <v>0</v>
          </cell>
          <cell r="CK362">
            <v>0</v>
          </cell>
          <cell r="CL362">
            <v>0</v>
          </cell>
          <cell r="CM362">
            <v>0</v>
          </cell>
          <cell r="CN362">
            <v>0</v>
          </cell>
          <cell r="CO362">
            <v>0</v>
          </cell>
          <cell r="CX362">
            <v>0</v>
          </cell>
          <cell r="CY362">
            <v>0</v>
          </cell>
          <cell r="DB362">
            <v>0</v>
          </cell>
          <cell r="DC362">
            <v>0</v>
          </cell>
          <cell r="DJ362" t="str">
            <v>НКРЕ</v>
          </cell>
          <cell r="DL362">
            <v>40526</v>
          </cell>
          <cell r="DM362">
            <v>1854</v>
          </cell>
          <cell r="DO362" t="str">
            <v>Тариф на теплову енергію</v>
          </cell>
          <cell r="DT362">
            <v>161.46</v>
          </cell>
        </row>
        <row r="363">
          <cell r="W363">
            <v>533.39</v>
          </cell>
          <cell r="AF363">
            <v>39926</v>
          </cell>
          <cell r="AG363">
            <v>357</v>
          </cell>
          <cell r="AH363">
            <v>493.87994918484031</v>
          </cell>
          <cell r="AM363">
            <v>524.6</v>
          </cell>
          <cell r="AO363">
            <v>279816.39400000003</v>
          </cell>
          <cell r="AQ363">
            <v>259089.42134236725</v>
          </cell>
          <cell r="AU363">
            <v>0</v>
          </cell>
          <cell r="AW363">
            <v>0</v>
          </cell>
          <cell r="AY363">
            <v>161592.5477497825</v>
          </cell>
          <cell r="AZ363">
            <v>308.03001858517439</v>
          </cell>
          <cell r="BA363">
            <v>30782.099348342643</v>
          </cell>
          <cell r="BB363">
            <v>58.67727668384034</v>
          </cell>
          <cell r="BC363">
            <v>0</v>
          </cell>
          <cell r="BD363">
            <v>0</v>
          </cell>
          <cell r="BG363">
            <v>0</v>
          </cell>
          <cell r="BH363">
            <v>0</v>
          </cell>
          <cell r="BI363">
            <v>11370.406027242576</v>
          </cell>
          <cell r="BJ363">
            <v>21.674430093866899</v>
          </cell>
          <cell r="BK363">
            <v>0</v>
          </cell>
          <cell r="BL363">
            <v>0</v>
          </cell>
          <cell r="BM363">
            <v>36033.59131437177</v>
          </cell>
          <cell r="BN363">
            <v>68.687745547792161</v>
          </cell>
          <cell r="BO363">
            <v>0</v>
          </cell>
          <cell r="BP363">
            <v>0</v>
          </cell>
          <cell r="BY363">
            <v>1564</v>
          </cell>
          <cell r="CF363">
            <v>75.43122779777454</v>
          </cell>
          <cell r="CG363">
            <v>2142.25</v>
          </cell>
          <cell r="CJ363">
            <v>0</v>
          </cell>
          <cell r="CK363">
            <v>0</v>
          </cell>
          <cell r="CL363">
            <v>0</v>
          </cell>
          <cell r="CM363">
            <v>0</v>
          </cell>
          <cell r="CN363">
            <v>0</v>
          </cell>
          <cell r="CO363">
            <v>0</v>
          </cell>
          <cell r="CX363">
            <v>0</v>
          </cell>
          <cell r="CY363">
            <v>0</v>
          </cell>
          <cell r="DB363">
            <v>0</v>
          </cell>
          <cell r="DC363">
            <v>0</v>
          </cell>
          <cell r="DJ363" t="str">
            <v>НКРКП</v>
          </cell>
          <cell r="DL363">
            <v>40942</v>
          </cell>
          <cell r="DM363">
            <v>28</v>
          </cell>
          <cell r="DT363">
            <v>813.16</v>
          </cell>
        </row>
        <row r="364">
          <cell r="W364">
            <v>533.39</v>
          </cell>
          <cell r="AF364">
            <v>39926</v>
          </cell>
          <cell r="AG364">
            <v>357</v>
          </cell>
          <cell r="AH364">
            <v>493.88003990088976</v>
          </cell>
          <cell r="AM364">
            <v>142.9</v>
          </cell>
          <cell r="AO364">
            <v>76221.430999999997</v>
          </cell>
          <cell r="AQ364">
            <v>70575.457701837149</v>
          </cell>
          <cell r="AU364">
            <v>0</v>
          </cell>
          <cell r="AW364">
            <v>0</v>
          </cell>
          <cell r="AY364">
            <v>44017.467756298742</v>
          </cell>
          <cell r="AZ364">
            <v>308.02986533449081</v>
          </cell>
          <cell r="BA364">
            <v>8384.9656981046828</v>
          </cell>
          <cell r="BB364">
            <v>58.677156739710867</v>
          </cell>
          <cell r="BC364">
            <v>0</v>
          </cell>
          <cell r="BD364">
            <v>0</v>
          </cell>
          <cell r="BG364">
            <v>0</v>
          </cell>
          <cell r="BH364">
            <v>0</v>
          </cell>
          <cell r="BI364">
            <v>3097.2472568137114</v>
          </cell>
          <cell r="BJ364">
            <v>21.674228529137238</v>
          </cell>
          <cell r="BK364">
            <v>0</v>
          </cell>
          <cell r="BL364">
            <v>0</v>
          </cell>
          <cell r="BM364">
            <v>9815.4831225664984</v>
          </cell>
          <cell r="BN364">
            <v>68.687775525307899</v>
          </cell>
          <cell r="BO364">
            <v>0</v>
          </cell>
          <cell r="BP364">
            <v>0</v>
          </cell>
          <cell r="BY364">
            <v>1564</v>
          </cell>
          <cell r="CF364">
            <v>20.547306689834866</v>
          </cell>
          <cell r="CG364">
            <v>2142.25</v>
          </cell>
          <cell r="CJ364">
            <v>0</v>
          </cell>
          <cell r="CK364">
            <v>0</v>
          </cell>
          <cell r="CL364">
            <v>0</v>
          </cell>
          <cell r="CM364">
            <v>0</v>
          </cell>
          <cell r="CN364">
            <v>0</v>
          </cell>
          <cell r="CO364">
            <v>0</v>
          </cell>
          <cell r="CX364">
            <v>0</v>
          </cell>
          <cell r="CY364">
            <v>0</v>
          </cell>
          <cell r="DB364">
            <v>0</v>
          </cell>
          <cell r="DC364">
            <v>0</v>
          </cell>
          <cell r="DJ364" t="str">
            <v>НКРКП</v>
          </cell>
          <cell r="DL364">
            <v>40942</v>
          </cell>
          <cell r="DM364">
            <v>28</v>
          </cell>
          <cell r="DT364">
            <v>813.16</v>
          </cell>
        </row>
        <row r="365">
          <cell r="W365">
            <v>239.41666666666669</v>
          </cell>
          <cell r="AF365">
            <v>39926</v>
          </cell>
          <cell r="AG365">
            <v>356</v>
          </cell>
          <cell r="AH365">
            <v>274.5759421859438</v>
          </cell>
          <cell r="AM365">
            <v>11890.6</v>
          </cell>
          <cell r="AO365">
            <v>2846807.8166666669</v>
          </cell>
          <cell r="AQ365">
            <v>3264872.6981561836</v>
          </cell>
          <cell r="AU365">
            <v>0</v>
          </cell>
          <cell r="AW365">
            <v>0</v>
          </cell>
          <cell r="AY365">
            <v>1275972.555883951</v>
          </cell>
          <cell r="AZ365">
            <v>107.30934989688922</v>
          </cell>
          <cell r="BA365">
            <v>460901.05563801824</v>
          </cell>
          <cell r="BB365">
            <v>38.761799710529175</v>
          </cell>
          <cell r="BC365">
            <v>0</v>
          </cell>
          <cell r="BD365">
            <v>0</v>
          </cell>
          <cell r="BG365">
            <v>0</v>
          </cell>
          <cell r="BH365">
            <v>0</v>
          </cell>
          <cell r="BI365">
            <v>273696.17155960691</v>
          </cell>
          <cell r="BJ365">
            <v>23.017860457807586</v>
          </cell>
          <cell r="BK365">
            <v>0</v>
          </cell>
          <cell r="BL365">
            <v>0</v>
          </cell>
          <cell r="BM365">
            <v>816738.31862280285</v>
          </cell>
          <cell r="BN365">
            <v>68.687729687551752</v>
          </cell>
          <cell r="BO365">
            <v>0</v>
          </cell>
          <cell r="BP365">
            <v>0</v>
          </cell>
          <cell r="BY365">
            <v>1564</v>
          </cell>
          <cell r="CF365">
            <v>1754.3482317053717</v>
          </cell>
          <cell r="CG365">
            <v>727.32</v>
          </cell>
          <cell r="CJ365">
            <v>0</v>
          </cell>
          <cell r="CK365">
            <v>0</v>
          </cell>
          <cell r="CL365">
            <v>0</v>
          </cell>
          <cell r="CM365">
            <v>0</v>
          </cell>
          <cell r="CN365">
            <v>0</v>
          </cell>
          <cell r="CO365">
            <v>0</v>
          </cell>
          <cell r="CX365">
            <v>0</v>
          </cell>
          <cell r="CY365">
            <v>0</v>
          </cell>
          <cell r="DB365">
            <v>0</v>
          </cell>
          <cell r="DC365">
            <v>0</v>
          </cell>
          <cell r="DJ365" t="str">
            <v>НКРЕ</v>
          </cell>
          <cell r="DL365">
            <v>40526</v>
          </cell>
          <cell r="DM365">
            <v>1854</v>
          </cell>
          <cell r="DO365" t="str">
            <v>Тариф на теплову енергію</v>
          </cell>
          <cell r="DT365">
            <v>263.36</v>
          </cell>
        </row>
        <row r="366">
          <cell r="W366">
            <v>533.39166666666677</v>
          </cell>
          <cell r="AF366">
            <v>39926</v>
          </cell>
          <cell r="AG366">
            <v>357</v>
          </cell>
          <cell r="AH366">
            <v>493.87994918484014</v>
          </cell>
          <cell r="AM366">
            <v>663.8</v>
          </cell>
          <cell r="AO366">
            <v>354065.38833333337</v>
          </cell>
          <cell r="AQ366">
            <v>327837.51026889688</v>
          </cell>
          <cell r="AU366">
            <v>0</v>
          </cell>
          <cell r="AW366">
            <v>0</v>
          </cell>
          <cell r="AY366">
            <v>204470.32633683865</v>
          </cell>
          <cell r="AZ366">
            <v>308.03001858517428</v>
          </cell>
          <cell r="BA366">
            <v>38949.976262733195</v>
          </cell>
          <cell r="BB366">
            <v>58.677276683840311</v>
          </cell>
          <cell r="BC366">
            <v>0</v>
          </cell>
          <cell r="BD366">
            <v>0</v>
          </cell>
          <cell r="BG366">
            <v>0</v>
          </cell>
          <cell r="BH366">
            <v>0</v>
          </cell>
          <cell r="BI366">
            <v>14387.486696308843</v>
          </cell>
          <cell r="BJ366">
            <v>21.674430093866892</v>
          </cell>
          <cell r="BK366">
            <v>0</v>
          </cell>
          <cell r="BL366">
            <v>0</v>
          </cell>
          <cell r="BM366">
            <v>45594.925494624418</v>
          </cell>
          <cell r="BN366">
            <v>68.687745547792133</v>
          </cell>
          <cell r="BO366">
            <v>0</v>
          </cell>
          <cell r="BP366">
            <v>0</v>
          </cell>
          <cell r="BY366">
            <v>1564</v>
          </cell>
          <cell r="CF366">
            <v>95.44652880702003</v>
          </cell>
          <cell r="CG366">
            <v>2142.25</v>
          </cell>
          <cell r="CJ366">
            <v>0</v>
          </cell>
          <cell r="CK366">
            <v>0</v>
          </cell>
          <cell r="CL366">
            <v>0</v>
          </cell>
          <cell r="CM366">
            <v>0</v>
          </cell>
          <cell r="CN366">
            <v>0</v>
          </cell>
          <cell r="CO366">
            <v>0</v>
          </cell>
          <cell r="CX366">
            <v>0</v>
          </cell>
          <cell r="CY366">
            <v>0</v>
          </cell>
          <cell r="DB366">
            <v>0</v>
          </cell>
          <cell r="DC366">
            <v>0</v>
          </cell>
          <cell r="DJ366" t="str">
            <v>НКРКП</v>
          </cell>
          <cell r="DL366">
            <v>40942</v>
          </cell>
          <cell r="DM366">
            <v>28</v>
          </cell>
          <cell r="DT366">
            <v>813.16</v>
          </cell>
        </row>
        <row r="367">
          <cell r="W367">
            <v>533.39166666666677</v>
          </cell>
          <cell r="AF367">
            <v>39926</v>
          </cell>
          <cell r="AG367">
            <v>357</v>
          </cell>
          <cell r="AH367">
            <v>493.88003990089135</v>
          </cell>
          <cell r="AM367">
            <v>152.9</v>
          </cell>
          <cell r="AO367">
            <v>81555.585833333345</v>
          </cell>
          <cell r="AQ367">
            <v>75514.258100846288</v>
          </cell>
          <cell r="AU367">
            <v>0</v>
          </cell>
          <cell r="AW367">
            <v>0</v>
          </cell>
          <cell r="AY367">
            <v>47097.766409643795</v>
          </cell>
          <cell r="AZ367">
            <v>308.02986533449177</v>
          </cell>
          <cell r="BA367">
            <v>8971.7372655018189</v>
          </cell>
          <cell r="BB367">
            <v>58.677156739711045</v>
          </cell>
          <cell r="BC367">
            <v>0</v>
          </cell>
          <cell r="BD367">
            <v>0</v>
          </cell>
          <cell r="BG367">
            <v>0</v>
          </cell>
          <cell r="BH367">
            <v>0</v>
          </cell>
          <cell r="BI367">
            <v>3313.9895421050942</v>
          </cell>
          <cell r="BJ367">
            <v>21.674228529137306</v>
          </cell>
          <cell r="BK367">
            <v>0</v>
          </cell>
          <cell r="BL367">
            <v>0</v>
          </cell>
          <cell r="BM367">
            <v>10502.36087781961</v>
          </cell>
          <cell r="BN367">
            <v>68.687775525308112</v>
          </cell>
          <cell r="BO367">
            <v>0</v>
          </cell>
          <cell r="BP367">
            <v>0</v>
          </cell>
          <cell r="BY367">
            <v>1564</v>
          </cell>
          <cell r="CF367">
            <v>21.985186794092098</v>
          </cell>
          <cell r="CG367">
            <v>2142.25</v>
          </cell>
          <cell r="CJ367">
            <v>0</v>
          </cell>
          <cell r="CK367">
            <v>0</v>
          </cell>
          <cell r="CL367">
            <v>0</v>
          </cell>
          <cell r="CM367">
            <v>0</v>
          </cell>
          <cell r="CN367">
            <v>0</v>
          </cell>
          <cell r="CO367">
            <v>0</v>
          </cell>
          <cell r="CX367">
            <v>0</v>
          </cell>
          <cell r="CY367">
            <v>0</v>
          </cell>
          <cell r="DB367">
            <v>0</v>
          </cell>
          <cell r="DC367">
            <v>0</v>
          </cell>
          <cell r="DJ367" t="str">
            <v>НКРКП</v>
          </cell>
          <cell r="DL367">
            <v>40942</v>
          </cell>
          <cell r="DM367">
            <v>28</v>
          </cell>
          <cell r="DT367">
            <v>813.16</v>
          </cell>
        </row>
        <row r="368">
          <cell r="W368">
            <v>296.54201756081932</v>
          </cell>
          <cell r="AF368">
            <v>39926</v>
          </cell>
          <cell r="AG368">
            <v>356</v>
          </cell>
          <cell r="AH368">
            <v>274.5759421859438</v>
          </cell>
          <cell r="AM368">
            <v>7739.3</v>
          </cell>
          <cell r="AO368">
            <v>2295027.636508449</v>
          </cell>
          <cell r="AQ368">
            <v>2125025.5893596751</v>
          </cell>
          <cell r="AU368">
            <v>0</v>
          </cell>
          <cell r="AW368">
            <v>0</v>
          </cell>
          <cell r="AY368">
            <v>830499.25165699481</v>
          </cell>
          <cell r="AZ368">
            <v>107.30934989688923</v>
          </cell>
          <cell r="BA368">
            <v>299989.19649969845</v>
          </cell>
          <cell r="BB368">
            <v>38.761799710529175</v>
          </cell>
          <cell r="BC368">
            <v>0</v>
          </cell>
          <cell r="BD368">
            <v>0</v>
          </cell>
          <cell r="BG368">
            <v>0</v>
          </cell>
          <cell r="BH368">
            <v>0</v>
          </cell>
          <cell r="BI368">
            <v>178142.12744111026</v>
          </cell>
          <cell r="BJ368">
            <v>23.017860457807586</v>
          </cell>
          <cell r="BK368">
            <v>0</v>
          </cell>
          <cell r="BL368">
            <v>0</v>
          </cell>
          <cell r="BM368">
            <v>531594.94637086929</v>
          </cell>
          <cell r="BN368">
            <v>68.687729687551752</v>
          </cell>
          <cell r="BO368">
            <v>0</v>
          </cell>
          <cell r="BP368">
            <v>0</v>
          </cell>
          <cell r="BY368">
            <v>1564</v>
          </cell>
          <cell r="CF368">
            <v>1141.862249982119</v>
          </cell>
          <cell r="CG368">
            <v>727.32</v>
          </cell>
          <cell r="CJ368">
            <v>0</v>
          </cell>
          <cell r="CK368">
            <v>0</v>
          </cell>
          <cell r="CL368">
            <v>0</v>
          </cell>
          <cell r="CM368">
            <v>0</v>
          </cell>
          <cell r="CN368">
            <v>0</v>
          </cell>
          <cell r="CO368">
            <v>0</v>
          </cell>
          <cell r="CX368">
            <v>0</v>
          </cell>
          <cell r="CY368">
            <v>0</v>
          </cell>
          <cell r="DB368">
            <v>0</v>
          </cell>
          <cell r="DC368">
            <v>0</v>
          </cell>
          <cell r="DJ368" t="str">
            <v>НКРЕ</v>
          </cell>
          <cell r="DL368">
            <v>40526</v>
          </cell>
          <cell r="DM368">
            <v>1854</v>
          </cell>
          <cell r="DO368" t="str">
            <v>Тариф на теплову енергію</v>
          </cell>
          <cell r="DT368">
            <v>326.19</v>
          </cell>
        </row>
        <row r="369">
          <cell r="W369">
            <v>533.39034511962734</v>
          </cell>
          <cell r="AF369">
            <v>39926</v>
          </cell>
          <cell r="AG369">
            <v>357</v>
          </cell>
          <cell r="AH369">
            <v>493.87994918484009</v>
          </cell>
          <cell r="AM369">
            <v>215.8</v>
          </cell>
          <cell r="AO369">
            <v>115105.63647681559</v>
          </cell>
          <cell r="AQ369">
            <v>106579.29303408849</v>
          </cell>
          <cell r="AU369">
            <v>0</v>
          </cell>
          <cell r="AW369">
            <v>0</v>
          </cell>
          <cell r="AY369">
            <v>66472.878010680608</v>
          </cell>
          <cell r="AZ369">
            <v>308.03001858517428</v>
          </cell>
          <cell r="BA369">
            <v>12662.556308372739</v>
          </cell>
          <cell r="BB369">
            <v>58.677276683840311</v>
          </cell>
          <cell r="BC369">
            <v>0</v>
          </cell>
          <cell r="BD369">
            <v>0</v>
          </cell>
          <cell r="BG369">
            <v>0</v>
          </cell>
          <cell r="BH369">
            <v>0</v>
          </cell>
          <cell r="BI369">
            <v>4677.3420142564755</v>
          </cell>
          <cell r="BJ369">
            <v>21.674430093866892</v>
          </cell>
          <cell r="BK369">
            <v>0</v>
          </cell>
          <cell r="BL369">
            <v>0</v>
          </cell>
          <cell r="BM369">
            <v>14822.815489213543</v>
          </cell>
          <cell r="BN369">
            <v>68.687745547792133</v>
          </cell>
          <cell r="BO369">
            <v>0</v>
          </cell>
          <cell r="BP369">
            <v>0</v>
          </cell>
          <cell r="BY369">
            <v>1564</v>
          </cell>
          <cell r="CF369">
            <v>31.029468087609107</v>
          </cell>
          <cell r="CG369">
            <v>2142.25</v>
          </cell>
          <cell r="CJ369">
            <v>0</v>
          </cell>
          <cell r="CK369">
            <v>0</v>
          </cell>
          <cell r="CL369">
            <v>0</v>
          </cell>
          <cell r="CM369">
            <v>0</v>
          </cell>
          <cell r="CN369">
            <v>0</v>
          </cell>
          <cell r="CO369">
            <v>0</v>
          </cell>
          <cell r="CX369">
            <v>0</v>
          </cell>
          <cell r="CY369">
            <v>0</v>
          </cell>
          <cell r="DB369">
            <v>0</v>
          </cell>
          <cell r="DC369">
            <v>0</v>
          </cell>
          <cell r="DJ369" t="str">
            <v>НКРКП</v>
          </cell>
          <cell r="DL369">
            <v>40942</v>
          </cell>
          <cell r="DM369">
            <v>28</v>
          </cell>
          <cell r="DT369">
            <v>813.16</v>
          </cell>
        </row>
        <row r="370">
          <cell r="W370">
            <v>533.39034511962734</v>
          </cell>
          <cell r="AF370">
            <v>39926</v>
          </cell>
          <cell r="AG370">
            <v>357</v>
          </cell>
          <cell r="AH370">
            <v>493.88003990089129</v>
          </cell>
          <cell r="AM370">
            <v>507.1</v>
          </cell>
          <cell r="AO370">
            <v>270482.24401016306</v>
          </cell>
          <cell r="AQ370">
            <v>250446.56823374197</v>
          </cell>
          <cell r="AU370">
            <v>0</v>
          </cell>
          <cell r="AW370">
            <v>0</v>
          </cell>
          <cell r="AY370">
            <v>156201.9447111208</v>
          </cell>
          <cell r="AZ370">
            <v>308.02986533449177</v>
          </cell>
          <cell r="BA370">
            <v>29755.186182707472</v>
          </cell>
          <cell r="BB370">
            <v>58.677156739711045</v>
          </cell>
          <cell r="BC370">
            <v>0</v>
          </cell>
          <cell r="BD370">
            <v>0</v>
          </cell>
          <cell r="BG370">
            <v>0</v>
          </cell>
          <cell r="BH370">
            <v>0</v>
          </cell>
          <cell r="BI370">
            <v>10991.001287125528</v>
          </cell>
          <cell r="BJ370">
            <v>21.674228529137306</v>
          </cell>
          <cell r="BK370">
            <v>0</v>
          </cell>
          <cell r="BL370">
            <v>0</v>
          </cell>
          <cell r="BM370">
            <v>34831.570968883745</v>
          </cell>
          <cell r="BN370">
            <v>68.687775525308112</v>
          </cell>
          <cell r="BO370">
            <v>0</v>
          </cell>
          <cell r="BP370">
            <v>0</v>
          </cell>
          <cell r="BY370">
            <v>1564</v>
          </cell>
          <cell r="CF370">
            <v>72.914900086880991</v>
          </cell>
          <cell r="CG370">
            <v>2142.25</v>
          </cell>
          <cell r="CJ370">
            <v>0</v>
          </cell>
          <cell r="CK370">
            <v>0</v>
          </cell>
          <cell r="CL370">
            <v>0</v>
          </cell>
          <cell r="CM370">
            <v>0</v>
          </cell>
          <cell r="CN370">
            <v>0</v>
          </cell>
          <cell r="CO370">
            <v>0</v>
          </cell>
          <cell r="CX370">
            <v>0</v>
          </cell>
          <cell r="CY370">
            <v>0</v>
          </cell>
          <cell r="DB370">
            <v>0</v>
          </cell>
          <cell r="DC370">
            <v>0</v>
          </cell>
          <cell r="DJ370" t="str">
            <v>НКРКП</v>
          </cell>
          <cell r="DL370">
            <v>40942</v>
          </cell>
          <cell r="DM370">
            <v>28</v>
          </cell>
          <cell r="DT370">
            <v>813.16</v>
          </cell>
        </row>
        <row r="371">
          <cell r="W371">
            <v>296.54201756081932</v>
          </cell>
          <cell r="AF371">
            <v>39926</v>
          </cell>
          <cell r="AG371">
            <v>356</v>
          </cell>
          <cell r="AH371">
            <v>274.5759421859438</v>
          </cell>
          <cell r="AM371">
            <v>3092.2</v>
          </cell>
          <cell r="AO371">
            <v>916967.22670156544</v>
          </cell>
          <cell r="AQ371">
            <v>849043.72842737532</v>
          </cell>
          <cell r="AU371">
            <v>0</v>
          </cell>
          <cell r="AW371">
            <v>0</v>
          </cell>
          <cell r="AY371">
            <v>331821.97175116086</v>
          </cell>
          <cell r="AZ371">
            <v>107.30934989688923</v>
          </cell>
          <cell r="BA371">
            <v>119859.23706489831</v>
          </cell>
          <cell r="BB371">
            <v>38.761799710529175</v>
          </cell>
          <cell r="BC371">
            <v>0</v>
          </cell>
          <cell r="BD371">
            <v>0</v>
          </cell>
          <cell r="BG371">
            <v>0</v>
          </cell>
          <cell r="BH371">
            <v>0</v>
          </cell>
          <cell r="BI371">
            <v>71175.828107632609</v>
          </cell>
          <cell r="BJ371">
            <v>23.017860457807586</v>
          </cell>
          <cell r="BK371">
            <v>0</v>
          </cell>
          <cell r="BL371">
            <v>0</v>
          </cell>
          <cell r="BM371">
            <v>212396.1977398475</v>
          </cell>
          <cell r="BN371">
            <v>68.687729687551752</v>
          </cell>
          <cell r="BO371">
            <v>0</v>
          </cell>
          <cell r="BP371">
            <v>0</v>
          </cell>
          <cell r="BY371">
            <v>1564</v>
          </cell>
          <cell r="CF371">
            <v>456.22555649667385</v>
          </cell>
          <cell r="CG371">
            <v>727.32</v>
          </cell>
          <cell r="CJ371">
            <v>0</v>
          </cell>
          <cell r="CK371">
            <v>0</v>
          </cell>
          <cell r="CL371">
            <v>0</v>
          </cell>
          <cell r="CM371">
            <v>0</v>
          </cell>
          <cell r="CN371">
            <v>0</v>
          </cell>
          <cell r="CO371">
            <v>0</v>
          </cell>
          <cell r="CX371">
            <v>0</v>
          </cell>
          <cell r="CY371">
            <v>0</v>
          </cell>
          <cell r="DB371">
            <v>0</v>
          </cell>
          <cell r="DC371">
            <v>0</v>
          </cell>
          <cell r="DJ371" t="str">
            <v>НКРЕ</v>
          </cell>
          <cell r="DL371">
            <v>40526</v>
          </cell>
          <cell r="DM371">
            <v>1854</v>
          </cell>
          <cell r="DO371" t="str">
            <v>Тариф на теплову енергію</v>
          </cell>
          <cell r="DT371">
            <v>326.19</v>
          </cell>
        </row>
        <row r="372">
          <cell r="W372">
            <v>533.39034511962734</v>
          </cell>
          <cell r="AF372">
            <v>39926</v>
          </cell>
          <cell r="AG372">
            <v>357</v>
          </cell>
          <cell r="AH372">
            <v>493.87994918484009</v>
          </cell>
          <cell r="AM372">
            <v>24.6</v>
          </cell>
          <cell r="AO372">
            <v>13121.402489942833</v>
          </cell>
          <cell r="AQ372">
            <v>12149.446749947067</v>
          </cell>
          <cell r="AU372">
            <v>0</v>
          </cell>
          <cell r="AW372">
            <v>0</v>
          </cell>
          <cell r="AY372">
            <v>7577.5384571952873</v>
          </cell>
          <cell r="AZ372">
            <v>308.03001858517428</v>
          </cell>
          <cell r="BA372">
            <v>1443.4610064224717</v>
          </cell>
          <cell r="BB372">
            <v>58.677276683840304</v>
          </cell>
          <cell r="BC372">
            <v>0</v>
          </cell>
          <cell r="BD372">
            <v>0</v>
          </cell>
          <cell r="BG372">
            <v>0</v>
          </cell>
          <cell r="BH372">
            <v>0</v>
          </cell>
          <cell r="BI372">
            <v>533.19098030912562</v>
          </cell>
          <cell r="BJ372">
            <v>21.674430093866896</v>
          </cell>
          <cell r="BK372">
            <v>0</v>
          </cell>
          <cell r="BL372">
            <v>0</v>
          </cell>
          <cell r="BM372">
            <v>1689.7185404756865</v>
          </cell>
          <cell r="BN372">
            <v>68.687745547792133</v>
          </cell>
          <cell r="BO372">
            <v>0</v>
          </cell>
          <cell r="BP372">
            <v>0</v>
          </cell>
          <cell r="BY372">
            <v>1564</v>
          </cell>
          <cell r="CF372">
            <v>3.5371868162890827</v>
          </cell>
          <cell r="CG372">
            <v>2142.25</v>
          </cell>
          <cell r="CJ372">
            <v>0</v>
          </cell>
          <cell r="CK372">
            <v>0</v>
          </cell>
          <cell r="CL372">
            <v>0</v>
          </cell>
          <cell r="CM372">
            <v>0</v>
          </cell>
          <cell r="CN372">
            <v>0</v>
          </cell>
          <cell r="CO372">
            <v>0</v>
          </cell>
          <cell r="CX372">
            <v>0</v>
          </cell>
          <cell r="CY372">
            <v>0</v>
          </cell>
          <cell r="DB372">
            <v>0</v>
          </cell>
          <cell r="DC372">
            <v>0</v>
          </cell>
          <cell r="DJ372" t="str">
            <v>НКРКП</v>
          </cell>
          <cell r="DL372">
            <v>40942</v>
          </cell>
          <cell r="DM372">
            <v>28</v>
          </cell>
          <cell r="DT372">
            <v>813.16</v>
          </cell>
        </row>
        <row r="373">
          <cell r="W373">
            <v>533.39166666666677</v>
          </cell>
          <cell r="AF373">
            <v>39926</v>
          </cell>
          <cell r="AG373">
            <v>357</v>
          </cell>
          <cell r="AH373">
            <v>493.88003990089135</v>
          </cell>
          <cell r="AM373">
            <v>239</v>
          </cell>
          <cell r="AO373">
            <v>127480.60833333335</v>
          </cell>
          <cell r="AQ373">
            <v>118037.32953631303</v>
          </cell>
          <cell r="AU373">
            <v>0</v>
          </cell>
          <cell r="AW373">
            <v>0</v>
          </cell>
          <cell r="AY373">
            <v>73619.137814943533</v>
          </cell>
          <cell r="AZ373">
            <v>308.02986533449177</v>
          </cell>
          <cell r="BA373">
            <v>14023.84046079094</v>
          </cell>
          <cell r="BB373">
            <v>58.677156739711045</v>
          </cell>
          <cell r="BC373">
            <v>0</v>
          </cell>
          <cell r="BD373">
            <v>0</v>
          </cell>
          <cell r="BG373">
            <v>0</v>
          </cell>
          <cell r="BH373">
            <v>0</v>
          </cell>
          <cell r="BI373">
            <v>5180.1406184638163</v>
          </cell>
          <cell r="BJ373">
            <v>21.674228529137306</v>
          </cell>
          <cell r="BK373">
            <v>0</v>
          </cell>
          <cell r="BL373">
            <v>0</v>
          </cell>
          <cell r="BM373">
            <v>16416.378350548639</v>
          </cell>
          <cell r="BN373">
            <v>68.687775525308112</v>
          </cell>
          <cell r="BO373">
            <v>0</v>
          </cell>
          <cell r="BP373">
            <v>0</v>
          </cell>
          <cell r="BY373">
            <v>1564</v>
          </cell>
          <cell r="CF373">
            <v>34.36533449174631</v>
          </cell>
          <cell r="CG373">
            <v>2142.25</v>
          </cell>
          <cell r="CJ373">
            <v>0</v>
          </cell>
          <cell r="CK373">
            <v>0</v>
          </cell>
          <cell r="CL373">
            <v>0</v>
          </cell>
          <cell r="CM373">
            <v>0</v>
          </cell>
          <cell r="CN373">
            <v>0</v>
          </cell>
          <cell r="CO373">
            <v>0</v>
          </cell>
          <cell r="CX373">
            <v>0</v>
          </cell>
          <cell r="CY373">
            <v>0</v>
          </cell>
          <cell r="DB373">
            <v>0</v>
          </cell>
          <cell r="DC373">
            <v>0</v>
          </cell>
          <cell r="DJ373" t="str">
            <v>НКРКП</v>
          </cell>
          <cell r="DL373">
            <v>40942</v>
          </cell>
          <cell r="DM373">
            <v>28</v>
          </cell>
          <cell r="DT373">
            <v>813.16</v>
          </cell>
        </row>
        <row r="374">
          <cell r="W374">
            <v>296.54201756081932</v>
          </cell>
          <cell r="AF374">
            <v>39926</v>
          </cell>
          <cell r="AG374">
            <v>356</v>
          </cell>
          <cell r="AH374">
            <v>274.5759421859438</v>
          </cell>
          <cell r="AM374">
            <v>12120.8</v>
          </cell>
          <cell r="AO374">
            <v>3594326.4864511788</v>
          </cell>
          <cell r="AQ374">
            <v>3328080.0800473876</v>
          </cell>
          <cell r="AU374">
            <v>0</v>
          </cell>
          <cell r="AW374">
            <v>0</v>
          </cell>
          <cell r="AY374">
            <v>1300675.1682302149</v>
          </cell>
          <cell r="AZ374">
            <v>107.30934989688923</v>
          </cell>
          <cell r="BA374">
            <v>469824.02193138195</v>
          </cell>
          <cell r="BB374">
            <v>38.761799710529175</v>
          </cell>
          <cell r="BC374">
            <v>0</v>
          </cell>
          <cell r="BD374">
            <v>0</v>
          </cell>
          <cell r="BG374">
            <v>0</v>
          </cell>
          <cell r="BH374">
            <v>0</v>
          </cell>
          <cell r="BI374">
            <v>278994.8830369942</v>
          </cell>
          <cell r="BJ374">
            <v>23.01786045780759</v>
          </cell>
          <cell r="BK374">
            <v>0</v>
          </cell>
          <cell r="BL374">
            <v>0</v>
          </cell>
          <cell r="BM374">
            <v>832550.23399687721</v>
          </cell>
          <cell r="BN374">
            <v>68.687729687551752</v>
          </cell>
          <cell r="BO374">
            <v>0</v>
          </cell>
          <cell r="BP374">
            <v>0</v>
          </cell>
          <cell r="BY374">
            <v>1564</v>
          </cell>
          <cell r="CF374">
            <v>1788.3121160290034</v>
          </cell>
          <cell r="CG374">
            <v>727.32</v>
          </cell>
          <cell r="CJ374">
            <v>0</v>
          </cell>
          <cell r="CK374">
            <v>0</v>
          </cell>
          <cell r="CL374">
            <v>0</v>
          </cell>
          <cell r="CM374">
            <v>0</v>
          </cell>
          <cell r="CN374">
            <v>0</v>
          </cell>
          <cell r="CO374">
            <v>0</v>
          </cell>
          <cell r="CX374">
            <v>0</v>
          </cell>
          <cell r="CY374">
            <v>0</v>
          </cell>
          <cell r="DB374">
            <v>0</v>
          </cell>
          <cell r="DC374">
            <v>0</v>
          </cell>
          <cell r="DJ374" t="str">
            <v>НКРЕ</v>
          </cell>
          <cell r="DL374">
            <v>40526</v>
          </cell>
          <cell r="DM374">
            <v>1854</v>
          </cell>
          <cell r="DO374" t="str">
            <v>Тариф на теплову енергію</v>
          </cell>
          <cell r="DT374">
            <v>326.19</v>
          </cell>
        </row>
        <row r="375">
          <cell r="W375">
            <v>533.39166666666677</v>
          </cell>
          <cell r="AF375">
            <v>39926</v>
          </cell>
          <cell r="AG375">
            <v>357</v>
          </cell>
          <cell r="AH375">
            <v>493.88003990089129</v>
          </cell>
          <cell r="AM375">
            <v>645.1</v>
          </cell>
          <cell r="AO375">
            <v>344090.96416666673</v>
          </cell>
          <cell r="AQ375">
            <v>318602.01374006498</v>
          </cell>
          <cell r="AU375">
            <v>0</v>
          </cell>
          <cell r="AW375">
            <v>0</v>
          </cell>
          <cell r="AY375">
            <v>198710.06612728065</v>
          </cell>
          <cell r="AZ375">
            <v>308.02986533449177</v>
          </cell>
          <cell r="BA375">
            <v>37852.633812787601</v>
          </cell>
          <cell r="BB375">
            <v>58.677156739711052</v>
          </cell>
          <cell r="BC375">
            <v>0</v>
          </cell>
          <cell r="BD375">
            <v>0</v>
          </cell>
          <cell r="BG375">
            <v>0</v>
          </cell>
          <cell r="BH375">
            <v>0</v>
          </cell>
          <cell r="BI375">
            <v>13982.044824146476</v>
          </cell>
          <cell r="BJ375">
            <v>21.674228529137306</v>
          </cell>
          <cell r="BK375">
            <v>0</v>
          </cell>
          <cell r="BL375">
            <v>0</v>
          </cell>
          <cell r="BM375">
            <v>44310.483991376263</v>
          </cell>
          <cell r="BN375">
            <v>68.687775525308112</v>
          </cell>
          <cell r="BO375">
            <v>0</v>
          </cell>
          <cell r="BP375">
            <v>0</v>
          </cell>
          <cell r="BY375">
            <v>1564</v>
          </cell>
          <cell r="CF375">
            <v>92.757645525629897</v>
          </cell>
          <cell r="CG375">
            <v>2142.25</v>
          </cell>
          <cell r="CJ375">
            <v>0</v>
          </cell>
          <cell r="CK375">
            <v>0</v>
          </cell>
          <cell r="CL375">
            <v>0</v>
          </cell>
          <cell r="CM375">
            <v>0</v>
          </cell>
          <cell r="CN375">
            <v>0</v>
          </cell>
          <cell r="CO375">
            <v>0</v>
          </cell>
          <cell r="CX375">
            <v>0</v>
          </cell>
          <cell r="CY375">
            <v>0</v>
          </cell>
          <cell r="DB375">
            <v>0</v>
          </cell>
          <cell r="DC375">
            <v>0</v>
          </cell>
          <cell r="DJ375" t="str">
            <v>НКРКП</v>
          </cell>
          <cell r="DL375">
            <v>40942</v>
          </cell>
          <cell r="DM375">
            <v>28</v>
          </cell>
          <cell r="DT375">
            <v>813.16</v>
          </cell>
        </row>
        <row r="376">
          <cell r="W376">
            <v>296.54201756081932</v>
          </cell>
          <cell r="AF376">
            <v>39926</v>
          </cell>
          <cell r="AG376">
            <v>356</v>
          </cell>
          <cell r="AH376">
            <v>274.5759421859438</v>
          </cell>
          <cell r="AM376">
            <v>854.7</v>
          </cell>
          <cell r="AO376">
            <v>253454.46240923228</v>
          </cell>
          <cell r="AQ376">
            <v>234680.05778632616</v>
          </cell>
          <cell r="AU376">
            <v>0</v>
          </cell>
          <cell r="AW376">
            <v>0</v>
          </cell>
          <cell r="AY376">
            <v>91717.301356871219</v>
          </cell>
          <cell r="AZ376">
            <v>107.30934989688922</v>
          </cell>
          <cell r="BA376">
            <v>33129.710212589285</v>
          </cell>
          <cell r="BB376">
            <v>38.761799710529175</v>
          </cell>
          <cell r="BC376">
            <v>0</v>
          </cell>
          <cell r="BD376">
            <v>0</v>
          </cell>
          <cell r="BG376">
            <v>0</v>
          </cell>
          <cell r="BH376">
            <v>0</v>
          </cell>
          <cell r="BI376">
            <v>19673.365333288144</v>
          </cell>
          <cell r="BJ376">
            <v>23.017860457807586</v>
          </cell>
          <cell r="BK376">
            <v>0</v>
          </cell>
          <cell r="BL376">
            <v>0</v>
          </cell>
          <cell r="BM376">
            <v>58707.402563950483</v>
          </cell>
          <cell r="BN376">
            <v>68.687729687551752</v>
          </cell>
          <cell r="BO376">
            <v>0</v>
          </cell>
          <cell r="BP376">
            <v>0</v>
          </cell>
          <cell r="BY376">
            <v>1564</v>
          </cell>
          <cell r="CF376">
            <v>126.10309266467472</v>
          </cell>
          <cell r="CG376">
            <v>727.32</v>
          </cell>
          <cell r="CJ376">
            <v>0</v>
          </cell>
          <cell r="CK376">
            <v>0</v>
          </cell>
          <cell r="CL376">
            <v>0</v>
          </cell>
          <cell r="CM376">
            <v>0</v>
          </cell>
          <cell r="CN376">
            <v>0</v>
          </cell>
          <cell r="CO376">
            <v>0</v>
          </cell>
          <cell r="CX376">
            <v>0</v>
          </cell>
          <cell r="CY376">
            <v>0</v>
          </cell>
          <cell r="DB376">
            <v>0</v>
          </cell>
          <cell r="DC376">
            <v>0</v>
          </cell>
          <cell r="DJ376" t="str">
            <v>НКРЕ</v>
          </cell>
          <cell r="DL376">
            <v>40526</v>
          </cell>
          <cell r="DM376">
            <v>1854</v>
          </cell>
          <cell r="DO376" t="str">
            <v>Тариф на теплову енергію</v>
          </cell>
          <cell r="DT376">
            <v>326.19</v>
          </cell>
        </row>
        <row r="377">
          <cell r="W377">
            <v>533.39034511962734</v>
          </cell>
          <cell r="AF377">
            <v>39926</v>
          </cell>
          <cell r="AG377">
            <v>357</v>
          </cell>
          <cell r="AH377">
            <v>493.87994918484009</v>
          </cell>
          <cell r="AM377">
            <v>2568</v>
          </cell>
          <cell r="AO377">
            <v>1369746.4062672029</v>
          </cell>
          <cell r="AQ377">
            <v>1268283.7095066693</v>
          </cell>
          <cell r="AU377">
            <v>0</v>
          </cell>
          <cell r="AW377">
            <v>0</v>
          </cell>
          <cell r="AY377">
            <v>791021.08772672748</v>
          </cell>
          <cell r="AZ377">
            <v>308.03001858517428</v>
          </cell>
          <cell r="BA377">
            <v>150683.24652410191</v>
          </cell>
          <cell r="BB377">
            <v>58.677276683840304</v>
          </cell>
          <cell r="BC377">
            <v>0</v>
          </cell>
          <cell r="BD377">
            <v>0</v>
          </cell>
          <cell r="BG377">
            <v>0</v>
          </cell>
          <cell r="BH377">
            <v>0</v>
          </cell>
          <cell r="BI377">
            <v>55659.936481050179</v>
          </cell>
          <cell r="BJ377">
            <v>21.674430093866892</v>
          </cell>
          <cell r="BK377">
            <v>0</v>
          </cell>
          <cell r="BL377">
            <v>0</v>
          </cell>
          <cell r="BM377">
            <v>176390.13056673019</v>
          </cell>
          <cell r="BN377">
            <v>68.687745547792133</v>
          </cell>
          <cell r="BO377">
            <v>0</v>
          </cell>
          <cell r="BP377">
            <v>0</v>
          </cell>
          <cell r="BY377">
            <v>1564</v>
          </cell>
          <cell r="CF377">
            <v>369.24779448090908</v>
          </cell>
          <cell r="CG377">
            <v>2142.25</v>
          </cell>
          <cell r="CJ377">
            <v>0</v>
          </cell>
          <cell r="CK377">
            <v>0</v>
          </cell>
          <cell r="CL377">
            <v>0</v>
          </cell>
          <cell r="CM377">
            <v>0</v>
          </cell>
          <cell r="CN377">
            <v>0</v>
          </cell>
          <cell r="CO377">
            <v>0</v>
          </cell>
          <cell r="CX377">
            <v>0</v>
          </cell>
          <cell r="CY377">
            <v>0</v>
          </cell>
          <cell r="DB377">
            <v>0</v>
          </cell>
          <cell r="DC377">
            <v>0</v>
          </cell>
          <cell r="DJ377" t="str">
            <v>НКРКП</v>
          </cell>
          <cell r="DL377">
            <v>40942</v>
          </cell>
          <cell r="DM377">
            <v>28</v>
          </cell>
          <cell r="DT377">
            <v>813.16</v>
          </cell>
        </row>
        <row r="378">
          <cell r="W378">
            <v>278.89999999999998</v>
          </cell>
          <cell r="AF378">
            <v>39926</v>
          </cell>
          <cell r="AG378">
            <v>348</v>
          </cell>
          <cell r="AH378">
            <v>265.61900239409601</v>
          </cell>
          <cell r="AM378">
            <v>79843.100000000006</v>
          </cell>
          <cell r="AO378">
            <v>22268240.59</v>
          </cell>
          <cell r="AQ378">
            <v>21207844.57005205</v>
          </cell>
          <cell r="AU378">
            <v>0</v>
          </cell>
          <cell r="AW378">
            <v>0</v>
          </cell>
          <cell r="AY378">
            <v>8927423.4554513581</v>
          </cell>
          <cell r="AZ378">
            <v>111.8120846441503</v>
          </cell>
          <cell r="BA378">
            <v>2311514.6956688631</v>
          </cell>
          <cell r="BB378">
            <v>28.950713282285669</v>
          </cell>
          <cell r="BC378">
            <v>0</v>
          </cell>
          <cell r="BD378">
            <v>0</v>
          </cell>
          <cell r="BG378">
            <v>0</v>
          </cell>
          <cell r="BH378">
            <v>0</v>
          </cell>
          <cell r="BI378">
            <v>2227790.8933647927</v>
          </cell>
          <cell r="BJ378">
            <v>27.902109178686604</v>
          </cell>
          <cell r="BK378">
            <v>0</v>
          </cell>
          <cell r="BL378">
            <v>0</v>
          </cell>
          <cell r="BM378">
            <v>5599423.7276320215</v>
          </cell>
          <cell r="BN378">
            <v>70.130339724184324</v>
          </cell>
          <cell r="BO378">
            <v>0</v>
          </cell>
          <cell r="BP378">
            <v>0</v>
          </cell>
          <cell r="BY378">
            <v>1445</v>
          </cell>
          <cell r="CF378">
            <v>12274.409414633665</v>
          </cell>
          <cell r="CG378">
            <v>727.32</v>
          </cell>
          <cell r="CJ378">
            <v>0</v>
          </cell>
          <cell r="CK378">
            <v>0</v>
          </cell>
          <cell r="CL378">
            <v>0</v>
          </cell>
          <cell r="CM378">
            <v>0</v>
          </cell>
          <cell r="CN378">
            <v>0</v>
          </cell>
          <cell r="CO378">
            <v>0</v>
          </cell>
          <cell r="CX378">
            <v>0</v>
          </cell>
          <cell r="CY378">
            <v>0</v>
          </cell>
          <cell r="DB378">
            <v>0</v>
          </cell>
          <cell r="DC378">
            <v>0</v>
          </cell>
          <cell r="DJ378" t="str">
            <v>НКРЕ</v>
          </cell>
          <cell r="DL378">
            <v>40526</v>
          </cell>
          <cell r="DM378">
            <v>1854</v>
          </cell>
          <cell r="DO378" t="str">
            <v>Тариф на теплову енергію</v>
          </cell>
          <cell r="DT378">
            <v>306.79000000000002</v>
          </cell>
        </row>
        <row r="379">
          <cell r="W379">
            <v>501.22500000000002</v>
          </cell>
          <cell r="AF379">
            <v>39926</v>
          </cell>
          <cell r="AG379">
            <v>349</v>
          </cell>
          <cell r="AH379">
            <v>477.36534276387374</v>
          </cell>
          <cell r="AM379">
            <v>10091.9</v>
          </cell>
          <cell r="AO379">
            <v>5058312.5774999997</v>
          </cell>
          <cell r="AQ379">
            <v>4817523.3026387375</v>
          </cell>
          <cell r="AU379">
            <v>0</v>
          </cell>
          <cell r="AW379">
            <v>0</v>
          </cell>
          <cell r="AY379">
            <v>3273593.2459978778</v>
          </cell>
          <cell r="AZ379">
            <v>324.37828813185604</v>
          </cell>
          <cell r="BA379">
            <v>322057.39019899676</v>
          </cell>
          <cell r="BB379">
            <v>31.912463480513754</v>
          </cell>
          <cell r="BC379">
            <v>0</v>
          </cell>
          <cell r="BD379">
            <v>0</v>
          </cell>
          <cell r="BG379">
            <v>0</v>
          </cell>
          <cell r="BH379">
            <v>0</v>
          </cell>
          <cell r="BI379">
            <v>261617.95715451572</v>
          </cell>
          <cell r="BJ379">
            <v>25.923558215451575</v>
          </cell>
          <cell r="BK379">
            <v>0</v>
          </cell>
          <cell r="BL379">
            <v>0</v>
          </cell>
          <cell r="BM379">
            <v>727909.09280083783</v>
          </cell>
          <cell r="BN379">
            <v>72.128052477812687</v>
          </cell>
          <cell r="BO379">
            <v>0</v>
          </cell>
          <cell r="BP379">
            <v>0</v>
          </cell>
          <cell r="BY379">
            <v>1445</v>
          </cell>
          <cell r="CF379">
            <v>1528.1098125792405</v>
          </cell>
          <cell r="CG379">
            <v>2142.25</v>
          </cell>
          <cell r="CJ379">
            <v>0</v>
          </cell>
          <cell r="CK379">
            <v>0</v>
          </cell>
          <cell r="CL379">
            <v>0</v>
          </cell>
          <cell r="CM379">
            <v>0</v>
          </cell>
          <cell r="CN379">
            <v>0</v>
          </cell>
          <cell r="CO379">
            <v>0</v>
          </cell>
          <cell r="CX379">
            <v>0</v>
          </cell>
          <cell r="CY379">
            <v>0</v>
          </cell>
          <cell r="DB379">
            <v>0</v>
          </cell>
          <cell r="DC379">
            <v>0</v>
          </cell>
          <cell r="DJ379" t="str">
            <v>НКРКП</v>
          </cell>
          <cell r="DL379">
            <v>40942</v>
          </cell>
          <cell r="DM379">
            <v>28</v>
          </cell>
          <cell r="DT379">
            <v>780.97</v>
          </cell>
        </row>
        <row r="380">
          <cell r="W380">
            <v>501.22500000000002</v>
          </cell>
          <cell r="AF380">
            <v>39926</v>
          </cell>
          <cell r="AG380">
            <v>349</v>
          </cell>
          <cell r="AH380">
            <v>477.36688972941516</v>
          </cell>
          <cell r="AM380">
            <v>3137.6</v>
          </cell>
          <cell r="AO380">
            <v>1572643.56</v>
          </cell>
          <cell r="AQ380">
            <v>1497786.3532150129</v>
          </cell>
          <cell r="AU380">
            <v>0</v>
          </cell>
          <cell r="AW380">
            <v>0</v>
          </cell>
          <cell r="AY380">
            <v>1017769.3168425116</v>
          </cell>
          <cell r="AZ380">
            <v>324.3782881318561</v>
          </cell>
          <cell r="BA380">
            <v>100128.54541645997</v>
          </cell>
          <cell r="BB380">
            <v>31.912463480513757</v>
          </cell>
          <cell r="BC380">
            <v>0</v>
          </cell>
          <cell r="BD380">
            <v>0</v>
          </cell>
          <cell r="BG380">
            <v>0</v>
          </cell>
          <cell r="BH380">
            <v>0</v>
          </cell>
          <cell r="BI380">
            <v>81349.377713121896</v>
          </cell>
          <cell r="BJ380">
            <v>25.927262147221409</v>
          </cell>
          <cell r="BK380">
            <v>0</v>
          </cell>
          <cell r="BL380">
            <v>0</v>
          </cell>
          <cell r="BM380">
            <v>226308.97745438508</v>
          </cell>
          <cell r="BN380">
            <v>72.128052477812687</v>
          </cell>
          <cell r="BO380">
            <v>0</v>
          </cell>
          <cell r="BP380">
            <v>0</v>
          </cell>
          <cell r="BY380">
            <v>1445</v>
          </cell>
          <cell r="CF380">
            <v>475.09362438674833</v>
          </cell>
          <cell r="CG380">
            <v>2142.25</v>
          </cell>
          <cell r="CJ380">
            <v>0</v>
          </cell>
          <cell r="CK380">
            <v>0</v>
          </cell>
          <cell r="CL380">
            <v>0</v>
          </cell>
          <cell r="CM380">
            <v>0</v>
          </cell>
          <cell r="CN380">
            <v>0</v>
          </cell>
          <cell r="CO380">
            <v>0</v>
          </cell>
          <cell r="CX380">
            <v>0</v>
          </cell>
          <cell r="CY380">
            <v>0</v>
          </cell>
          <cell r="DB380">
            <v>0</v>
          </cell>
          <cell r="DC380">
            <v>0</v>
          </cell>
          <cell r="DJ380" t="str">
            <v>НКРКП</v>
          </cell>
          <cell r="DL380">
            <v>40942</v>
          </cell>
          <cell r="DM380">
            <v>28</v>
          </cell>
          <cell r="DT380">
            <v>780.97</v>
          </cell>
        </row>
        <row r="381">
          <cell r="W381">
            <v>286.87</v>
          </cell>
          <cell r="AF381">
            <v>39926</v>
          </cell>
          <cell r="AG381">
            <v>348</v>
          </cell>
          <cell r="AH381">
            <v>265.6190023940959</v>
          </cell>
          <cell r="AM381">
            <v>11616.2</v>
          </cell>
          <cell r="AO381">
            <v>3332339.2940000002</v>
          </cell>
          <cell r="AQ381">
            <v>3085483.4556102972</v>
          </cell>
          <cell r="AU381">
            <v>0</v>
          </cell>
          <cell r="AW381">
            <v>0</v>
          </cell>
          <cell r="AY381">
            <v>1298831.5376433788</v>
          </cell>
          <cell r="AZ381">
            <v>111.8120846441503</v>
          </cell>
          <cell r="BA381">
            <v>336297.27562968683</v>
          </cell>
          <cell r="BB381">
            <v>28.950713282285673</v>
          </cell>
          <cell r="BC381">
            <v>0</v>
          </cell>
          <cell r="BD381">
            <v>0</v>
          </cell>
          <cell r="BG381">
            <v>0</v>
          </cell>
          <cell r="BH381">
            <v>0</v>
          </cell>
          <cell r="BI381">
            <v>324116.48064145946</v>
          </cell>
          <cell r="BJ381">
            <v>27.902109178686615</v>
          </cell>
          <cell r="BK381">
            <v>0</v>
          </cell>
          <cell r="BL381">
            <v>0</v>
          </cell>
          <cell r="BM381">
            <v>814648.05230406998</v>
          </cell>
          <cell r="BN381">
            <v>70.130339724184324</v>
          </cell>
          <cell r="BO381">
            <v>0</v>
          </cell>
          <cell r="BP381">
            <v>0</v>
          </cell>
          <cell r="BY381">
            <v>1445</v>
          </cell>
          <cell r="CF381">
            <v>1785.7772887358781</v>
          </cell>
          <cell r="CG381">
            <v>727.32</v>
          </cell>
          <cell r="CJ381">
            <v>0</v>
          </cell>
          <cell r="CK381">
            <v>0</v>
          </cell>
          <cell r="CL381">
            <v>0</v>
          </cell>
          <cell r="CM381">
            <v>0</v>
          </cell>
          <cell r="CN381">
            <v>0</v>
          </cell>
          <cell r="CO381">
            <v>0</v>
          </cell>
          <cell r="CX381">
            <v>0</v>
          </cell>
          <cell r="CY381">
            <v>0</v>
          </cell>
          <cell r="DB381">
            <v>0</v>
          </cell>
          <cell r="DC381">
            <v>0</v>
          </cell>
          <cell r="DJ381" t="str">
            <v>НКРЕ</v>
          </cell>
          <cell r="DL381">
            <v>40526</v>
          </cell>
          <cell r="DM381">
            <v>1854</v>
          </cell>
          <cell r="DO381" t="str">
            <v>Тариф на теплову енергію</v>
          </cell>
          <cell r="DT381">
            <v>315.56</v>
          </cell>
        </row>
        <row r="382">
          <cell r="W382">
            <v>515.54999999999995</v>
          </cell>
          <cell r="AF382">
            <v>39926</v>
          </cell>
          <cell r="AG382">
            <v>349</v>
          </cell>
          <cell r="AH382">
            <v>477.3653427638738</v>
          </cell>
          <cell r="AM382">
            <v>2788.3</v>
          </cell>
          <cell r="AO382">
            <v>1437508.0649999999</v>
          </cell>
          <cell r="AQ382">
            <v>1331037.7852285095</v>
          </cell>
          <cell r="AU382">
            <v>0</v>
          </cell>
          <cell r="AW382">
            <v>0</v>
          </cell>
          <cell r="AY382">
            <v>904463.98079805425</v>
          </cell>
          <cell r="AZ382">
            <v>324.37828813185604</v>
          </cell>
          <cell r="BA382">
            <v>88981.521922716507</v>
          </cell>
          <cell r="BB382">
            <v>31.912463480513754</v>
          </cell>
          <cell r="BC382">
            <v>0</v>
          </cell>
          <cell r="BD382">
            <v>0</v>
          </cell>
          <cell r="BG382">
            <v>0</v>
          </cell>
          <cell r="BH382">
            <v>0</v>
          </cell>
          <cell r="BI382">
            <v>72282.657372143643</v>
          </cell>
          <cell r="BJ382">
            <v>25.923558215451578</v>
          </cell>
          <cell r="BK382">
            <v>0</v>
          </cell>
          <cell r="BL382">
            <v>0</v>
          </cell>
          <cell r="BM382">
            <v>201114.64872388513</v>
          </cell>
          <cell r="BN382">
            <v>72.128052477812687</v>
          </cell>
          <cell r="BO382">
            <v>0</v>
          </cell>
          <cell r="BP382">
            <v>0</v>
          </cell>
          <cell r="BY382">
            <v>1445</v>
          </cell>
          <cell r="CF382">
            <v>422.20281517005685</v>
          </cell>
          <cell r="CG382">
            <v>2142.25</v>
          </cell>
          <cell r="CJ382">
            <v>0</v>
          </cell>
          <cell r="CK382">
            <v>0</v>
          </cell>
          <cell r="CL382">
            <v>0</v>
          </cell>
          <cell r="CM382">
            <v>0</v>
          </cell>
          <cell r="CN382">
            <v>0</v>
          </cell>
          <cell r="CO382">
            <v>0</v>
          </cell>
          <cell r="CX382">
            <v>0</v>
          </cell>
          <cell r="CY382">
            <v>0</v>
          </cell>
          <cell r="DB382">
            <v>0</v>
          </cell>
          <cell r="DC382">
            <v>0</v>
          </cell>
          <cell r="DJ382" t="str">
            <v>НКРКП</v>
          </cell>
          <cell r="DL382">
            <v>40942</v>
          </cell>
          <cell r="DM382">
            <v>28</v>
          </cell>
          <cell r="DT382">
            <v>795.29</v>
          </cell>
        </row>
        <row r="383">
          <cell r="W383">
            <v>515.54999999999995</v>
          </cell>
          <cell r="AF383">
            <v>39926</v>
          </cell>
          <cell r="AG383">
            <v>349</v>
          </cell>
          <cell r="AH383">
            <v>477.36688972941516</v>
          </cell>
          <cell r="AM383">
            <v>126.7</v>
          </cell>
          <cell r="AO383">
            <v>65320.184999999998</v>
          </cell>
          <cell r="AQ383">
            <v>60482.3849287169</v>
          </cell>
          <cell r="AU383">
            <v>0</v>
          </cell>
          <cell r="AW383">
            <v>0</v>
          </cell>
          <cell r="AY383">
            <v>41098.729106306171</v>
          </cell>
          <cell r="AZ383">
            <v>324.3782881318561</v>
          </cell>
          <cell r="BA383">
            <v>4043.3091229810925</v>
          </cell>
          <cell r="BB383">
            <v>31.912463480513754</v>
          </cell>
          <cell r="BC383">
            <v>0</v>
          </cell>
          <cell r="BD383">
            <v>0</v>
          </cell>
          <cell r="BG383">
            <v>0</v>
          </cell>
          <cell r="BH383">
            <v>0</v>
          </cell>
          <cell r="BI383">
            <v>3284.9841140529529</v>
          </cell>
          <cell r="BJ383">
            <v>25.927262147221413</v>
          </cell>
          <cell r="BK383">
            <v>0</v>
          </cell>
          <cell r="BL383">
            <v>0</v>
          </cell>
          <cell r="BM383">
            <v>9138.6242489388678</v>
          </cell>
          <cell r="BN383">
            <v>72.128052477812687</v>
          </cell>
          <cell r="BO383">
            <v>0</v>
          </cell>
          <cell r="BP383">
            <v>0</v>
          </cell>
          <cell r="BY383">
            <v>1445</v>
          </cell>
          <cell r="CF383">
            <v>19.184842621685689</v>
          </cell>
          <cell r="CG383">
            <v>2142.25</v>
          </cell>
          <cell r="CJ383">
            <v>0</v>
          </cell>
          <cell r="CK383">
            <v>0</v>
          </cell>
          <cell r="CL383">
            <v>0</v>
          </cell>
          <cell r="CM383">
            <v>0</v>
          </cell>
          <cell r="CN383">
            <v>0</v>
          </cell>
          <cell r="CO383">
            <v>0</v>
          </cell>
          <cell r="CX383">
            <v>0</v>
          </cell>
          <cell r="CY383">
            <v>0</v>
          </cell>
          <cell r="DB383">
            <v>0</v>
          </cell>
          <cell r="DC383">
            <v>0</v>
          </cell>
          <cell r="DJ383" t="str">
            <v>НКРКП</v>
          </cell>
          <cell r="DL383">
            <v>40942</v>
          </cell>
          <cell r="DM383">
            <v>28</v>
          </cell>
          <cell r="DT383">
            <v>795.29</v>
          </cell>
        </row>
        <row r="384">
          <cell r="W384">
            <v>286.87</v>
          </cell>
          <cell r="AF384">
            <v>39926</v>
          </cell>
          <cell r="AG384">
            <v>348</v>
          </cell>
          <cell r="AH384">
            <v>265.6190023940959</v>
          </cell>
          <cell r="AM384">
            <v>2486.8000000000002</v>
          </cell>
          <cell r="AO384">
            <v>713388.31600000011</v>
          </cell>
          <cell r="AQ384">
            <v>660541.33515363769</v>
          </cell>
          <cell r="AU384">
            <v>0</v>
          </cell>
          <cell r="AW384">
            <v>0</v>
          </cell>
          <cell r="AY384">
            <v>278054.29209307302</v>
          </cell>
          <cell r="AZ384">
            <v>111.81208464415032</v>
          </cell>
          <cell r="BA384">
            <v>71994.633790388005</v>
          </cell>
          <cell r="BB384">
            <v>28.950713282285669</v>
          </cell>
          <cell r="BC384">
            <v>0</v>
          </cell>
          <cell r="BD384">
            <v>0</v>
          </cell>
          <cell r="BG384">
            <v>0</v>
          </cell>
          <cell r="BH384">
            <v>0</v>
          </cell>
          <cell r="BI384">
            <v>69386.965105557872</v>
          </cell>
          <cell r="BJ384">
            <v>27.902109178686612</v>
          </cell>
          <cell r="BK384">
            <v>0</v>
          </cell>
          <cell r="BL384">
            <v>0</v>
          </cell>
          <cell r="BM384">
            <v>174400.1288261016</v>
          </cell>
          <cell r="BN384">
            <v>70.130339724184324</v>
          </cell>
          <cell r="BO384">
            <v>0</v>
          </cell>
          <cell r="BP384">
            <v>0</v>
          </cell>
          <cell r="BY384">
            <v>1445</v>
          </cell>
          <cell r="CF384">
            <v>382.29980214083622</v>
          </cell>
          <cell r="CG384">
            <v>727.32</v>
          </cell>
          <cell r="CJ384">
            <v>0</v>
          </cell>
          <cell r="CK384">
            <v>0</v>
          </cell>
          <cell r="CL384">
            <v>0</v>
          </cell>
          <cell r="CM384">
            <v>0</v>
          </cell>
          <cell r="CN384">
            <v>0</v>
          </cell>
          <cell r="CO384">
            <v>0</v>
          </cell>
          <cell r="CX384">
            <v>0</v>
          </cell>
          <cell r="CY384">
            <v>0</v>
          </cell>
          <cell r="DB384">
            <v>0</v>
          </cell>
          <cell r="DC384">
            <v>0</v>
          </cell>
          <cell r="DJ384" t="str">
            <v>НКРЕ</v>
          </cell>
          <cell r="DL384">
            <v>40526</v>
          </cell>
          <cell r="DM384">
            <v>1854</v>
          </cell>
          <cell r="DO384" t="str">
            <v>Тариф на теплову енергію</v>
          </cell>
          <cell r="DT384">
            <v>315.56</v>
          </cell>
        </row>
        <row r="385">
          <cell r="W385">
            <v>515.54999999999995</v>
          </cell>
          <cell r="AF385">
            <v>39926</v>
          </cell>
          <cell r="AG385">
            <v>349</v>
          </cell>
          <cell r="AH385">
            <v>477.3653427638738</v>
          </cell>
          <cell r="AM385">
            <v>83</v>
          </cell>
          <cell r="AO385">
            <v>42790.649999999994</v>
          </cell>
          <cell r="AQ385">
            <v>39621.323449401527</v>
          </cell>
          <cell r="AU385">
            <v>0</v>
          </cell>
          <cell r="AW385">
            <v>0</v>
          </cell>
          <cell r="AY385">
            <v>26923.397914944053</v>
          </cell>
          <cell r="AZ385">
            <v>324.37828813185604</v>
          </cell>
          <cell r="BA385">
            <v>2648.7344688826415</v>
          </cell>
          <cell r="BB385">
            <v>31.912463480513754</v>
          </cell>
          <cell r="BC385">
            <v>0</v>
          </cell>
          <cell r="BD385">
            <v>0</v>
          </cell>
          <cell r="BG385">
            <v>0</v>
          </cell>
          <cell r="BH385">
            <v>0</v>
          </cell>
          <cell r="BI385">
            <v>2151.6553318824808</v>
          </cell>
          <cell r="BJ385">
            <v>25.923558215451575</v>
          </cell>
          <cell r="BK385">
            <v>0</v>
          </cell>
          <cell r="BL385">
            <v>0</v>
          </cell>
          <cell r="BM385">
            <v>5986.6283556584531</v>
          </cell>
          <cell r="BN385">
            <v>72.128052477812687</v>
          </cell>
          <cell r="BO385">
            <v>0</v>
          </cell>
          <cell r="BP385">
            <v>0</v>
          </cell>
          <cell r="BY385">
            <v>1445</v>
          </cell>
          <cell r="CF385">
            <v>12.56781324072543</v>
          </cell>
          <cell r="CG385">
            <v>2142.25</v>
          </cell>
          <cell r="CJ385">
            <v>0</v>
          </cell>
          <cell r="CK385">
            <v>0</v>
          </cell>
          <cell r="CL385">
            <v>0</v>
          </cell>
          <cell r="CM385">
            <v>0</v>
          </cell>
          <cell r="CN385">
            <v>0</v>
          </cell>
          <cell r="CO385">
            <v>0</v>
          </cell>
          <cell r="CX385">
            <v>0</v>
          </cell>
          <cell r="CY385">
            <v>0</v>
          </cell>
          <cell r="DB385">
            <v>0</v>
          </cell>
          <cell r="DC385">
            <v>0</v>
          </cell>
          <cell r="DJ385" t="str">
            <v>НКРКП</v>
          </cell>
          <cell r="DL385">
            <v>40942</v>
          </cell>
          <cell r="DM385">
            <v>28</v>
          </cell>
          <cell r="DT385">
            <v>795.29</v>
          </cell>
        </row>
        <row r="386">
          <cell r="W386">
            <v>515.54999999999995</v>
          </cell>
          <cell r="AF386">
            <v>39926</v>
          </cell>
          <cell r="AG386">
            <v>349</v>
          </cell>
          <cell r="AH386">
            <v>477.36688972941516</v>
          </cell>
          <cell r="AM386">
            <v>92.5</v>
          </cell>
          <cell r="AO386">
            <v>47688.374999999993</v>
          </cell>
          <cell r="AQ386">
            <v>44156.437299970901</v>
          </cell>
          <cell r="AU386">
            <v>0</v>
          </cell>
          <cell r="AW386">
            <v>0</v>
          </cell>
          <cell r="AY386">
            <v>30004.991652196688</v>
          </cell>
          <cell r="AZ386">
            <v>324.3782881318561</v>
          </cell>
          <cell r="BA386">
            <v>2951.9028719475223</v>
          </cell>
          <cell r="BB386">
            <v>31.912463480513754</v>
          </cell>
          <cell r="BC386">
            <v>0</v>
          </cell>
          <cell r="BD386">
            <v>0</v>
          </cell>
          <cell r="BG386">
            <v>0</v>
          </cell>
          <cell r="BH386">
            <v>0</v>
          </cell>
          <cell r="BI386">
            <v>2398.2717486179808</v>
          </cell>
          <cell r="BJ386">
            <v>25.927262147221416</v>
          </cell>
          <cell r="BK386">
            <v>0</v>
          </cell>
          <cell r="BL386">
            <v>0</v>
          </cell>
          <cell r="BM386">
            <v>6671.8448541976732</v>
          </cell>
          <cell r="BN386">
            <v>72.128052477812687</v>
          </cell>
          <cell r="BO386">
            <v>0</v>
          </cell>
          <cell r="BP386">
            <v>0</v>
          </cell>
          <cell r="BY386">
            <v>1445</v>
          </cell>
          <cell r="CF386">
            <v>14.006297888760269</v>
          </cell>
          <cell r="CG386">
            <v>2142.25</v>
          </cell>
          <cell r="CJ386">
            <v>0</v>
          </cell>
          <cell r="CK386">
            <v>0</v>
          </cell>
          <cell r="CL386">
            <v>0</v>
          </cell>
          <cell r="CM386">
            <v>0</v>
          </cell>
          <cell r="CN386">
            <v>0</v>
          </cell>
          <cell r="CO386">
            <v>0</v>
          </cell>
          <cell r="CX386">
            <v>0</v>
          </cell>
          <cell r="CY386">
            <v>0</v>
          </cell>
          <cell r="DB386">
            <v>0</v>
          </cell>
          <cell r="DC386">
            <v>0</v>
          </cell>
          <cell r="DJ386" t="str">
            <v>НКРКП</v>
          </cell>
          <cell r="DL386">
            <v>40942</v>
          </cell>
          <cell r="DM386">
            <v>28</v>
          </cell>
          <cell r="DT386">
            <v>795.29</v>
          </cell>
        </row>
        <row r="387">
          <cell r="W387">
            <v>278.89999999999998</v>
          </cell>
          <cell r="AF387">
            <v>39926</v>
          </cell>
          <cell r="AG387">
            <v>348</v>
          </cell>
          <cell r="AH387">
            <v>265.61900239409601</v>
          </cell>
          <cell r="AM387">
            <v>7135.7</v>
          </cell>
          <cell r="AO387">
            <v>1990146.7299999997</v>
          </cell>
          <cell r="AQ387">
            <v>1895377.5153835509</v>
          </cell>
          <cell r="AU387">
            <v>0</v>
          </cell>
          <cell r="AW387">
            <v>0</v>
          </cell>
          <cell r="AY387">
            <v>797857.49239526328</v>
          </cell>
          <cell r="AZ387">
            <v>111.8120846441503</v>
          </cell>
          <cell r="BA387">
            <v>206583.60476840584</v>
          </cell>
          <cell r="BB387">
            <v>28.950713282285669</v>
          </cell>
          <cell r="BC387">
            <v>0</v>
          </cell>
          <cell r="BD387">
            <v>0</v>
          </cell>
          <cell r="BG387">
            <v>0</v>
          </cell>
          <cell r="BH387">
            <v>0</v>
          </cell>
          <cell r="BI387">
            <v>199101.08046635403</v>
          </cell>
          <cell r="BJ387">
            <v>27.902109178686608</v>
          </cell>
          <cell r="BK387">
            <v>0</v>
          </cell>
          <cell r="BL387">
            <v>0</v>
          </cell>
          <cell r="BM387">
            <v>500429.06516986206</v>
          </cell>
          <cell r="BN387">
            <v>70.130339724184324</v>
          </cell>
          <cell r="BO387">
            <v>0</v>
          </cell>
          <cell r="BP387">
            <v>0</v>
          </cell>
          <cell r="BY387">
            <v>1445</v>
          </cell>
          <cell r="CF387">
            <v>1096.9827481648563</v>
          </cell>
          <cell r="CG387">
            <v>727.32</v>
          </cell>
          <cell r="CJ387">
            <v>0</v>
          </cell>
          <cell r="CK387">
            <v>0</v>
          </cell>
          <cell r="CL387">
            <v>0</v>
          </cell>
          <cell r="CM387">
            <v>0</v>
          </cell>
          <cell r="CN387">
            <v>0</v>
          </cell>
          <cell r="CO387">
            <v>0</v>
          </cell>
          <cell r="CX387">
            <v>0</v>
          </cell>
          <cell r="CY387">
            <v>0</v>
          </cell>
          <cell r="DB387">
            <v>0</v>
          </cell>
          <cell r="DC387">
            <v>0</v>
          </cell>
          <cell r="DJ387" t="str">
            <v>НКРЕ</v>
          </cell>
          <cell r="DL387">
            <v>40526</v>
          </cell>
          <cell r="DM387">
            <v>1854</v>
          </cell>
          <cell r="DO387" t="str">
            <v>Тариф на теплову енергію</v>
          </cell>
          <cell r="DT387">
            <v>306.79000000000002</v>
          </cell>
        </row>
        <row r="388">
          <cell r="W388">
            <v>501.22500000000002</v>
          </cell>
          <cell r="AF388">
            <v>39926</v>
          </cell>
          <cell r="AG388">
            <v>349</v>
          </cell>
          <cell r="AH388">
            <v>477.3653427638738</v>
          </cell>
          <cell r="AM388">
            <v>1740.5</v>
          </cell>
          <cell r="AO388">
            <v>872382.11250000005</v>
          </cell>
          <cell r="AQ388">
            <v>830854.37908052234</v>
          </cell>
          <cell r="AU388">
            <v>0</v>
          </cell>
          <cell r="AW388">
            <v>0</v>
          </cell>
          <cell r="AY388">
            <v>564580.41049349552</v>
          </cell>
          <cell r="AZ388">
            <v>324.3782881318561</v>
          </cell>
          <cell r="BA388">
            <v>55543.642687834188</v>
          </cell>
          <cell r="BB388">
            <v>31.912463480513754</v>
          </cell>
          <cell r="BC388">
            <v>0</v>
          </cell>
          <cell r="BD388">
            <v>0</v>
          </cell>
          <cell r="BG388">
            <v>0</v>
          </cell>
          <cell r="BH388">
            <v>0</v>
          </cell>
          <cell r="BI388">
            <v>45119.953073993463</v>
          </cell>
          <cell r="BJ388">
            <v>25.923558215451575</v>
          </cell>
          <cell r="BK388">
            <v>0</v>
          </cell>
          <cell r="BL388">
            <v>0</v>
          </cell>
          <cell r="BM388">
            <v>125538.87533763298</v>
          </cell>
          <cell r="BN388">
            <v>72.128052477812687</v>
          </cell>
          <cell r="BO388">
            <v>0</v>
          </cell>
          <cell r="BP388">
            <v>0</v>
          </cell>
          <cell r="BY388">
            <v>1445</v>
          </cell>
          <cell r="CF388">
            <v>263.54552946364595</v>
          </cell>
          <cell r="CG388">
            <v>2142.25</v>
          </cell>
          <cell r="CJ388">
            <v>0</v>
          </cell>
          <cell r="CK388">
            <v>0</v>
          </cell>
          <cell r="CL388">
            <v>0</v>
          </cell>
          <cell r="CM388">
            <v>0</v>
          </cell>
          <cell r="CN388">
            <v>0</v>
          </cell>
          <cell r="CO388">
            <v>0</v>
          </cell>
          <cell r="CX388">
            <v>0</v>
          </cell>
          <cell r="CY388">
            <v>0</v>
          </cell>
          <cell r="DB388">
            <v>0</v>
          </cell>
          <cell r="DC388">
            <v>0</v>
          </cell>
          <cell r="DJ388" t="str">
            <v>НКРКП</v>
          </cell>
          <cell r="DL388">
            <v>40942</v>
          </cell>
          <cell r="DM388">
            <v>28</v>
          </cell>
          <cell r="DT388">
            <v>780.97</v>
          </cell>
        </row>
        <row r="389">
          <cell r="W389">
            <v>501.22500000000002</v>
          </cell>
          <cell r="AF389">
            <v>39926</v>
          </cell>
          <cell r="AG389">
            <v>349</v>
          </cell>
          <cell r="AH389">
            <v>477.36688972941516</v>
          </cell>
          <cell r="AM389">
            <v>80.599999999999994</v>
          </cell>
          <cell r="AO389">
            <v>40398.735000000001</v>
          </cell>
          <cell r="AQ389">
            <v>38475.77131219086</v>
          </cell>
          <cell r="AU389">
            <v>0</v>
          </cell>
          <cell r="AW389">
            <v>0</v>
          </cell>
          <cell r="AY389">
            <v>26144.890023427597</v>
          </cell>
          <cell r="AZ389">
            <v>324.37828813185604</v>
          </cell>
          <cell r="BA389">
            <v>2572.1445565294089</v>
          </cell>
          <cell r="BB389">
            <v>31.912463480513761</v>
          </cell>
          <cell r="BC389">
            <v>0</v>
          </cell>
          <cell r="BD389">
            <v>0</v>
          </cell>
          <cell r="BG389">
            <v>0</v>
          </cell>
          <cell r="BH389">
            <v>0</v>
          </cell>
          <cell r="BI389">
            <v>2089.7373290660457</v>
          </cell>
          <cell r="BJ389">
            <v>25.927262147221413</v>
          </cell>
          <cell r="BK389">
            <v>0</v>
          </cell>
          <cell r="BL389">
            <v>0</v>
          </cell>
          <cell r="BM389">
            <v>5813.5210297117019</v>
          </cell>
          <cell r="BN389">
            <v>72.128052477812687</v>
          </cell>
          <cell r="BO389">
            <v>0</v>
          </cell>
          <cell r="BP389">
            <v>0</v>
          </cell>
          <cell r="BY389">
            <v>1445</v>
          </cell>
          <cell r="CF389">
            <v>12.204406592800838</v>
          </cell>
          <cell r="CG389">
            <v>2142.25</v>
          </cell>
          <cell r="CJ389">
            <v>0</v>
          </cell>
          <cell r="CK389">
            <v>0</v>
          </cell>
          <cell r="CL389">
            <v>0</v>
          </cell>
          <cell r="CM389">
            <v>0</v>
          </cell>
          <cell r="CN389">
            <v>0</v>
          </cell>
          <cell r="CO389">
            <v>0</v>
          </cell>
          <cell r="CX389">
            <v>0</v>
          </cell>
          <cell r="CY389">
            <v>0</v>
          </cell>
          <cell r="DB389">
            <v>0</v>
          </cell>
          <cell r="DC389">
            <v>0</v>
          </cell>
          <cell r="DJ389" t="str">
            <v>НКРКП</v>
          </cell>
          <cell r="DL389">
            <v>40942</v>
          </cell>
          <cell r="DM389">
            <v>28</v>
          </cell>
          <cell r="DT389">
            <v>780.97</v>
          </cell>
        </row>
        <row r="390">
          <cell r="W390">
            <v>178.37500000000003</v>
          </cell>
          <cell r="AF390">
            <v>39926</v>
          </cell>
          <cell r="AG390">
            <v>350</v>
          </cell>
          <cell r="AH390">
            <v>345.29921174147609</v>
          </cell>
          <cell r="AM390">
            <v>21141</v>
          </cell>
          <cell r="AO390">
            <v>3771025.8750000005</v>
          </cell>
          <cell r="AQ390">
            <v>7299970.6354265455</v>
          </cell>
          <cell r="AU390">
            <v>0</v>
          </cell>
          <cell r="AW390">
            <v>0</v>
          </cell>
          <cell r="AY390">
            <v>1999783.1731061118</v>
          </cell>
          <cell r="AZ390">
            <v>94.59264808221522</v>
          </cell>
          <cell r="BA390">
            <v>1601015.2039055333</v>
          </cell>
          <cell r="BB390">
            <v>75.730344066294563</v>
          </cell>
          <cell r="BC390">
            <v>0</v>
          </cell>
          <cell r="BD390">
            <v>0</v>
          </cell>
          <cell r="BG390">
            <v>0</v>
          </cell>
          <cell r="BH390">
            <v>0</v>
          </cell>
          <cell r="BI390">
            <v>626351.30521307851</v>
          </cell>
          <cell r="BJ390">
            <v>29.627326295495884</v>
          </cell>
          <cell r="BK390">
            <v>0</v>
          </cell>
          <cell r="BL390">
            <v>0</v>
          </cell>
          <cell r="BM390">
            <v>2350942.0454920009</v>
          </cell>
          <cell r="BN390">
            <v>111.20297268303301</v>
          </cell>
          <cell r="BO390">
            <v>0</v>
          </cell>
          <cell r="BP390">
            <v>0</v>
          </cell>
          <cell r="BY390">
            <v>1524</v>
          </cell>
          <cell r="CF390">
            <v>2749.5231440165426</v>
          </cell>
          <cell r="CG390">
            <v>727.32</v>
          </cell>
          <cell r="CJ390">
            <v>0</v>
          </cell>
          <cell r="CK390">
            <v>0</v>
          </cell>
          <cell r="CL390">
            <v>0</v>
          </cell>
          <cell r="CM390">
            <v>0</v>
          </cell>
          <cell r="CN390">
            <v>0</v>
          </cell>
          <cell r="CO390">
            <v>0</v>
          </cell>
          <cell r="CX390">
            <v>0</v>
          </cell>
          <cell r="CY390">
            <v>0</v>
          </cell>
          <cell r="DB390">
            <v>0</v>
          </cell>
          <cell r="DC390">
            <v>0</v>
          </cell>
          <cell r="DJ390" t="str">
            <v>НКРЕ</v>
          </cell>
          <cell r="DL390">
            <v>40526</v>
          </cell>
          <cell r="DM390">
            <v>1854</v>
          </cell>
          <cell r="DO390" t="str">
            <v>Тариф на теплову енергію</v>
          </cell>
          <cell r="DT390">
            <v>379.83</v>
          </cell>
        </row>
        <row r="391">
          <cell r="W391">
            <v>964.49166666666679</v>
          </cell>
          <cell r="AF391">
            <v>39926</v>
          </cell>
          <cell r="AG391">
            <v>351</v>
          </cell>
          <cell r="AH391">
            <v>513.22450607902738</v>
          </cell>
          <cell r="AM391">
            <v>8039</v>
          </cell>
          <cell r="AO391">
            <v>7753548.5083333347</v>
          </cell>
          <cell r="AQ391">
            <v>4125811.8043693011</v>
          </cell>
          <cell r="AU391">
            <v>0</v>
          </cell>
          <cell r="AW391">
            <v>0</v>
          </cell>
          <cell r="AY391">
            <v>2449373.3580309143</v>
          </cell>
          <cell r="AZ391">
            <v>304.6863239247312</v>
          </cell>
          <cell r="BA391">
            <v>285307.53085106384</v>
          </cell>
          <cell r="BB391">
            <v>35.490425531914894</v>
          </cell>
          <cell r="BC391">
            <v>0</v>
          </cell>
          <cell r="BD391">
            <v>0</v>
          </cell>
          <cell r="BG391">
            <v>0</v>
          </cell>
          <cell r="BH391">
            <v>0</v>
          </cell>
          <cell r="BI391">
            <v>225299.69452887538</v>
          </cell>
          <cell r="BJ391">
            <v>28.025835866261399</v>
          </cell>
          <cell r="BK391">
            <v>0</v>
          </cell>
          <cell r="BL391">
            <v>0</v>
          </cell>
          <cell r="BM391">
            <v>893960.62378419458</v>
          </cell>
          <cell r="BN391">
            <v>111.20296352583587</v>
          </cell>
          <cell r="BO391">
            <v>0</v>
          </cell>
          <cell r="BP391">
            <v>0</v>
          </cell>
          <cell r="BY391">
            <v>1524</v>
          </cell>
          <cell r="CF391">
            <v>1143.364853789667</v>
          </cell>
          <cell r="CG391">
            <v>2142.25</v>
          </cell>
          <cell r="CJ391">
            <v>0</v>
          </cell>
          <cell r="CK391">
            <v>0</v>
          </cell>
          <cell r="CL391">
            <v>0</v>
          </cell>
          <cell r="CM391">
            <v>0</v>
          </cell>
          <cell r="CN391">
            <v>0</v>
          </cell>
          <cell r="CO391">
            <v>0</v>
          </cell>
          <cell r="CX391">
            <v>0</v>
          </cell>
          <cell r="CY391">
            <v>0</v>
          </cell>
          <cell r="DB391">
            <v>0</v>
          </cell>
          <cell r="DC391">
            <v>0</v>
          </cell>
          <cell r="DJ391" t="str">
            <v>НКРКП</v>
          </cell>
          <cell r="DL391">
            <v>40942</v>
          </cell>
          <cell r="DM391">
            <v>28</v>
          </cell>
          <cell r="DT391">
            <v>853.5</v>
          </cell>
        </row>
        <row r="392">
          <cell r="W392">
            <v>964.49166666666679</v>
          </cell>
          <cell r="AF392">
            <v>39926</v>
          </cell>
          <cell r="AG392">
            <v>351</v>
          </cell>
          <cell r="AH392">
            <v>513.22442638623329</v>
          </cell>
          <cell r="AM392">
            <v>2723</v>
          </cell>
          <cell r="AO392">
            <v>2626310.8083333336</v>
          </cell>
          <cell r="AQ392">
            <v>1397510.1130497132</v>
          </cell>
          <cell r="AU392">
            <v>0</v>
          </cell>
          <cell r="AW392">
            <v>0</v>
          </cell>
          <cell r="AY392">
            <v>829660.86004704307</v>
          </cell>
          <cell r="AZ392">
            <v>304.6863239247312</v>
          </cell>
          <cell r="BA392">
            <v>96640.467495219884</v>
          </cell>
          <cell r="BB392">
            <v>35.490439770554495</v>
          </cell>
          <cell r="BC392">
            <v>0</v>
          </cell>
          <cell r="BD392">
            <v>0</v>
          </cell>
          <cell r="BG392">
            <v>0</v>
          </cell>
          <cell r="BH392">
            <v>0</v>
          </cell>
          <cell r="BI392">
            <v>76314.287762906315</v>
          </cell>
          <cell r="BJ392">
            <v>28.025812619502869</v>
          </cell>
          <cell r="BK392">
            <v>0</v>
          </cell>
          <cell r="BL392">
            <v>0</v>
          </cell>
          <cell r="BM392">
            <v>302806.19072657742</v>
          </cell>
          <cell r="BN392">
            <v>111.203154875717</v>
          </cell>
          <cell r="BO392">
            <v>0</v>
          </cell>
          <cell r="BP392">
            <v>0</v>
          </cell>
          <cell r="BY392">
            <v>1524</v>
          </cell>
          <cell r="CF392">
            <v>387.28479871492266</v>
          </cell>
          <cell r="CG392">
            <v>2142.25</v>
          </cell>
          <cell r="CJ392">
            <v>0</v>
          </cell>
          <cell r="CK392">
            <v>0</v>
          </cell>
          <cell r="CL392">
            <v>0</v>
          </cell>
          <cell r="CM392">
            <v>0</v>
          </cell>
          <cell r="CN392">
            <v>0</v>
          </cell>
          <cell r="CO392">
            <v>0</v>
          </cell>
          <cell r="CX392">
            <v>0</v>
          </cell>
          <cell r="CY392">
            <v>0</v>
          </cell>
          <cell r="DB392">
            <v>0</v>
          </cell>
          <cell r="DC392">
            <v>0</v>
          </cell>
          <cell r="DJ392" t="str">
            <v>НКРКП</v>
          </cell>
          <cell r="DL392">
            <v>40942</v>
          </cell>
          <cell r="DM392">
            <v>28</v>
          </cell>
          <cell r="DT392">
            <v>964.49</v>
          </cell>
        </row>
        <row r="393">
          <cell r="W393">
            <v>192.64166666666665</v>
          </cell>
          <cell r="AF393">
            <v>39926</v>
          </cell>
          <cell r="AG393">
            <v>350</v>
          </cell>
          <cell r="AH393">
            <v>345.29921174147603</v>
          </cell>
          <cell r="AM393">
            <v>11975</v>
          </cell>
          <cell r="AO393">
            <v>2306883.958333333</v>
          </cell>
          <cell r="AQ393">
            <v>4134958.0606041756</v>
          </cell>
          <cell r="AU393">
            <v>0</v>
          </cell>
          <cell r="AW393">
            <v>0</v>
          </cell>
          <cell r="AY393">
            <v>1132746.960784527</v>
          </cell>
          <cell r="AZ393">
            <v>94.592648082215206</v>
          </cell>
          <cell r="BA393">
            <v>906870.87019387737</v>
          </cell>
          <cell r="BB393">
            <v>75.730344066294563</v>
          </cell>
          <cell r="BC393">
            <v>0</v>
          </cell>
          <cell r="BD393">
            <v>0</v>
          </cell>
          <cell r="BG393">
            <v>0</v>
          </cell>
          <cell r="BH393">
            <v>0</v>
          </cell>
          <cell r="BI393">
            <v>354787.23238856322</v>
          </cell>
          <cell r="BJ393">
            <v>29.627326295495884</v>
          </cell>
          <cell r="BK393">
            <v>0</v>
          </cell>
          <cell r="BL393">
            <v>0</v>
          </cell>
          <cell r="BM393">
            <v>1331655.5978793202</v>
          </cell>
          <cell r="BN393">
            <v>111.202972683033</v>
          </cell>
          <cell r="BO393">
            <v>0</v>
          </cell>
          <cell r="BP393">
            <v>0</v>
          </cell>
          <cell r="BY393">
            <v>1524</v>
          </cell>
          <cell r="CF393">
            <v>1557.4258383992287</v>
          </cell>
          <cell r="CG393">
            <v>727.32</v>
          </cell>
          <cell r="CJ393">
            <v>0</v>
          </cell>
          <cell r="CK393">
            <v>0</v>
          </cell>
          <cell r="CL393">
            <v>0</v>
          </cell>
          <cell r="CM393">
            <v>0</v>
          </cell>
          <cell r="CN393">
            <v>0</v>
          </cell>
          <cell r="CO393">
            <v>0</v>
          </cell>
          <cell r="CX393">
            <v>0</v>
          </cell>
          <cell r="CY393">
            <v>0</v>
          </cell>
          <cell r="DB393">
            <v>0</v>
          </cell>
          <cell r="DC393">
            <v>0</v>
          </cell>
          <cell r="DJ393" t="str">
            <v>НКРЕ</v>
          </cell>
          <cell r="DL393">
            <v>40526</v>
          </cell>
          <cell r="DM393">
            <v>1854</v>
          </cell>
          <cell r="DO393" t="str">
            <v>Тариф на теплову енергію</v>
          </cell>
          <cell r="DT393">
            <v>240.8</v>
          </cell>
        </row>
        <row r="394">
          <cell r="W394">
            <v>934.41666666666663</v>
          </cell>
          <cell r="AF394">
            <v>39926</v>
          </cell>
          <cell r="AG394">
            <v>351</v>
          </cell>
          <cell r="AH394">
            <v>513.22450607902738</v>
          </cell>
          <cell r="AM394">
            <v>2652</v>
          </cell>
          <cell r="AO394">
            <v>2478073</v>
          </cell>
          <cell r="AQ394">
            <v>1361071.3901215806</v>
          </cell>
          <cell r="AU394">
            <v>0</v>
          </cell>
          <cell r="AW394">
            <v>0</v>
          </cell>
          <cell r="AY394">
            <v>808028.13104838715</v>
          </cell>
          <cell r="AZ394">
            <v>304.6863239247312</v>
          </cell>
          <cell r="BA394">
            <v>94120.608510638296</v>
          </cell>
          <cell r="BB394">
            <v>35.490425531914894</v>
          </cell>
          <cell r="BC394">
            <v>0</v>
          </cell>
          <cell r="BD394">
            <v>0</v>
          </cell>
          <cell r="BG394">
            <v>0</v>
          </cell>
          <cell r="BH394">
            <v>0</v>
          </cell>
          <cell r="BI394">
            <v>74324.516717325227</v>
          </cell>
          <cell r="BJ394">
            <v>28.025835866261399</v>
          </cell>
          <cell r="BK394">
            <v>0</v>
          </cell>
          <cell r="BL394">
            <v>0</v>
          </cell>
          <cell r="BM394">
            <v>294910.25927051675</v>
          </cell>
          <cell r="BN394">
            <v>111.20296352583588</v>
          </cell>
          <cell r="BO394">
            <v>0</v>
          </cell>
          <cell r="BP394">
            <v>0</v>
          </cell>
          <cell r="BY394">
            <v>1524</v>
          </cell>
          <cell r="CF394">
            <v>377.1866640440598</v>
          </cell>
          <cell r="CG394">
            <v>2142.25</v>
          </cell>
          <cell r="CJ394">
            <v>0</v>
          </cell>
          <cell r="CK394">
            <v>0</v>
          </cell>
          <cell r="CL394">
            <v>0</v>
          </cell>
          <cell r="CM394">
            <v>0</v>
          </cell>
          <cell r="CN394">
            <v>0</v>
          </cell>
          <cell r="CO394">
            <v>0</v>
          </cell>
          <cell r="CX394">
            <v>0</v>
          </cell>
          <cell r="CY394">
            <v>0</v>
          </cell>
          <cell r="DB394">
            <v>0</v>
          </cell>
          <cell r="DC394">
            <v>0</v>
          </cell>
          <cell r="DJ394" t="str">
            <v>НКРКП</v>
          </cell>
          <cell r="DL394">
            <v>40942</v>
          </cell>
          <cell r="DM394">
            <v>28</v>
          </cell>
          <cell r="DT394">
            <v>999.9</v>
          </cell>
        </row>
        <row r="395">
          <cell r="W395">
            <v>934.41666666666663</v>
          </cell>
          <cell r="AF395">
            <v>39926</v>
          </cell>
          <cell r="AG395">
            <v>351</v>
          </cell>
          <cell r="AH395">
            <v>513.22442638623329</v>
          </cell>
          <cell r="AM395">
            <v>28</v>
          </cell>
          <cell r="AO395">
            <v>26163.666666666664</v>
          </cell>
          <cell r="AQ395">
            <v>14370.283938814533</v>
          </cell>
          <cell r="AU395">
            <v>0</v>
          </cell>
          <cell r="AW395">
            <v>0</v>
          </cell>
          <cell r="AY395">
            <v>8531.2170698924747</v>
          </cell>
          <cell r="AZ395">
            <v>304.68632392473125</v>
          </cell>
          <cell r="BA395">
            <v>993.73231357552595</v>
          </cell>
          <cell r="BB395">
            <v>35.490439770554495</v>
          </cell>
          <cell r="BC395">
            <v>0</v>
          </cell>
          <cell r="BD395">
            <v>0</v>
          </cell>
          <cell r="BG395">
            <v>0</v>
          </cell>
          <cell r="BH395">
            <v>0</v>
          </cell>
          <cell r="BI395">
            <v>784.72275334608048</v>
          </cell>
          <cell r="BJ395">
            <v>28.025812619502876</v>
          </cell>
          <cell r="BK395">
            <v>0</v>
          </cell>
          <cell r="BL395">
            <v>0</v>
          </cell>
          <cell r="BM395">
            <v>3113.688336520077</v>
          </cell>
          <cell r="BN395">
            <v>111.20315487571703</v>
          </cell>
          <cell r="BO395">
            <v>0</v>
          </cell>
          <cell r="BP395">
            <v>0</v>
          </cell>
          <cell r="BY395">
            <v>1524</v>
          </cell>
          <cell r="CF395">
            <v>3.9823629687909787</v>
          </cell>
          <cell r="CG395">
            <v>2142.25</v>
          </cell>
          <cell r="CJ395">
            <v>0</v>
          </cell>
          <cell r="CK395">
            <v>0</v>
          </cell>
          <cell r="CL395">
            <v>0</v>
          </cell>
          <cell r="CM395">
            <v>0</v>
          </cell>
          <cell r="CN395">
            <v>0</v>
          </cell>
          <cell r="CO395">
            <v>0</v>
          </cell>
          <cell r="CX395">
            <v>0</v>
          </cell>
          <cell r="CY395">
            <v>0</v>
          </cell>
          <cell r="DB395">
            <v>0</v>
          </cell>
          <cell r="DC395">
            <v>0</v>
          </cell>
          <cell r="DJ395" t="str">
            <v>НКРКП</v>
          </cell>
          <cell r="DL395">
            <v>40942</v>
          </cell>
          <cell r="DM395">
            <v>28</v>
          </cell>
          <cell r="DT395">
            <v>999.9</v>
          </cell>
        </row>
        <row r="396">
          <cell r="W396">
            <v>192.64166666666665</v>
          </cell>
          <cell r="AF396">
            <v>39926</v>
          </cell>
          <cell r="AG396">
            <v>350</v>
          </cell>
          <cell r="AH396">
            <v>345.29921174147609</v>
          </cell>
          <cell r="AM396">
            <v>6199</v>
          </cell>
          <cell r="AO396">
            <v>1194185.6916666667</v>
          </cell>
          <cell r="AQ396">
            <v>2140509.8135854104</v>
          </cell>
          <cell r="AU396">
            <v>0</v>
          </cell>
          <cell r="AW396">
            <v>0</v>
          </cell>
          <cell r="AY396">
            <v>586379.82546165213</v>
          </cell>
          <cell r="AZ396">
            <v>94.59264808221522</v>
          </cell>
          <cell r="BA396">
            <v>469452.40286696004</v>
          </cell>
          <cell r="BB396">
            <v>75.730344066294563</v>
          </cell>
          <cell r="BC396">
            <v>0</v>
          </cell>
          <cell r="BD396">
            <v>0</v>
          </cell>
          <cell r="BG396">
            <v>0</v>
          </cell>
          <cell r="BH396">
            <v>0</v>
          </cell>
          <cell r="BI396">
            <v>183659.79570577902</v>
          </cell>
          <cell r="BJ396">
            <v>29.627326295495891</v>
          </cell>
          <cell r="BK396">
            <v>0</v>
          </cell>
          <cell r="BL396">
            <v>0</v>
          </cell>
          <cell r="BM396">
            <v>689347.22766212164</v>
          </cell>
          <cell r="BN396">
            <v>111.20297268303301</v>
          </cell>
          <cell r="BO396">
            <v>0</v>
          </cell>
          <cell r="BP396">
            <v>0</v>
          </cell>
          <cell r="BY396">
            <v>1524</v>
          </cell>
          <cell r="CF396">
            <v>806.2198557191499</v>
          </cell>
          <cell r="CG396">
            <v>727.32</v>
          </cell>
          <cell r="CJ396">
            <v>0</v>
          </cell>
          <cell r="CK396">
            <v>0</v>
          </cell>
          <cell r="CL396">
            <v>0</v>
          </cell>
          <cell r="CM396">
            <v>0</v>
          </cell>
          <cell r="CN396">
            <v>0</v>
          </cell>
          <cell r="CO396">
            <v>0</v>
          </cell>
          <cell r="CX396">
            <v>0</v>
          </cell>
          <cell r="CY396">
            <v>0</v>
          </cell>
          <cell r="DB396">
            <v>0</v>
          </cell>
          <cell r="DC396">
            <v>0</v>
          </cell>
          <cell r="DJ396" t="str">
            <v>НКРЕ</v>
          </cell>
          <cell r="DL396">
            <v>40526</v>
          </cell>
          <cell r="DM396">
            <v>1854</v>
          </cell>
          <cell r="DO396" t="str">
            <v>Тариф на теплову енергію</v>
          </cell>
          <cell r="DT396">
            <v>240.8</v>
          </cell>
        </row>
        <row r="397">
          <cell r="W397">
            <v>934.41666666666663</v>
          </cell>
          <cell r="AF397">
            <v>39926</v>
          </cell>
          <cell r="AG397">
            <v>351</v>
          </cell>
          <cell r="AH397">
            <v>513.22450607902738</v>
          </cell>
          <cell r="AM397">
            <v>1544</v>
          </cell>
          <cell r="AO397">
            <v>1442739.3333333333</v>
          </cell>
          <cell r="AQ397">
            <v>792418.63738601829</v>
          </cell>
          <cell r="AU397">
            <v>0</v>
          </cell>
          <cell r="AW397">
            <v>0</v>
          </cell>
          <cell r="AY397">
            <v>470435.68413978501</v>
          </cell>
          <cell r="AZ397">
            <v>304.6863239247312</v>
          </cell>
          <cell r="BA397">
            <v>54797.2170212766</v>
          </cell>
          <cell r="BB397">
            <v>35.490425531914894</v>
          </cell>
          <cell r="BC397">
            <v>0</v>
          </cell>
          <cell r="BD397">
            <v>0</v>
          </cell>
          <cell r="BG397">
            <v>0</v>
          </cell>
          <cell r="BH397">
            <v>0</v>
          </cell>
          <cell r="BI397">
            <v>43271.890577507605</v>
          </cell>
          <cell r="BJ397">
            <v>28.025835866261403</v>
          </cell>
          <cell r="BK397">
            <v>0</v>
          </cell>
          <cell r="BL397">
            <v>0</v>
          </cell>
          <cell r="BM397">
            <v>171697.3756838906</v>
          </cell>
          <cell r="BN397">
            <v>111.20296352583588</v>
          </cell>
          <cell r="BO397">
            <v>0</v>
          </cell>
          <cell r="BP397">
            <v>0</v>
          </cell>
          <cell r="BY397">
            <v>1524</v>
          </cell>
          <cell r="CF397">
            <v>219.59887227904539</v>
          </cell>
          <cell r="CG397">
            <v>2142.25</v>
          </cell>
          <cell r="CJ397">
            <v>0</v>
          </cell>
          <cell r="CK397">
            <v>0</v>
          </cell>
          <cell r="CL397">
            <v>0</v>
          </cell>
          <cell r="CM397">
            <v>0</v>
          </cell>
          <cell r="CN397">
            <v>0</v>
          </cell>
          <cell r="CO397">
            <v>0</v>
          </cell>
          <cell r="CX397">
            <v>0</v>
          </cell>
          <cell r="CY397">
            <v>0</v>
          </cell>
          <cell r="DB397">
            <v>0</v>
          </cell>
          <cell r="DC397">
            <v>0</v>
          </cell>
          <cell r="DJ397" t="str">
            <v>НКРКП</v>
          </cell>
          <cell r="DL397">
            <v>40942</v>
          </cell>
          <cell r="DM397">
            <v>28</v>
          </cell>
          <cell r="DT397">
            <v>999.9</v>
          </cell>
        </row>
        <row r="398">
          <cell r="W398">
            <v>934.41666666666663</v>
          </cell>
          <cell r="AF398">
            <v>39926</v>
          </cell>
          <cell r="AG398">
            <v>351</v>
          </cell>
          <cell r="AH398">
            <v>513.22442638623329</v>
          </cell>
          <cell r="AM398">
            <v>21</v>
          </cell>
          <cell r="AO398">
            <v>19622.75</v>
          </cell>
          <cell r="AQ398">
            <v>10777.712954110899</v>
          </cell>
          <cell r="AU398">
            <v>0</v>
          </cell>
          <cell r="AW398">
            <v>0</v>
          </cell>
          <cell r="AY398">
            <v>6398.4128024193551</v>
          </cell>
          <cell r="AZ398">
            <v>304.6863239247312</v>
          </cell>
          <cell r="BA398">
            <v>745.29923518164435</v>
          </cell>
          <cell r="BB398">
            <v>35.490439770554495</v>
          </cell>
          <cell r="BC398">
            <v>0</v>
          </cell>
          <cell r="BD398">
            <v>0</v>
          </cell>
          <cell r="BG398">
            <v>0</v>
          </cell>
          <cell r="BH398">
            <v>0</v>
          </cell>
          <cell r="BI398">
            <v>588.54206500956025</v>
          </cell>
          <cell r="BJ398">
            <v>28.025812619502869</v>
          </cell>
          <cell r="BK398">
            <v>0</v>
          </cell>
          <cell r="BL398">
            <v>0</v>
          </cell>
          <cell r="BM398">
            <v>2335.2662523900572</v>
          </cell>
          <cell r="BN398">
            <v>111.203154875717</v>
          </cell>
          <cell r="BO398">
            <v>0</v>
          </cell>
          <cell r="BP398">
            <v>0</v>
          </cell>
          <cell r="BY398">
            <v>1524</v>
          </cell>
          <cell r="CF398">
            <v>2.9867722265932337</v>
          </cell>
          <cell r="CG398">
            <v>2142.25</v>
          </cell>
          <cell r="CJ398">
            <v>0</v>
          </cell>
          <cell r="CK398">
            <v>0</v>
          </cell>
          <cell r="CL398">
            <v>0</v>
          </cell>
          <cell r="CM398">
            <v>0</v>
          </cell>
          <cell r="CN398">
            <v>0</v>
          </cell>
          <cell r="CO398">
            <v>0</v>
          </cell>
          <cell r="CX398">
            <v>0</v>
          </cell>
          <cell r="CY398">
            <v>0</v>
          </cell>
          <cell r="DB398">
            <v>0</v>
          </cell>
          <cell r="DC398">
            <v>0</v>
          </cell>
          <cell r="DJ398" t="str">
            <v>НКРКП</v>
          </cell>
          <cell r="DL398">
            <v>40942</v>
          </cell>
          <cell r="DM398">
            <v>28</v>
          </cell>
          <cell r="DT398">
            <v>999.9</v>
          </cell>
        </row>
        <row r="399">
          <cell r="W399">
            <v>192.64166666666665</v>
          </cell>
          <cell r="AF399">
            <v>39926</v>
          </cell>
          <cell r="AG399">
            <v>350</v>
          </cell>
          <cell r="AH399">
            <v>345.29921174147603</v>
          </cell>
          <cell r="AM399">
            <v>889</v>
          </cell>
          <cell r="AO399">
            <v>171258.44166666665</v>
          </cell>
          <cell r="AQ399">
            <v>306970.9992381722</v>
          </cell>
          <cell r="AU399">
            <v>0</v>
          </cell>
          <cell r="AW399">
            <v>0</v>
          </cell>
          <cell r="AY399">
            <v>84092.864145089319</v>
          </cell>
          <cell r="AZ399">
            <v>94.592648082215206</v>
          </cell>
          <cell r="BA399">
            <v>67324.275874935862</v>
          </cell>
          <cell r="BB399">
            <v>75.730344066294563</v>
          </cell>
          <cell r="BC399">
            <v>0</v>
          </cell>
          <cell r="BD399">
            <v>0</v>
          </cell>
          <cell r="BG399">
            <v>0</v>
          </cell>
          <cell r="BH399">
            <v>0</v>
          </cell>
          <cell r="BI399">
            <v>26338.693076695843</v>
          </cell>
          <cell r="BJ399">
            <v>29.627326295495887</v>
          </cell>
          <cell r="BK399">
            <v>0</v>
          </cell>
          <cell r="BL399">
            <v>0</v>
          </cell>
          <cell r="BM399">
            <v>98859.442715216341</v>
          </cell>
          <cell r="BN399">
            <v>111.20297268303301</v>
          </cell>
          <cell r="BO399">
            <v>0</v>
          </cell>
          <cell r="BP399">
            <v>0</v>
          </cell>
          <cell r="BY399">
            <v>1524</v>
          </cell>
          <cell r="CF399">
            <v>115.62017288826007</v>
          </cell>
          <cell r="CG399">
            <v>727.32</v>
          </cell>
          <cell r="CJ399">
            <v>0</v>
          </cell>
          <cell r="CK399">
            <v>0</v>
          </cell>
          <cell r="CL399">
            <v>0</v>
          </cell>
          <cell r="CM399">
            <v>0</v>
          </cell>
          <cell r="CN399">
            <v>0</v>
          </cell>
          <cell r="CO399">
            <v>0</v>
          </cell>
          <cell r="CX399">
            <v>0</v>
          </cell>
          <cell r="CY399">
            <v>0</v>
          </cell>
          <cell r="DB399">
            <v>0</v>
          </cell>
          <cell r="DC399">
            <v>0</v>
          </cell>
          <cell r="DJ399" t="str">
            <v>НКРЕ</v>
          </cell>
          <cell r="DL399">
            <v>40526</v>
          </cell>
          <cell r="DM399">
            <v>1854</v>
          </cell>
          <cell r="DO399" t="str">
            <v>Тариф на теплову енергію</v>
          </cell>
          <cell r="DT399">
            <v>240.8</v>
          </cell>
        </row>
        <row r="400">
          <cell r="W400">
            <v>934.41666666666663</v>
          </cell>
          <cell r="AF400">
            <v>39926</v>
          </cell>
          <cell r="AG400">
            <v>351</v>
          </cell>
          <cell r="AH400">
            <v>513.22450607902738</v>
          </cell>
          <cell r="AM400">
            <v>1157</v>
          </cell>
          <cell r="AO400">
            <v>1081120.0833333333</v>
          </cell>
          <cell r="AQ400">
            <v>593800.7535334347</v>
          </cell>
          <cell r="AU400">
            <v>0</v>
          </cell>
          <cell r="AW400">
            <v>0</v>
          </cell>
          <cell r="AY400">
            <v>352522.07678091398</v>
          </cell>
          <cell r="AZ400">
            <v>304.6863239247312</v>
          </cell>
          <cell r="BA400">
            <v>41062.422340425532</v>
          </cell>
          <cell r="BB400">
            <v>35.490425531914894</v>
          </cell>
          <cell r="BC400">
            <v>0</v>
          </cell>
          <cell r="BD400">
            <v>0</v>
          </cell>
          <cell r="BG400">
            <v>0</v>
          </cell>
          <cell r="BH400">
            <v>0</v>
          </cell>
          <cell r="BI400">
            <v>32425.892097264441</v>
          </cell>
          <cell r="BJ400">
            <v>28.025835866261399</v>
          </cell>
          <cell r="BK400">
            <v>0</v>
          </cell>
          <cell r="BL400">
            <v>0</v>
          </cell>
          <cell r="BM400">
            <v>128661.82879939211</v>
          </cell>
          <cell r="BN400">
            <v>111.20296352583588</v>
          </cell>
          <cell r="BO400">
            <v>0</v>
          </cell>
          <cell r="BP400">
            <v>0</v>
          </cell>
          <cell r="BY400">
            <v>1524</v>
          </cell>
          <cell r="CF400">
            <v>164.55692696039864</v>
          </cell>
          <cell r="CG400">
            <v>2142.25</v>
          </cell>
          <cell r="CJ400">
            <v>0</v>
          </cell>
          <cell r="CK400">
            <v>0</v>
          </cell>
          <cell r="CL400">
            <v>0</v>
          </cell>
          <cell r="CM400">
            <v>0</v>
          </cell>
          <cell r="CN400">
            <v>0</v>
          </cell>
          <cell r="CO400">
            <v>0</v>
          </cell>
          <cell r="CX400">
            <v>0</v>
          </cell>
          <cell r="CY400">
            <v>0</v>
          </cell>
          <cell r="DB400">
            <v>0</v>
          </cell>
          <cell r="DC400">
            <v>0</v>
          </cell>
          <cell r="DJ400" t="str">
            <v>НКРКП</v>
          </cell>
          <cell r="DL400">
            <v>40942</v>
          </cell>
          <cell r="DM400">
            <v>28</v>
          </cell>
          <cell r="DT400">
            <v>999.9</v>
          </cell>
        </row>
        <row r="401">
          <cell r="W401">
            <v>934.41666666666663</v>
          </cell>
          <cell r="AF401">
            <v>39926</v>
          </cell>
          <cell r="AG401">
            <v>351</v>
          </cell>
          <cell r="AH401">
            <v>513.22442638623329</v>
          </cell>
          <cell r="AM401">
            <v>61</v>
          </cell>
          <cell r="AO401">
            <v>56999.416666666664</v>
          </cell>
          <cell r="AQ401">
            <v>31306.690009560232</v>
          </cell>
          <cell r="AU401">
            <v>0</v>
          </cell>
          <cell r="AW401">
            <v>0</v>
          </cell>
          <cell r="AY401">
            <v>18585.865759408603</v>
          </cell>
          <cell r="AZ401">
            <v>304.6863239247312</v>
          </cell>
          <cell r="BA401">
            <v>2164.9168260038241</v>
          </cell>
          <cell r="BB401">
            <v>35.490439770554495</v>
          </cell>
          <cell r="BC401">
            <v>0</v>
          </cell>
          <cell r="BD401">
            <v>0</v>
          </cell>
          <cell r="BG401">
            <v>0</v>
          </cell>
          <cell r="BH401">
            <v>0</v>
          </cell>
          <cell r="BI401">
            <v>1709.574569789675</v>
          </cell>
          <cell r="BJ401">
            <v>28.025812619502869</v>
          </cell>
          <cell r="BK401">
            <v>0</v>
          </cell>
          <cell r="BL401">
            <v>0</v>
          </cell>
          <cell r="BM401">
            <v>6783.3924474187379</v>
          </cell>
          <cell r="BN401">
            <v>111.20315487571702</v>
          </cell>
          <cell r="BO401">
            <v>0</v>
          </cell>
          <cell r="BP401">
            <v>0</v>
          </cell>
          <cell r="BY401">
            <v>1524</v>
          </cell>
          <cell r="CF401">
            <v>8.6758621820089168</v>
          </cell>
          <cell r="CG401">
            <v>2142.25</v>
          </cell>
          <cell r="CJ401">
            <v>0</v>
          </cell>
          <cell r="CK401">
            <v>0</v>
          </cell>
          <cell r="CL401">
            <v>0</v>
          </cell>
          <cell r="CM401">
            <v>0</v>
          </cell>
          <cell r="CN401">
            <v>0</v>
          </cell>
          <cell r="CO401">
            <v>0</v>
          </cell>
          <cell r="CX401">
            <v>0</v>
          </cell>
          <cell r="CY401">
            <v>0</v>
          </cell>
          <cell r="DB401">
            <v>0</v>
          </cell>
          <cell r="DC401">
            <v>0</v>
          </cell>
          <cell r="DJ401" t="str">
            <v>НКРКП</v>
          </cell>
          <cell r="DL401">
            <v>40942</v>
          </cell>
          <cell r="DM401">
            <v>28</v>
          </cell>
          <cell r="DT401">
            <v>999.9</v>
          </cell>
        </row>
        <row r="402">
          <cell r="W402">
            <v>192.64166666666665</v>
          </cell>
          <cell r="AF402">
            <v>39926</v>
          </cell>
          <cell r="AG402">
            <v>350</v>
          </cell>
          <cell r="AH402">
            <v>345.29921174147609</v>
          </cell>
          <cell r="AM402">
            <v>15837</v>
          </cell>
          <cell r="AO402">
            <v>3050866.0749999997</v>
          </cell>
          <cell r="AQ402">
            <v>5468503.6163497567</v>
          </cell>
          <cell r="AU402">
            <v>0</v>
          </cell>
          <cell r="AW402">
            <v>0</v>
          </cell>
          <cell r="AY402">
            <v>1498063.7676780424</v>
          </cell>
          <cell r="AZ402">
            <v>94.59264808221522</v>
          </cell>
          <cell r="BA402">
            <v>1199341.458977907</v>
          </cell>
          <cell r="BB402">
            <v>75.730344066294563</v>
          </cell>
          <cell r="BC402">
            <v>0</v>
          </cell>
          <cell r="BD402">
            <v>0</v>
          </cell>
          <cell r="BG402">
            <v>0</v>
          </cell>
          <cell r="BH402">
            <v>0</v>
          </cell>
          <cell r="BI402">
            <v>469207.9665417684</v>
          </cell>
          <cell r="BJ402">
            <v>29.627326295495891</v>
          </cell>
          <cell r="BK402">
            <v>0</v>
          </cell>
          <cell r="BL402">
            <v>0</v>
          </cell>
          <cell r="BM402">
            <v>1761121.4783811937</v>
          </cell>
          <cell r="BN402">
            <v>111.20297268303301</v>
          </cell>
          <cell r="BO402">
            <v>0</v>
          </cell>
          <cell r="BP402">
            <v>0</v>
          </cell>
          <cell r="BY402">
            <v>1524</v>
          </cell>
          <cell r="CF402">
            <v>2059.7037998103206</v>
          </cell>
          <cell r="CG402">
            <v>727.32</v>
          </cell>
          <cell r="CJ402">
            <v>0</v>
          </cell>
          <cell r="CK402">
            <v>0</v>
          </cell>
          <cell r="CL402">
            <v>0</v>
          </cell>
          <cell r="CM402">
            <v>0</v>
          </cell>
          <cell r="CN402">
            <v>0</v>
          </cell>
          <cell r="CO402">
            <v>0</v>
          </cell>
          <cell r="CX402">
            <v>0</v>
          </cell>
          <cell r="CY402">
            <v>0</v>
          </cell>
          <cell r="DB402">
            <v>0</v>
          </cell>
          <cell r="DC402">
            <v>0</v>
          </cell>
          <cell r="DJ402" t="str">
            <v>НКРЕ</v>
          </cell>
          <cell r="DL402">
            <v>40526</v>
          </cell>
          <cell r="DM402">
            <v>1854</v>
          </cell>
          <cell r="DO402" t="str">
            <v>Тариф на теплову енергію</v>
          </cell>
          <cell r="DT402">
            <v>240.8</v>
          </cell>
        </row>
        <row r="403">
          <cell r="W403">
            <v>934.41666666666663</v>
          </cell>
          <cell r="AF403">
            <v>39926</v>
          </cell>
          <cell r="AG403">
            <v>351</v>
          </cell>
          <cell r="AH403">
            <v>513.22450607902749</v>
          </cell>
          <cell r="AM403">
            <v>4850</v>
          </cell>
          <cell r="AO403">
            <v>4531920.833333333</v>
          </cell>
          <cell r="AQ403">
            <v>2489138.8544832831</v>
          </cell>
          <cell r="AU403">
            <v>0</v>
          </cell>
          <cell r="AW403">
            <v>0</v>
          </cell>
          <cell r="AY403">
            <v>1477728.6710349463</v>
          </cell>
          <cell r="AZ403">
            <v>304.6863239247312</v>
          </cell>
          <cell r="BA403">
            <v>172128.56382978725</v>
          </cell>
          <cell r="BB403">
            <v>35.490425531914894</v>
          </cell>
          <cell r="BC403">
            <v>0</v>
          </cell>
          <cell r="BD403">
            <v>0</v>
          </cell>
          <cell r="BG403">
            <v>0</v>
          </cell>
          <cell r="BH403">
            <v>0</v>
          </cell>
          <cell r="BI403">
            <v>135925.30395136779</v>
          </cell>
          <cell r="BJ403">
            <v>28.025835866261399</v>
          </cell>
          <cell r="BK403">
            <v>0</v>
          </cell>
          <cell r="BL403">
            <v>0</v>
          </cell>
          <cell r="BM403">
            <v>539334.37310030404</v>
          </cell>
          <cell r="BN403">
            <v>111.20296352583588</v>
          </cell>
          <cell r="BO403">
            <v>0</v>
          </cell>
          <cell r="BP403">
            <v>0</v>
          </cell>
          <cell r="BY403">
            <v>1524</v>
          </cell>
          <cell r="CF403">
            <v>689.80215709415165</v>
          </cell>
          <cell r="CG403">
            <v>2142.25</v>
          </cell>
          <cell r="CJ403">
            <v>0</v>
          </cell>
          <cell r="CK403">
            <v>0</v>
          </cell>
          <cell r="CL403">
            <v>0</v>
          </cell>
          <cell r="CM403">
            <v>0</v>
          </cell>
          <cell r="CN403">
            <v>0</v>
          </cell>
          <cell r="CO403">
            <v>0</v>
          </cell>
          <cell r="CX403">
            <v>0</v>
          </cell>
          <cell r="CY403">
            <v>0</v>
          </cell>
          <cell r="DB403">
            <v>0</v>
          </cell>
          <cell r="DC403">
            <v>0</v>
          </cell>
          <cell r="DJ403" t="str">
            <v>НКРКП</v>
          </cell>
          <cell r="DL403">
            <v>40942</v>
          </cell>
          <cell r="DM403">
            <v>28</v>
          </cell>
          <cell r="DT403">
            <v>999.9</v>
          </cell>
        </row>
        <row r="404">
          <cell r="W404">
            <v>934.41666666666663</v>
          </cell>
          <cell r="AF404">
            <v>39926</v>
          </cell>
          <cell r="AG404">
            <v>351</v>
          </cell>
          <cell r="AH404">
            <v>513.22442638623329</v>
          </cell>
          <cell r="AM404">
            <v>1281</v>
          </cell>
          <cell r="AO404">
            <v>1196987.75</v>
          </cell>
          <cell r="AQ404">
            <v>657440.49020076485</v>
          </cell>
          <cell r="AU404">
            <v>0</v>
          </cell>
          <cell r="AW404">
            <v>0</v>
          </cell>
          <cell r="AY404">
            <v>390303.18094758061</v>
          </cell>
          <cell r="AZ404">
            <v>304.68632392473114</v>
          </cell>
          <cell r="BA404">
            <v>45463.25334608031</v>
          </cell>
          <cell r="BB404">
            <v>35.490439770554495</v>
          </cell>
          <cell r="BC404">
            <v>0</v>
          </cell>
          <cell r="BD404">
            <v>0</v>
          </cell>
          <cell r="BG404">
            <v>0</v>
          </cell>
          <cell r="BH404">
            <v>0</v>
          </cell>
          <cell r="BI404">
            <v>35901.065965583177</v>
          </cell>
          <cell r="BJ404">
            <v>28.025812619502869</v>
          </cell>
          <cell r="BK404">
            <v>0</v>
          </cell>
          <cell r="BL404">
            <v>0</v>
          </cell>
          <cell r="BM404">
            <v>142451.24139579351</v>
          </cell>
          <cell r="BN404">
            <v>111.20315487571702</v>
          </cell>
          <cell r="BO404">
            <v>0</v>
          </cell>
          <cell r="BP404">
            <v>0</v>
          </cell>
          <cell r="BY404">
            <v>1524</v>
          </cell>
          <cell r="CF404">
            <v>182.19310582218725</v>
          </cell>
          <cell r="CG404">
            <v>2142.25</v>
          </cell>
          <cell r="CJ404">
            <v>0</v>
          </cell>
          <cell r="CK404">
            <v>0</v>
          </cell>
          <cell r="CL404">
            <v>0</v>
          </cell>
          <cell r="CM404">
            <v>0</v>
          </cell>
          <cell r="CN404">
            <v>0</v>
          </cell>
          <cell r="CO404">
            <v>0</v>
          </cell>
          <cell r="CX404">
            <v>0</v>
          </cell>
          <cell r="CY404">
            <v>0</v>
          </cell>
          <cell r="DB404">
            <v>0</v>
          </cell>
          <cell r="DC404">
            <v>0</v>
          </cell>
          <cell r="DJ404" t="str">
            <v>НКРКП</v>
          </cell>
          <cell r="DL404">
            <v>40942</v>
          </cell>
          <cell r="DM404">
            <v>28</v>
          </cell>
          <cell r="DT404">
            <v>999.9</v>
          </cell>
        </row>
        <row r="405">
          <cell r="W405">
            <v>205.10833333333335</v>
          </cell>
          <cell r="AF405">
            <v>39926</v>
          </cell>
          <cell r="AG405">
            <v>350</v>
          </cell>
          <cell r="AH405">
            <v>345.29921174147609</v>
          </cell>
          <cell r="AM405">
            <v>6779</v>
          </cell>
          <cell r="AO405">
            <v>1390429.3916666668</v>
          </cell>
          <cell r="AQ405">
            <v>2340783.3563954663</v>
          </cell>
          <cell r="AU405">
            <v>0</v>
          </cell>
          <cell r="AW405">
            <v>0</v>
          </cell>
          <cell r="AY405">
            <v>641243.56134933699</v>
          </cell>
          <cell r="AZ405">
            <v>94.59264808221522</v>
          </cell>
          <cell r="BA405">
            <v>513376.00242541084</v>
          </cell>
          <cell r="BB405">
            <v>75.730344066294563</v>
          </cell>
          <cell r="BC405">
            <v>0</v>
          </cell>
          <cell r="BD405">
            <v>0</v>
          </cell>
          <cell r="BG405">
            <v>0</v>
          </cell>
          <cell r="BH405">
            <v>0</v>
          </cell>
          <cell r="BI405">
            <v>200843.64495716663</v>
          </cell>
          <cell r="BJ405">
            <v>29.627326295495887</v>
          </cell>
          <cell r="BK405">
            <v>0</v>
          </cell>
          <cell r="BL405">
            <v>0</v>
          </cell>
          <cell r="BM405">
            <v>753844.95181828074</v>
          </cell>
          <cell r="BN405">
            <v>111.20297268303301</v>
          </cell>
          <cell r="BO405">
            <v>0</v>
          </cell>
          <cell r="BP405">
            <v>0</v>
          </cell>
          <cell r="BY405">
            <v>1524</v>
          </cell>
          <cell r="CF405">
            <v>881.65258943702486</v>
          </cell>
          <cell r="CG405">
            <v>727.32</v>
          </cell>
          <cell r="CJ405">
            <v>0</v>
          </cell>
          <cell r="CK405">
            <v>0</v>
          </cell>
          <cell r="CL405">
            <v>0</v>
          </cell>
          <cell r="CM405">
            <v>0</v>
          </cell>
          <cell r="CN405">
            <v>0</v>
          </cell>
          <cell r="CO405">
            <v>0</v>
          </cell>
          <cell r="CX405">
            <v>0</v>
          </cell>
          <cell r="CY405">
            <v>0</v>
          </cell>
          <cell r="DB405">
            <v>0</v>
          </cell>
          <cell r="DC405">
            <v>0</v>
          </cell>
          <cell r="DJ405" t="str">
            <v>НКРЕ</v>
          </cell>
          <cell r="DL405">
            <v>40526</v>
          </cell>
          <cell r="DM405">
            <v>1854</v>
          </cell>
          <cell r="DO405" t="str">
            <v>Тариф на теплову енергію</v>
          </cell>
          <cell r="DT405">
            <v>225.62</v>
          </cell>
        </row>
        <row r="406">
          <cell r="W406">
            <v>905.5916666666667</v>
          </cell>
          <cell r="AF406">
            <v>39926</v>
          </cell>
          <cell r="AG406">
            <v>351</v>
          </cell>
          <cell r="AH406">
            <v>513.22450607902738</v>
          </cell>
          <cell r="AM406">
            <v>1425</v>
          </cell>
          <cell r="AO406">
            <v>1290468.125</v>
          </cell>
          <cell r="AQ406">
            <v>731344.92116261402</v>
          </cell>
          <cell r="AU406">
            <v>0</v>
          </cell>
          <cell r="AW406">
            <v>0</v>
          </cell>
          <cell r="AY406">
            <v>434178.01159274194</v>
          </cell>
          <cell r="AZ406">
            <v>304.6863239247312</v>
          </cell>
          <cell r="BA406">
            <v>50573.856382978724</v>
          </cell>
          <cell r="BB406">
            <v>35.490425531914894</v>
          </cell>
          <cell r="BC406">
            <v>0</v>
          </cell>
          <cell r="BD406">
            <v>0</v>
          </cell>
          <cell r="BG406">
            <v>0</v>
          </cell>
          <cell r="BH406">
            <v>0</v>
          </cell>
          <cell r="BI406">
            <v>39936.816109422492</v>
          </cell>
          <cell r="BJ406">
            <v>28.025835866261399</v>
          </cell>
          <cell r="BK406">
            <v>0</v>
          </cell>
          <cell r="BL406">
            <v>0</v>
          </cell>
          <cell r="BM406">
            <v>158464.2230243161</v>
          </cell>
          <cell r="BN406">
            <v>111.20296352583586</v>
          </cell>
          <cell r="BO406">
            <v>0</v>
          </cell>
          <cell r="BP406">
            <v>0</v>
          </cell>
          <cell r="BY406">
            <v>1524</v>
          </cell>
          <cell r="CF406">
            <v>202.67382966168373</v>
          </cell>
          <cell r="CG406">
            <v>2142.25</v>
          </cell>
          <cell r="CJ406">
            <v>0</v>
          </cell>
          <cell r="CK406">
            <v>0</v>
          </cell>
          <cell r="CL406">
            <v>0</v>
          </cell>
          <cell r="CM406">
            <v>0</v>
          </cell>
          <cell r="CN406">
            <v>0</v>
          </cell>
          <cell r="CO406">
            <v>0</v>
          </cell>
          <cell r="CX406">
            <v>0</v>
          </cell>
          <cell r="CY406">
            <v>0</v>
          </cell>
          <cell r="DB406">
            <v>0</v>
          </cell>
          <cell r="DC406">
            <v>0</v>
          </cell>
          <cell r="DJ406" t="str">
            <v>НКРКП</v>
          </cell>
          <cell r="DL406">
            <v>40942</v>
          </cell>
          <cell r="DM406">
            <v>28</v>
          </cell>
          <cell r="DT406">
            <v>999.9</v>
          </cell>
        </row>
        <row r="407">
          <cell r="W407">
            <v>905.5916666666667</v>
          </cell>
          <cell r="AF407">
            <v>39926</v>
          </cell>
          <cell r="AG407">
            <v>351</v>
          </cell>
          <cell r="AH407">
            <v>513.22442638623329</v>
          </cell>
          <cell r="AM407">
            <v>44</v>
          </cell>
          <cell r="AO407">
            <v>39846.033333333333</v>
          </cell>
          <cell r="AQ407">
            <v>22581.874760994266</v>
          </cell>
          <cell r="AU407">
            <v>0</v>
          </cell>
          <cell r="AW407">
            <v>0</v>
          </cell>
          <cell r="AY407">
            <v>13406.198252688173</v>
          </cell>
          <cell r="AZ407">
            <v>304.6863239247312</v>
          </cell>
          <cell r="BA407">
            <v>1561.5793499043978</v>
          </cell>
          <cell r="BB407">
            <v>35.490439770554495</v>
          </cell>
          <cell r="BC407">
            <v>0</v>
          </cell>
          <cell r="BD407">
            <v>0</v>
          </cell>
          <cell r="BG407">
            <v>0</v>
          </cell>
          <cell r="BH407">
            <v>0</v>
          </cell>
          <cell r="BI407">
            <v>1233.1357552581262</v>
          </cell>
          <cell r="BJ407">
            <v>28.025812619502869</v>
          </cell>
          <cell r="BK407">
            <v>0</v>
          </cell>
          <cell r="BL407">
            <v>0</v>
          </cell>
          <cell r="BM407">
            <v>4892.9388145315488</v>
          </cell>
          <cell r="BN407">
            <v>111.20315487571702</v>
          </cell>
          <cell r="BO407">
            <v>0</v>
          </cell>
          <cell r="BP407">
            <v>0</v>
          </cell>
          <cell r="BY407">
            <v>1524</v>
          </cell>
          <cell r="CF407">
            <v>6.2579989509572522</v>
          </cell>
          <cell r="CG407">
            <v>2142.25</v>
          </cell>
          <cell r="CJ407">
            <v>0</v>
          </cell>
          <cell r="CK407">
            <v>0</v>
          </cell>
          <cell r="CL407">
            <v>0</v>
          </cell>
          <cell r="CM407">
            <v>0</v>
          </cell>
          <cell r="CN407">
            <v>0</v>
          </cell>
          <cell r="CO407">
            <v>0</v>
          </cell>
          <cell r="CX407">
            <v>0</v>
          </cell>
          <cell r="CY407">
            <v>0</v>
          </cell>
          <cell r="DB407">
            <v>0</v>
          </cell>
          <cell r="DC407">
            <v>0</v>
          </cell>
          <cell r="DJ407" t="str">
            <v>НКРКП</v>
          </cell>
          <cell r="DL407">
            <v>40942</v>
          </cell>
          <cell r="DM407">
            <v>28</v>
          </cell>
          <cell r="DT407">
            <v>999.9</v>
          </cell>
        </row>
        <row r="408">
          <cell r="W408">
            <v>554.2833333333333</v>
          </cell>
          <cell r="AF408">
            <v>39926</v>
          </cell>
          <cell r="AG408">
            <v>351</v>
          </cell>
          <cell r="AH408">
            <v>513.22450607902738</v>
          </cell>
          <cell r="AM408">
            <v>2463</v>
          </cell>
          <cell r="AO408">
            <v>1365199.8499999999</v>
          </cell>
          <cell r="AQ408">
            <v>1264071.9584726444</v>
          </cell>
          <cell r="AU408">
            <v>0</v>
          </cell>
          <cell r="AW408">
            <v>0</v>
          </cell>
          <cell r="AY408">
            <v>750442.41582661297</v>
          </cell>
          <cell r="AZ408">
            <v>304.6863239247312</v>
          </cell>
          <cell r="BA408">
            <v>87412.918085106387</v>
          </cell>
          <cell r="BB408">
            <v>35.490425531914894</v>
          </cell>
          <cell r="BC408">
            <v>0</v>
          </cell>
          <cell r="BD408">
            <v>0</v>
          </cell>
          <cell r="BG408">
            <v>0</v>
          </cell>
          <cell r="BH408">
            <v>0</v>
          </cell>
          <cell r="BI408">
            <v>69027.633738601828</v>
          </cell>
          <cell r="BJ408">
            <v>28.025835866261399</v>
          </cell>
          <cell r="BK408">
            <v>0</v>
          </cell>
          <cell r="BL408">
            <v>0</v>
          </cell>
          <cell r="BM408">
            <v>273892.89916413376</v>
          </cell>
          <cell r="BN408">
            <v>111.20296352583587</v>
          </cell>
          <cell r="BO408">
            <v>0</v>
          </cell>
          <cell r="BP408">
            <v>0</v>
          </cell>
          <cell r="BY408">
            <v>1524</v>
          </cell>
          <cell r="CF408">
            <v>350.3057140047207</v>
          </cell>
          <cell r="CG408">
            <v>2142.25</v>
          </cell>
          <cell r="CJ408">
            <v>0</v>
          </cell>
          <cell r="CK408">
            <v>0</v>
          </cell>
          <cell r="CL408">
            <v>0</v>
          </cell>
          <cell r="CM408">
            <v>0</v>
          </cell>
          <cell r="CN408">
            <v>0</v>
          </cell>
          <cell r="CO408">
            <v>0</v>
          </cell>
          <cell r="CX408">
            <v>0</v>
          </cell>
          <cell r="CY408">
            <v>0</v>
          </cell>
          <cell r="DB408">
            <v>0</v>
          </cell>
          <cell r="DC408">
            <v>0</v>
          </cell>
          <cell r="DJ408" t="str">
            <v>НКРКП</v>
          </cell>
          <cell r="DL408">
            <v>40942</v>
          </cell>
          <cell r="DM408">
            <v>28</v>
          </cell>
          <cell r="DT408">
            <v>819.78</v>
          </cell>
        </row>
        <row r="409">
          <cell r="W409">
            <v>372.91666666666669</v>
          </cell>
          <cell r="AF409">
            <v>39926</v>
          </cell>
          <cell r="AG409">
            <v>350</v>
          </cell>
          <cell r="AH409">
            <v>345.29921174147609</v>
          </cell>
          <cell r="AM409">
            <v>1499</v>
          </cell>
          <cell r="AO409">
            <v>559002.08333333337</v>
          </cell>
          <cell r="AQ409">
            <v>517603.51840047265</v>
          </cell>
          <cell r="AU409">
            <v>0</v>
          </cell>
          <cell r="AW409">
            <v>0</v>
          </cell>
          <cell r="AY409">
            <v>141794.37947524062</v>
          </cell>
          <cell r="AZ409">
            <v>94.59264808221522</v>
          </cell>
          <cell r="BA409">
            <v>113519.78575537555</v>
          </cell>
          <cell r="BB409">
            <v>75.730344066294563</v>
          </cell>
          <cell r="BC409">
            <v>0</v>
          </cell>
          <cell r="BD409">
            <v>0</v>
          </cell>
          <cell r="BG409">
            <v>0</v>
          </cell>
          <cell r="BH409">
            <v>0</v>
          </cell>
          <cell r="BI409">
            <v>44411.362116948338</v>
          </cell>
          <cell r="BJ409">
            <v>29.627326295495887</v>
          </cell>
          <cell r="BK409">
            <v>0</v>
          </cell>
          <cell r="BL409">
            <v>0</v>
          </cell>
          <cell r="BM409">
            <v>166693.25605186648</v>
          </cell>
          <cell r="BN409">
            <v>111.20297268303301</v>
          </cell>
          <cell r="BO409">
            <v>0</v>
          </cell>
          <cell r="BP409">
            <v>0</v>
          </cell>
          <cell r="BY409">
            <v>1524</v>
          </cell>
          <cell r="CF409">
            <v>194.95459972947341</v>
          </cell>
          <cell r="CG409">
            <v>727.32</v>
          </cell>
          <cell r="CJ409">
            <v>0</v>
          </cell>
          <cell r="CK409">
            <v>0</v>
          </cell>
          <cell r="CL409">
            <v>0</v>
          </cell>
          <cell r="CM409">
            <v>0</v>
          </cell>
          <cell r="CN409">
            <v>0</v>
          </cell>
          <cell r="CO409">
            <v>0</v>
          </cell>
          <cell r="CX409">
            <v>0</v>
          </cell>
          <cell r="CY409">
            <v>0</v>
          </cell>
          <cell r="DB409">
            <v>0</v>
          </cell>
          <cell r="DC409">
            <v>0</v>
          </cell>
          <cell r="DJ409" t="str">
            <v>НКРЕ</v>
          </cell>
          <cell r="DL409">
            <v>40526</v>
          </cell>
          <cell r="DM409">
            <v>1854</v>
          </cell>
          <cell r="DO409" t="str">
            <v>Тариф на теплову енергію</v>
          </cell>
          <cell r="DT409">
            <v>410.21</v>
          </cell>
        </row>
        <row r="410">
          <cell r="W410">
            <v>554.2833333333333</v>
          </cell>
          <cell r="AF410">
            <v>39926</v>
          </cell>
          <cell r="AG410">
            <v>351</v>
          </cell>
          <cell r="AH410">
            <v>513.22450607902738</v>
          </cell>
          <cell r="AM410">
            <v>4190</v>
          </cell>
          <cell r="AO410">
            <v>2322447.1666666665</v>
          </cell>
          <cell r="AQ410">
            <v>2150410.6804711246</v>
          </cell>
          <cell r="AU410">
            <v>0</v>
          </cell>
          <cell r="AW410">
            <v>0</v>
          </cell>
          <cell r="AY410">
            <v>1276635.6972446237</v>
          </cell>
          <cell r="AZ410">
            <v>304.6863239247312</v>
          </cell>
          <cell r="BA410">
            <v>148704.88297872341</v>
          </cell>
          <cell r="BB410">
            <v>35.490425531914894</v>
          </cell>
          <cell r="BC410">
            <v>0</v>
          </cell>
          <cell r="BD410">
            <v>0</v>
          </cell>
          <cell r="BG410">
            <v>0</v>
          </cell>
          <cell r="BH410">
            <v>0</v>
          </cell>
          <cell r="BI410">
            <v>117428.25227963526</v>
          </cell>
          <cell r="BJ410">
            <v>28.025835866261399</v>
          </cell>
          <cell r="BK410">
            <v>0</v>
          </cell>
          <cell r="BL410">
            <v>0</v>
          </cell>
          <cell r="BM410">
            <v>465940.41717325227</v>
          </cell>
          <cell r="BN410">
            <v>111.20296352583587</v>
          </cell>
          <cell r="BO410">
            <v>0</v>
          </cell>
          <cell r="BP410">
            <v>0</v>
          </cell>
          <cell r="BY410">
            <v>1524</v>
          </cell>
          <cell r="CF410">
            <v>595.93217282979288</v>
          </cell>
          <cell r="CG410">
            <v>2142.25</v>
          </cell>
          <cell r="CJ410">
            <v>0</v>
          </cell>
          <cell r="CK410">
            <v>0</v>
          </cell>
          <cell r="CL410">
            <v>0</v>
          </cell>
          <cell r="CM410">
            <v>0</v>
          </cell>
          <cell r="CN410">
            <v>0</v>
          </cell>
          <cell r="CO410">
            <v>0</v>
          </cell>
          <cell r="CX410">
            <v>0</v>
          </cell>
          <cell r="CY410">
            <v>0</v>
          </cell>
          <cell r="DB410">
            <v>0</v>
          </cell>
          <cell r="DC410">
            <v>0</v>
          </cell>
          <cell r="DJ410" t="str">
            <v>НКРКП</v>
          </cell>
          <cell r="DL410">
            <v>40942</v>
          </cell>
          <cell r="DM410">
            <v>28</v>
          </cell>
          <cell r="DT410">
            <v>819.78</v>
          </cell>
        </row>
        <row r="411">
          <cell r="W411">
            <v>554.2833333333333</v>
          </cell>
          <cell r="AF411">
            <v>39926</v>
          </cell>
          <cell r="AG411">
            <v>351</v>
          </cell>
          <cell r="AH411">
            <v>513.22442638623329</v>
          </cell>
          <cell r="AM411">
            <v>26</v>
          </cell>
          <cell r="AO411">
            <v>14411.366666666665</v>
          </cell>
          <cell r="AQ411">
            <v>13343.835086042065</v>
          </cell>
          <cell r="AU411">
            <v>0</v>
          </cell>
          <cell r="AW411">
            <v>0</v>
          </cell>
          <cell r="AY411">
            <v>7921.844422043011</v>
          </cell>
          <cell r="AZ411">
            <v>304.6863239247312</v>
          </cell>
          <cell r="BA411">
            <v>922.75143403441689</v>
          </cell>
          <cell r="BB411">
            <v>35.490439770554495</v>
          </cell>
          <cell r="BC411">
            <v>0</v>
          </cell>
          <cell r="BD411">
            <v>0</v>
          </cell>
          <cell r="BG411">
            <v>0</v>
          </cell>
          <cell r="BH411">
            <v>0</v>
          </cell>
          <cell r="BI411">
            <v>728.67112810707454</v>
          </cell>
          <cell r="BJ411">
            <v>28.025812619502865</v>
          </cell>
          <cell r="BK411">
            <v>0</v>
          </cell>
          <cell r="BL411">
            <v>0</v>
          </cell>
          <cell r="BM411">
            <v>2891.2820267686425</v>
          </cell>
          <cell r="BN411">
            <v>111.20315487571702</v>
          </cell>
          <cell r="BO411">
            <v>0</v>
          </cell>
          <cell r="BP411">
            <v>0</v>
          </cell>
          <cell r="BY411">
            <v>1524</v>
          </cell>
          <cell r="CF411">
            <v>3.6979084710201944</v>
          </cell>
          <cell r="CG411">
            <v>2142.25</v>
          </cell>
          <cell r="CJ411">
            <v>0</v>
          </cell>
          <cell r="CK411">
            <v>0</v>
          </cell>
          <cell r="CL411">
            <v>0</v>
          </cell>
          <cell r="CM411">
            <v>0</v>
          </cell>
          <cell r="CN411">
            <v>0</v>
          </cell>
          <cell r="CO411">
            <v>0</v>
          </cell>
          <cell r="CX411">
            <v>0</v>
          </cell>
          <cell r="CY411">
            <v>0</v>
          </cell>
          <cell r="DB411">
            <v>0</v>
          </cell>
          <cell r="DC411">
            <v>0</v>
          </cell>
          <cell r="DJ411" t="str">
            <v>НКРКП</v>
          </cell>
          <cell r="DL411">
            <v>40942</v>
          </cell>
          <cell r="DM411">
            <v>28</v>
          </cell>
          <cell r="DT411">
            <v>819.78</v>
          </cell>
        </row>
        <row r="412">
          <cell r="W412">
            <v>178.34</v>
          </cell>
          <cell r="AF412">
            <v>39927</v>
          </cell>
          <cell r="AG412">
            <v>352</v>
          </cell>
          <cell r="AH412">
            <v>370.90954180444027</v>
          </cell>
          <cell r="AM412">
            <v>4234</v>
          </cell>
          <cell r="AO412">
            <v>755091.56</v>
          </cell>
          <cell r="AQ412">
            <v>1570431</v>
          </cell>
          <cell r="AU412">
            <v>0</v>
          </cell>
          <cell r="AW412">
            <v>0</v>
          </cell>
          <cell r="AY412">
            <v>522966.37909499998</v>
          </cell>
          <cell r="AZ412">
            <v>123.51591381554086</v>
          </cell>
          <cell r="BA412">
            <v>0</v>
          </cell>
          <cell r="BB412">
            <v>0</v>
          </cell>
          <cell r="BC412">
            <v>0</v>
          </cell>
          <cell r="BD412">
            <v>0</v>
          </cell>
          <cell r="BG412">
            <v>0</v>
          </cell>
          <cell r="BH412">
            <v>0</v>
          </cell>
          <cell r="BI412">
            <v>202821.3</v>
          </cell>
          <cell r="BJ412">
            <v>47.90299952763344</v>
          </cell>
          <cell r="BK412">
            <v>0</v>
          </cell>
          <cell r="BL412">
            <v>0</v>
          </cell>
          <cell r="BM412">
            <v>612154.30000000005</v>
          </cell>
          <cell r="BN412">
            <v>144.58060935285783</v>
          </cell>
          <cell r="BO412">
            <v>0</v>
          </cell>
          <cell r="BP412">
            <v>0</v>
          </cell>
          <cell r="BY412">
            <v>1643</v>
          </cell>
          <cell r="CF412">
            <v>719.03499999999997</v>
          </cell>
          <cell r="CG412">
            <v>727.31700000000001</v>
          </cell>
          <cell r="CJ412">
            <v>0</v>
          </cell>
          <cell r="CK412">
            <v>0</v>
          </cell>
          <cell r="CL412">
            <v>0</v>
          </cell>
          <cell r="CM412">
            <v>0</v>
          </cell>
          <cell r="CN412">
            <v>0</v>
          </cell>
          <cell r="CO412">
            <v>0</v>
          </cell>
          <cell r="CX412">
            <v>0</v>
          </cell>
          <cell r="CY412">
            <v>0</v>
          </cell>
          <cell r="DB412">
            <v>0</v>
          </cell>
          <cell r="DC412">
            <v>0</v>
          </cell>
          <cell r="DJ412" t="str">
            <v>НКРЕ</v>
          </cell>
          <cell r="DL412">
            <v>40526</v>
          </cell>
          <cell r="DM412">
            <v>1854</v>
          </cell>
          <cell r="DO412" t="str">
            <v>Тариф на теплову енергію</v>
          </cell>
          <cell r="DT412">
            <v>408</v>
          </cell>
        </row>
        <row r="413">
          <cell r="W413">
            <v>911.33333333333326</v>
          </cell>
          <cell r="AF413">
            <v>39927</v>
          </cell>
          <cell r="AG413">
            <v>353</v>
          </cell>
          <cell r="AH413">
            <v>597.61752004935227</v>
          </cell>
          <cell r="AM413">
            <v>4863</v>
          </cell>
          <cell r="AO413">
            <v>4431814</v>
          </cell>
          <cell r="AQ413">
            <v>2906214</v>
          </cell>
          <cell r="AU413">
            <v>0</v>
          </cell>
          <cell r="AW413">
            <v>0</v>
          </cell>
          <cell r="AY413">
            <v>1763142.4442499999</v>
          </cell>
          <cell r="AZ413">
            <v>362.56270702241414</v>
          </cell>
          <cell r="BA413">
            <v>0</v>
          </cell>
          <cell r="BB413">
            <v>0</v>
          </cell>
          <cell r="BC413">
            <v>0</v>
          </cell>
          <cell r="BD413">
            <v>0</v>
          </cell>
          <cell r="BG413">
            <v>0</v>
          </cell>
          <cell r="BH413">
            <v>0</v>
          </cell>
          <cell r="BI413">
            <v>156131.4</v>
          </cell>
          <cell r="BJ413">
            <v>32.105983960518195</v>
          </cell>
          <cell r="BK413">
            <v>0</v>
          </cell>
          <cell r="BL413">
            <v>0</v>
          </cell>
          <cell r="BM413">
            <v>704422.7</v>
          </cell>
          <cell r="BN413">
            <v>144.85352662965246</v>
          </cell>
          <cell r="BO413">
            <v>0</v>
          </cell>
          <cell r="BP413">
            <v>0</v>
          </cell>
          <cell r="BY413">
            <v>1643</v>
          </cell>
          <cell r="CF413">
            <v>823.03300000000002</v>
          </cell>
          <cell r="CG413">
            <v>2142.25</v>
          </cell>
          <cell r="CJ413">
            <v>0</v>
          </cell>
          <cell r="CK413">
            <v>0</v>
          </cell>
          <cell r="CL413">
            <v>0</v>
          </cell>
          <cell r="CM413">
            <v>0</v>
          </cell>
          <cell r="CN413">
            <v>0</v>
          </cell>
          <cell r="CO413">
            <v>0</v>
          </cell>
          <cell r="CX413">
            <v>0</v>
          </cell>
          <cell r="CY413">
            <v>0</v>
          </cell>
          <cell r="DB413">
            <v>0</v>
          </cell>
          <cell r="DC413">
            <v>0</v>
          </cell>
          <cell r="DJ413" t="str">
            <v>НКРКП</v>
          </cell>
          <cell r="DL413">
            <v>40942</v>
          </cell>
          <cell r="DM413">
            <v>28</v>
          </cell>
          <cell r="DT413">
            <v>999.9</v>
          </cell>
        </row>
        <row r="414">
          <cell r="W414">
            <v>911.33333333333326</v>
          </cell>
          <cell r="AF414">
            <v>39927</v>
          </cell>
          <cell r="AG414">
            <v>353</v>
          </cell>
          <cell r="AH414">
            <v>597.61917549661246</v>
          </cell>
          <cell r="AM414">
            <v>390.99900000000002</v>
          </cell>
          <cell r="AO414">
            <v>356330.42200000002</v>
          </cell>
          <cell r="AQ414">
            <v>233668.5</v>
          </cell>
          <cell r="AU414">
            <v>0</v>
          </cell>
          <cell r="AW414">
            <v>0</v>
          </cell>
          <cell r="AY414">
            <v>141762.322625</v>
          </cell>
          <cell r="AZ414">
            <v>362.56441224913618</v>
          </cell>
          <cell r="BA414">
            <v>0</v>
          </cell>
          <cell r="BB414">
            <v>0</v>
          </cell>
          <cell r="BC414">
            <v>0</v>
          </cell>
          <cell r="BD414">
            <v>0</v>
          </cell>
          <cell r="BG414">
            <v>0</v>
          </cell>
          <cell r="BH414">
            <v>0</v>
          </cell>
          <cell r="BI414">
            <v>12553.5</v>
          </cell>
          <cell r="BJ414">
            <v>32.106220220512071</v>
          </cell>
          <cell r="BK414">
            <v>0</v>
          </cell>
          <cell r="BL414">
            <v>0</v>
          </cell>
          <cell r="BM414">
            <v>56637.5</v>
          </cell>
          <cell r="BN414">
            <v>144.85331164529831</v>
          </cell>
          <cell r="BO414">
            <v>0</v>
          </cell>
          <cell r="BP414">
            <v>0</v>
          </cell>
          <cell r="BY414">
            <v>1643</v>
          </cell>
          <cell r="CF414">
            <v>66.174499999999995</v>
          </cell>
          <cell r="CG414">
            <v>2142.25</v>
          </cell>
          <cell r="CJ414">
            <v>0</v>
          </cell>
          <cell r="CK414">
            <v>0</v>
          </cell>
          <cell r="CL414">
            <v>0</v>
          </cell>
          <cell r="CM414">
            <v>0</v>
          </cell>
          <cell r="CN414">
            <v>0</v>
          </cell>
          <cell r="CO414">
            <v>0</v>
          </cell>
          <cell r="CX414">
            <v>0</v>
          </cell>
          <cell r="CY414">
            <v>0</v>
          </cell>
          <cell r="DB414">
            <v>0</v>
          </cell>
          <cell r="DC414">
            <v>0</v>
          </cell>
          <cell r="DJ414" t="str">
            <v>НКРКП</v>
          </cell>
          <cell r="DL414">
            <v>40942</v>
          </cell>
          <cell r="DM414">
            <v>28</v>
          </cell>
          <cell r="DT414">
            <v>999.9</v>
          </cell>
        </row>
        <row r="415">
          <cell r="W415">
            <v>178.34</v>
          </cell>
          <cell r="AF415">
            <v>39927</v>
          </cell>
          <cell r="AG415">
            <v>352</v>
          </cell>
          <cell r="AH415">
            <v>370.9095730214849</v>
          </cell>
          <cell r="AM415">
            <v>7354</v>
          </cell>
          <cell r="AO415">
            <v>1311512.3600000001</v>
          </cell>
          <cell r="AQ415">
            <v>2727669</v>
          </cell>
          <cell r="AU415">
            <v>0</v>
          </cell>
          <cell r="AW415">
            <v>0</v>
          </cell>
          <cell r="AY415">
            <v>908335.29154500004</v>
          </cell>
          <cell r="AZ415">
            <v>123.5158133729943</v>
          </cell>
          <cell r="BA415">
            <v>0</v>
          </cell>
          <cell r="BB415">
            <v>0</v>
          </cell>
          <cell r="BC415">
            <v>0</v>
          </cell>
          <cell r="BD415">
            <v>0</v>
          </cell>
          <cell r="BG415">
            <v>0</v>
          </cell>
          <cell r="BH415">
            <v>0</v>
          </cell>
          <cell r="BI415">
            <v>352278.7</v>
          </cell>
          <cell r="BJ415">
            <v>47.90300516725592</v>
          </cell>
          <cell r="BK415">
            <v>0</v>
          </cell>
          <cell r="BL415">
            <v>0</v>
          </cell>
          <cell r="BM415">
            <v>1063245.7</v>
          </cell>
          <cell r="BN415">
            <v>144.58059559423441</v>
          </cell>
          <cell r="BO415">
            <v>0</v>
          </cell>
          <cell r="BP415">
            <v>0</v>
          </cell>
          <cell r="BY415">
            <v>1643</v>
          </cell>
          <cell r="CF415">
            <v>1248.885</v>
          </cell>
          <cell r="CG415">
            <v>727.31700000000001</v>
          </cell>
          <cell r="CJ415">
            <v>0</v>
          </cell>
          <cell r="CK415">
            <v>0</v>
          </cell>
          <cell r="CL415">
            <v>0</v>
          </cell>
          <cell r="CM415">
            <v>0</v>
          </cell>
          <cell r="CN415">
            <v>0</v>
          </cell>
          <cell r="CO415">
            <v>0</v>
          </cell>
          <cell r="CX415">
            <v>0</v>
          </cell>
          <cell r="CY415">
            <v>0</v>
          </cell>
          <cell r="DB415">
            <v>0</v>
          </cell>
          <cell r="DC415">
            <v>0</v>
          </cell>
          <cell r="DJ415" t="str">
            <v>НКРЕ</v>
          </cell>
          <cell r="DL415">
            <v>40526</v>
          </cell>
          <cell r="DM415">
            <v>1854</v>
          </cell>
          <cell r="DO415" t="str">
            <v>Тариф на теплову енергію</v>
          </cell>
          <cell r="DT415">
            <v>408</v>
          </cell>
        </row>
        <row r="416">
          <cell r="W416">
            <v>911.33333333333326</v>
          </cell>
          <cell r="AF416">
            <v>39927</v>
          </cell>
          <cell r="AG416">
            <v>353</v>
          </cell>
          <cell r="AH416">
            <v>597.61763054463779</v>
          </cell>
          <cell r="AM416">
            <v>3562</v>
          </cell>
          <cell r="AO416">
            <v>3246169.333333333</v>
          </cell>
          <cell r="AQ416">
            <v>2128714</v>
          </cell>
          <cell r="AU416">
            <v>0</v>
          </cell>
          <cell r="AW416">
            <v>0</v>
          </cell>
          <cell r="AY416">
            <v>1291448.98575</v>
          </cell>
          <cell r="AZ416">
            <v>362.56288201852891</v>
          </cell>
          <cell r="BA416">
            <v>0</v>
          </cell>
          <cell r="BB416">
            <v>0</v>
          </cell>
          <cell r="BC416">
            <v>0</v>
          </cell>
          <cell r="BD416">
            <v>0</v>
          </cell>
          <cell r="BG416">
            <v>0</v>
          </cell>
          <cell r="BH416">
            <v>0</v>
          </cell>
          <cell r="BI416">
            <v>114361.60000000001</v>
          </cell>
          <cell r="BJ416">
            <v>32.106007860752385</v>
          </cell>
          <cell r="BK416">
            <v>0</v>
          </cell>
          <cell r="BL416">
            <v>0</v>
          </cell>
          <cell r="BM416">
            <v>515968.3</v>
          </cell>
          <cell r="BN416">
            <v>144.85353733857383</v>
          </cell>
          <cell r="BO416">
            <v>0</v>
          </cell>
          <cell r="BP416">
            <v>0</v>
          </cell>
          <cell r="BY416">
            <v>1643</v>
          </cell>
          <cell r="CF416">
            <v>602.84699999999998</v>
          </cell>
          <cell r="CG416">
            <v>2142.25</v>
          </cell>
          <cell r="CJ416">
            <v>0</v>
          </cell>
          <cell r="CK416">
            <v>0</v>
          </cell>
          <cell r="CL416">
            <v>0</v>
          </cell>
          <cell r="CM416">
            <v>0</v>
          </cell>
          <cell r="CN416">
            <v>0</v>
          </cell>
          <cell r="CO416">
            <v>0</v>
          </cell>
          <cell r="CX416">
            <v>0</v>
          </cell>
          <cell r="CY416">
            <v>0</v>
          </cell>
          <cell r="DB416">
            <v>0</v>
          </cell>
          <cell r="DC416">
            <v>0</v>
          </cell>
          <cell r="DJ416" t="str">
            <v>НКРКП</v>
          </cell>
          <cell r="DL416">
            <v>40942</v>
          </cell>
          <cell r="DM416">
            <v>28</v>
          </cell>
          <cell r="DT416">
            <v>999.9</v>
          </cell>
        </row>
        <row r="417">
          <cell r="W417">
            <v>911.33</v>
          </cell>
          <cell r="AF417">
            <v>39927</v>
          </cell>
          <cell r="AG417">
            <v>353</v>
          </cell>
          <cell r="AH417">
            <v>597.61817045454541</v>
          </cell>
          <cell r="AM417">
            <v>880</v>
          </cell>
          <cell r="AO417">
            <v>801970.4</v>
          </cell>
          <cell r="AQ417">
            <v>525903.99</v>
          </cell>
          <cell r="AU417">
            <v>0</v>
          </cell>
          <cell r="AW417">
            <v>0</v>
          </cell>
          <cell r="AY417">
            <v>319054.93262500002</v>
          </cell>
          <cell r="AZ417">
            <v>362.5624234375</v>
          </cell>
          <cell r="BA417">
            <v>0</v>
          </cell>
          <cell r="BB417">
            <v>0</v>
          </cell>
          <cell r="BC417">
            <v>0</v>
          </cell>
          <cell r="BD417">
            <v>0</v>
          </cell>
          <cell r="BG417">
            <v>0</v>
          </cell>
          <cell r="BH417">
            <v>0</v>
          </cell>
          <cell r="BI417">
            <v>28253.7</v>
          </cell>
          <cell r="BJ417">
            <v>32.106477272727275</v>
          </cell>
          <cell r="BK417">
            <v>0</v>
          </cell>
          <cell r="BL417">
            <v>0</v>
          </cell>
          <cell r="BM417">
            <v>127471.4</v>
          </cell>
          <cell r="BN417">
            <v>144.85386363636363</v>
          </cell>
          <cell r="BO417">
            <v>0</v>
          </cell>
          <cell r="BP417">
            <v>0</v>
          </cell>
          <cell r="BY417">
            <v>1643</v>
          </cell>
          <cell r="CF417">
            <v>148.93450000000001</v>
          </cell>
          <cell r="CG417">
            <v>2142.25</v>
          </cell>
          <cell r="CJ417">
            <v>0</v>
          </cell>
          <cell r="CK417">
            <v>0</v>
          </cell>
          <cell r="CL417">
            <v>0</v>
          </cell>
          <cell r="CM417">
            <v>0</v>
          </cell>
          <cell r="CN417">
            <v>0</v>
          </cell>
          <cell r="CO417">
            <v>0</v>
          </cell>
          <cell r="CX417">
            <v>0</v>
          </cell>
          <cell r="CY417">
            <v>0</v>
          </cell>
          <cell r="DB417">
            <v>0</v>
          </cell>
          <cell r="DC417">
            <v>0</v>
          </cell>
          <cell r="DJ417" t="str">
            <v>НКРКП</v>
          </cell>
          <cell r="DL417">
            <v>40942</v>
          </cell>
          <cell r="DM417">
            <v>28</v>
          </cell>
          <cell r="DT417">
            <v>999.9</v>
          </cell>
        </row>
        <row r="418">
          <cell r="AF418">
            <v>39897</v>
          </cell>
          <cell r="AG418" t="str">
            <v>№ 47</v>
          </cell>
          <cell r="AM418">
            <v>116546</v>
          </cell>
          <cell r="AO418">
            <v>14411071.98529</v>
          </cell>
          <cell r="AQ418">
            <v>14411072.004148608</v>
          </cell>
          <cell r="AU418">
            <v>0</v>
          </cell>
          <cell r="AW418">
            <v>0</v>
          </cell>
          <cell r="AY418">
            <v>11460520.455166366</v>
          </cell>
          <cell r="AZ418">
            <v>98.33473868829789</v>
          </cell>
          <cell r="BA418">
            <v>415026.95515793381</v>
          </cell>
          <cell r="BB418">
            <v>3.5610570517901414</v>
          </cell>
          <cell r="BG418">
            <v>0</v>
          </cell>
          <cell r="BH418">
            <v>0</v>
          </cell>
          <cell r="BI418">
            <v>2535477.4227363947</v>
          </cell>
          <cell r="BJ418">
            <v>21.755164679494747</v>
          </cell>
          <cell r="BK418">
            <v>0</v>
          </cell>
          <cell r="BL418">
            <v>0</v>
          </cell>
          <cell r="BO418">
            <v>0</v>
          </cell>
          <cell r="BP418">
            <v>0</v>
          </cell>
          <cell r="CF418">
            <v>15757.191408412205</v>
          </cell>
          <cell r="CG418">
            <v>727.32</v>
          </cell>
          <cell r="CJ418">
            <v>0</v>
          </cell>
          <cell r="CK418">
            <v>0</v>
          </cell>
          <cell r="CL418">
            <v>0</v>
          </cell>
          <cell r="CM418">
            <v>0</v>
          </cell>
          <cell r="CN418">
            <v>0</v>
          </cell>
          <cell r="CO418">
            <v>0</v>
          </cell>
          <cell r="CX418">
            <v>0</v>
          </cell>
          <cell r="CY418">
            <v>0</v>
          </cell>
          <cell r="DJ418" t="str">
            <v>НКРЕ</v>
          </cell>
          <cell r="DL418">
            <v>40526</v>
          </cell>
          <cell r="DM418" t="str">
            <v>№ 1737</v>
          </cell>
          <cell r="DO418" t="str">
            <v>умовно-змінна величина двоставкового тарифу на теплову енергію</v>
          </cell>
        </row>
        <row r="419">
          <cell r="AF419">
            <v>39897</v>
          </cell>
          <cell r="AG419" t="str">
            <v>№ 47</v>
          </cell>
          <cell r="AM419">
            <v>32358</v>
          </cell>
          <cell r="AO419">
            <v>10163971.380000001</v>
          </cell>
          <cell r="AQ419">
            <v>10163919.086830299</v>
          </cell>
          <cell r="AU419">
            <v>0</v>
          </cell>
          <cell r="AW419">
            <v>0</v>
          </cell>
          <cell r="AY419">
            <v>9311410.4231547471</v>
          </cell>
          <cell r="AZ419">
            <v>287.76223571156277</v>
          </cell>
          <cell r="BA419">
            <v>148548.2801090877</v>
          </cell>
          <cell r="BB419">
            <v>4.5907744640919619</v>
          </cell>
          <cell r="BG419">
            <v>0</v>
          </cell>
          <cell r="BH419">
            <v>0</v>
          </cell>
          <cell r="BI419">
            <v>703957.53690507601</v>
          </cell>
          <cell r="BJ419">
            <v>21.755285768745782</v>
          </cell>
          <cell r="BK419">
            <v>0</v>
          </cell>
          <cell r="BL419">
            <v>0</v>
          </cell>
          <cell r="BO419">
            <v>0</v>
          </cell>
          <cell r="BP419">
            <v>0</v>
          </cell>
          <cell r="CF419">
            <v>4346.5563884489429</v>
          </cell>
          <cell r="CG419">
            <v>2142.25</v>
          </cell>
          <cell r="CJ419">
            <v>0</v>
          </cell>
          <cell r="CK419">
            <v>0</v>
          </cell>
          <cell r="CL419">
            <v>0</v>
          </cell>
          <cell r="CM419">
            <v>0</v>
          </cell>
          <cell r="CN419">
            <v>0</v>
          </cell>
          <cell r="CO419">
            <v>0</v>
          </cell>
          <cell r="CX419">
            <v>0</v>
          </cell>
          <cell r="CY419">
            <v>0</v>
          </cell>
          <cell r="DJ419" t="str">
            <v>НКРКП</v>
          </cell>
          <cell r="DL419">
            <v>40816</v>
          </cell>
          <cell r="DM419">
            <v>164</v>
          </cell>
        </row>
        <row r="420">
          <cell r="AF420">
            <v>39897</v>
          </cell>
          <cell r="AG420" t="str">
            <v>№ 47</v>
          </cell>
          <cell r="AM420">
            <v>8115</v>
          </cell>
          <cell r="AO420">
            <v>2547217.35</v>
          </cell>
          <cell r="AQ420">
            <v>2547334.1421984956</v>
          </cell>
          <cell r="AU420">
            <v>0</v>
          </cell>
          <cell r="AW420">
            <v>0</v>
          </cell>
          <cell r="AY420">
            <v>2331344.3884979375</v>
          </cell>
          <cell r="AZ420">
            <v>287.28827954380006</v>
          </cell>
          <cell r="BA420">
            <v>39432.874302353797</v>
          </cell>
          <cell r="BB420">
            <v>4.8592574617811213</v>
          </cell>
          <cell r="BG420">
            <v>0</v>
          </cell>
          <cell r="BH420">
            <v>0</v>
          </cell>
          <cell r="BI420">
            <v>176556.87898932301</v>
          </cell>
          <cell r="BJ420">
            <v>21.756855081863588</v>
          </cell>
          <cell r="BK420">
            <v>0</v>
          </cell>
          <cell r="BL420">
            <v>0</v>
          </cell>
          <cell r="BO420">
            <v>0</v>
          </cell>
          <cell r="BP420">
            <v>0</v>
          </cell>
          <cell r="CF420">
            <v>1088.2690575320048</v>
          </cell>
          <cell r="CG420">
            <v>2142.25</v>
          </cell>
          <cell r="CJ420">
            <v>0</v>
          </cell>
          <cell r="CK420">
            <v>0</v>
          </cell>
          <cell r="CL420">
            <v>0</v>
          </cell>
          <cell r="CM420">
            <v>0</v>
          </cell>
          <cell r="CN420">
            <v>0</v>
          </cell>
          <cell r="CO420">
            <v>0</v>
          </cell>
          <cell r="CX420">
            <v>0</v>
          </cell>
          <cell r="CY420">
            <v>0</v>
          </cell>
          <cell r="DJ420" t="str">
            <v>НКРКП</v>
          </cell>
          <cell r="DL420">
            <v>40816</v>
          </cell>
          <cell r="DM420">
            <v>164</v>
          </cell>
        </row>
        <row r="421">
          <cell r="AF421">
            <v>39897</v>
          </cell>
          <cell r="AG421" t="str">
            <v>№ 47</v>
          </cell>
          <cell r="AO421">
            <v>10437801.677999998</v>
          </cell>
          <cell r="AQ421">
            <v>9534809.9276523273</v>
          </cell>
          <cell r="AY421">
            <v>1789504.01116414</v>
          </cell>
          <cell r="AZ421">
            <v>2857.3545557324837</v>
          </cell>
          <cell r="BC421">
            <v>0</v>
          </cell>
          <cell r="BD421">
            <v>0</v>
          </cell>
          <cell r="BG421">
            <v>0</v>
          </cell>
          <cell r="BH421">
            <v>0</v>
          </cell>
          <cell r="BI421">
            <v>389387.50341501256</v>
          </cell>
          <cell r="BJ421">
            <v>621.74666828736758</v>
          </cell>
          <cell r="BK421">
            <v>0</v>
          </cell>
          <cell r="BL421">
            <v>0</v>
          </cell>
          <cell r="BM421">
            <v>5260244.5594212189</v>
          </cell>
          <cell r="BN421">
            <v>8399.1897544568219</v>
          </cell>
          <cell r="BO421">
            <v>0</v>
          </cell>
          <cell r="BP421">
            <v>0</v>
          </cell>
          <cell r="BY421">
            <v>1104.1199999999999</v>
          </cell>
          <cell r="CF421">
            <v>2460.4080888249187</v>
          </cell>
          <cell r="CG421">
            <v>727.32</v>
          </cell>
          <cell r="CX421">
            <v>0</v>
          </cell>
          <cell r="CY421">
            <v>0</v>
          </cell>
          <cell r="DB421">
            <v>0</v>
          </cell>
          <cell r="DC421">
            <v>0</v>
          </cell>
          <cell r="DJ421" t="str">
            <v>МОС</v>
          </cell>
          <cell r="DL421">
            <v>40003</v>
          </cell>
          <cell r="DM421">
            <v>314</v>
          </cell>
          <cell r="DO421" t="str">
            <v>плата за одиницю приєднаного теплового навантаження в розрахунку на 1 кв. м щомісячно протягом року</v>
          </cell>
        </row>
        <row r="422">
          <cell r="AF422">
            <v>39897</v>
          </cell>
          <cell r="AG422" t="str">
            <v>№ 47</v>
          </cell>
          <cell r="AO422">
            <v>5526407.1744000008</v>
          </cell>
          <cell r="AQ422">
            <v>3535553.4441805226</v>
          </cell>
          <cell r="AY422">
            <v>1453932.3040380047</v>
          </cell>
          <cell r="AZ422">
            <v>8361.6994711180396</v>
          </cell>
          <cell r="BC422">
            <v>0</v>
          </cell>
          <cell r="BD422">
            <v>0</v>
          </cell>
          <cell r="BG422">
            <v>0</v>
          </cell>
          <cell r="BH422">
            <v>0</v>
          </cell>
          <cell r="BI422">
            <v>107584.82273247119</v>
          </cell>
          <cell r="BJ422">
            <v>618.73028946670809</v>
          </cell>
          <cell r="BK422">
            <v>0</v>
          </cell>
          <cell r="BL422">
            <v>0</v>
          </cell>
          <cell r="BM422">
            <v>1460441.6697457554</v>
          </cell>
          <cell r="BN422">
            <v>8399.1354367710792</v>
          </cell>
          <cell r="BO422">
            <v>0</v>
          </cell>
          <cell r="BP422">
            <v>0</v>
          </cell>
          <cell r="BY422">
            <v>1104.1199999999999</v>
          </cell>
          <cell r="CF422">
            <v>678.69403852865196</v>
          </cell>
          <cell r="CG422">
            <v>2142.25</v>
          </cell>
          <cell r="CX422">
            <v>0</v>
          </cell>
          <cell r="CY422">
            <v>0</v>
          </cell>
          <cell r="DB422">
            <v>0</v>
          </cell>
          <cell r="DC422">
            <v>0</v>
          </cell>
          <cell r="DJ422" t="str">
            <v>МОС</v>
          </cell>
          <cell r="DL422">
            <v>40003</v>
          </cell>
          <cell r="DM422">
            <v>314</v>
          </cell>
          <cell r="DO422" t="str">
            <v>плата за одиницю приєднаного теплового навантаження в розрахунку на 1 кв. м щомісячно протягом року</v>
          </cell>
        </row>
        <row r="423">
          <cell r="AF423">
            <v>39897</v>
          </cell>
          <cell r="AG423" t="str">
            <v>№ 47</v>
          </cell>
          <cell r="AO423">
            <v>1903120.7124000001</v>
          </cell>
          <cell r="AQ423">
            <v>886141.85270565399</v>
          </cell>
          <cell r="AY423">
            <v>364023.02839116717</v>
          </cell>
          <cell r="AZ423">
            <v>8347.6203538609243</v>
          </cell>
          <cell r="BC423">
            <v>0</v>
          </cell>
          <cell r="BD423">
            <v>0</v>
          </cell>
          <cell r="BG423">
            <v>0</v>
          </cell>
          <cell r="BH423">
            <v>0</v>
          </cell>
          <cell r="BI423">
            <v>26948.258917738414</v>
          </cell>
          <cell r="BJ423">
            <v>617.9659447289124</v>
          </cell>
          <cell r="BK423">
            <v>0</v>
          </cell>
          <cell r="BL423">
            <v>0</v>
          </cell>
          <cell r="BM423">
            <v>366277.74205289979</v>
          </cell>
          <cell r="BN423">
            <v>8399.3244829595442</v>
          </cell>
          <cell r="BO423">
            <v>0</v>
          </cell>
          <cell r="BP423">
            <v>0</v>
          </cell>
          <cell r="BY423">
            <v>1104.1199999999999</v>
          </cell>
          <cell r="CF423">
            <v>169.92555882421155</v>
          </cell>
          <cell r="CG423">
            <v>2142.25</v>
          </cell>
          <cell r="CX423">
            <v>0</v>
          </cell>
          <cell r="CY423">
            <v>0</v>
          </cell>
          <cell r="DB423">
            <v>0</v>
          </cell>
          <cell r="DC423">
            <v>0</v>
          </cell>
          <cell r="DJ423" t="str">
            <v>МОС</v>
          </cell>
          <cell r="DL423">
            <v>40003</v>
          </cell>
          <cell r="DM423">
            <v>314</v>
          </cell>
          <cell r="DO423" t="str">
            <v>плата за одиницю приєднаного теплового навантаження в розрахунку на 1 кв. м щомісячно протягом року</v>
          </cell>
        </row>
        <row r="424">
          <cell r="W424">
            <v>370.77377654600002</v>
          </cell>
          <cell r="AF424">
            <v>39968</v>
          </cell>
          <cell r="AG424">
            <v>1691</v>
          </cell>
          <cell r="AH424">
            <v>370.77377654662973</v>
          </cell>
          <cell r="AM424">
            <v>3249</v>
          </cell>
          <cell r="AO424">
            <v>1204643.9999979541</v>
          </cell>
          <cell r="AQ424">
            <v>1204644</v>
          </cell>
          <cell r="AU424">
            <v>0</v>
          </cell>
          <cell r="AW424">
            <v>0</v>
          </cell>
          <cell r="AY424">
            <v>423729.99999803881</v>
          </cell>
          <cell r="AZ424">
            <v>130.41859033488421</v>
          </cell>
          <cell r="BA424">
            <v>423730</v>
          </cell>
          <cell r="BB424">
            <v>130.41859033548783</v>
          </cell>
          <cell r="BC424">
            <v>0</v>
          </cell>
          <cell r="BD424">
            <v>0</v>
          </cell>
          <cell r="BG424">
            <v>0</v>
          </cell>
          <cell r="BH424">
            <v>0</v>
          </cell>
          <cell r="BI424">
            <v>43441</v>
          </cell>
          <cell r="BJ424">
            <v>13.370575561711295</v>
          </cell>
          <cell r="BK424">
            <v>0</v>
          </cell>
          <cell r="BL424">
            <v>0</v>
          </cell>
          <cell r="BM424">
            <v>372283.4</v>
          </cell>
          <cell r="BN424">
            <v>114.58399507540783</v>
          </cell>
          <cell r="BO424">
            <v>0</v>
          </cell>
          <cell r="BP424">
            <v>0</v>
          </cell>
          <cell r="BY424">
            <v>1555.83</v>
          </cell>
          <cell r="CF424">
            <v>582.59088158999998</v>
          </cell>
          <cell r="CG424">
            <v>727.32</v>
          </cell>
          <cell r="CJ424">
            <v>0</v>
          </cell>
          <cell r="CK424">
            <v>0</v>
          </cell>
          <cell r="CL424">
            <v>0</v>
          </cell>
          <cell r="CM424">
            <v>0</v>
          </cell>
          <cell r="CN424">
            <v>0</v>
          </cell>
          <cell r="CO424">
            <v>0</v>
          </cell>
          <cell r="CX424">
            <v>0</v>
          </cell>
          <cell r="CY424">
            <v>0</v>
          </cell>
          <cell r="DB424">
            <v>0</v>
          </cell>
          <cell r="DC424">
            <v>0</v>
          </cell>
          <cell r="DJ424" t="str">
            <v>НКРЕ</v>
          </cell>
          <cell r="DL424">
            <v>40526</v>
          </cell>
          <cell r="DM424">
            <v>1749</v>
          </cell>
          <cell r="DO424" t="str">
            <v>тариф на теплову енергію</v>
          </cell>
          <cell r="DT424">
            <v>407.85</v>
          </cell>
        </row>
        <row r="425">
          <cell r="W425">
            <v>524.70000000000005</v>
          </cell>
          <cell r="AF425">
            <v>39968</v>
          </cell>
          <cell r="AH425">
            <v>437.25000000000017</v>
          </cell>
          <cell r="AM425">
            <v>1144.76</v>
          </cell>
          <cell r="AO425">
            <v>600655.57200000004</v>
          </cell>
          <cell r="AQ425">
            <v>500546.31000000017</v>
          </cell>
          <cell r="AU425">
            <v>0</v>
          </cell>
          <cell r="AW425">
            <v>0</v>
          </cell>
          <cell r="AY425">
            <v>302308.22080000001</v>
          </cell>
          <cell r="AZ425">
            <v>264.08</v>
          </cell>
          <cell r="BA425">
            <v>0</v>
          </cell>
          <cell r="BB425">
            <v>0</v>
          </cell>
          <cell r="BC425">
            <v>0</v>
          </cell>
          <cell r="BD425">
            <v>0</v>
          </cell>
          <cell r="BG425">
            <v>0</v>
          </cell>
          <cell r="BH425">
            <v>0</v>
          </cell>
          <cell r="BI425">
            <v>0</v>
          </cell>
          <cell r="BJ425">
            <v>0</v>
          </cell>
          <cell r="BK425">
            <v>0</v>
          </cell>
          <cell r="BL425">
            <v>0</v>
          </cell>
          <cell r="BM425">
            <v>0</v>
          </cell>
          <cell r="BN425">
            <v>0</v>
          </cell>
          <cell r="BO425">
            <v>0</v>
          </cell>
          <cell r="BP425">
            <v>0</v>
          </cell>
          <cell r="BY425">
            <v>1555.83</v>
          </cell>
          <cell r="CF425">
            <v>197.16953692833476</v>
          </cell>
          <cell r="CG425">
            <v>1533.24</v>
          </cell>
          <cell r="CJ425">
            <v>0</v>
          </cell>
          <cell r="CK425">
            <v>0</v>
          </cell>
          <cell r="CL425">
            <v>0</v>
          </cell>
          <cell r="CM425">
            <v>0</v>
          </cell>
          <cell r="CN425">
            <v>0</v>
          </cell>
          <cell r="CO425">
            <v>0</v>
          </cell>
          <cell r="CX425">
            <v>0</v>
          </cell>
          <cell r="CY425">
            <v>0</v>
          </cell>
          <cell r="DB425">
            <v>0</v>
          </cell>
          <cell r="DC425">
            <v>0</v>
          </cell>
          <cell r="DJ425" t="str">
            <v>НКРКП</v>
          </cell>
          <cell r="DL425">
            <v>40816</v>
          </cell>
          <cell r="DM425">
            <v>100</v>
          </cell>
          <cell r="DT425">
            <v>906.84</v>
          </cell>
        </row>
        <row r="426">
          <cell r="W426">
            <v>627.67999999999995</v>
          </cell>
          <cell r="AF426">
            <v>39968</v>
          </cell>
          <cell r="AG426">
            <v>1692</v>
          </cell>
          <cell r="AH426">
            <v>627.71</v>
          </cell>
          <cell r="AM426">
            <v>34</v>
          </cell>
          <cell r="AO426">
            <v>21341.119999999999</v>
          </cell>
          <cell r="AQ426">
            <v>21342.140000000003</v>
          </cell>
          <cell r="AU426">
            <v>0</v>
          </cell>
          <cell r="AW426">
            <v>0</v>
          </cell>
          <cell r="AY426">
            <v>12904.963839223192</v>
          </cell>
          <cell r="AZ426">
            <v>379.55775997715273</v>
          </cell>
          <cell r="BA426">
            <v>0</v>
          </cell>
          <cell r="BB426">
            <v>0</v>
          </cell>
          <cell r="BC426">
            <v>0</v>
          </cell>
          <cell r="BD426">
            <v>0</v>
          </cell>
          <cell r="BG426">
            <v>0</v>
          </cell>
          <cell r="BH426">
            <v>0</v>
          </cell>
          <cell r="BI426">
            <v>449</v>
          </cell>
          <cell r="BJ426">
            <v>13.205882352941176</v>
          </cell>
          <cell r="BK426">
            <v>0</v>
          </cell>
          <cell r="BL426">
            <v>0</v>
          </cell>
          <cell r="BM426">
            <v>3.79</v>
          </cell>
          <cell r="BN426">
            <v>0.11147058823529411</v>
          </cell>
          <cell r="BO426">
            <v>0</v>
          </cell>
          <cell r="BP426">
            <v>0</v>
          </cell>
          <cell r="BY426">
            <v>1555.83</v>
          </cell>
          <cell r="CF426">
            <v>6.0239951449512157</v>
          </cell>
          <cell r="CG426">
            <v>2142.2600000000002</v>
          </cell>
          <cell r="CJ426">
            <v>0</v>
          </cell>
          <cell r="CK426">
            <v>0</v>
          </cell>
          <cell r="CL426">
            <v>0</v>
          </cell>
          <cell r="CM426">
            <v>0</v>
          </cell>
          <cell r="CN426">
            <v>0</v>
          </cell>
          <cell r="CO426">
            <v>0</v>
          </cell>
          <cell r="CX426">
            <v>0</v>
          </cell>
          <cell r="CY426">
            <v>0</v>
          </cell>
          <cell r="DB426">
            <v>0</v>
          </cell>
          <cell r="DC426">
            <v>0</v>
          </cell>
          <cell r="DJ426" t="str">
            <v>НКРКП</v>
          </cell>
          <cell r="DL426">
            <v>40816</v>
          </cell>
          <cell r="DM426">
            <v>100</v>
          </cell>
          <cell r="DT426">
            <v>912.91</v>
          </cell>
        </row>
        <row r="427">
          <cell r="W427">
            <v>803.76</v>
          </cell>
          <cell r="AF427">
            <v>39968</v>
          </cell>
          <cell r="AG427">
            <v>1702</v>
          </cell>
          <cell r="AH427">
            <v>803.76095617529882</v>
          </cell>
          <cell r="AM427">
            <v>502</v>
          </cell>
          <cell r="AO427">
            <v>403487.52</v>
          </cell>
          <cell r="AQ427">
            <v>403488</v>
          </cell>
          <cell r="AU427">
            <v>0</v>
          </cell>
          <cell r="AW427">
            <v>0</v>
          </cell>
          <cell r="AY427">
            <v>143493.99997974251</v>
          </cell>
          <cell r="AZ427">
            <v>285.84462147359068</v>
          </cell>
          <cell r="BA427">
            <v>25991</v>
          </cell>
          <cell r="BB427">
            <v>51.774900398406373</v>
          </cell>
          <cell r="BC427">
            <v>0</v>
          </cell>
          <cell r="BD427">
            <v>0</v>
          </cell>
          <cell r="BG427">
            <v>0</v>
          </cell>
          <cell r="BH427">
            <v>0</v>
          </cell>
          <cell r="BI427">
            <v>15864</v>
          </cell>
          <cell r="BJ427">
            <v>31.601593625498008</v>
          </cell>
          <cell r="BK427">
            <v>0</v>
          </cell>
          <cell r="BL427">
            <v>0</v>
          </cell>
          <cell r="BM427">
            <v>196884</v>
          </cell>
          <cell r="BN427">
            <v>392.19920318725099</v>
          </cell>
          <cell r="BO427">
            <v>0</v>
          </cell>
          <cell r="BP427">
            <v>0</v>
          </cell>
          <cell r="BY427">
            <v>1458.91</v>
          </cell>
          <cell r="CF427">
            <v>66.982845130000001</v>
          </cell>
          <cell r="CG427">
            <v>2142.25</v>
          </cell>
          <cell r="CJ427">
            <v>0</v>
          </cell>
          <cell r="CK427">
            <v>0</v>
          </cell>
          <cell r="CL427">
            <v>0</v>
          </cell>
          <cell r="CM427">
            <v>0</v>
          </cell>
          <cell r="CN427">
            <v>0</v>
          </cell>
          <cell r="CO427">
            <v>0</v>
          </cell>
          <cell r="CX427">
            <v>0</v>
          </cell>
          <cell r="CY427">
            <v>0</v>
          </cell>
          <cell r="DB427">
            <v>0</v>
          </cell>
          <cell r="DC427">
            <v>0</v>
          </cell>
          <cell r="DJ427" t="str">
            <v>НКРКП</v>
          </cell>
          <cell r="DL427">
            <v>40816</v>
          </cell>
          <cell r="DM427">
            <v>100</v>
          </cell>
          <cell r="DT427">
            <v>999.9</v>
          </cell>
        </row>
        <row r="428">
          <cell r="W428">
            <v>371.20870000000002</v>
          </cell>
          <cell r="AF428">
            <v>39968</v>
          </cell>
          <cell r="AG428">
            <v>1710</v>
          </cell>
          <cell r="AH428">
            <v>371.208722065524</v>
          </cell>
          <cell r="AM428">
            <v>4609</v>
          </cell>
          <cell r="AO428">
            <v>1710900.8983</v>
          </cell>
          <cell r="AQ428">
            <v>1710901</v>
          </cell>
          <cell r="AU428">
            <v>0</v>
          </cell>
          <cell r="AW428">
            <v>0</v>
          </cell>
          <cell r="AY428">
            <v>582414.99996900011</v>
          </cell>
          <cell r="AZ428">
            <v>126.36472119093081</v>
          </cell>
          <cell r="BA428">
            <v>0</v>
          </cell>
          <cell r="BB428">
            <v>0</v>
          </cell>
          <cell r="BC428">
            <v>0</v>
          </cell>
          <cell r="BD428">
            <v>0</v>
          </cell>
          <cell r="BG428">
            <v>0</v>
          </cell>
          <cell r="BH428">
            <v>0</v>
          </cell>
          <cell r="BI428">
            <v>117830</v>
          </cell>
          <cell r="BJ428">
            <v>25.565198524625732</v>
          </cell>
          <cell r="BK428">
            <v>0</v>
          </cell>
          <cell r="BL428">
            <v>0</v>
          </cell>
          <cell r="BM428">
            <v>590219.6</v>
          </cell>
          <cell r="BN428">
            <v>128.05806031677153</v>
          </cell>
          <cell r="BO428">
            <v>0</v>
          </cell>
          <cell r="BP428">
            <v>0</v>
          </cell>
          <cell r="BY428">
            <v>1394.96</v>
          </cell>
          <cell r="CF428">
            <v>800.76857500000006</v>
          </cell>
          <cell r="CG428">
            <v>727.32</v>
          </cell>
          <cell r="CJ428">
            <v>0</v>
          </cell>
          <cell r="CK428">
            <v>0</v>
          </cell>
          <cell r="CL428">
            <v>0</v>
          </cell>
          <cell r="CM428">
            <v>0</v>
          </cell>
          <cell r="CN428">
            <v>0</v>
          </cell>
          <cell r="CO428">
            <v>0</v>
          </cell>
          <cell r="CX428">
            <v>0</v>
          </cell>
          <cell r="CY428">
            <v>0</v>
          </cell>
          <cell r="DB428">
            <v>0</v>
          </cell>
          <cell r="DC428">
            <v>0</v>
          </cell>
          <cell r="DJ428" t="str">
            <v>НКРЕ</v>
          </cell>
          <cell r="DL428">
            <v>40526</v>
          </cell>
          <cell r="DM428">
            <v>1749</v>
          </cell>
          <cell r="DO428" t="str">
            <v>тариф на теплову енергію</v>
          </cell>
          <cell r="DT428">
            <v>408.33</v>
          </cell>
        </row>
        <row r="429">
          <cell r="W429">
            <v>727.16</v>
          </cell>
          <cell r="AF429">
            <v>39968</v>
          </cell>
          <cell r="AG429">
            <v>1711</v>
          </cell>
          <cell r="AH429">
            <v>692.53330873308732</v>
          </cell>
          <cell r="AM429">
            <v>1626</v>
          </cell>
          <cell r="AO429">
            <v>1182362.1599999999</v>
          </cell>
          <cell r="AQ429">
            <v>1126059.1599999999</v>
          </cell>
          <cell r="AU429">
            <v>0</v>
          </cell>
          <cell r="AW429">
            <v>0</v>
          </cell>
          <cell r="AY429">
            <v>703117.99998687499</v>
          </cell>
          <cell r="AZ429">
            <v>432.42189421087022</v>
          </cell>
          <cell r="BA429">
            <v>0</v>
          </cell>
          <cell r="BB429">
            <v>0</v>
          </cell>
          <cell r="BC429">
            <v>0</v>
          </cell>
          <cell r="BD429">
            <v>0</v>
          </cell>
          <cell r="BG429">
            <v>0</v>
          </cell>
          <cell r="BH429">
            <v>0</v>
          </cell>
          <cell r="BI429">
            <v>41555</v>
          </cell>
          <cell r="BJ429">
            <v>25.556580565805657</v>
          </cell>
          <cell r="BK429">
            <v>0</v>
          </cell>
          <cell r="BL429">
            <v>0</v>
          </cell>
          <cell r="BM429">
            <v>208203.52001312491</v>
          </cell>
          <cell r="BN429">
            <v>128.04644527252455</v>
          </cell>
          <cell r="BO429">
            <v>0</v>
          </cell>
          <cell r="BP429">
            <v>0</v>
          </cell>
          <cell r="BY429">
            <v>1394.96</v>
          </cell>
          <cell r="CF429">
            <v>328.21472749999998</v>
          </cell>
          <cell r="CG429">
            <v>2142.25</v>
          </cell>
          <cell r="CJ429">
            <v>0</v>
          </cell>
          <cell r="CK429">
            <v>0</v>
          </cell>
          <cell r="CL429">
            <v>0</v>
          </cell>
          <cell r="CM429">
            <v>0</v>
          </cell>
          <cell r="CN429">
            <v>0</v>
          </cell>
          <cell r="CO429">
            <v>0</v>
          </cell>
          <cell r="CX429">
            <v>0</v>
          </cell>
          <cell r="CY429">
            <v>0</v>
          </cell>
          <cell r="DB429">
            <v>0</v>
          </cell>
          <cell r="DC429">
            <v>0</v>
          </cell>
          <cell r="DJ429" t="str">
            <v>НКРКП</v>
          </cell>
          <cell r="DL429">
            <v>40816</v>
          </cell>
          <cell r="DM429">
            <v>100</v>
          </cell>
          <cell r="DT429">
            <v>999.9</v>
          </cell>
        </row>
        <row r="430">
          <cell r="W430">
            <v>304.69261040599997</v>
          </cell>
          <cell r="AF430">
            <v>39968</v>
          </cell>
          <cell r="AG430">
            <v>1707</v>
          </cell>
          <cell r="AH430">
            <v>304.69261040664628</v>
          </cell>
          <cell r="AM430">
            <v>6861</v>
          </cell>
          <cell r="AO430">
            <v>2090495.9999955657</v>
          </cell>
          <cell r="AQ430">
            <v>2090496</v>
          </cell>
          <cell r="AU430">
            <v>0</v>
          </cell>
          <cell r="AW430">
            <v>0</v>
          </cell>
          <cell r="AY430">
            <v>847541.00000000012</v>
          </cell>
          <cell r="AZ430">
            <v>123.53024340475152</v>
          </cell>
          <cell r="BA430">
            <v>0</v>
          </cell>
          <cell r="BB430">
            <v>0</v>
          </cell>
          <cell r="BC430">
            <v>0</v>
          </cell>
          <cell r="BD430">
            <v>0</v>
          </cell>
          <cell r="BG430">
            <v>0</v>
          </cell>
          <cell r="BH430">
            <v>0</v>
          </cell>
          <cell r="BI430">
            <v>94733</v>
          </cell>
          <cell r="BJ430">
            <v>13.807462469027838</v>
          </cell>
          <cell r="BK430">
            <v>0</v>
          </cell>
          <cell r="BL430">
            <v>0</v>
          </cell>
          <cell r="BM430">
            <v>727811.9</v>
          </cell>
          <cell r="BN430">
            <v>106.07956566098237</v>
          </cell>
          <cell r="BO430">
            <v>0</v>
          </cell>
          <cell r="BP430">
            <v>0</v>
          </cell>
          <cell r="BY430">
            <v>1326.12</v>
          </cell>
          <cell r="CF430">
            <v>1165.29</v>
          </cell>
          <cell r="CG430">
            <v>727.32195419166055</v>
          </cell>
          <cell r="CJ430">
            <v>0</v>
          </cell>
          <cell r="CK430">
            <v>0</v>
          </cell>
          <cell r="CL430">
            <v>0</v>
          </cell>
          <cell r="CM430">
            <v>0</v>
          </cell>
          <cell r="CN430">
            <v>0</v>
          </cell>
          <cell r="CO430">
            <v>0</v>
          </cell>
          <cell r="CX430">
            <v>0</v>
          </cell>
          <cell r="CY430">
            <v>0</v>
          </cell>
          <cell r="DB430">
            <v>0</v>
          </cell>
          <cell r="DC430">
            <v>0</v>
          </cell>
          <cell r="DJ430" t="str">
            <v>НКРЕ</v>
          </cell>
          <cell r="DL430">
            <v>40526</v>
          </cell>
          <cell r="DM430">
            <v>1749</v>
          </cell>
          <cell r="DO430" t="str">
            <v>тариф на теплову енергію</v>
          </cell>
          <cell r="DT430">
            <v>335.16</v>
          </cell>
        </row>
        <row r="431">
          <cell r="W431">
            <v>612.29999999999995</v>
          </cell>
          <cell r="AF431">
            <v>39968</v>
          </cell>
          <cell r="AG431">
            <v>1708</v>
          </cell>
          <cell r="AH431">
            <v>556.64143133269943</v>
          </cell>
          <cell r="AM431">
            <v>1078.9972254886256</v>
          </cell>
          <cell r="AO431">
            <v>660670.00116668548</v>
          </cell>
          <cell r="AQ431">
            <v>600614.56000000006</v>
          </cell>
          <cell r="AU431">
            <v>0</v>
          </cell>
          <cell r="AW431">
            <v>0</v>
          </cell>
          <cell r="AY431">
            <v>392215.16914380132</v>
          </cell>
          <cell r="AZ431">
            <v>363.499701276976</v>
          </cell>
          <cell r="BA431">
            <v>0</v>
          </cell>
          <cell r="BB431">
            <v>0</v>
          </cell>
          <cell r="BC431">
            <v>0</v>
          </cell>
          <cell r="BD431">
            <v>0</v>
          </cell>
          <cell r="BG431">
            <v>0</v>
          </cell>
          <cell r="BH431">
            <v>0</v>
          </cell>
          <cell r="BI431">
            <v>14894</v>
          </cell>
          <cell r="BJ431">
            <v>13.803557273518686</v>
          </cell>
          <cell r="BK431">
            <v>0</v>
          </cell>
          <cell r="BL431">
            <v>0</v>
          </cell>
          <cell r="BM431">
            <v>114456.2</v>
          </cell>
          <cell r="BN431">
            <v>106.07645441179733</v>
          </cell>
          <cell r="BO431">
            <v>0</v>
          </cell>
          <cell r="BP431">
            <v>0</v>
          </cell>
          <cell r="BY431">
            <v>1326.12</v>
          </cell>
          <cell r="CF431">
            <v>183.08561985940079</v>
          </cell>
          <cell r="CG431">
            <v>2142.25</v>
          </cell>
          <cell r="CJ431">
            <v>0</v>
          </cell>
          <cell r="CK431">
            <v>0</v>
          </cell>
          <cell r="CL431">
            <v>0</v>
          </cell>
          <cell r="CM431">
            <v>0</v>
          </cell>
          <cell r="CN431">
            <v>0</v>
          </cell>
          <cell r="CO431">
            <v>0</v>
          </cell>
          <cell r="CX431">
            <v>0</v>
          </cell>
          <cell r="CY431">
            <v>0</v>
          </cell>
          <cell r="DB431">
            <v>0</v>
          </cell>
          <cell r="DC431">
            <v>0</v>
          </cell>
          <cell r="DJ431" t="str">
            <v>НКРКП</v>
          </cell>
          <cell r="DL431">
            <v>40816</v>
          </cell>
          <cell r="DM431">
            <v>100</v>
          </cell>
          <cell r="DT431">
            <v>885.44</v>
          </cell>
        </row>
        <row r="432">
          <cell r="W432">
            <v>591.25</v>
          </cell>
          <cell r="AF432">
            <v>39968</v>
          </cell>
          <cell r="AG432">
            <v>1709</v>
          </cell>
          <cell r="AH432">
            <v>537.5</v>
          </cell>
          <cell r="AM432">
            <v>8</v>
          </cell>
          <cell r="AO432">
            <v>4730</v>
          </cell>
          <cell r="AQ432">
            <v>4300</v>
          </cell>
          <cell r="AU432">
            <v>0</v>
          </cell>
          <cell r="AW432">
            <v>0</v>
          </cell>
          <cell r="AY432">
            <v>2791.3485007583708</v>
          </cell>
          <cell r="AZ432">
            <v>348.91856259479636</v>
          </cell>
          <cell r="BA432">
            <v>0</v>
          </cell>
          <cell r="BB432">
            <v>0</v>
          </cell>
          <cell r="BC432">
            <v>0</v>
          </cell>
          <cell r="BD432">
            <v>0</v>
          </cell>
          <cell r="BG432">
            <v>0</v>
          </cell>
          <cell r="BH432">
            <v>0</v>
          </cell>
          <cell r="BI432">
            <v>104</v>
          </cell>
          <cell r="BJ432">
            <v>13</v>
          </cell>
          <cell r="BK432">
            <v>0</v>
          </cell>
          <cell r="BL432">
            <v>0</v>
          </cell>
          <cell r="BM432">
            <v>842.9</v>
          </cell>
          <cell r="BN432">
            <v>105.3625</v>
          </cell>
          <cell r="BO432">
            <v>0</v>
          </cell>
          <cell r="BP432">
            <v>0</v>
          </cell>
          <cell r="BY432">
            <v>1326.12</v>
          </cell>
          <cell r="CF432">
            <v>1.3029984832574961</v>
          </cell>
          <cell r="CG432">
            <v>2142.25</v>
          </cell>
          <cell r="CJ432">
            <v>0</v>
          </cell>
          <cell r="CK432">
            <v>0</v>
          </cell>
          <cell r="CL432">
            <v>0</v>
          </cell>
          <cell r="CM432">
            <v>0</v>
          </cell>
          <cell r="CN432">
            <v>0</v>
          </cell>
          <cell r="CO432">
            <v>0</v>
          </cell>
          <cell r="CX432">
            <v>0</v>
          </cell>
          <cell r="CY432">
            <v>0</v>
          </cell>
          <cell r="DB432">
            <v>0</v>
          </cell>
          <cell r="DC432">
            <v>0</v>
          </cell>
          <cell r="DJ432" t="str">
            <v>НКРКП</v>
          </cell>
          <cell r="DL432">
            <v>40816</v>
          </cell>
          <cell r="DM432">
            <v>100</v>
          </cell>
          <cell r="DT432">
            <v>885.44</v>
          </cell>
        </row>
        <row r="433">
          <cell r="W433">
            <v>807.513888888</v>
          </cell>
          <cell r="AF433">
            <v>39968</v>
          </cell>
          <cell r="AG433">
            <v>1698</v>
          </cell>
          <cell r="AH433">
            <v>807.51388888888891</v>
          </cell>
          <cell r="AM433">
            <v>360</v>
          </cell>
          <cell r="AO433">
            <v>290704.99999967997</v>
          </cell>
          <cell r="AQ433">
            <v>290705</v>
          </cell>
          <cell r="AU433">
            <v>0</v>
          </cell>
          <cell r="AW433">
            <v>0</v>
          </cell>
          <cell r="AY433">
            <v>139377</v>
          </cell>
          <cell r="AZ433">
            <v>387.15833333333336</v>
          </cell>
          <cell r="BA433">
            <v>0</v>
          </cell>
          <cell r="BB433">
            <v>0</v>
          </cell>
          <cell r="BC433">
            <v>0</v>
          </cell>
          <cell r="BD433">
            <v>0</v>
          </cell>
          <cell r="BG433">
            <v>0</v>
          </cell>
          <cell r="BH433">
            <v>0</v>
          </cell>
          <cell r="BI433">
            <v>11876</v>
          </cell>
          <cell r="BJ433">
            <v>32.988888888888887</v>
          </cell>
          <cell r="BK433">
            <v>0</v>
          </cell>
          <cell r="BL433">
            <v>0</v>
          </cell>
          <cell r="BM433">
            <v>89.47</v>
          </cell>
          <cell r="BN433">
            <v>0.24852777777777776</v>
          </cell>
          <cell r="BO433">
            <v>0</v>
          </cell>
          <cell r="BP433">
            <v>0</v>
          </cell>
          <cell r="BY433">
            <v>1344.22</v>
          </cell>
          <cell r="CF433">
            <v>65.061033959621895</v>
          </cell>
          <cell r="CG433">
            <v>2142.25</v>
          </cell>
          <cell r="CJ433">
            <v>0</v>
          </cell>
          <cell r="CK433">
            <v>0</v>
          </cell>
          <cell r="CL433">
            <v>0</v>
          </cell>
          <cell r="CM433">
            <v>0</v>
          </cell>
          <cell r="CN433">
            <v>0</v>
          </cell>
          <cell r="CO433">
            <v>0</v>
          </cell>
          <cell r="CX433">
            <v>0</v>
          </cell>
          <cell r="CY433">
            <v>0</v>
          </cell>
          <cell r="DB433">
            <v>0</v>
          </cell>
          <cell r="DC433">
            <v>0</v>
          </cell>
          <cell r="DJ433" t="str">
            <v>НКРКП</v>
          </cell>
          <cell r="DL433">
            <v>40816</v>
          </cell>
          <cell r="DM433">
            <v>100</v>
          </cell>
          <cell r="DT433">
            <v>999.9</v>
          </cell>
        </row>
        <row r="434">
          <cell r="W434">
            <v>399.132567978</v>
          </cell>
          <cell r="AF434">
            <v>39968</v>
          </cell>
          <cell r="AG434">
            <v>1679</v>
          </cell>
          <cell r="AH434">
            <v>399.13256767842495</v>
          </cell>
          <cell r="AM434">
            <v>12190</v>
          </cell>
          <cell r="AO434">
            <v>4865426.0036518201</v>
          </cell>
          <cell r="AQ434">
            <v>4865426</v>
          </cell>
          <cell r="AU434">
            <v>0</v>
          </cell>
          <cell r="AW434">
            <v>0</v>
          </cell>
          <cell r="AY434">
            <v>1678363.632</v>
          </cell>
          <cell r="AZ434">
            <v>137.68364495488106</v>
          </cell>
          <cell r="BA434">
            <v>0</v>
          </cell>
          <cell r="BB434">
            <v>0</v>
          </cell>
          <cell r="BC434">
            <v>0</v>
          </cell>
          <cell r="BD434">
            <v>0</v>
          </cell>
          <cell r="BG434">
            <v>0</v>
          </cell>
          <cell r="BH434">
            <v>0</v>
          </cell>
          <cell r="BI434">
            <v>560253</v>
          </cell>
          <cell r="BJ434">
            <v>45.96004922067268</v>
          </cell>
          <cell r="BK434">
            <v>0</v>
          </cell>
          <cell r="BL434">
            <v>0</v>
          </cell>
          <cell r="BM434">
            <v>1674846</v>
          </cell>
          <cell r="BN434">
            <v>137.39507793273174</v>
          </cell>
          <cell r="BO434">
            <v>0</v>
          </cell>
          <cell r="BP434">
            <v>0</v>
          </cell>
          <cell r="BY434">
            <v>1489.56</v>
          </cell>
          <cell r="CF434">
            <v>2307.6</v>
          </cell>
          <cell r="CG434">
            <v>727.32</v>
          </cell>
          <cell r="CJ434">
            <v>0</v>
          </cell>
          <cell r="CK434">
            <v>0</v>
          </cell>
          <cell r="CL434">
            <v>0</v>
          </cell>
          <cell r="CM434">
            <v>0</v>
          </cell>
          <cell r="CN434">
            <v>0</v>
          </cell>
          <cell r="CO434">
            <v>0</v>
          </cell>
          <cell r="CX434">
            <v>0</v>
          </cell>
          <cell r="CY434">
            <v>0</v>
          </cell>
          <cell r="DB434">
            <v>0</v>
          </cell>
          <cell r="DC434">
            <v>0</v>
          </cell>
          <cell r="DJ434" t="str">
            <v>НКРЕ</v>
          </cell>
          <cell r="DL434">
            <v>40526</v>
          </cell>
          <cell r="DM434">
            <v>1749</v>
          </cell>
          <cell r="DO434" t="str">
            <v>тариф на теплову енергію</v>
          </cell>
          <cell r="DT434">
            <v>439.04</v>
          </cell>
        </row>
        <row r="435">
          <cell r="W435">
            <v>667.61229134999996</v>
          </cell>
          <cell r="AF435">
            <v>39968</v>
          </cell>
          <cell r="AG435">
            <v>1680</v>
          </cell>
          <cell r="AH435">
            <v>667.61229135053111</v>
          </cell>
          <cell r="AM435">
            <v>2636</v>
          </cell>
          <cell r="AO435">
            <v>1759825.9999986</v>
          </cell>
          <cell r="AQ435">
            <v>1759826</v>
          </cell>
          <cell r="AU435">
            <v>0</v>
          </cell>
          <cell r="AW435">
            <v>0</v>
          </cell>
          <cell r="AY435">
            <v>1037039.9999894275</v>
          </cell>
          <cell r="AZ435">
            <v>393.41426403240803</v>
          </cell>
          <cell r="BA435">
            <v>0</v>
          </cell>
          <cell r="BB435">
            <v>0</v>
          </cell>
          <cell r="BC435">
            <v>0</v>
          </cell>
          <cell r="BD435">
            <v>0</v>
          </cell>
          <cell r="BG435">
            <v>0</v>
          </cell>
          <cell r="BH435">
            <v>0</v>
          </cell>
          <cell r="BI435">
            <v>121133</v>
          </cell>
          <cell r="BJ435">
            <v>45.953338391502278</v>
          </cell>
          <cell r="BK435">
            <v>0</v>
          </cell>
          <cell r="BL435">
            <v>0</v>
          </cell>
          <cell r="BM435">
            <v>362156.9</v>
          </cell>
          <cell r="BN435">
            <v>137.38880880121397</v>
          </cell>
          <cell r="BO435">
            <v>0</v>
          </cell>
          <cell r="BP435">
            <v>0</v>
          </cell>
          <cell r="BY435">
            <v>1489.56</v>
          </cell>
          <cell r="CF435">
            <v>484.08915859000001</v>
          </cell>
          <cell r="CG435">
            <v>2142.25</v>
          </cell>
          <cell r="CJ435">
            <v>0</v>
          </cell>
          <cell r="CK435">
            <v>0</v>
          </cell>
          <cell r="CL435">
            <v>0</v>
          </cell>
          <cell r="CM435">
            <v>0</v>
          </cell>
          <cell r="CN435">
            <v>0</v>
          </cell>
          <cell r="CO435">
            <v>0</v>
          </cell>
          <cell r="CX435">
            <v>0</v>
          </cell>
          <cell r="CY435">
            <v>0</v>
          </cell>
          <cell r="DB435">
            <v>0</v>
          </cell>
          <cell r="DC435">
            <v>0</v>
          </cell>
          <cell r="DJ435" t="str">
            <v>НКРКП</v>
          </cell>
          <cell r="DL435">
            <v>40816</v>
          </cell>
          <cell r="DM435">
            <v>100</v>
          </cell>
          <cell r="DT435">
            <v>963.23</v>
          </cell>
        </row>
        <row r="436">
          <cell r="W436">
            <v>651.29999999999995</v>
          </cell>
          <cell r="AF436">
            <v>39968</v>
          </cell>
          <cell r="AG436">
            <v>1681</v>
          </cell>
          <cell r="AH436">
            <v>651.29999999999995</v>
          </cell>
          <cell r="AM436">
            <v>47</v>
          </cell>
          <cell r="AO436">
            <v>30611.1</v>
          </cell>
          <cell r="AQ436">
            <v>30611.1</v>
          </cell>
          <cell r="AU436">
            <v>0</v>
          </cell>
          <cell r="AW436">
            <v>0</v>
          </cell>
          <cell r="AY436">
            <v>17878.470000000005</v>
          </cell>
          <cell r="AZ436">
            <v>380.39297872340438</v>
          </cell>
          <cell r="BA436">
            <v>0</v>
          </cell>
          <cell r="BB436">
            <v>0</v>
          </cell>
          <cell r="BC436">
            <v>0</v>
          </cell>
          <cell r="BD436">
            <v>0</v>
          </cell>
          <cell r="BG436">
            <v>0</v>
          </cell>
          <cell r="BH436">
            <v>0</v>
          </cell>
          <cell r="BI436">
            <v>2137</v>
          </cell>
          <cell r="BJ436">
            <v>45.468085106382979</v>
          </cell>
          <cell r="BK436">
            <v>0</v>
          </cell>
          <cell r="BL436">
            <v>0</v>
          </cell>
          <cell r="BM436">
            <v>6342.1</v>
          </cell>
          <cell r="BN436">
            <v>134.93829787234043</v>
          </cell>
          <cell r="BO436">
            <v>0</v>
          </cell>
          <cell r="BP436">
            <v>0</v>
          </cell>
          <cell r="BY436">
            <v>1489.56</v>
          </cell>
          <cell r="CF436">
            <v>8.3456506010036193</v>
          </cell>
          <cell r="CG436">
            <v>2142.25</v>
          </cell>
          <cell r="CJ436">
            <v>0</v>
          </cell>
          <cell r="CK436">
            <v>0</v>
          </cell>
          <cell r="CL436">
            <v>0</v>
          </cell>
          <cell r="CM436">
            <v>0</v>
          </cell>
          <cell r="CN436">
            <v>0</v>
          </cell>
          <cell r="CO436">
            <v>0</v>
          </cell>
          <cell r="CX436">
            <v>0</v>
          </cell>
          <cell r="CY436">
            <v>0</v>
          </cell>
          <cell r="DB436">
            <v>0</v>
          </cell>
          <cell r="DC436">
            <v>0</v>
          </cell>
          <cell r="DJ436" t="str">
            <v>НКРКП</v>
          </cell>
          <cell r="DL436">
            <v>40816</v>
          </cell>
          <cell r="DM436">
            <v>100</v>
          </cell>
          <cell r="DT436">
            <v>963.23</v>
          </cell>
        </row>
        <row r="437">
          <cell r="W437">
            <v>667.45</v>
          </cell>
          <cell r="AF437">
            <v>39968</v>
          </cell>
          <cell r="AG437">
            <v>1683</v>
          </cell>
          <cell r="AH437">
            <v>635.66800947867307</v>
          </cell>
          <cell r="AM437">
            <v>422</v>
          </cell>
          <cell r="AO437">
            <v>281663.90000000002</v>
          </cell>
          <cell r="AQ437">
            <v>268251.90000000002</v>
          </cell>
          <cell r="AU437">
            <v>0</v>
          </cell>
          <cell r="AW437">
            <v>0</v>
          </cell>
          <cell r="AY437">
            <v>162663.76999999999</v>
          </cell>
          <cell r="AZ437">
            <v>385.45917061611374</v>
          </cell>
          <cell r="BA437">
            <v>0</v>
          </cell>
          <cell r="BB437">
            <v>0</v>
          </cell>
          <cell r="BC437">
            <v>0</v>
          </cell>
          <cell r="BD437">
            <v>0</v>
          </cell>
          <cell r="BG437">
            <v>0</v>
          </cell>
          <cell r="BH437">
            <v>0</v>
          </cell>
          <cell r="BI437">
            <v>10424</v>
          </cell>
          <cell r="BJ437">
            <v>24.701421800947866</v>
          </cell>
          <cell r="BK437">
            <v>0</v>
          </cell>
          <cell r="BL437">
            <v>0</v>
          </cell>
          <cell r="BM437">
            <v>57219.1</v>
          </cell>
          <cell r="BN437">
            <v>135.59028436018957</v>
          </cell>
          <cell r="BO437">
            <v>0</v>
          </cell>
          <cell r="BP437">
            <v>0</v>
          </cell>
          <cell r="BY437">
            <v>1517.3</v>
          </cell>
          <cell r="CF437">
            <v>75.93127319407165</v>
          </cell>
          <cell r="CG437">
            <v>2142.25</v>
          </cell>
          <cell r="CJ437">
            <v>0</v>
          </cell>
          <cell r="CK437">
            <v>0</v>
          </cell>
          <cell r="CL437">
            <v>0</v>
          </cell>
          <cell r="CM437">
            <v>0</v>
          </cell>
          <cell r="CN437">
            <v>0</v>
          </cell>
          <cell r="CO437">
            <v>0</v>
          </cell>
          <cell r="CX437">
            <v>0</v>
          </cell>
          <cell r="CY437">
            <v>0</v>
          </cell>
          <cell r="DB437">
            <v>0</v>
          </cell>
          <cell r="DC437">
            <v>0</v>
          </cell>
          <cell r="DJ437" t="str">
            <v>НКРКП</v>
          </cell>
          <cell r="DL437">
            <v>40816</v>
          </cell>
          <cell r="DM437">
            <v>100</v>
          </cell>
          <cell r="DT437">
            <v>956.77</v>
          </cell>
        </row>
        <row r="438">
          <cell r="W438">
            <v>716.48</v>
          </cell>
          <cell r="AF438">
            <v>39968</v>
          </cell>
          <cell r="AG438">
            <v>1704</v>
          </cell>
          <cell r="AH438">
            <v>682.37</v>
          </cell>
          <cell r="AM438">
            <v>1509</v>
          </cell>
          <cell r="AO438">
            <v>1081168.32</v>
          </cell>
          <cell r="AQ438">
            <v>1029696.33</v>
          </cell>
          <cell r="AU438">
            <v>0</v>
          </cell>
          <cell r="AW438">
            <v>0</v>
          </cell>
          <cell r="AY438">
            <v>573587.4375</v>
          </cell>
          <cell r="AZ438">
            <v>380.11095924453281</v>
          </cell>
          <cell r="BA438">
            <v>0</v>
          </cell>
          <cell r="BB438">
            <v>0</v>
          </cell>
          <cell r="BC438">
            <v>0</v>
          </cell>
          <cell r="BD438">
            <v>0</v>
          </cell>
          <cell r="BG438">
            <v>0</v>
          </cell>
          <cell r="BH438">
            <v>0</v>
          </cell>
          <cell r="BI438">
            <v>51153</v>
          </cell>
          <cell r="BJ438">
            <v>33.898608349900599</v>
          </cell>
          <cell r="BK438">
            <v>0</v>
          </cell>
          <cell r="BL438">
            <v>0</v>
          </cell>
          <cell r="BM438">
            <v>242342</v>
          </cell>
          <cell r="BN438">
            <v>160.59774685222001</v>
          </cell>
          <cell r="BO438">
            <v>0</v>
          </cell>
          <cell r="BP438">
            <v>0</v>
          </cell>
          <cell r="BY438">
            <v>1336.18</v>
          </cell>
          <cell r="CF438">
            <v>267.75</v>
          </cell>
          <cell r="CG438">
            <v>2142.25</v>
          </cell>
          <cell r="CJ438">
            <v>0</v>
          </cell>
          <cell r="CK438">
            <v>0</v>
          </cell>
          <cell r="CL438">
            <v>0</v>
          </cell>
          <cell r="CM438">
            <v>0</v>
          </cell>
          <cell r="CN438">
            <v>0</v>
          </cell>
          <cell r="CO438">
            <v>0</v>
          </cell>
          <cell r="CX438">
            <v>0</v>
          </cell>
          <cell r="CY438">
            <v>0</v>
          </cell>
          <cell r="DB438">
            <v>0</v>
          </cell>
          <cell r="DC438">
            <v>0</v>
          </cell>
          <cell r="DJ438" t="str">
            <v>НКРКП</v>
          </cell>
          <cell r="DL438">
            <v>40816</v>
          </cell>
          <cell r="DM438">
            <v>100</v>
          </cell>
          <cell r="DT438">
            <v>999.9</v>
          </cell>
        </row>
        <row r="439">
          <cell r="W439">
            <v>402.60681373900002</v>
          </cell>
          <cell r="AF439">
            <v>39968</v>
          </cell>
          <cell r="AG439">
            <v>1693</v>
          </cell>
          <cell r="AH439">
            <v>402.60681373917902</v>
          </cell>
          <cell r="AM439">
            <v>3581</v>
          </cell>
          <cell r="AO439">
            <v>1441734.999999359</v>
          </cell>
          <cell r="AQ439">
            <v>1441735</v>
          </cell>
          <cell r="AU439">
            <v>0</v>
          </cell>
          <cell r="AW439">
            <v>0</v>
          </cell>
          <cell r="AY439">
            <v>468120</v>
          </cell>
          <cell r="AZ439">
            <v>130.72326165875452</v>
          </cell>
          <cell r="BA439">
            <v>0</v>
          </cell>
          <cell r="BB439">
            <v>0</v>
          </cell>
          <cell r="BC439">
            <v>0</v>
          </cell>
          <cell r="BD439">
            <v>0</v>
          </cell>
          <cell r="BG439">
            <v>0</v>
          </cell>
          <cell r="BH439">
            <v>0</v>
          </cell>
          <cell r="BI439">
            <v>126515</v>
          </cell>
          <cell r="BJ439">
            <v>35.329516894722147</v>
          </cell>
          <cell r="BK439">
            <v>0</v>
          </cell>
          <cell r="BL439">
            <v>0</v>
          </cell>
          <cell r="BM439">
            <v>524945.1</v>
          </cell>
          <cell r="BN439">
            <v>146.59176207763193</v>
          </cell>
          <cell r="BO439">
            <v>0</v>
          </cell>
          <cell r="BP439">
            <v>0</v>
          </cell>
          <cell r="BY439">
            <v>1470.95</v>
          </cell>
          <cell r="CF439">
            <v>643.62316449430784</v>
          </cell>
          <cell r="CG439">
            <v>727.32</v>
          </cell>
          <cell r="CJ439">
            <v>0</v>
          </cell>
          <cell r="CK439">
            <v>0</v>
          </cell>
          <cell r="CL439">
            <v>0</v>
          </cell>
          <cell r="CM439">
            <v>0</v>
          </cell>
          <cell r="CN439">
            <v>0</v>
          </cell>
          <cell r="CO439">
            <v>0</v>
          </cell>
          <cell r="CX439">
            <v>0</v>
          </cell>
          <cell r="CY439">
            <v>0</v>
          </cell>
          <cell r="DB439">
            <v>0</v>
          </cell>
          <cell r="DC439">
            <v>0</v>
          </cell>
          <cell r="DJ439" t="str">
            <v>НКРЕ</v>
          </cell>
          <cell r="DL439">
            <v>40526</v>
          </cell>
          <cell r="DM439">
            <v>1749</v>
          </cell>
          <cell r="DO439" t="str">
            <v>тариф на теплову енергію</v>
          </cell>
          <cell r="DT439">
            <v>442.87</v>
          </cell>
        </row>
        <row r="440">
          <cell r="W440">
            <v>666.38766738300001</v>
          </cell>
          <cell r="AF440">
            <v>39968</v>
          </cell>
          <cell r="AG440">
            <v>1694</v>
          </cell>
          <cell r="AH440">
            <v>666.38766738303855</v>
          </cell>
          <cell r="AM440">
            <v>6049</v>
          </cell>
          <cell r="AO440">
            <v>4030978.9999997672</v>
          </cell>
          <cell r="AQ440">
            <v>4030979</v>
          </cell>
          <cell r="AU440">
            <v>0</v>
          </cell>
          <cell r="AW440">
            <v>0</v>
          </cell>
          <cell r="AY440">
            <v>2310456.0000000005</v>
          </cell>
          <cell r="AZ440">
            <v>381.95668705571177</v>
          </cell>
          <cell r="BA440">
            <v>0</v>
          </cell>
          <cell r="BB440">
            <v>0</v>
          </cell>
          <cell r="BC440">
            <v>0</v>
          </cell>
          <cell r="BD440">
            <v>0</v>
          </cell>
          <cell r="BG440">
            <v>0</v>
          </cell>
          <cell r="BH440">
            <v>0</v>
          </cell>
          <cell r="BI440">
            <v>213683</v>
          </cell>
          <cell r="BJ440">
            <v>35.325343031906101</v>
          </cell>
          <cell r="BK440">
            <v>0</v>
          </cell>
          <cell r="BL440">
            <v>0</v>
          </cell>
          <cell r="BM440">
            <v>886696.4</v>
          </cell>
          <cell r="BN440">
            <v>146.58561745743097</v>
          </cell>
          <cell r="BO440">
            <v>0</v>
          </cell>
          <cell r="BP440">
            <v>0</v>
          </cell>
          <cell r="BY440">
            <v>1470.95</v>
          </cell>
          <cell r="CF440">
            <v>1078.52</v>
          </cell>
          <cell r="CG440">
            <v>2142.2467826280463</v>
          </cell>
          <cell r="CJ440">
            <v>0</v>
          </cell>
          <cell r="CK440">
            <v>0</v>
          </cell>
          <cell r="CL440">
            <v>0</v>
          </cell>
          <cell r="CM440">
            <v>0</v>
          </cell>
          <cell r="CN440">
            <v>0</v>
          </cell>
          <cell r="CO440">
            <v>0</v>
          </cell>
          <cell r="CX440">
            <v>0</v>
          </cell>
          <cell r="CY440">
            <v>0</v>
          </cell>
          <cell r="DB440">
            <v>0</v>
          </cell>
          <cell r="DC440">
            <v>0</v>
          </cell>
          <cell r="DJ440" t="str">
            <v>НКРКП</v>
          </cell>
          <cell r="DL440">
            <v>40816</v>
          </cell>
          <cell r="DM440">
            <v>100</v>
          </cell>
          <cell r="DT440">
            <v>953.4</v>
          </cell>
        </row>
        <row r="441">
          <cell r="W441">
            <v>710</v>
          </cell>
          <cell r="AF441">
            <v>39968</v>
          </cell>
          <cell r="AG441">
            <v>1695</v>
          </cell>
          <cell r="AH441">
            <v>710</v>
          </cell>
          <cell r="AM441">
            <v>4</v>
          </cell>
          <cell r="AO441">
            <v>2840</v>
          </cell>
          <cell r="AQ441">
            <v>2840</v>
          </cell>
          <cell r="AU441">
            <v>0</v>
          </cell>
          <cell r="AW441">
            <v>0</v>
          </cell>
          <cell r="AY441">
            <v>1658.7652518635159</v>
          </cell>
          <cell r="AZ441">
            <v>414.69131296587898</v>
          </cell>
          <cell r="BA441">
            <v>0</v>
          </cell>
          <cell r="BB441">
            <v>0</v>
          </cell>
          <cell r="BC441">
            <v>0</v>
          </cell>
          <cell r="BD441">
            <v>0</v>
          </cell>
          <cell r="BG441">
            <v>0</v>
          </cell>
          <cell r="BH441">
            <v>0</v>
          </cell>
          <cell r="BI441">
            <v>152</v>
          </cell>
          <cell r="BJ441">
            <v>38</v>
          </cell>
          <cell r="BK441">
            <v>0</v>
          </cell>
          <cell r="BL441">
            <v>0</v>
          </cell>
          <cell r="BM441">
            <v>602.5</v>
          </cell>
          <cell r="BN441">
            <v>150.625</v>
          </cell>
          <cell r="BO441">
            <v>0</v>
          </cell>
          <cell r="BP441">
            <v>0</v>
          </cell>
          <cell r="BY441">
            <v>1470.95</v>
          </cell>
          <cell r="CF441">
            <v>0.77431100156845178</v>
          </cell>
          <cell r="CG441">
            <v>2142.2467826280463</v>
          </cell>
          <cell r="CJ441">
            <v>0</v>
          </cell>
          <cell r="CK441">
            <v>0</v>
          </cell>
          <cell r="CL441">
            <v>0</v>
          </cell>
          <cell r="CM441">
            <v>0</v>
          </cell>
          <cell r="CN441">
            <v>0</v>
          </cell>
          <cell r="CO441">
            <v>0</v>
          </cell>
          <cell r="CX441">
            <v>0</v>
          </cell>
          <cell r="CY441">
            <v>0</v>
          </cell>
          <cell r="DB441">
            <v>0</v>
          </cell>
          <cell r="DC441">
            <v>0</v>
          </cell>
          <cell r="DJ441" t="str">
            <v>НКРКП</v>
          </cell>
          <cell r="DL441">
            <v>40816</v>
          </cell>
          <cell r="DM441">
            <v>100</v>
          </cell>
          <cell r="DT441">
            <v>999.9</v>
          </cell>
        </row>
        <row r="442">
          <cell r="W442">
            <v>395.23459459399999</v>
          </cell>
          <cell r="AF442">
            <v>39968</v>
          </cell>
          <cell r="AG442">
            <v>1696</v>
          </cell>
          <cell r="AH442">
            <v>395.23459459459457</v>
          </cell>
          <cell r="AM442">
            <v>925</v>
          </cell>
          <cell r="AO442">
            <v>365591.99999945</v>
          </cell>
          <cell r="AQ442">
            <v>365592</v>
          </cell>
          <cell r="AU442">
            <v>0</v>
          </cell>
          <cell r="AW442">
            <v>0</v>
          </cell>
          <cell r="AY442">
            <v>119886.99999578281</v>
          </cell>
          <cell r="AZ442">
            <v>129.60756756300844</v>
          </cell>
          <cell r="BA442">
            <v>0</v>
          </cell>
          <cell r="BB442">
            <v>0</v>
          </cell>
          <cell r="BC442">
            <v>0</v>
          </cell>
          <cell r="BD442">
            <v>0</v>
          </cell>
          <cell r="BG442">
            <v>0</v>
          </cell>
          <cell r="BH442">
            <v>0</v>
          </cell>
          <cell r="BI442">
            <v>27646</v>
          </cell>
          <cell r="BJ442">
            <v>29.887567567567569</v>
          </cell>
          <cell r="BK442">
            <v>0</v>
          </cell>
          <cell r="BL442">
            <v>0</v>
          </cell>
          <cell r="BM442">
            <v>151331.4</v>
          </cell>
          <cell r="BN442">
            <v>163.60151351351351</v>
          </cell>
          <cell r="BO442">
            <v>0</v>
          </cell>
          <cell r="BP442">
            <v>0</v>
          </cell>
          <cell r="BY442">
            <v>1452.37</v>
          </cell>
          <cell r="CF442">
            <v>164.83391079</v>
          </cell>
          <cell r="CG442">
            <v>727.32</v>
          </cell>
          <cell r="CJ442">
            <v>0</v>
          </cell>
          <cell r="CK442">
            <v>0</v>
          </cell>
          <cell r="CL442">
            <v>0</v>
          </cell>
          <cell r="CM442">
            <v>0</v>
          </cell>
          <cell r="CN442">
            <v>0</v>
          </cell>
          <cell r="CO442">
            <v>0</v>
          </cell>
          <cell r="CX442">
            <v>0</v>
          </cell>
          <cell r="CY442">
            <v>0</v>
          </cell>
          <cell r="DB442">
            <v>0</v>
          </cell>
          <cell r="DC442">
            <v>0</v>
          </cell>
          <cell r="DJ442" t="str">
            <v>НКРЕ</v>
          </cell>
          <cell r="DL442">
            <v>40526</v>
          </cell>
          <cell r="DM442">
            <v>1749</v>
          </cell>
          <cell r="DO442" t="str">
            <v>тариф на теплову енергію</v>
          </cell>
          <cell r="DT442">
            <v>434.75</v>
          </cell>
        </row>
        <row r="443">
          <cell r="W443">
            <v>706.11</v>
          </cell>
          <cell r="AF443">
            <v>39968</v>
          </cell>
          <cell r="AG443">
            <v>1697</v>
          </cell>
          <cell r="AH443">
            <v>659.91614906832297</v>
          </cell>
          <cell r="AM443">
            <v>644</v>
          </cell>
          <cell r="AO443">
            <v>454734.84</v>
          </cell>
          <cell r="AQ443">
            <v>424986</v>
          </cell>
          <cell r="AU443">
            <v>0</v>
          </cell>
          <cell r="AW443">
            <v>0</v>
          </cell>
          <cell r="AY443">
            <v>245909.99999615501</v>
          </cell>
          <cell r="AZ443">
            <v>381.84782608098601</v>
          </cell>
          <cell r="BA443">
            <v>0</v>
          </cell>
          <cell r="BB443">
            <v>0</v>
          </cell>
          <cell r="BC443">
            <v>0</v>
          </cell>
          <cell r="BD443">
            <v>0</v>
          </cell>
          <cell r="BG443">
            <v>0</v>
          </cell>
          <cell r="BH443">
            <v>0</v>
          </cell>
          <cell r="BI443">
            <v>19226</v>
          </cell>
          <cell r="BJ443">
            <v>29.854037267080745</v>
          </cell>
          <cell r="BK443">
            <v>0</v>
          </cell>
          <cell r="BL443">
            <v>0</v>
          </cell>
          <cell r="BM443">
            <v>105310.6</v>
          </cell>
          <cell r="BN443">
            <v>163.52577639751553</v>
          </cell>
          <cell r="BO443">
            <v>0</v>
          </cell>
          <cell r="BP443">
            <v>0</v>
          </cell>
          <cell r="BY443">
            <v>1452.37</v>
          </cell>
          <cell r="CF443">
            <v>114.79052398</v>
          </cell>
          <cell r="CG443">
            <v>2142.25</v>
          </cell>
          <cell r="CJ443">
            <v>0</v>
          </cell>
          <cell r="CK443">
            <v>0</v>
          </cell>
          <cell r="CL443">
            <v>0</v>
          </cell>
          <cell r="CM443">
            <v>0</v>
          </cell>
          <cell r="CN443">
            <v>0</v>
          </cell>
          <cell r="CO443">
            <v>0</v>
          </cell>
          <cell r="CX443">
            <v>0</v>
          </cell>
          <cell r="CY443">
            <v>0</v>
          </cell>
          <cell r="DB443">
            <v>0</v>
          </cell>
          <cell r="DC443">
            <v>0</v>
          </cell>
          <cell r="DJ443" t="str">
            <v>НКРКП</v>
          </cell>
          <cell r="DL443">
            <v>40816</v>
          </cell>
          <cell r="DM443">
            <v>100</v>
          </cell>
          <cell r="DT443">
            <v>993.03</v>
          </cell>
        </row>
        <row r="444">
          <cell r="W444">
            <v>726.49</v>
          </cell>
          <cell r="AF444">
            <v>39968</v>
          </cell>
          <cell r="AG444">
            <v>1706</v>
          </cell>
          <cell r="AH444">
            <v>660.44555555555553</v>
          </cell>
          <cell r="AM444">
            <v>540</v>
          </cell>
          <cell r="AO444">
            <v>392304.6</v>
          </cell>
          <cell r="AQ444">
            <v>356640.6</v>
          </cell>
          <cell r="AU444">
            <v>0</v>
          </cell>
          <cell r="AW444">
            <v>0</v>
          </cell>
          <cell r="AY444">
            <v>208737</v>
          </cell>
          <cell r="AZ444">
            <v>386.55</v>
          </cell>
          <cell r="BA444">
            <v>0</v>
          </cell>
          <cell r="BB444">
            <v>0</v>
          </cell>
          <cell r="BC444">
            <v>0</v>
          </cell>
          <cell r="BD444">
            <v>0</v>
          </cell>
          <cell r="BG444">
            <v>0</v>
          </cell>
          <cell r="BH444">
            <v>0</v>
          </cell>
          <cell r="BI444">
            <v>13963</v>
          </cell>
          <cell r="BJ444">
            <v>25.857407407407408</v>
          </cell>
          <cell r="BK444">
            <v>0</v>
          </cell>
          <cell r="BL444">
            <v>0</v>
          </cell>
          <cell r="BM444">
            <v>81340.899999999994</v>
          </cell>
          <cell r="BN444">
            <v>150.63129629629628</v>
          </cell>
          <cell r="BO444">
            <v>0</v>
          </cell>
          <cell r="BP444">
            <v>0</v>
          </cell>
          <cell r="BY444">
            <v>1461.11</v>
          </cell>
          <cell r="CF444">
            <v>97.438025556259902</v>
          </cell>
          <cell r="CG444">
            <v>2142.2539999999999</v>
          </cell>
          <cell r="CJ444">
            <v>0</v>
          </cell>
          <cell r="CK444">
            <v>0</v>
          </cell>
          <cell r="CL444">
            <v>0</v>
          </cell>
          <cell r="CM444">
            <v>0</v>
          </cell>
          <cell r="CN444">
            <v>0</v>
          </cell>
          <cell r="CO444">
            <v>0</v>
          </cell>
          <cell r="CX444">
            <v>0</v>
          </cell>
          <cell r="CY444">
            <v>0</v>
          </cell>
          <cell r="DB444">
            <v>0</v>
          </cell>
          <cell r="DC444">
            <v>0</v>
          </cell>
          <cell r="DJ444" t="str">
            <v>НКРКП</v>
          </cell>
          <cell r="DL444">
            <v>40816</v>
          </cell>
          <cell r="DM444">
            <v>100</v>
          </cell>
          <cell r="DT444">
            <v>999.9</v>
          </cell>
        </row>
        <row r="445">
          <cell r="W445">
            <v>285.32</v>
          </cell>
          <cell r="AF445">
            <v>39660</v>
          </cell>
          <cell r="AG445">
            <v>771</v>
          </cell>
          <cell r="AH445">
            <v>285.32005248717644</v>
          </cell>
          <cell r="AM445">
            <v>8383</v>
          </cell>
          <cell r="AO445">
            <v>2391837.56</v>
          </cell>
          <cell r="AQ445">
            <v>2391838</v>
          </cell>
          <cell r="AU445">
            <v>0</v>
          </cell>
          <cell r="AW445">
            <v>0</v>
          </cell>
          <cell r="AY445">
            <v>1027798.9989564001</v>
          </cell>
          <cell r="AZ445">
            <v>122.60515316192296</v>
          </cell>
          <cell r="BA445">
            <v>0</v>
          </cell>
          <cell r="BB445">
            <v>0</v>
          </cell>
          <cell r="BC445">
            <v>0</v>
          </cell>
          <cell r="BD445">
            <v>0</v>
          </cell>
          <cell r="BG445">
            <v>0</v>
          </cell>
          <cell r="BH445">
            <v>0</v>
          </cell>
          <cell r="BI445">
            <v>115862</v>
          </cell>
          <cell r="BJ445">
            <v>13.821066443993796</v>
          </cell>
          <cell r="BK445">
            <v>0</v>
          </cell>
          <cell r="BL445">
            <v>0</v>
          </cell>
          <cell r="BM445">
            <v>744067</v>
          </cell>
          <cell r="BN445">
            <v>88.759036144578317</v>
          </cell>
          <cell r="BO445">
            <v>0</v>
          </cell>
          <cell r="BP445">
            <v>0</v>
          </cell>
          <cell r="BY445">
            <v>1132.71</v>
          </cell>
          <cell r="CF445">
            <v>1413.13177</v>
          </cell>
          <cell r="CG445">
            <v>727.32</v>
          </cell>
          <cell r="CJ445">
            <v>0</v>
          </cell>
          <cell r="CK445">
            <v>0</v>
          </cell>
          <cell r="CL445">
            <v>0</v>
          </cell>
          <cell r="CM445">
            <v>0</v>
          </cell>
          <cell r="CN445">
            <v>0</v>
          </cell>
          <cell r="CO445">
            <v>0</v>
          </cell>
          <cell r="CX445">
            <v>0</v>
          </cell>
          <cell r="CY445">
            <v>0</v>
          </cell>
          <cell r="DB445">
            <v>0</v>
          </cell>
          <cell r="DC445">
            <v>0</v>
          </cell>
          <cell r="DJ445" t="str">
            <v>НКРЕ</v>
          </cell>
          <cell r="DL445">
            <v>40526</v>
          </cell>
          <cell r="DM445">
            <v>1749</v>
          </cell>
          <cell r="DO445" t="str">
            <v>тариф на теплову енергію</v>
          </cell>
          <cell r="DT445">
            <v>392.23</v>
          </cell>
        </row>
        <row r="446">
          <cell r="W446">
            <v>684.77414409799997</v>
          </cell>
          <cell r="AF446">
            <v>39968</v>
          </cell>
          <cell r="AG446">
            <v>1689</v>
          </cell>
          <cell r="AH446">
            <v>622.52273888605009</v>
          </cell>
          <cell r="AM446">
            <v>1957</v>
          </cell>
          <cell r="AO446">
            <v>1340102.999999786</v>
          </cell>
          <cell r="AQ446">
            <v>1218277</v>
          </cell>
          <cell r="AU446">
            <v>0</v>
          </cell>
          <cell r="AW446">
            <v>0</v>
          </cell>
          <cell r="AY446">
            <v>730280.99999376503</v>
          </cell>
          <cell r="AZ446">
            <v>373.16351558189319</v>
          </cell>
          <cell r="BA446">
            <v>0</v>
          </cell>
          <cell r="BB446">
            <v>0</v>
          </cell>
          <cell r="BC446">
            <v>0</v>
          </cell>
          <cell r="BD446">
            <v>0</v>
          </cell>
          <cell r="BG446">
            <v>0</v>
          </cell>
          <cell r="BH446">
            <v>0</v>
          </cell>
          <cell r="BI446">
            <v>44634</v>
          </cell>
          <cell r="BJ446">
            <v>22.807358201328565</v>
          </cell>
          <cell r="BK446">
            <v>0</v>
          </cell>
          <cell r="BL446">
            <v>0</v>
          </cell>
          <cell r="BM446">
            <v>290721.37162300001</v>
          </cell>
          <cell r="BN446">
            <v>148.55460992488503</v>
          </cell>
          <cell r="BO446">
            <v>0</v>
          </cell>
          <cell r="BP446">
            <v>0</v>
          </cell>
          <cell r="BY446">
            <v>1163.56</v>
          </cell>
          <cell r="CF446">
            <v>340.89438674000002</v>
          </cell>
          <cell r="CG446">
            <v>2142.25</v>
          </cell>
          <cell r="CJ446">
            <v>0</v>
          </cell>
          <cell r="CK446">
            <v>0</v>
          </cell>
          <cell r="CL446">
            <v>0</v>
          </cell>
          <cell r="CM446">
            <v>0</v>
          </cell>
          <cell r="CN446">
            <v>0</v>
          </cell>
          <cell r="CO446">
            <v>0</v>
          </cell>
          <cell r="CX446">
            <v>0</v>
          </cell>
          <cell r="CY446">
            <v>0</v>
          </cell>
          <cell r="DB446">
            <v>0</v>
          </cell>
          <cell r="DC446">
            <v>0</v>
          </cell>
          <cell r="DJ446" t="str">
            <v>НКРКП</v>
          </cell>
          <cell r="DL446">
            <v>40816</v>
          </cell>
          <cell r="DM446">
            <v>100</v>
          </cell>
          <cell r="DT446">
            <v>963.66</v>
          </cell>
        </row>
        <row r="447">
          <cell r="W447">
            <v>669.64680851000003</v>
          </cell>
          <cell r="AF447">
            <v>39968</v>
          </cell>
          <cell r="AG447">
            <v>1690</v>
          </cell>
          <cell r="AH447">
            <v>608.77021276595747</v>
          </cell>
          <cell r="AM447">
            <v>235</v>
          </cell>
          <cell r="AO447">
            <v>157366.99999985</v>
          </cell>
          <cell r="AQ447">
            <v>143061</v>
          </cell>
          <cell r="AU447">
            <v>0</v>
          </cell>
          <cell r="AW447">
            <v>0</v>
          </cell>
          <cell r="AY447">
            <v>84571.999999299995</v>
          </cell>
          <cell r="AZ447">
            <v>359.88085106085106</v>
          </cell>
          <cell r="BA447">
            <v>0</v>
          </cell>
          <cell r="BB447">
            <v>0</v>
          </cell>
          <cell r="BC447">
            <v>0</v>
          </cell>
          <cell r="BD447">
            <v>0</v>
          </cell>
          <cell r="BG447">
            <v>0</v>
          </cell>
          <cell r="BH447">
            <v>0</v>
          </cell>
          <cell r="BI447">
            <v>5368</v>
          </cell>
          <cell r="BJ447">
            <v>22.842553191489362</v>
          </cell>
          <cell r="BK447">
            <v>0</v>
          </cell>
          <cell r="BL447">
            <v>0</v>
          </cell>
          <cell r="BM447">
            <v>34910.3333298</v>
          </cell>
          <cell r="BN447">
            <v>148.55460991404254</v>
          </cell>
          <cell r="BO447">
            <v>0</v>
          </cell>
          <cell r="BP447">
            <v>0</v>
          </cell>
          <cell r="BY447">
            <v>1163.56</v>
          </cell>
          <cell r="CF447">
            <v>39.478118799999997</v>
          </cell>
          <cell r="CG447">
            <v>2142.25</v>
          </cell>
          <cell r="CJ447">
            <v>0</v>
          </cell>
          <cell r="CK447">
            <v>0</v>
          </cell>
          <cell r="CL447">
            <v>0</v>
          </cell>
          <cell r="CM447">
            <v>0</v>
          </cell>
          <cell r="CN447">
            <v>0</v>
          </cell>
          <cell r="CO447">
            <v>0</v>
          </cell>
          <cell r="CX447">
            <v>0</v>
          </cell>
          <cell r="CY447">
            <v>0</v>
          </cell>
          <cell r="DB447">
            <v>0</v>
          </cell>
          <cell r="DC447">
            <v>0</v>
          </cell>
          <cell r="DJ447" t="str">
            <v>НКРКП</v>
          </cell>
          <cell r="DL447">
            <v>40816</v>
          </cell>
          <cell r="DM447">
            <v>100</v>
          </cell>
          <cell r="DT447">
            <v>940.06</v>
          </cell>
        </row>
        <row r="448">
          <cell r="W448">
            <v>394.55</v>
          </cell>
          <cell r="AF448">
            <v>39968</v>
          </cell>
          <cell r="AG448">
            <v>1685</v>
          </cell>
          <cell r="AH448">
            <v>394.54999999999956</v>
          </cell>
          <cell r="AM448">
            <v>5597.1322146240082</v>
          </cell>
          <cell r="AO448">
            <v>2208348.5152799026</v>
          </cell>
          <cell r="AQ448">
            <v>2208348.5152798998</v>
          </cell>
          <cell r="AU448">
            <v>0</v>
          </cell>
          <cell r="AW448">
            <v>0</v>
          </cell>
          <cell r="AY448">
            <v>728300</v>
          </cell>
          <cell r="AZ448">
            <v>130.12020657598922</v>
          </cell>
          <cell r="BA448">
            <v>0</v>
          </cell>
          <cell r="BB448">
            <v>0</v>
          </cell>
          <cell r="BC448">
            <v>0</v>
          </cell>
          <cell r="BD448">
            <v>0</v>
          </cell>
          <cell r="BG448">
            <v>0</v>
          </cell>
          <cell r="BH448">
            <v>0</v>
          </cell>
          <cell r="BI448">
            <v>411604</v>
          </cell>
          <cell r="BJ448">
            <v>73.538373620078914</v>
          </cell>
          <cell r="BK448">
            <v>0</v>
          </cell>
          <cell r="BL448">
            <v>0</v>
          </cell>
          <cell r="BM448">
            <v>673297.2</v>
          </cell>
          <cell r="BN448">
            <v>120.29324557330101</v>
          </cell>
          <cell r="BO448">
            <v>0</v>
          </cell>
          <cell r="BP448">
            <v>0</v>
          </cell>
          <cell r="BY448">
            <v>1439.43</v>
          </cell>
          <cell r="CF448">
            <v>1001.3474124181927</v>
          </cell>
          <cell r="CG448">
            <v>727.32</v>
          </cell>
          <cell r="CJ448">
            <v>0</v>
          </cell>
          <cell r="CK448">
            <v>0</v>
          </cell>
          <cell r="CL448">
            <v>0</v>
          </cell>
          <cell r="CM448">
            <v>0</v>
          </cell>
          <cell r="CN448">
            <v>0</v>
          </cell>
          <cell r="CO448">
            <v>0</v>
          </cell>
          <cell r="CX448">
            <v>0</v>
          </cell>
          <cell r="CY448">
            <v>0</v>
          </cell>
          <cell r="DB448">
            <v>0</v>
          </cell>
          <cell r="DC448">
            <v>0</v>
          </cell>
          <cell r="DJ448" t="str">
            <v>НКРЕ</v>
          </cell>
          <cell r="DL448">
            <v>40526</v>
          </cell>
          <cell r="DM448">
            <v>1749</v>
          </cell>
          <cell r="DO448" t="str">
            <v>тариф на теплову енергію</v>
          </cell>
          <cell r="DT448">
            <v>434.01</v>
          </cell>
        </row>
        <row r="449">
          <cell r="W449">
            <v>759.30345136699998</v>
          </cell>
          <cell r="AF449">
            <v>39968</v>
          </cell>
          <cell r="AG449">
            <v>1686</v>
          </cell>
          <cell r="AH449">
            <v>660.26400717167189</v>
          </cell>
          <cell r="AM449">
            <v>2231</v>
          </cell>
          <cell r="AO449">
            <v>1694005.9999997769</v>
          </cell>
          <cell r="AQ449">
            <v>1473049</v>
          </cell>
          <cell r="AU449">
            <v>0</v>
          </cell>
          <cell r="AW449">
            <v>0</v>
          </cell>
          <cell r="AY449">
            <v>854918.99998527009</v>
          </cell>
          <cell r="AZ449">
            <v>383.19991034749893</v>
          </cell>
          <cell r="BA449">
            <v>0</v>
          </cell>
          <cell r="BB449">
            <v>0</v>
          </cell>
          <cell r="BC449">
            <v>0</v>
          </cell>
          <cell r="BD449">
            <v>0</v>
          </cell>
          <cell r="BG449">
            <v>0</v>
          </cell>
          <cell r="BH449">
            <v>0</v>
          </cell>
          <cell r="BI449">
            <v>164040</v>
          </cell>
          <cell r="BJ449">
            <v>73.527566113850298</v>
          </cell>
          <cell r="BK449">
            <v>0</v>
          </cell>
          <cell r="BL449">
            <v>0</v>
          </cell>
          <cell r="BM449">
            <v>268370.43</v>
          </cell>
          <cell r="BN449">
            <v>120.29154190945764</v>
          </cell>
          <cell r="BO449">
            <v>0</v>
          </cell>
          <cell r="BP449">
            <v>0</v>
          </cell>
          <cell r="BY449">
            <v>1439.43</v>
          </cell>
          <cell r="CF449">
            <v>399.07527132000001</v>
          </cell>
          <cell r="CG449">
            <v>2142.25</v>
          </cell>
          <cell r="CJ449">
            <v>0</v>
          </cell>
          <cell r="CK449">
            <v>0</v>
          </cell>
          <cell r="CL449">
            <v>0</v>
          </cell>
          <cell r="CM449">
            <v>0</v>
          </cell>
          <cell r="CN449">
            <v>0</v>
          </cell>
          <cell r="CO449">
            <v>0</v>
          </cell>
          <cell r="CX449">
            <v>0</v>
          </cell>
          <cell r="CY449">
            <v>0</v>
          </cell>
          <cell r="DB449">
            <v>0</v>
          </cell>
          <cell r="DC449">
            <v>0</v>
          </cell>
          <cell r="DJ449" t="str">
            <v>НКРКП</v>
          </cell>
          <cell r="DL449">
            <v>40816</v>
          </cell>
          <cell r="DM449">
            <v>100</v>
          </cell>
          <cell r="DT449">
            <v>999.9</v>
          </cell>
        </row>
        <row r="450">
          <cell r="W450">
            <v>789.25</v>
          </cell>
          <cell r="AF450">
            <v>39968</v>
          </cell>
          <cell r="AG450">
            <v>1687</v>
          </cell>
          <cell r="AH450">
            <v>657.68977954682316</v>
          </cell>
          <cell r="AM450">
            <v>132.00448402865766</v>
          </cell>
          <cell r="AO450">
            <v>104184.53901961805</v>
          </cell>
          <cell r="AQ450">
            <v>86818</v>
          </cell>
          <cell r="AU450">
            <v>0</v>
          </cell>
          <cell r="AW450">
            <v>0</v>
          </cell>
          <cell r="AY450">
            <v>50420.470724432016</v>
          </cell>
          <cell r="AZ450">
            <v>381.96028790571938</v>
          </cell>
          <cell r="BA450">
            <v>0</v>
          </cell>
          <cell r="BB450">
            <v>0</v>
          </cell>
          <cell r="BC450">
            <v>0</v>
          </cell>
          <cell r="BD450">
            <v>0</v>
          </cell>
          <cell r="BG450">
            <v>0</v>
          </cell>
          <cell r="BH450">
            <v>0</v>
          </cell>
          <cell r="BI450">
            <v>9675</v>
          </cell>
          <cell r="BJ450">
            <v>73.292964789738477</v>
          </cell>
          <cell r="BK450">
            <v>0</v>
          </cell>
          <cell r="BL450">
            <v>0</v>
          </cell>
          <cell r="BM450">
            <v>15772.37</v>
          </cell>
          <cell r="BN450">
            <v>119.48359266777544</v>
          </cell>
          <cell r="BO450">
            <v>0</v>
          </cell>
          <cell r="BP450">
            <v>0</v>
          </cell>
          <cell r="BY450">
            <v>1439.43</v>
          </cell>
          <cell r="CF450">
            <v>23.536221600855182</v>
          </cell>
          <cell r="CG450">
            <v>2142.25</v>
          </cell>
          <cell r="CJ450">
            <v>0</v>
          </cell>
          <cell r="CK450">
            <v>0</v>
          </cell>
          <cell r="CL450">
            <v>0</v>
          </cell>
          <cell r="CM450">
            <v>0</v>
          </cell>
          <cell r="CN450">
            <v>0</v>
          </cell>
          <cell r="CO450">
            <v>0</v>
          </cell>
          <cell r="CX450">
            <v>0</v>
          </cell>
          <cell r="CY450">
            <v>0</v>
          </cell>
          <cell r="DB450">
            <v>0</v>
          </cell>
          <cell r="DC450">
            <v>0</v>
          </cell>
          <cell r="DJ450" t="str">
            <v>НКРКП</v>
          </cell>
          <cell r="DL450">
            <v>40816</v>
          </cell>
          <cell r="DM450">
            <v>100</v>
          </cell>
          <cell r="DT450">
            <v>999.9</v>
          </cell>
        </row>
        <row r="451">
          <cell r="W451">
            <v>661.25130434699997</v>
          </cell>
          <cell r="AF451">
            <v>39968</v>
          </cell>
          <cell r="AG451">
            <v>1701</v>
          </cell>
          <cell r="AH451">
            <v>629.76347826086953</v>
          </cell>
          <cell r="AM451">
            <v>1150</v>
          </cell>
          <cell r="AO451">
            <v>760438.99999904993</v>
          </cell>
          <cell r="AQ451">
            <v>724228</v>
          </cell>
          <cell r="AU451">
            <v>0</v>
          </cell>
          <cell r="AW451">
            <v>0</v>
          </cell>
          <cell r="AY451">
            <v>439570.00000000006</v>
          </cell>
          <cell r="AZ451">
            <v>382.2347826086957</v>
          </cell>
          <cell r="BA451">
            <v>0</v>
          </cell>
          <cell r="BB451">
            <v>0</v>
          </cell>
          <cell r="BC451">
            <v>0</v>
          </cell>
          <cell r="BD451">
            <v>0</v>
          </cell>
          <cell r="BG451">
            <v>0</v>
          </cell>
          <cell r="BH451">
            <v>0</v>
          </cell>
          <cell r="BI451">
            <v>22263</v>
          </cell>
          <cell r="BJ451">
            <v>19.35913043478261</v>
          </cell>
          <cell r="BK451">
            <v>0</v>
          </cell>
          <cell r="BL451">
            <v>0</v>
          </cell>
          <cell r="BM451">
            <v>158415</v>
          </cell>
          <cell r="BN451">
            <v>137.75217391304349</v>
          </cell>
          <cell r="BO451">
            <v>0</v>
          </cell>
          <cell r="BP451">
            <v>0</v>
          </cell>
          <cell r="BY451">
            <v>1326.12</v>
          </cell>
          <cell r="CF451">
            <v>205.19080406115069</v>
          </cell>
          <cell r="CG451">
            <v>2142.25</v>
          </cell>
          <cell r="CJ451">
            <v>0</v>
          </cell>
          <cell r="CK451">
            <v>0</v>
          </cell>
          <cell r="CL451">
            <v>0</v>
          </cell>
          <cell r="CM451">
            <v>0</v>
          </cell>
          <cell r="CN451">
            <v>0</v>
          </cell>
          <cell r="CO451">
            <v>0</v>
          </cell>
          <cell r="CX451">
            <v>0</v>
          </cell>
          <cell r="CY451">
            <v>0</v>
          </cell>
          <cell r="DB451">
            <v>0</v>
          </cell>
          <cell r="DC451">
            <v>0</v>
          </cell>
          <cell r="DJ451" t="str">
            <v>НКРКП</v>
          </cell>
          <cell r="DL451">
            <v>40816</v>
          </cell>
          <cell r="DM451">
            <v>100</v>
          </cell>
          <cell r="DT451">
            <v>948.46</v>
          </cell>
        </row>
        <row r="452">
          <cell r="W452">
            <v>328.17806894099999</v>
          </cell>
          <cell r="AF452">
            <v>39968</v>
          </cell>
          <cell r="AG452">
            <v>1713</v>
          </cell>
          <cell r="AH452">
            <v>328.17806894125926</v>
          </cell>
          <cell r="AM452">
            <v>11372</v>
          </cell>
          <cell r="AO452">
            <v>3732040.9999970519</v>
          </cell>
          <cell r="AQ452">
            <v>3732041</v>
          </cell>
          <cell r="AU452">
            <v>0</v>
          </cell>
          <cell r="AW452">
            <v>0</v>
          </cell>
          <cell r="AY452">
            <v>1471058</v>
          </cell>
          <cell r="AZ452">
            <v>129.35789658811115</v>
          </cell>
          <cell r="BA452">
            <v>0</v>
          </cell>
          <cell r="BB452">
            <v>0</v>
          </cell>
          <cell r="BC452">
            <v>0</v>
          </cell>
          <cell r="BD452">
            <v>0</v>
          </cell>
          <cell r="BG452">
            <v>0</v>
          </cell>
          <cell r="BH452">
            <v>0</v>
          </cell>
          <cell r="BI452">
            <v>210328</v>
          </cell>
          <cell r="BJ452">
            <v>18.495251494899755</v>
          </cell>
          <cell r="BK452">
            <v>0</v>
          </cell>
          <cell r="BL452">
            <v>0</v>
          </cell>
          <cell r="BM452">
            <v>1309826</v>
          </cell>
          <cell r="BN452">
            <v>115.17991558213156</v>
          </cell>
          <cell r="BO452">
            <v>0</v>
          </cell>
          <cell r="BP452">
            <v>0</v>
          </cell>
          <cell r="BY452">
            <v>1452.37</v>
          </cell>
          <cell r="CF452">
            <v>2022.5732827366221</v>
          </cell>
          <cell r="CG452">
            <v>727.32</v>
          </cell>
          <cell r="CJ452">
            <v>0</v>
          </cell>
          <cell r="CK452">
            <v>0</v>
          </cell>
          <cell r="CL452">
            <v>0</v>
          </cell>
          <cell r="CM452">
            <v>0</v>
          </cell>
          <cell r="CN452">
            <v>0</v>
          </cell>
          <cell r="CO452">
            <v>0</v>
          </cell>
          <cell r="CX452">
            <v>0</v>
          </cell>
          <cell r="CY452">
            <v>0</v>
          </cell>
          <cell r="DB452">
            <v>0</v>
          </cell>
          <cell r="DC452">
            <v>0</v>
          </cell>
          <cell r="DJ452" t="str">
            <v>НКРЕ</v>
          </cell>
          <cell r="DL452">
            <v>40526</v>
          </cell>
          <cell r="DM452">
            <v>1749</v>
          </cell>
          <cell r="DO452" t="str">
            <v>тариф на теплову енергію</v>
          </cell>
          <cell r="DT452">
            <v>361</v>
          </cell>
        </row>
        <row r="453">
          <cell r="W453">
            <v>683.04</v>
          </cell>
          <cell r="AF453">
            <v>39968</v>
          </cell>
          <cell r="AG453">
            <v>1714</v>
          </cell>
          <cell r="AH453">
            <v>593.95000000000005</v>
          </cell>
          <cell r="AM453">
            <v>8700</v>
          </cell>
          <cell r="AO453">
            <v>5942448</v>
          </cell>
          <cell r="AQ453">
            <v>5167365</v>
          </cell>
          <cell r="AU453">
            <v>0</v>
          </cell>
          <cell r="AW453">
            <v>0</v>
          </cell>
          <cell r="AY453">
            <v>3327538</v>
          </cell>
          <cell r="AZ453">
            <v>382.47563218390803</v>
          </cell>
          <cell r="BA453">
            <v>0</v>
          </cell>
          <cell r="BB453">
            <v>0</v>
          </cell>
          <cell r="BC453">
            <v>0</v>
          </cell>
          <cell r="BD453">
            <v>0</v>
          </cell>
          <cell r="BG453">
            <v>0</v>
          </cell>
          <cell r="BH453">
            <v>0</v>
          </cell>
          <cell r="BI453">
            <v>160910</v>
          </cell>
          <cell r="BJ453">
            <v>18.495402298850575</v>
          </cell>
          <cell r="BK453">
            <v>0</v>
          </cell>
          <cell r="BL453">
            <v>0</v>
          </cell>
          <cell r="BM453">
            <v>1002066.2</v>
          </cell>
          <cell r="BN453">
            <v>115.18002298850574</v>
          </cell>
          <cell r="BO453">
            <v>0</v>
          </cell>
          <cell r="BP453">
            <v>0</v>
          </cell>
          <cell r="BY453">
            <v>1452.37</v>
          </cell>
          <cell r="CF453">
            <v>1553.2911658303185</v>
          </cell>
          <cell r="CG453">
            <v>2142.25</v>
          </cell>
          <cell r="CJ453">
            <v>0</v>
          </cell>
          <cell r="CK453">
            <v>0</v>
          </cell>
          <cell r="CL453">
            <v>0</v>
          </cell>
          <cell r="CM453">
            <v>0</v>
          </cell>
          <cell r="CN453">
            <v>0</v>
          </cell>
          <cell r="CO453">
            <v>0</v>
          </cell>
          <cell r="CX453">
            <v>0</v>
          </cell>
          <cell r="CY453">
            <v>0</v>
          </cell>
          <cell r="DB453">
            <v>0</v>
          </cell>
          <cell r="DC453">
            <v>0</v>
          </cell>
          <cell r="DJ453" t="str">
            <v>НКРКП</v>
          </cell>
          <cell r="DL453">
            <v>40816</v>
          </cell>
          <cell r="DM453">
            <v>100</v>
          </cell>
          <cell r="DT453">
            <v>970.44</v>
          </cell>
        </row>
        <row r="454">
          <cell r="W454">
            <v>685.07522123800004</v>
          </cell>
          <cell r="AF454">
            <v>39968</v>
          </cell>
          <cell r="AG454">
            <v>1715</v>
          </cell>
          <cell r="AH454">
            <v>595.71978823026734</v>
          </cell>
          <cell r="AM454">
            <v>225.99249287982579</v>
          </cell>
          <cell r="AO454">
            <v>154821.8570577738</v>
          </cell>
          <cell r="AQ454">
            <v>134628.20000000001</v>
          </cell>
          <cell r="AU454">
            <v>0</v>
          </cell>
          <cell r="AW454">
            <v>0</v>
          </cell>
          <cell r="AY454">
            <v>86795.000000000015</v>
          </cell>
          <cell r="AZ454">
            <v>384.06143006774255</v>
          </cell>
          <cell r="BA454">
            <v>0</v>
          </cell>
          <cell r="BB454">
            <v>0</v>
          </cell>
          <cell r="BC454">
            <v>0</v>
          </cell>
          <cell r="BD454">
            <v>0</v>
          </cell>
          <cell r="BG454">
            <v>0</v>
          </cell>
          <cell r="BH454">
            <v>0</v>
          </cell>
          <cell r="BI454">
            <v>4186</v>
          </cell>
          <cell r="BJ454">
            <v>18.522739170039404</v>
          </cell>
          <cell r="BK454">
            <v>0</v>
          </cell>
          <cell r="BL454">
            <v>0</v>
          </cell>
          <cell r="BM454">
            <v>26036.799999999999</v>
          </cell>
          <cell r="BN454">
            <v>115.21090664655564</v>
          </cell>
          <cell r="BO454">
            <v>0</v>
          </cell>
          <cell r="BP454">
            <v>0</v>
          </cell>
          <cell r="BY454">
            <v>1452.37</v>
          </cell>
          <cell r="CF454">
            <v>40.515812813630532</v>
          </cell>
          <cell r="CG454">
            <v>2142.25</v>
          </cell>
          <cell r="CJ454">
            <v>0</v>
          </cell>
          <cell r="CK454">
            <v>0</v>
          </cell>
          <cell r="CL454">
            <v>0</v>
          </cell>
          <cell r="CM454">
            <v>0</v>
          </cell>
          <cell r="CN454">
            <v>0</v>
          </cell>
          <cell r="CO454">
            <v>0</v>
          </cell>
          <cell r="CX454">
            <v>0</v>
          </cell>
          <cell r="CY454">
            <v>0</v>
          </cell>
          <cell r="DB454">
            <v>0</v>
          </cell>
          <cell r="DC454">
            <v>0</v>
          </cell>
          <cell r="DJ454" t="str">
            <v>НКРКП</v>
          </cell>
          <cell r="DL454">
            <v>40816</v>
          </cell>
          <cell r="DM454">
            <v>100</v>
          </cell>
          <cell r="DT454">
            <v>973.69</v>
          </cell>
        </row>
        <row r="455">
          <cell r="W455">
            <v>687.55809859099998</v>
          </cell>
          <cell r="AF455">
            <v>39968</v>
          </cell>
          <cell r="AG455">
            <v>1700</v>
          </cell>
          <cell r="AH455">
            <v>654.81748826291084</v>
          </cell>
          <cell r="AM455">
            <v>1704</v>
          </cell>
          <cell r="AO455">
            <v>1171598.999999064</v>
          </cell>
          <cell r="AQ455">
            <v>1115809</v>
          </cell>
          <cell r="AU455">
            <v>0</v>
          </cell>
          <cell r="AW455">
            <v>0</v>
          </cell>
          <cell r="AY455">
            <v>648916</v>
          </cell>
          <cell r="AZ455">
            <v>380.81924882629107</v>
          </cell>
          <cell r="BA455">
            <v>0</v>
          </cell>
          <cell r="BB455">
            <v>0</v>
          </cell>
          <cell r="BC455">
            <v>0</v>
          </cell>
          <cell r="BD455">
            <v>0</v>
          </cell>
          <cell r="BG455">
            <v>0</v>
          </cell>
          <cell r="BH455">
            <v>0</v>
          </cell>
          <cell r="BI455">
            <v>64467</v>
          </cell>
          <cell r="BJ455">
            <v>37.83274647887324</v>
          </cell>
          <cell r="BK455">
            <v>0</v>
          </cell>
          <cell r="BL455">
            <v>0</v>
          </cell>
          <cell r="BM455">
            <v>258841.46</v>
          </cell>
          <cell r="BN455">
            <v>151.90226525821595</v>
          </cell>
          <cell r="BO455">
            <v>0</v>
          </cell>
          <cell r="BP455">
            <v>0</v>
          </cell>
          <cell r="BY455">
            <v>1326.12</v>
          </cell>
          <cell r="CF455">
            <v>302.91329209942819</v>
          </cell>
          <cell r="CG455">
            <v>2142.25</v>
          </cell>
          <cell r="CJ455">
            <v>0</v>
          </cell>
          <cell r="CK455">
            <v>0</v>
          </cell>
          <cell r="CL455">
            <v>0</v>
          </cell>
          <cell r="CM455">
            <v>0</v>
          </cell>
          <cell r="CN455">
            <v>0</v>
          </cell>
          <cell r="CO455">
            <v>0</v>
          </cell>
          <cell r="CX455">
            <v>0</v>
          </cell>
          <cell r="CY455">
            <v>0</v>
          </cell>
          <cell r="DB455">
            <v>0</v>
          </cell>
          <cell r="DC455">
            <v>0</v>
          </cell>
          <cell r="DJ455" t="str">
            <v>НКРКП</v>
          </cell>
          <cell r="DL455">
            <v>40816</v>
          </cell>
          <cell r="DM455">
            <v>100</v>
          </cell>
          <cell r="DT455">
            <v>973.74</v>
          </cell>
        </row>
        <row r="456">
          <cell r="W456">
            <v>632.943396226</v>
          </cell>
          <cell r="AF456">
            <v>39968</v>
          </cell>
          <cell r="AG456">
            <v>1717</v>
          </cell>
          <cell r="AH456">
            <v>602.80424528301887</v>
          </cell>
          <cell r="AM456">
            <v>424</v>
          </cell>
          <cell r="AO456">
            <v>268367.99999982398</v>
          </cell>
          <cell r="AQ456">
            <v>255589</v>
          </cell>
          <cell r="AU456">
            <v>0</v>
          </cell>
          <cell r="AW456">
            <v>0</v>
          </cell>
          <cell r="AY456">
            <v>162643</v>
          </cell>
          <cell r="AZ456">
            <v>383.59198113207549</v>
          </cell>
          <cell r="BA456">
            <v>0</v>
          </cell>
          <cell r="BB456">
            <v>0</v>
          </cell>
          <cell r="BC456">
            <v>0</v>
          </cell>
          <cell r="BD456">
            <v>0</v>
          </cell>
          <cell r="BG456">
            <v>0</v>
          </cell>
          <cell r="BH456">
            <v>0</v>
          </cell>
          <cell r="BI456">
            <v>7052</v>
          </cell>
          <cell r="BJ456">
            <v>16.632075471698112</v>
          </cell>
          <cell r="BK456">
            <v>0</v>
          </cell>
          <cell r="BL456">
            <v>0</v>
          </cell>
          <cell r="BM456">
            <v>48389.5</v>
          </cell>
          <cell r="BN456">
            <v>114.12617924528301</v>
          </cell>
          <cell r="BO456">
            <v>0</v>
          </cell>
          <cell r="BP456">
            <v>0</v>
          </cell>
          <cell r="BY456">
            <v>1475.92</v>
          </cell>
          <cell r="CF456">
            <v>75.921577780371109</v>
          </cell>
          <cell r="CG456">
            <v>2142.25</v>
          </cell>
          <cell r="CJ456">
            <v>0</v>
          </cell>
          <cell r="CK456">
            <v>0</v>
          </cell>
          <cell r="CL456">
            <v>0</v>
          </cell>
          <cell r="CM456">
            <v>0</v>
          </cell>
          <cell r="CN456">
            <v>0</v>
          </cell>
          <cell r="CO456">
            <v>0</v>
          </cell>
          <cell r="CX456">
            <v>0</v>
          </cell>
          <cell r="CY456">
            <v>0</v>
          </cell>
          <cell r="DB456">
            <v>0</v>
          </cell>
          <cell r="DC456">
            <v>0</v>
          </cell>
          <cell r="DJ456" t="str">
            <v>НКРКП</v>
          </cell>
          <cell r="DL456">
            <v>40816</v>
          </cell>
          <cell r="DM456">
            <v>100</v>
          </cell>
          <cell r="DT456">
            <v>921.16</v>
          </cell>
        </row>
        <row r="457">
          <cell r="W457">
            <v>721.81283422399997</v>
          </cell>
          <cell r="AF457">
            <v>39968</v>
          </cell>
          <cell r="AG457">
            <v>1703</v>
          </cell>
          <cell r="AH457">
            <v>644.4763814616756</v>
          </cell>
          <cell r="AM457">
            <v>2244</v>
          </cell>
          <cell r="AO457">
            <v>1619747.9999986559</v>
          </cell>
          <cell r="AQ457">
            <v>1446205</v>
          </cell>
          <cell r="AU457">
            <v>0</v>
          </cell>
          <cell r="AW457">
            <v>0</v>
          </cell>
          <cell r="AY457">
            <v>848451.99999980745</v>
          </cell>
          <cell r="AZ457">
            <v>378.09803921560047</v>
          </cell>
          <cell r="BA457">
            <v>0</v>
          </cell>
          <cell r="BB457">
            <v>0</v>
          </cell>
          <cell r="BC457">
            <v>0</v>
          </cell>
          <cell r="BD457">
            <v>0</v>
          </cell>
          <cell r="BG457">
            <v>0</v>
          </cell>
          <cell r="BH457">
            <v>0</v>
          </cell>
          <cell r="BI457">
            <v>49481</v>
          </cell>
          <cell r="BJ457">
            <v>22.05035650623886</v>
          </cell>
          <cell r="BK457">
            <v>0</v>
          </cell>
          <cell r="BL457">
            <v>0</v>
          </cell>
          <cell r="BM457">
            <v>359705.7</v>
          </cell>
          <cell r="BN457">
            <v>160.29665775401071</v>
          </cell>
          <cell r="BO457">
            <v>0</v>
          </cell>
          <cell r="BP457">
            <v>0</v>
          </cell>
          <cell r="BY457">
            <v>1113.7066870132981</v>
          </cell>
          <cell r="CF457">
            <v>396.05648266999998</v>
          </cell>
          <cell r="CG457">
            <v>2142.25</v>
          </cell>
          <cell r="CJ457">
            <v>0</v>
          </cell>
          <cell r="CK457">
            <v>0</v>
          </cell>
          <cell r="CL457">
            <v>0</v>
          </cell>
          <cell r="CM457">
            <v>0</v>
          </cell>
          <cell r="CN457">
            <v>0</v>
          </cell>
          <cell r="CO457">
            <v>0</v>
          </cell>
          <cell r="CX457">
            <v>0</v>
          </cell>
          <cell r="CY457">
            <v>0</v>
          </cell>
          <cell r="DB457">
            <v>0</v>
          </cell>
          <cell r="DC457">
            <v>0</v>
          </cell>
          <cell r="DJ457" t="str">
            <v>НКРКП</v>
          </cell>
          <cell r="DL457">
            <v>40816</v>
          </cell>
          <cell r="DM457">
            <v>100</v>
          </cell>
          <cell r="DT457">
            <v>999.9</v>
          </cell>
        </row>
        <row r="458">
          <cell r="W458">
            <v>197.7</v>
          </cell>
          <cell r="AF458">
            <v>39987</v>
          </cell>
          <cell r="AG458" t="str">
            <v xml:space="preserve">  10-09</v>
          </cell>
          <cell r="AH458">
            <v>233.69391690172498</v>
          </cell>
          <cell r="AM458">
            <v>125039.9</v>
          </cell>
          <cell r="AO458">
            <v>24720388.229999997</v>
          </cell>
          <cell r="AQ458">
            <v>29221064</v>
          </cell>
          <cell r="AU458">
            <v>21043605</v>
          </cell>
          <cell r="AW458">
            <v>0</v>
          </cell>
          <cell r="AY458">
            <v>0</v>
          </cell>
          <cell r="AZ458">
            <v>0</v>
          </cell>
          <cell r="BA458">
            <v>0</v>
          </cell>
          <cell r="BB458">
            <v>0</v>
          </cell>
          <cell r="BC458">
            <v>0</v>
          </cell>
          <cell r="BD458">
            <v>0</v>
          </cell>
          <cell r="BG458">
            <v>0</v>
          </cell>
          <cell r="BH458">
            <v>0</v>
          </cell>
          <cell r="BI458">
            <v>1841839.2</v>
          </cell>
          <cell r="BJ458">
            <v>14.730011780239748</v>
          </cell>
          <cell r="BK458">
            <v>0</v>
          </cell>
          <cell r="BL458">
            <v>0</v>
          </cell>
          <cell r="BM458">
            <v>3958767</v>
          </cell>
          <cell r="BN458">
            <v>31.660030118386214</v>
          </cell>
          <cell r="BO458">
            <v>0</v>
          </cell>
          <cell r="BP458">
            <v>0</v>
          </cell>
          <cell r="BY458">
            <v>2323.1999999999998</v>
          </cell>
          <cell r="CF458">
            <v>0</v>
          </cell>
          <cell r="CG458">
            <v>0</v>
          </cell>
          <cell r="CJ458">
            <v>143300</v>
          </cell>
          <cell r="CK458">
            <v>146.85</v>
          </cell>
          <cell r="CL458">
            <v>228.21</v>
          </cell>
          <cell r="CM458">
            <v>0</v>
          </cell>
          <cell r="CN458">
            <v>0</v>
          </cell>
          <cell r="CO458">
            <v>0</v>
          </cell>
          <cell r="CX458">
            <v>0</v>
          </cell>
          <cell r="CY458">
            <v>0</v>
          </cell>
          <cell r="DB458">
            <v>0</v>
          </cell>
          <cell r="DC458">
            <v>0</v>
          </cell>
          <cell r="DJ458" t="str">
            <v>НКРЕ</v>
          </cell>
          <cell r="DL458">
            <v>40633</v>
          </cell>
          <cell r="DM458">
            <v>472</v>
          </cell>
          <cell r="DO458" t="str">
            <v>тариф на теплову енергію</v>
          </cell>
          <cell r="DT458">
            <v>217.47</v>
          </cell>
        </row>
        <row r="459">
          <cell r="W459">
            <v>518.84</v>
          </cell>
          <cell r="AF459">
            <v>39987</v>
          </cell>
          <cell r="AG459" t="str">
            <v xml:space="preserve">  11-09</v>
          </cell>
          <cell r="AH459">
            <v>479.22479400749063</v>
          </cell>
          <cell r="AM459">
            <v>13350</v>
          </cell>
          <cell r="AO459">
            <v>6926514</v>
          </cell>
          <cell r="AQ459">
            <v>6397651</v>
          </cell>
          <cell r="AU459">
            <v>5524565.5700000003</v>
          </cell>
          <cell r="AW459">
            <v>0</v>
          </cell>
          <cell r="AY459">
            <v>0</v>
          </cell>
          <cell r="AZ459">
            <v>0</v>
          </cell>
          <cell r="BA459">
            <v>0</v>
          </cell>
          <cell r="BB459">
            <v>0</v>
          </cell>
          <cell r="BC459">
            <v>0</v>
          </cell>
          <cell r="BD459">
            <v>0</v>
          </cell>
          <cell r="BG459">
            <v>0</v>
          </cell>
          <cell r="BH459">
            <v>0</v>
          </cell>
          <cell r="BI459">
            <v>196645.5</v>
          </cell>
          <cell r="BJ459">
            <v>14.73</v>
          </cell>
          <cell r="BK459">
            <v>0</v>
          </cell>
          <cell r="BL459">
            <v>0</v>
          </cell>
          <cell r="BM459">
            <v>422661</v>
          </cell>
          <cell r="BN459">
            <v>31.66</v>
          </cell>
          <cell r="BO459">
            <v>0</v>
          </cell>
          <cell r="BP459">
            <v>0</v>
          </cell>
          <cell r="BY459">
            <v>2323.1999999999998</v>
          </cell>
          <cell r="CF459">
            <v>0</v>
          </cell>
          <cell r="CG459">
            <v>0</v>
          </cell>
          <cell r="CJ459">
            <v>15349</v>
          </cell>
          <cell r="CK459">
            <v>359.93</v>
          </cell>
          <cell r="CL459">
            <v>633.44000000000005</v>
          </cell>
          <cell r="CM459">
            <v>0</v>
          </cell>
          <cell r="CN459">
            <v>0</v>
          </cell>
          <cell r="CO459">
            <v>0</v>
          </cell>
          <cell r="CX459">
            <v>0</v>
          </cell>
          <cell r="CY459">
            <v>0</v>
          </cell>
          <cell r="DB459">
            <v>0</v>
          </cell>
          <cell r="DC459">
            <v>0</v>
          </cell>
          <cell r="DJ459" t="str">
            <v>НКРКП</v>
          </cell>
          <cell r="DL459">
            <v>40816</v>
          </cell>
          <cell r="DM459">
            <v>145</v>
          </cell>
          <cell r="DT459">
            <v>792.41</v>
          </cell>
        </row>
        <row r="460">
          <cell r="W460">
            <v>532.74</v>
          </cell>
          <cell r="AF460">
            <v>39987</v>
          </cell>
          <cell r="AG460" t="str">
            <v xml:space="preserve">  11-09</v>
          </cell>
          <cell r="AH460">
            <v>479.28483754736902</v>
          </cell>
          <cell r="AM460">
            <v>1609.7</v>
          </cell>
          <cell r="AO460">
            <v>857551.5780000001</v>
          </cell>
          <cell r="AQ460">
            <v>771504.80299999996</v>
          </cell>
          <cell r="AU460">
            <v>666230.43000000005</v>
          </cell>
          <cell r="AW460">
            <v>0</v>
          </cell>
          <cell r="AY460">
            <v>0</v>
          </cell>
          <cell r="AZ460">
            <v>0</v>
          </cell>
          <cell r="BA460">
            <v>0</v>
          </cell>
          <cell r="BB460">
            <v>0</v>
          </cell>
          <cell r="BC460">
            <v>0</v>
          </cell>
          <cell r="BD460">
            <v>0</v>
          </cell>
          <cell r="BG460">
            <v>0</v>
          </cell>
          <cell r="BH460">
            <v>0</v>
          </cell>
          <cell r="BI460">
            <v>23715.3</v>
          </cell>
          <cell r="BJ460">
            <v>14.732745232030812</v>
          </cell>
          <cell r="BK460">
            <v>0</v>
          </cell>
          <cell r="BL460">
            <v>0</v>
          </cell>
          <cell r="BM460">
            <v>50973</v>
          </cell>
          <cell r="BN460">
            <v>31.66614897185811</v>
          </cell>
          <cell r="BO460">
            <v>0</v>
          </cell>
          <cell r="BP460">
            <v>0</v>
          </cell>
          <cell r="BY460">
            <v>2323.1999999999998</v>
          </cell>
          <cell r="CF460">
            <v>0</v>
          </cell>
          <cell r="CG460">
            <v>0</v>
          </cell>
          <cell r="CJ460">
            <v>1851</v>
          </cell>
          <cell r="CK460">
            <v>359.93</v>
          </cell>
          <cell r="CL460">
            <v>633.44000000000005</v>
          </cell>
          <cell r="CM460">
            <v>0</v>
          </cell>
          <cell r="CN460">
            <v>0</v>
          </cell>
          <cell r="CO460">
            <v>0</v>
          </cell>
          <cell r="CX460">
            <v>0</v>
          </cell>
          <cell r="CY460">
            <v>0</v>
          </cell>
          <cell r="DB460">
            <v>0</v>
          </cell>
          <cell r="DC460">
            <v>0</v>
          </cell>
          <cell r="DJ460" t="str">
            <v>НКРКП</v>
          </cell>
          <cell r="DL460">
            <v>40816</v>
          </cell>
          <cell r="DM460">
            <v>145</v>
          </cell>
          <cell r="DT460">
            <v>806.31</v>
          </cell>
        </row>
        <row r="461">
          <cell r="W461">
            <v>170.83</v>
          </cell>
          <cell r="AF461">
            <v>39605</v>
          </cell>
          <cell r="AG461" t="str">
            <v>4/5-6/1731</v>
          </cell>
          <cell r="AH461">
            <v>167.40061205507075</v>
          </cell>
          <cell r="AM461">
            <v>1408370</v>
          </cell>
          <cell r="AO461">
            <v>240591847.10000002</v>
          </cell>
          <cell r="AQ461">
            <v>235762000</v>
          </cell>
          <cell r="AU461">
            <v>0</v>
          </cell>
          <cell r="AW461">
            <v>1134936.3625</v>
          </cell>
          <cell r="AY461">
            <v>154866935.59999999</v>
          </cell>
          <cell r="AZ461">
            <v>109.96182508857757</v>
          </cell>
          <cell r="BA461">
            <v>0</v>
          </cell>
          <cell r="BB461">
            <v>0</v>
          </cell>
          <cell r="BC461">
            <v>0</v>
          </cell>
          <cell r="BD461">
            <v>0</v>
          </cell>
          <cell r="BG461">
            <v>12449000</v>
          </cell>
          <cell r="BH461">
            <v>8.8392964916889731</v>
          </cell>
          <cell r="BI461">
            <v>10916000</v>
          </cell>
          <cell r="BJ461">
            <v>7.750804121076138</v>
          </cell>
          <cell r="BK461">
            <v>0</v>
          </cell>
          <cell r="BL461">
            <v>0</v>
          </cell>
          <cell r="BM461">
            <v>42313000</v>
          </cell>
          <cell r="BN461">
            <v>30.043951518422006</v>
          </cell>
          <cell r="BO461">
            <v>0</v>
          </cell>
          <cell r="BP461">
            <v>0</v>
          </cell>
          <cell r="BY461">
            <v>1918</v>
          </cell>
          <cell r="CF461">
            <v>226460</v>
          </cell>
          <cell r="CG461">
            <v>683.86</v>
          </cell>
          <cell r="CJ461">
            <v>0</v>
          </cell>
          <cell r="CK461">
            <v>0</v>
          </cell>
          <cell r="CL461">
            <v>0</v>
          </cell>
          <cell r="CM461">
            <v>12299.5</v>
          </cell>
          <cell r="CN461">
            <v>92.275000000000006</v>
          </cell>
          <cell r="CO461">
            <v>92.275000000000006</v>
          </cell>
          <cell r="CX461">
            <v>0</v>
          </cell>
          <cell r="CY461">
            <v>0</v>
          </cell>
          <cell r="DB461">
            <v>0</v>
          </cell>
          <cell r="DC461">
            <v>0</v>
          </cell>
          <cell r="DJ461" t="str">
            <v>НКРЕ</v>
          </cell>
          <cell r="DL461">
            <v>40526</v>
          </cell>
          <cell r="DM461">
            <v>1845</v>
          </cell>
          <cell r="DO461" t="str">
            <v>тариф на теплову енергію</v>
          </cell>
          <cell r="DT461">
            <v>213.54</v>
          </cell>
        </row>
        <row r="462">
          <cell r="W462">
            <v>443.33</v>
          </cell>
          <cell r="AF462">
            <v>39849</v>
          </cell>
          <cell r="AG462" t="str">
            <v>6/1/1-34</v>
          </cell>
          <cell r="AH462">
            <v>422.39629739629737</v>
          </cell>
          <cell r="AM462">
            <v>161616</v>
          </cell>
          <cell r="AO462">
            <v>71649221.280000001</v>
          </cell>
          <cell r="AQ462">
            <v>68266000</v>
          </cell>
          <cell r="AU462">
            <v>0</v>
          </cell>
          <cell r="AW462">
            <v>0</v>
          </cell>
          <cell r="AY462">
            <v>56071679.950000003</v>
          </cell>
          <cell r="AZ462">
            <v>346.94386663449166</v>
          </cell>
          <cell r="BA462">
            <v>0</v>
          </cell>
          <cell r="BB462">
            <v>0</v>
          </cell>
          <cell r="BC462">
            <v>0</v>
          </cell>
          <cell r="BD462">
            <v>0</v>
          </cell>
          <cell r="BG462">
            <v>2628542.44</v>
          </cell>
          <cell r="BH462">
            <v>16.264122611622611</v>
          </cell>
          <cell r="BI462">
            <v>1752000</v>
          </cell>
          <cell r="BJ462">
            <v>10.84051084051084</v>
          </cell>
          <cell r="BK462">
            <v>0</v>
          </cell>
          <cell r="BL462">
            <v>0</v>
          </cell>
          <cell r="BM462">
            <v>6116261.1699999999</v>
          </cell>
          <cell r="BN462">
            <v>37.844403833778834</v>
          </cell>
          <cell r="BO462">
            <v>0</v>
          </cell>
          <cell r="BP462">
            <v>0</v>
          </cell>
          <cell r="BY462">
            <v>3313</v>
          </cell>
          <cell r="CF462">
            <v>26174.2</v>
          </cell>
          <cell r="CG462">
            <v>2142.25</v>
          </cell>
          <cell r="CJ462">
            <v>0</v>
          </cell>
          <cell r="CK462">
            <v>0</v>
          </cell>
          <cell r="CL462">
            <v>0</v>
          </cell>
          <cell r="CM462">
            <v>0</v>
          </cell>
          <cell r="CN462">
            <v>0</v>
          </cell>
          <cell r="CO462">
            <v>0</v>
          </cell>
          <cell r="CX462">
            <v>0</v>
          </cell>
          <cell r="CY462">
            <v>0</v>
          </cell>
          <cell r="DB462">
            <v>0</v>
          </cell>
          <cell r="DC462">
            <v>0</v>
          </cell>
          <cell r="DJ462" t="str">
            <v>НКРКП</v>
          </cell>
          <cell r="DL462">
            <v>40816</v>
          </cell>
          <cell r="DM462">
            <v>11</v>
          </cell>
          <cell r="DT462">
            <v>704.02</v>
          </cell>
        </row>
        <row r="463">
          <cell r="W463">
            <v>443.33</v>
          </cell>
          <cell r="AF463">
            <v>39849</v>
          </cell>
          <cell r="AG463" t="str">
            <v>6/1/1-34</v>
          </cell>
          <cell r="AH463">
            <v>422.39767559373422</v>
          </cell>
          <cell r="AM463">
            <v>79160</v>
          </cell>
          <cell r="AO463">
            <v>35094002.799999997</v>
          </cell>
          <cell r="AQ463">
            <v>33437000</v>
          </cell>
          <cell r="AU463">
            <v>0</v>
          </cell>
          <cell r="AW463">
            <v>0</v>
          </cell>
          <cell r="AY463">
            <v>27463645</v>
          </cell>
          <cell r="AZ463">
            <v>346.93841586659931</v>
          </cell>
          <cell r="BA463">
            <v>0</v>
          </cell>
          <cell r="BB463">
            <v>0</v>
          </cell>
          <cell r="BC463">
            <v>0</v>
          </cell>
          <cell r="BD463">
            <v>0</v>
          </cell>
          <cell r="BG463">
            <v>1287457.557</v>
          </cell>
          <cell r="BH463">
            <v>16.263991371905004</v>
          </cell>
          <cell r="BI463">
            <v>858000</v>
          </cell>
          <cell r="BJ463">
            <v>10.838807478524508</v>
          </cell>
          <cell r="BK463">
            <v>0</v>
          </cell>
          <cell r="BL463">
            <v>0</v>
          </cell>
          <cell r="BM463">
            <v>2995738.83</v>
          </cell>
          <cell r="BN463">
            <v>37.844098408287017</v>
          </cell>
          <cell r="BO463">
            <v>0</v>
          </cell>
          <cell r="BP463">
            <v>0</v>
          </cell>
          <cell r="BY463">
            <v>3313</v>
          </cell>
          <cell r="CF463">
            <v>12820</v>
          </cell>
          <cell r="CG463">
            <v>2142.25</v>
          </cell>
          <cell r="CJ463">
            <v>0</v>
          </cell>
          <cell r="CK463">
            <v>0</v>
          </cell>
          <cell r="CL463">
            <v>0</v>
          </cell>
          <cell r="CM463">
            <v>0</v>
          </cell>
          <cell r="CN463">
            <v>0</v>
          </cell>
          <cell r="CO463">
            <v>0</v>
          </cell>
          <cell r="CX463">
            <v>0</v>
          </cell>
          <cell r="CY463">
            <v>0</v>
          </cell>
          <cell r="DB463">
            <v>0</v>
          </cell>
          <cell r="DC463">
            <v>0</v>
          </cell>
          <cell r="DJ463" t="str">
            <v>НКРКП</v>
          </cell>
          <cell r="DL463">
            <v>40816</v>
          </cell>
          <cell r="DM463">
            <v>11</v>
          </cell>
          <cell r="DT463">
            <v>704.02</v>
          </cell>
        </row>
        <row r="464">
          <cell r="W464">
            <v>175.95</v>
          </cell>
          <cell r="AF464">
            <v>39742</v>
          </cell>
          <cell r="AH464">
            <v>159.95216191352347</v>
          </cell>
          <cell r="AM464">
            <v>108700</v>
          </cell>
          <cell r="AO464">
            <v>19125765</v>
          </cell>
          <cell r="AQ464">
            <v>17386800</v>
          </cell>
          <cell r="AU464">
            <v>0</v>
          </cell>
          <cell r="AW464">
            <v>0</v>
          </cell>
          <cell r="AY464">
            <v>11685123.120000001</v>
          </cell>
          <cell r="AZ464">
            <v>107.49883275068999</v>
          </cell>
          <cell r="BA464">
            <v>0</v>
          </cell>
          <cell r="BB464">
            <v>0</v>
          </cell>
          <cell r="BC464">
            <v>1679800</v>
          </cell>
          <cell r="BD464">
            <v>15.453541858325668</v>
          </cell>
          <cell r="BG464">
            <v>1260500</v>
          </cell>
          <cell r="BH464">
            <v>11.596136154553818</v>
          </cell>
          <cell r="BI464">
            <v>0</v>
          </cell>
          <cell r="BJ464">
            <v>0</v>
          </cell>
          <cell r="BK464">
            <v>0</v>
          </cell>
          <cell r="BL464">
            <v>0</v>
          </cell>
          <cell r="BM464">
            <v>1954999.9225352113</v>
          </cell>
          <cell r="BN464">
            <v>17.985279876128899</v>
          </cell>
          <cell r="BO464">
            <v>0</v>
          </cell>
          <cell r="BP464">
            <v>0</v>
          </cell>
          <cell r="BY464">
            <v>2878</v>
          </cell>
          <cell r="CF464">
            <v>16066</v>
          </cell>
          <cell r="CG464">
            <v>727.32</v>
          </cell>
          <cell r="CJ464">
            <v>0</v>
          </cell>
          <cell r="CK464">
            <v>0</v>
          </cell>
          <cell r="CL464">
            <v>0</v>
          </cell>
          <cell r="CM464">
            <v>0</v>
          </cell>
          <cell r="CN464">
            <v>0</v>
          </cell>
          <cell r="CO464">
            <v>0</v>
          </cell>
          <cell r="CX464">
            <v>0</v>
          </cell>
          <cell r="CY464">
            <v>0</v>
          </cell>
          <cell r="DB464">
            <v>15.453386454183256</v>
          </cell>
          <cell r="DC464">
            <v>28.15</v>
          </cell>
          <cell r="DJ464" t="str">
            <v>НКРЕ</v>
          </cell>
          <cell r="DL464">
            <v>40526</v>
          </cell>
          <cell r="DM464">
            <v>1856</v>
          </cell>
          <cell r="DO464" t="str">
            <v>тариф на теплову енергію</v>
          </cell>
          <cell r="DT464">
            <v>219.94</v>
          </cell>
        </row>
        <row r="465">
          <cell r="W465">
            <v>409.2</v>
          </cell>
          <cell r="AF465">
            <v>39861</v>
          </cell>
          <cell r="AH465">
            <v>372.07462686567163</v>
          </cell>
          <cell r="AM465">
            <v>6700</v>
          </cell>
          <cell r="AO465">
            <v>2741640</v>
          </cell>
          <cell r="AQ465">
            <v>2492900</v>
          </cell>
          <cell r="AU465">
            <v>0</v>
          </cell>
          <cell r="AW465">
            <v>0</v>
          </cell>
          <cell r="AY465">
            <v>2121406</v>
          </cell>
          <cell r="AZ465">
            <v>316.62776119402986</v>
          </cell>
          <cell r="BA465">
            <v>0</v>
          </cell>
          <cell r="BB465">
            <v>0</v>
          </cell>
          <cell r="BC465">
            <v>108000</v>
          </cell>
          <cell r="BD465">
            <v>16.119402985074625</v>
          </cell>
          <cell r="BG465">
            <v>80250.399999999994</v>
          </cell>
          <cell r="BH465">
            <v>11.977671641791044</v>
          </cell>
          <cell r="BI465">
            <v>0</v>
          </cell>
          <cell r="BJ465">
            <v>0</v>
          </cell>
          <cell r="BK465">
            <v>0</v>
          </cell>
          <cell r="BL465">
            <v>0</v>
          </cell>
          <cell r="BM465">
            <v>122959.57271095153</v>
          </cell>
          <cell r="BN465">
            <v>18.352175031485302</v>
          </cell>
          <cell r="BO465">
            <v>0</v>
          </cell>
          <cell r="BP465">
            <v>0</v>
          </cell>
          <cell r="BY465">
            <v>2878</v>
          </cell>
          <cell r="CF465">
            <v>990.27004317890066</v>
          </cell>
          <cell r="CG465">
            <v>2142.25</v>
          </cell>
          <cell r="CJ465">
            <v>0</v>
          </cell>
          <cell r="CK465">
            <v>0</v>
          </cell>
          <cell r="CL465">
            <v>0</v>
          </cell>
          <cell r="CM465">
            <v>0</v>
          </cell>
          <cell r="CN465">
            <v>0</v>
          </cell>
          <cell r="CO465">
            <v>0</v>
          </cell>
          <cell r="CX465">
            <v>0</v>
          </cell>
          <cell r="CY465">
            <v>0</v>
          </cell>
          <cell r="DB465">
            <v>16.122448979591837</v>
          </cell>
          <cell r="DC465">
            <v>29.37</v>
          </cell>
          <cell r="DJ465" t="str">
            <v>НКРКП</v>
          </cell>
          <cell r="DL465">
            <v>40816</v>
          </cell>
          <cell r="DM465">
            <v>41</v>
          </cell>
          <cell r="DT465">
            <v>647.15</v>
          </cell>
        </row>
        <row r="466">
          <cell r="W466">
            <v>433.5</v>
          </cell>
          <cell r="AF466">
            <v>39861</v>
          </cell>
          <cell r="AH466">
            <v>377.0204081632653</v>
          </cell>
          <cell r="AM466">
            <v>4900</v>
          </cell>
          <cell r="AO466">
            <v>2124150</v>
          </cell>
          <cell r="AQ466">
            <v>1847400</v>
          </cell>
          <cell r="AU466">
            <v>0</v>
          </cell>
          <cell r="AW466">
            <v>0</v>
          </cell>
          <cell r="AY466">
            <v>1575649</v>
          </cell>
          <cell r="AZ466">
            <v>321.56102040816324</v>
          </cell>
          <cell r="BA466">
            <v>0</v>
          </cell>
          <cell r="BB466">
            <v>0</v>
          </cell>
          <cell r="BC466">
            <v>79000</v>
          </cell>
          <cell r="BD466">
            <v>16.122448979591837</v>
          </cell>
          <cell r="BG466">
            <v>58700.4</v>
          </cell>
          <cell r="BH466">
            <v>11.979673469387755</v>
          </cell>
          <cell r="BI466">
            <v>0</v>
          </cell>
          <cell r="BJ466">
            <v>0</v>
          </cell>
          <cell r="BK466">
            <v>0</v>
          </cell>
          <cell r="BL466">
            <v>0</v>
          </cell>
          <cell r="BM466">
            <v>89899.642728904844</v>
          </cell>
          <cell r="BN466">
            <v>18.346865863041806</v>
          </cell>
          <cell r="BO466">
            <v>0</v>
          </cell>
          <cell r="BP466">
            <v>0</v>
          </cell>
          <cell r="BY466">
            <v>2878</v>
          </cell>
          <cell r="CF466">
            <v>724.2198883092409</v>
          </cell>
          <cell r="CG466">
            <v>2175.65</v>
          </cell>
          <cell r="CJ466">
            <v>0</v>
          </cell>
          <cell r="CK466">
            <v>0</v>
          </cell>
          <cell r="CL466">
            <v>0</v>
          </cell>
          <cell r="CM466">
            <v>0</v>
          </cell>
          <cell r="CN466">
            <v>0</v>
          </cell>
          <cell r="CO466">
            <v>0</v>
          </cell>
          <cell r="CX466">
            <v>0</v>
          </cell>
          <cell r="CY466">
            <v>0</v>
          </cell>
          <cell r="DB466">
            <v>16.122448979591837</v>
          </cell>
          <cell r="DC466">
            <v>29.37</v>
          </cell>
          <cell r="DJ466" t="str">
            <v>НКРКП</v>
          </cell>
          <cell r="DL466">
            <v>40816</v>
          </cell>
          <cell r="DM466">
            <v>41</v>
          </cell>
          <cell r="DO466" t="str">
            <v>для інших споживачів житлового масиву</v>
          </cell>
          <cell r="DT466">
            <v>666.47</v>
          </cell>
        </row>
        <row r="467">
          <cell r="W467">
            <v>415</v>
          </cell>
          <cell r="AF467">
            <v>39861</v>
          </cell>
          <cell r="AG467">
            <v>0</v>
          </cell>
          <cell r="AH467">
            <v>360.88799999999998</v>
          </cell>
          <cell r="AM467">
            <v>12500</v>
          </cell>
          <cell r="AO467">
            <v>5187500</v>
          </cell>
          <cell r="AQ467">
            <v>4511100</v>
          </cell>
          <cell r="AU467">
            <v>0</v>
          </cell>
          <cell r="AW467">
            <v>0</v>
          </cell>
          <cell r="AY467">
            <v>4019557</v>
          </cell>
          <cell r="AZ467">
            <v>321.56455999999997</v>
          </cell>
          <cell r="BA467">
            <v>0</v>
          </cell>
          <cell r="BB467">
            <v>0</v>
          </cell>
          <cell r="BC467">
            <v>0</v>
          </cell>
          <cell r="BD467">
            <v>0</v>
          </cell>
          <cell r="BG467">
            <v>149700.4</v>
          </cell>
          <cell r="BH467">
            <v>11.976032</v>
          </cell>
          <cell r="BI467">
            <v>0</v>
          </cell>
          <cell r="BJ467">
            <v>0</v>
          </cell>
          <cell r="BK467">
            <v>0</v>
          </cell>
          <cell r="BL467">
            <v>0</v>
          </cell>
          <cell r="BM467">
            <v>229399.68043087973</v>
          </cell>
          <cell r="BN467">
            <v>18.351974434470378</v>
          </cell>
          <cell r="BO467">
            <v>0</v>
          </cell>
          <cell r="BP467">
            <v>0</v>
          </cell>
          <cell r="BY467">
            <v>2878</v>
          </cell>
          <cell r="CF467">
            <v>1847.5200514788683</v>
          </cell>
          <cell r="CG467">
            <v>2175.65</v>
          </cell>
          <cell r="CJ467">
            <v>0</v>
          </cell>
          <cell r="CK467">
            <v>0</v>
          </cell>
          <cell r="CL467">
            <v>0</v>
          </cell>
          <cell r="CM467">
            <v>0</v>
          </cell>
          <cell r="CN467">
            <v>0</v>
          </cell>
          <cell r="CO467">
            <v>0</v>
          </cell>
          <cell r="CX467">
            <v>0</v>
          </cell>
          <cell r="CY467">
            <v>0</v>
          </cell>
          <cell r="DB467">
            <v>0</v>
          </cell>
          <cell r="DC467">
            <v>0</v>
          </cell>
          <cell r="DJ467" t="str">
            <v>НКРКП</v>
          </cell>
          <cell r="DL467">
            <v>40816</v>
          </cell>
          <cell r="DM467">
            <v>41</v>
          </cell>
          <cell r="DO467" t="str">
            <v>для інших споживачів промислової зони</v>
          </cell>
          <cell r="DT467">
            <v>647.99</v>
          </cell>
        </row>
        <row r="468">
          <cell r="W468">
            <v>186.44364999999999</v>
          </cell>
          <cell r="AF468">
            <v>39707</v>
          </cell>
          <cell r="AG468" t="str">
            <v>142, 144</v>
          </cell>
          <cell r="AH468">
            <v>186.44365281843679</v>
          </cell>
          <cell r="AM468">
            <v>38275.65</v>
          </cell>
          <cell r="AO468">
            <v>7136251.8921224996</v>
          </cell>
          <cell r="AQ468">
            <v>7136252</v>
          </cell>
          <cell r="AU468">
            <v>0</v>
          </cell>
          <cell r="AW468">
            <v>0</v>
          </cell>
          <cell r="AY468">
            <v>4796529.9360000007</v>
          </cell>
          <cell r="AZ468">
            <v>125.31544039095353</v>
          </cell>
          <cell r="BA468">
            <v>0</v>
          </cell>
          <cell r="BB468">
            <v>0</v>
          </cell>
          <cell r="BC468">
            <v>0</v>
          </cell>
          <cell r="BD468">
            <v>0</v>
          </cell>
          <cell r="BG468">
            <v>0</v>
          </cell>
          <cell r="BH468">
            <v>0</v>
          </cell>
          <cell r="BI468">
            <v>578750</v>
          </cell>
          <cell r="BJ468">
            <v>15.120579271677945</v>
          </cell>
          <cell r="BK468">
            <v>0</v>
          </cell>
          <cell r="BL468">
            <v>0</v>
          </cell>
          <cell r="BM468">
            <v>1138285</v>
          </cell>
          <cell r="BN468">
            <v>29.739142248400743</v>
          </cell>
          <cell r="BO468">
            <v>0</v>
          </cell>
          <cell r="BP468">
            <v>0</v>
          </cell>
          <cell r="BY468">
            <v>1020</v>
          </cell>
          <cell r="CF468">
            <v>6594.8</v>
          </cell>
          <cell r="CG468">
            <v>727.32</v>
          </cell>
          <cell r="CJ468">
            <v>0</v>
          </cell>
          <cell r="CK468">
            <v>0</v>
          </cell>
          <cell r="CL468">
            <v>0</v>
          </cell>
          <cell r="CM468">
            <v>0</v>
          </cell>
          <cell r="CN468">
            <v>0</v>
          </cell>
          <cell r="CO468">
            <v>0</v>
          </cell>
          <cell r="CX468">
            <v>0</v>
          </cell>
          <cell r="CY468">
            <v>0</v>
          </cell>
          <cell r="DB468">
            <v>0</v>
          </cell>
          <cell r="DC468">
            <v>0</v>
          </cell>
          <cell r="DJ468" t="str">
            <v>НКРЕ</v>
          </cell>
          <cell r="DL468">
            <v>40526</v>
          </cell>
          <cell r="DM468">
            <v>1740</v>
          </cell>
          <cell r="DO468" t="str">
            <v>Тариф на теплову енергію</v>
          </cell>
          <cell r="DT468">
            <v>233.05</v>
          </cell>
        </row>
        <row r="469">
          <cell r="W469">
            <v>480.14</v>
          </cell>
          <cell r="AF469">
            <v>39891</v>
          </cell>
          <cell r="AG469" t="str">
            <v>58, 60</v>
          </cell>
          <cell r="AH469">
            <v>436.49542119523028</v>
          </cell>
          <cell r="AM469">
            <v>6485.6739900000002</v>
          </cell>
          <cell r="AO469">
            <v>3114031.5095585999</v>
          </cell>
          <cell r="AQ469">
            <v>2830967</v>
          </cell>
          <cell r="AU469">
            <v>0</v>
          </cell>
          <cell r="AW469">
            <v>0</v>
          </cell>
          <cell r="AY469">
            <v>2395824.1264925003</v>
          </cell>
          <cell r="AZ469">
            <v>369.40249081075075</v>
          </cell>
          <cell r="BA469">
            <v>0</v>
          </cell>
          <cell r="BB469">
            <v>0</v>
          </cell>
          <cell r="BC469">
            <v>0</v>
          </cell>
          <cell r="BD469">
            <v>0</v>
          </cell>
          <cell r="BG469">
            <v>0</v>
          </cell>
          <cell r="BH469">
            <v>0</v>
          </cell>
          <cell r="BI469">
            <v>116951</v>
          </cell>
          <cell r="BJ469">
            <v>18.032204545020615</v>
          </cell>
          <cell r="BK469">
            <v>0</v>
          </cell>
          <cell r="BL469">
            <v>0</v>
          </cell>
          <cell r="BM469">
            <v>221075</v>
          </cell>
          <cell r="BN469">
            <v>34.086665524796132</v>
          </cell>
          <cell r="BO469">
            <v>0</v>
          </cell>
          <cell r="BP469">
            <v>0</v>
          </cell>
          <cell r="BY469">
            <v>1020</v>
          </cell>
          <cell r="CF469">
            <v>1118.3681300000001</v>
          </cell>
          <cell r="CG469">
            <v>2142.25</v>
          </cell>
          <cell r="CJ469">
            <v>0</v>
          </cell>
          <cell r="CK469">
            <v>0</v>
          </cell>
          <cell r="CL469">
            <v>0</v>
          </cell>
          <cell r="CM469">
            <v>0</v>
          </cell>
          <cell r="CN469">
            <v>0</v>
          </cell>
          <cell r="CO469">
            <v>0</v>
          </cell>
          <cell r="CX469">
            <v>0</v>
          </cell>
          <cell r="CY469">
            <v>0</v>
          </cell>
          <cell r="DB469">
            <v>0</v>
          </cell>
          <cell r="DC469">
            <v>0</v>
          </cell>
          <cell r="DJ469" t="str">
            <v>НКРКП</v>
          </cell>
          <cell r="DL469">
            <v>40816</v>
          </cell>
          <cell r="DM469">
            <v>109</v>
          </cell>
          <cell r="DT469">
            <v>757.39214900221702</v>
          </cell>
        </row>
        <row r="470">
          <cell r="W470">
            <v>610.99</v>
          </cell>
          <cell r="AF470">
            <v>39891</v>
          </cell>
          <cell r="AG470" t="str">
            <v>59, 61</v>
          </cell>
          <cell r="AH470">
            <v>436.42111421717539</v>
          </cell>
          <cell r="AM470">
            <v>2349.4899</v>
          </cell>
          <cell r="AO470">
            <v>1435514.834001</v>
          </cell>
          <cell r="AQ470">
            <v>1025367</v>
          </cell>
          <cell r="AU470">
            <v>0</v>
          </cell>
          <cell r="AW470">
            <v>0</v>
          </cell>
          <cell r="AY470">
            <v>867891.88474999997</v>
          </cell>
          <cell r="AZ470">
            <v>369.39587812231071</v>
          </cell>
          <cell r="BA470">
            <v>0</v>
          </cell>
          <cell r="BB470">
            <v>0</v>
          </cell>
          <cell r="BC470">
            <v>0</v>
          </cell>
          <cell r="BD470">
            <v>0</v>
          </cell>
          <cell r="BG470">
            <v>0</v>
          </cell>
          <cell r="BH470">
            <v>0</v>
          </cell>
          <cell r="BI470">
            <v>42381</v>
          </cell>
          <cell r="BJ470">
            <v>18.038383565726331</v>
          </cell>
          <cell r="BK470">
            <v>0</v>
          </cell>
          <cell r="BL470">
            <v>0</v>
          </cell>
          <cell r="BM470">
            <v>80103</v>
          </cell>
          <cell r="BN470">
            <v>34.093783505943144</v>
          </cell>
          <cell r="BO470">
            <v>0</v>
          </cell>
          <cell r="BP470">
            <v>0</v>
          </cell>
          <cell r="BY470">
            <v>1020</v>
          </cell>
          <cell r="CF470">
            <v>405.13099999999997</v>
          </cell>
          <cell r="CG470">
            <v>2142.25</v>
          </cell>
          <cell r="CJ470">
            <v>0</v>
          </cell>
          <cell r="CK470">
            <v>0</v>
          </cell>
          <cell r="CL470">
            <v>0</v>
          </cell>
          <cell r="CM470">
            <v>0</v>
          </cell>
          <cell r="CN470">
            <v>0</v>
          </cell>
          <cell r="CO470">
            <v>0</v>
          </cell>
          <cell r="CX470">
            <v>0</v>
          </cell>
          <cell r="CY470">
            <v>0</v>
          </cell>
          <cell r="DB470">
            <v>0</v>
          </cell>
          <cell r="DC470">
            <v>0</v>
          </cell>
          <cell r="DJ470" t="str">
            <v>НКРКП</v>
          </cell>
          <cell r="DL470">
            <v>40816</v>
          </cell>
          <cell r="DM470">
            <v>109</v>
          </cell>
          <cell r="DT470">
            <v>888.49011151826403</v>
          </cell>
        </row>
        <row r="471">
          <cell r="W471">
            <v>221.76</v>
          </cell>
          <cell r="AF471">
            <v>39715</v>
          </cell>
          <cell r="AG471">
            <v>196</v>
          </cell>
          <cell r="AH471">
            <v>197.99785784339028</v>
          </cell>
          <cell r="AM471">
            <v>154984</v>
          </cell>
          <cell r="AO471">
            <v>34369251.839999996</v>
          </cell>
          <cell r="AQ471">
            <v>30686500</v>
          </cell>
          <cell r="AU471">
            <v>0</v>
          </cell>
          <cell r="AW471">
            <v>3723330.56</v>
          </cell>
          <cell r="AY471">
            <v>17775700.800000001</v>
          </cell>
          <cell r="AZ471">
            <v>114.6937800030971</v>
          </cell>
          <cell r="BA471">
            <v>0</v>
          </cell>
          <cell r="BB471">
            <v>0</v>
          </cell>
          <cell r="BC471">
            <v>0</v>
          </cell>
          <cell r="BD471">
            <v>0</v>
          </cell>
          <cell r="BG471">
            <v>0</v>
          </cell>
          <cell r="BH471">
            <v>0</v>
          </cell>
          <cell r="BI471">
            <v>1332038</v>
          </cell>
          <cell r="BJ471">
            <v>8.5946807412378057</v>
          </cell>
          <cell r="BK471">
            <v>0</v>
          </cell>
          <cell r="BL471">
            <v>0</v>
          </cell>
          <cell r="BM471">
            <v>5677900</v>
          </cell>
          <cell r="BN471">
            <v>36.635394621380271</v>
          </cell>
          <cell r="BO471">
            <v>0</v>
          </cell>
          <cell r="BP471">
            <v>0</v>
          </cell>
          <cell r="BY471">
            <v>1938</v>
          </cell>
          <cell r="CF471">
            <v>24440</v>
          </cell>
          <cell r="CG471">
            <v>727.32</v>
          </cell>
          <cell r="CJ471">
            <v>0</v>
          </cell>
          <cell r="CK471">
            <v>0</v>
          </cell>
          <cell r="CL471">
            <v>0</v>
          </cell>
          <cell r="CM471">
            <v>109768</v>
          </cell>
          <cell r="CN471">
            <v>33.92</v>
          </cell>
          <cell r="CO471">
            <v>33.92</v>
          </cell>
          <cell r="CX471">
            <v>0</v>
          </cell>
          <cell r="CY471">
            <v>0</v>
          </cell>
          <cell r="DB471">
            <v>0</v>
          </cell>
          <cell r="DC471">
            <v>0</v>
          </cell>
          <cell r="DJ471" t="str">
            <v>НКРЕ</v>
          </cell>
          <cell r="DL471">
            <v>40526</v>
          </cell>
          <cell r="DM471">
            <v>1770</v>
          </cell>
          <cell r="DO471" t="str">
            <v>Тариф на теплову енергію</v>
          </cell>
          <cell r="DT471">
            <v>243.94</v>
          </cell>
        </row>
        <row r="472">
          <cell r="W472">
            <v>471.55</v>
          </cell>
          <cell r="AF472">
            <v>39864</v>
          </cell>
          <cell r="AG472">
            <v>308</v>
          </cell>
          <cell r="AH472">
            <v>421.03000280400039</v>
          </cell>
          <cell r="AM472">
            <v>21398</v>
          </cell>
          <cell r="AO472">
            <v>10090226.9</v>
          </cell>
          <cell r="AQ472">
            <v>9009200</v>
          </cell>
          <cell r="AU472">
            <v>0</v>
          </cell>
          <cell r="AW472">
            <v>425051.55</v>
          </cell>
          <cell r="AY472">
            <v>7191072.1376083037</v>
          </cell>
          <cell r="AZ472">
            <v>336.06281603927022</v>
          </cell>
          <cell r="BA472">
            <v>0</v>
          </cell>
          <cell r="BB472">
            <v>0</v>
          </cell>
          <cell r="BC472">
            <v>0</v>
          </cell>
          <cell r="BD472">
            <v>0</v>
          </cell>
          <cell r="BG472">
            <v>0</v>
          </cell>
          <cell r="BH472">
            <v>0</v>
          </cell>
          <cell r="BI472">
            <v>245573</v>
          </cell>
          <cell r="BJ472">
            <v>11.476446396859519</v>
          </cell>
          <cell r="BK472">
            <v>0</v>
          </cell>
          <cell r="BL472">
            <v>0</v>
          </cell>
          <cell r="BM472">
            <v>816767</v>
          </cell>
          <cell r="BN472">
            <v>38.170249556033276</v>
          </cell>
          <cell r="BO472">
            <v>0</v>
          </cell>
          <cell r="BP472">
            <v>0</v>
          </cell>
          <cell r="BY472">
            <v>2202</v>
          </cell>
          <cell r="CF472">
            <v>3356.7847532306237</v>
          </cell>
          <cell r="CG472">
            <v>2142.25</v>
          </cell>
          <cell r="CJ472">
            <v>0</v>
          </cell>
          <cell r="CK472">
            <v>0</v>
          </cell>
          <cell r="CL472">
            <v>0</v>
          </cell>
          <cell r="CM472">
            <v>10857</v>
          </cell>
          <cell r="CN472">
            <v>39.15</v>
          </cell>
          <cell r="CO472">
            <v>56.11</v>
          </cell>
          <cell r="CX472">
            <v>0</v>
          </cell>
          <cell r="CY472">
            <v>0</v>
          </cell>
          <cell r="DB472">
            <v>0</v>
          </cell>
          <cell r="DC472">
            <v>0</v>
          </cell>
          <cell r="DJ472" t="str">
            <v>НКРКП</v>
          </cell>
          <cell r="DL472">
            <v>40816</v>
          </cell>
          <cell r="DM472">
            <v>135</v>
          </cell>
          <cell r="DT472">
            <v>732.74</v>
          </cell>
        </row>
        <row r="473">
          <cell r="W473">
            <v>471.55</v>
          </cell>
          <cell r="AF473">
            <v>39864</v>
          </cell>
          <cell r="AG473">
            <v>308</v>
          </cell>
          <cell r="AH473">
            <v>421.0300346243659</v>
          </cell>
          <cell r="AM473">
            <v>12419</v>
          </cell>
          <cell r="AO473">
            <v>5856179.4500000002</v>
          </cell>
          <cell r="AQ473">
            <v>5228772</v>
          </cell>
          <cell r="AU473">
            <v>0</v>
          </cell>
          <cell r="AW473">
            <v>246689.63099999999</v>
          </cell>
          <cell r="AY473">
            <v>4173564.1123916963</v>
          </cell>
          <cell r="AZ473">
            <v>336.06281603927016</v>
          </cell>
          <cell r="BA473">
            <v>0</v>
          </cell>
          <cell r="BB473">
            <v>0</v>
          </cell>
          <cell r="BC473">
            <v>0</v>
          </cell>
          <cell r="BD473">
            <v>0</v>
          </cell>
          <cell r="BG473">
            <v>0</v>
          </cell>
          <cell r="BH473">
            <v>0</v>
          </cell>
          <cell r="BI473">
            <v>142527</v>
          </cell>
          <cell r="BJ473">
            <v>11.476527900797166</v>
          </cell>
          <cell r="BK473">
            <v>0</v>
          </cell>
          <cell r="BL473">
            <v>0</v>
          </cell>
          <cell r="BM473">
            <v>474038</v>
          </cell>
          <cell r="BN473">
            <v>38.170384088896043</v>
          </cell>
          <cell r="BO473">
            <v>0</v>
          </cell>
          <cell r="BP473">
            <v>0</v>
          </cell>
          <cell r="BY473">
            <v>2202</v>
          </cell>
          <cell r="CF473">
            <v>1948.2152467693763</v>
          </cell>
          <cell r="CG473">
            <v>2142.25</v>
          </cell>
          <cell r="CJ473">
            <v>0</v>
          </cell>
          <cell r="CK473">
            <v>0</v>
          </cell>
          <cell r="CL473">
            <v>0</v>
          </cell>
          <cell r="CM473">
            <v>6301.14</v>
          </cell>
          <cell r="CN473">
            <v>39.15</v>
          </cell>
          <cell r="CO473">
            <v>56.11</v>
          </cell>
          <cell r="CX473">
            <v>0</v>
          </cell>
          <cell r="CY473">
            <v>0</v>
          </cell>
          <cell r="DB473">
            <v>0</v>
          </cell>
          <cell r="DC473">
            <v>0</v>
          </cell>
          <cell r="DJ473" t="str">
            <v>НКРКП</v>
          </cell>
          <cell r="DL473">
            <v>40816</v>
          </cell>
          <cell r="DM473">
            <v>135</v>
          </cell>
          <cell r="DT473">
            <v>732.74</v>
          </cell>
        </row>
        <row r="474">
          <cell r="W474">
            <v>202.75</v>
          </cell>
          <cell r="AF474">
            <v>39646</v>
          </cell>
          <cell r="AG474">
            <v>396</v>
          </cell>
          <cell r="AH474">
            <v>189.53483419531489</v>
          </cell>
          <cell r="AM474">
            <v>13148</v>
          </cell>
          <cell r="AO474">
            <v>2665757</v>
          </cell>
          <cell r="AQ474">
            <v>2492004</v>
          </cell>
          <cell r="AU474">
            <v>0</v>
          </cell>
          <cell r="AW474">
            <v>0</v>
          </cell>
          <cell r="AY474">
            <v>1336814.1600000001</v>
          </cell>
          <cell r="AZ474">
            <v>101.67433526011561</v>
          </cell>
          <cell r="BA474">
            <v>0</v>
          </cell>
          <cell r="BB474">
            <v>0</v>
          </cell>
          <cell r="BC474">
            <v>0</v>
          </cell>
          <cell r="BD474">
            <v>0</v>
          </cell>
          <cell r="BG474">
            <v>0</v>
          </cell>
          <cell r="BH474">
            <v>0</v>
          </cell>
          <cell r="BI474">
            <v>130400</v>
          </cell>
          <cell r="BJ474">
            <v>9.9178582293885</v>
          </cell>
          <cell r="BK474">
            <v>0</v>
          </cell>
          <cell r="BL474">
            <v>0</v>
          </cell>
          <cell r="BM474">
            <v>629327</v>
          </cell>
          <cell r="BN474">
            <v>47.864846364466075</v>
          </cell>
          <cell r="BO474">
            <v>0</v>
          </cell>
          <cell r="BP474">
            <v>0</v>
          </cell>
          <cell r="BY474">
            <v>2131.92</v>
          </cell>
          <cell r="CF474">
            <v>1838</v>
          </cell>
          <cell r="CG474">
            <v>727.32</v>
          </cell>
          <cell r="CJ474">
            <v>0</v>
          </cell>
          <cell r="CK474">
            <v>0</v>
          </cell>
          <cell r="CL474">
            <v>0</v>
          </cell>
          <cell r="CM474">
            <v>0</v>
          </cell>
          <cell r="CN474">
            <v>0</v>
          </cell>
          <cell r="CO474">
            <v>0</v>
          </cell>
          <cell r="CX474">
            <v>0</v>
          </cell>
          <cell r="CY474">
            <v>0</v>
          </cell>
          <cell r="DB474">
            <v>0</v>
          </cell>
          <cell r="DC474">
            <v>0</v>
          </cell>
          <cell r="DJ474" t="str">
            <v>НКРЕ</v>
          </cell>
          <cell r="DL474">
            <v>40526</v>
          </cell>
          <cell r="DM474">
            <v>1805</v>
          </cell>
          <cell r="DO474" t="str">
            <v>на теплову енергію для споживачів від модульних котелень</v>
          </cell>
          <cell r="DT474">
            <v>223.08</v>
          </cell>
        </row>
        <row r="475">
          <cell r="W475">
            <v>465.45</v>
          </cell>
          <cell r="AF475">
            <v>39861</v>
          </cell>
          <cell r="AG475">
            <v>604</v>
          </cell>
          <cell r="AH475">
            <v>384.16463266545236</v>
          </cell>
          <cell r="AM475">
            <v>3294</v>
          </cell>
          <cell r="AO475">
            <v>1533192.3</v>
          </cell>
          <cell r="AQ475">
            <v>1265438.3</v>
          </cell>
          <cell r="AU475">
            <v>0</v>
          </cell>
          <cell r="AW475">
            <v>0</v>
          </cell>
          <cell r="AY475">
            <v>985799</v>
          </cell>
          <cell r="AZ475">
            <v>299.27109896782025</v>
          </cell>
          <cell r="BA475">
            <v>0</v>
          </cell>
          <cell r="BB475">
            <v>0</v>
          </cell>
          <cell r="BC475">
            <v>0</v>
          </cell>
          <cell r="BD475">
            <v>0</v>
          </cell>
          <cell r="BG475">
            <v>0</v>
          </cell>
          <cell r="BH475">
            <v>0</v>
          </cell>
          <cell r="BI475">
            <v>32856</v>
          </cell>
          <cell r="BJ475">
            <v>9.9744990892531877</v>
          </cell>
          <cell r="BK475">
            <v>0</v>
          </cell>
          <cell r="BL475">
            <v>0</v>
          </cell>
          <cell r="BM475">
            <v>150045.29999999999</v>
          </cell>
          <cell r="BN475">
            <v>45.551092896174858</v>
          </cell>
          <cell r="BO475">
            <v>0</v>
          </cell>
          <cell r="BP475">
            <v>0</v>
          </cell>
          <cell r="BY475">
            <v>2131.92</v>
          </cell>
          <cell r="CF475">
            <v>460.16991480919592</v>
          </cell>
          <cell r="CG475">
            <v>2142.25</v>
          </cell>
          <cell r="CJ475">
            <v>0</v>
          </cell>
          <cell r="CK475">
            <v>0</v>
          </cell>
          <cell r="CL475">
            <v>0</v>
          </cell>
          <cell r="CM475">
            <v>0</v>
          </cell>
          <cell r="CN475">
            <v>0</v>
          </cell>
          <cell r="CO475">
            <v>0</v>
          </cell>
          <cell r="CX475">
            <v>0</v>
          </cell>
          <cell r="CY475">
            <v>0</v>
          </cell>
          <cell r="DB475">
            <v>0</v>
          </cell>
          <cell r="DC475">
            <v>0</v>
          </cell>
          <cell r="DJ475" t="str">
            <v>НКРКП</v>
          </cell>
          <cell r="DL475">
            <v>40816</v>
          </cell>
          <cell r="DM475">
            <v>151</v>
          </cell>
          <cell r="DO475" t="str">
            <v>для споживачів від модульних котелень на опалення, пар, технологічні потреби, вентиляцію</v>
          </cell>
          <cell r="DT475">
            <v>690.32</v>
          </cell>
        </row>
        <row r="476">
          <cell r="W476">
            <v>465.45</v>
          </cell>
          <cell r="AF476">
            <v>39861</v>
          </cell>
          <cell r="AG476">
            <v>604</v>
          </cell>
          <cell r="AH476">
            <v>384.15789473684208</v>
          </cell>
          <cell r="AM476">
            <v>57</v>
          </cell>
          <cell r="AO476">
            <v>26530.649999999998</v>
          </cell>
          <cell r="AQ476">
            <v>21897</v>
          </cell>
          <cell r="AU476">
            <v>0</v>
          </cell>
          <cell r="AW476">
            <v>0</v>
          </cell>
          <cell r="AY476">
            <v>17059</v>
          </cell>
          <cell r="AZ476">
            <v>299.28070175438597</v>
          </cell>
          <cell r="BA476">
            <v>0</v>
          </cell>
          <cell r="BB476">
            <v>0</v>
          </cell>
          <cell r="BC476">
            <v>0</v>
          </cell>
          <cell r="BD476">
            <v>0</v>
          </cell>
          <cell r="BG476">
            <v>0</v>
          </cell>
          <cell r="BH476">
            <v>0</v>
          </cell>
          <cell r="BI476">
            <v>569</v>
          </cell>
          <cell r="BJ476">
            <v>9.9824561403508767</v>
          </cell>
          <cell r="BK476">
            <v>0</v>
          </cell>
          <cell r="BL476">
            <v>0</v>
          </cell>
          <cell r="BM476">
            <v>2596</v>
          </cell>
          <cell r="BN476">
            <v>45.543859649122808</v>
          </cell>
          <cell r="BO476">
            <v>0</v>
          </cell>
          <cell r="BP476">
            <v>0</v>
          </cell>
          <cell r="BY476">
            <v>2131.92</v>
          </cell>
          <cell r="CF476">
            <v>7.9631228848173654</v>
          </cell>
          <cell r="CG476">
            <v>2142.25</v>
          </cell>
          <cell r="CJ476">
            <v>0</v>
          </cell>
          <cell r="CK476">
            <v>0</v>
          </cell>
          <cell r="CL476">
            <v>0</v>
          </cell>
          <cell r="CM476">
            <v>0</v>
          </cell>
          <cell r="CN476">
            <v>0</v>
          </cell>
          <cell r="CO476">
            <v>0</v>
          </cell>
          <cell r="CX476">
            <v>0</v>
          </cell>
          <cell r="CY476">
            <v>0</v>
          </cell>
          <cell r="DB476">
            <v>0</v>
          </cell>
          <cell r="DC476">
            <v>0</v>
          </cell>
          <cell r="DJ476" t="str">
            <v>НКРКП</v>
          </cell>
          <cell r="DL476">
            <v>40816</v>
          </cell>
          <cell r="DM476">
            <v>151</v>
          </cell>
          <cell r="DO476" t="str">
            <v>для споживачів від модульних котелень на опалення, пар, технологічні потреби, вентиляцію</v>
          </cell>
          <cell r="DT476">
            <v>690.32</v>
          </cell>
        </row>
        <row r="477">
          <cell r="W477">
            <v>202.75</v>
          </cell>
          <cell r="AF477">
            <v>39646</v>
          </cell>
          <cell r="AG477">
            <v>396</v>
          </cell>
          <cell r="AH477">
            <v>189.53482131967314</v>
          </cell>
          <cell r="AM477">
            <v>8199</v>
          </cell>
          <cell r="AO477">
            <v>1662347.25</v>
          </cell>
          <cell r="AQ477">
            <v>1553996</v>
          </cell>
          <cell r="AU477">
            <v>0</v>
          </cell>
          <cell r="AW477">
            <v>0</v>
          </cell>
          <cell r="AY477">
            <v>833508.72000000009</v>
          </cell>
          <cell r="AZ477">
            <v>101.65980241492866</v>
          </cell>
          <cell r="BA477">
            <v>0</v>
          </cell>
          <cell r="BB477">
            <v>0</v>
          </cell>
          <cell r="BC477">
            <v>0</v>
          </cell>
          <cell r="BD477">
            <v>0</v>
          </cell>
          <cell r="BG477">
            <v>0</v>
          </cell>
          <cell r="BH477">
            <v>0</v>
          </cell>
          <cell r="BI477">
            <v>81310</v>
          </cell>
          <cell r="BJ477">
            <v>9.9170630564703011</v>
          </cell>
          <cell r="BK477">
            <v>0</v>
          </cell>
          <cell r="BL477">
            <v>0</v>
          </cell>
          <cell r="BM477">
            <v>390573</v>
          </cell>
          <cell r="BN477">
            <v>47.636663007683865</v>
          </cell>
          <cell r="BO477">
            <v>0</v>
          </cell>
          <cell r="BP477">
            <v>0</v>
          </cell>
          <cell r="BY477">
            <v>2131.92</v>
          </cell>
          <cell r="CF477">
            <v>1146</v>
          </cell>
          <cell r="CG477">
            <v>727.32</v>
          </cell>
          <cell r="CJ477">
            <v>0</v>
          </cell>
          <cell r="CK477">
            <v>0</v>
          </cell>
          <cell r="CL477">
            <v>0</v>
          </cell>
          <cell r="CM477">
            <v>0</v>
          </cell>
          <cell r="CN477">
            <v>0</v>
          </cell>
          <cell r="CO477">
            <v>0</v>
          </cell>
          <cell r="CX477">
            <v>0</v>
          </cell>
          <cell r="CY477">
            <v>0</v>
          </cell>
          <cell r="DB477">
            <v>0</v>
          </cell>
          <cell r="DC477">
            <v>0</v>
          </cell>
          <cell r="DJ477" t="str">
            <v>НКРЕ</v>
          </cell>
          <cell r="DL477">
            <v>40526</v>
          </cell>
          <cell r="DM477">
            <v>1805</v>
          </cell>
          <cell r="DO477" t="str">
            <v xml:space="preserve">на теплову енергію для споживачів від модульних котелень </v>
          </cell>
          <cell r="DT477">
            <v>223.08</v>
          </cell>
        </row>
        <row r="478">
          <cell r="W478">
            <v>465.45</v>
          </cell>
          <cell r="AF478">
            <v>39861</v>
          </cell>
          <cell r="AG478">
            <v>604</v>
          </cell>
          <cell r="AH478">
            <v>384.16436637390211</v>
          </cell>
          <cell r="AM478">
            <v>797</v>
          </cell>
          <cell r="AO478">
            <v>370963.64999999997</v>
          </cell>
          <cell r="AQ478">
            <v>306179</v>
          </cell>
          <cell r="AU478">
            <v>0</v>
          </cell>
          <cell r="AW478">
            <v>0</v>
          </cell>
          <cell r="AY478">
            <v>238518</v>
          </cell>
          <cell r="AZ478">
            <v>299.2697616060226</v>
          </cell>
          <cell r="BA478">
            <v>0</v>
          </cell>
          <cell r="BB478">
            <v>0</v>
          </cell>
          <cell r="BC478">
            <v>0</v>
          </cell>
          <cell r="BD478">
            <v>0</v>
          </cell>
          <cell r="BG478">
            <v>0</v>
          </cell>
          <cell r="BH478">
            <v>0</v>
          </cell>
          <cell r="BI478">
            <v>7950</v>
          </cell>
          <cell r="BJ478">
            <v>9.9749058971141782</v>
          </cell>
          <cell r="BK478">
            <v>0</v>
          </cell>
          <cell r="BL478">
            <v>0</v>
          </cell>
          <cell r="BM478">
            <v>36304.65</v>
          </cell>
          <cell r="BN478">
            <v>45.551631116687581</v>
          </cell>
          <cell r="BO478">
            <v>0</v>
          </cell>
          <cell r="BP478">
            <v>0</v>
          </cell>
          <cell r="BY478">
            <v>2131.92</v>
          </cell>
          <cell r="CF478">
            <v>111.33994631812347</v>
          </cell>
          <cell r="CG478">
            <v>2142.25</v>
          </cell>
          <cell r="CJ478">
            <v>0</v>
          </cell>
          <cell r="CK478">
            <v>0</v>
          </cell>
          <cell r="CL478">
            <v>0</v>
          </cell>
          <cell r="CM478">
            <v>0</v>
          </cell>
          <cell r="CN478">
            <v>0</v>
          </cell>
          <cell r="CO478">
            <v>0</v>
          </cell>
          <cell r="CX478">
            <v>0</v>
          </cell>
          <cell r="CY478">
            <v>0</v>
          </cell>
          <cell r="DB478">
            <v>0</v>
          </cell>
          <cell r="DC478">
            <v>0</v>
          </cell>
          <cell r="DJ478" t="str">
            <v>НКРКП</v>
          </cell>
          <cell r="DL478">
            <v>40816</v>
          </cell>
          <cell r="DM478">
            <v>151</v>
          </cell>
          <cell r="DO478" t="str">
            <v xml:space="preserve">для споживачів від модульних котелень на централізоване гаряче водопостачання (підігрів води) </v>
          </cell>
          <cell r="DT478">
            <v>690.32</v>
          </cell>
        </row>
        <row r="479">
          <cell r="W479">
            <v>465.45</v>
          </cell>
          <cell r="AF479">
            <v>39861</v>
          </cell>
          <cell r="AG479">
            <v>604</v>
          </cell>
          <cell r="AH479">
            <v>384.16165413533832</v>
          </cell>
          <cell r="AM479">
            <v>133</v>
          </cell>
          <cell r="AO479">
            <v>61904.85</v>
          </cell>
          <cell r="AQ479">
            <v>51093.5</v>
          </cell>
          <cell r="AU479">
            <v>0</v>
          </cell>
          <cell r="AW479">
            <v>0</v>
          </cell>
          <cell r="AY479">
            <v>39803</v>
          </cell>
          <cell r="AZ479">
            <v>299.27067669172931</v>
          </cell>
          <cell r="BA479">
            <v>0</v>
          </cell>
          <cell r="BB479">
            <v>0</v>
          </cell>
          <cell r="BC479">
            <v>0</v>
          </cell>
          <cell r="BD479">
            <v>0</v>
          </cell>
          <cell r="BG479">
            <v>0</v>
          </cell>
          <cell r="BH479">
            <v>0</v>
          </cell>
          <cell r="BI479">
            <v>1327</v>
          </cell>
          <cell r="BJ479">
            <v>9.977443609022556</v>
          </cell>
          <cell r="BK479">
            <v>0</v>
          </cell>
          <cell r="BL479">
            <v>0</v>
          </cell>
          <cell r="BM479">
            <v>6058</v>
          </cell>
          <cell r="BN479">
            <v>45.548872180451127</v>
          </cell>
          <cell r="BO479">
            <v>0</v>
          </cell>
          <cell r="BP479">
            <v>0</v>
          </cell>
          <cell r="BY479">
            <v>2131.92</v>
          </cell>
          <cell r="CF479">
            <v>18.579997666005369</v>
          </cell>
          <cell r="CG479">
            <v>2142.25</v>
          </cell>
          <cell r="CJ479">
            <v>0</v>
          </cell>
          <cell r="CK479">
            <v>0</v>
          </cell>
          <cell r="CL479">
            <v>0</v>
          </cell>
          <cell r="CM479">
            <v>0</v>
          </cell>
          <cell r="CN479">
            <v>0</v>
          </cell>
          <cell r="CO479">
            <v>0</v>
          </cell>
          <cell r="CX479">
            <v>0</v>
          </cell>
          <cell r="CY479">
            <v>0</v>
          </cell>
          <cell r="DB479">
            <v>0</v>
          </cell>
          <cell r="DC479">
            <v>0</v>
          </cell>
          <cell r="DJ479" t="str">
            <v>НКРКП</v>
          </cell>
          <cell r="DL479">
            <v>40816</v>
          </cell>
          <cell r="DM479">
            <v>151</v>
          </cell>
          <cell r="DO479" t="str">
            <v xml:space="preserve">для споживачів від модульних котелень на централізоване гаряче водопостачання (підігрів води) </v>
          </cell>
          <cell r="DT479">
            <v>690.32</v>
          </cell>
        </row>
        <row r="480">
          <cell r="W480">
            <v>204.36</v>
          </cell>
          <cell r="AF480">
            <v>39646</v>
          </cell>
          <cell r="AG480">
            <v>395</v>
          </cell>
          <cell r="AH480">
            <v>190.98682148040638</v>
          </cell>
          <cell r="AM480">
            <v>430625</v>
          </cell>
          <cell r="AO480">
            <v>88002525</v>
          </cell>
          <cell r="AQ480">
            <v>82243700</v>
          </cell>
          <cell r="AU480">
            <v>0</v>
          </cell>
          <cell r="AW480">
            <v>5757903.2700000005</v>
          </cell>
          <cell r="AY480">
            <v>50626563.240000002</v>
          </cell>
          <cell r="AZ480">
            <v>117.56531376487663</v>
          </cell>
          <cell r="BA480">
            <v>0</v>
          </cell>
          <cell r="BB480">
            <v>0</v>
          </cell>
          <cell r="BC480">
            <v>0</v>
          </cell>
          <cell r="BD480">
            <v>0</v>
          </cell>
          <cell r="BG480">
            <v>0</v>
          </cell>
          <cell r="BH480">
            <v>0</v>
          </cell>
          <cell r="BI480">
            <v>4614100</v>
          </cell>
          <cell r="BJ480">
            <v>10.71489114658926</v>
          </cell>
          <cell r="BK480">
            <v>0</v>
          </cell>
          <cell r="BL480">
            <v>0</v>
          </cell>
          <cell r="BM480">
            <v>14081748</v>
          </cell>
          <cell r="BN480">
            <v>32.70072104499274</v>
          </cell>
          <cell r="BO480">
            <v>0</v>
          </cell>
          <cell r="BP480">
            <v>0</v>
          </cell>
          <cell r="BY480">
            <v>2062.1</v>
          </cell>
          <cell r="CF480">
            <v>69607</v>
          </cell>
          <cell r="CG480">
            <v>727.32</v>
          </cell>
          <cell r="CJ480">
            <v>0</v>
          </cell>
          <cell r="CK480">
            <v>0</v>
          </cell>
          <cell r="CL480">
            <v>0</v>
          </cell>
          <cell r="CM480">
            <v>168903</v>
          </cell>
          <cell r="CN480">
            <v>34.090000000000003</v>
          </cell>
          <cell r="CO480">
            <v>34.090000000000003</v>
          </cell>
          <cell r="CX480">
            <v>0</v>
          </cell>
          <cell r="CY480">
            <v>0</v>
          </cell>
          <cell r="DB480">
            <v>0</v>
          </cell>
          <cell r="DC480">
            <v>0</v>
          </cell>
          <cell r="DJ480" t="str">
            <v>НКРЕ</v>
          </cell>
          <cell r="DL480">
            <v>40526</v>
          </cell>
          <cell r="DM480">
            <v>1805</v>
          </cell>
          <cell r="DO480" t="str">
            <v>на теплову енергію для споживачів від централізованих джерел теплозабезпечення</v>
          </cell>
          <cell r="DT480">
            <v>224.79</v>
          </cell>
        </row>
        <row r="481">
          <cell r="W481">
            <v>503.34</v>
          </cell>
          <cell r="AF481">
            <v>39861</v>
          </cell>
          <cell r="AG481">
            <v>602</v>
          </cell>
          <cell r="AH481">
            <v>419.54496454179741</v>
          </cell>
          <cell r="AM481">
            <v>101669</v>
          </cell>
          <cell r="AO481">
            <v>51174074.460000001</v>
          </cell>
          <cell r="AQ481">
            <v>42654717</v>
          </cell>
          <cell r="AU481">
            <v>0</v>
          </cell>
          <cell r="AW481">
            <v>904000</v>
          </cell>
          <cell r="AY481">
            <v>35625617.5</v>
          </cell>
          <cell r="AZ481">
            <v>350.40786768828258</v>
          </cell>
          <cell r="BA481">
            <v>0</v>
          </cell>
          <cell r="BB481">
            <v>0</v>
          </cell>
          <cell r="BC481">
            <v>0</v>
          </cell>
          <cell r="BD481">
            <v>0</v>
          </cell>
          <cell r="BG481">
            <v>0</v>
          </cell>
          <cell r="BH481">
            <v>0</v>
          </cell>
          <cell r="BI481">
            <v>1375815</v>
          </cell>
          <cell r="BJ481">
            <v>13.532295980092259</v>
          </cell>
          <cell r="BK481">
            <v>0</v>
          </cell>
          <cell r="BL481">
            <v>0</v>
          </cell>
          <cell r="BM481">
            <v>3132464</v>
          </cell>
          <cell r="BN481">
            <v>30.810414187215375</v>
          </cell>
          <cell r="BO481">
            <v>0</v>
          </cell>
          <cell r="BP481">
            <v>0</v>
          </cell>
          <cell r="BY481">
            <v>2062.1</v>
          </cell>
          <cell r="CF481">
            <v>16630</v>
          </cell>
          <cell r="CG481">
            <v>2142.25</v>
          </cell>
          <cell r="CJ481">
            <v>0</v>
          </cell>
          <cell r="CK481">
            <v>0</v>
          </cell>
          <cell r="CL481">
            <v>0</v>
          </cell>
          <cell r="CM481">
            <v>28250</v>
          </cell>
          <cell r="CN481">
            <v>32</v>
          </cell>
          <cell r="CO481">
            <v>32</v>
          </cell>
          <cell r="CX481">
            <v>0</v>
          </cell>
          <cell r="CY481">
            <v>0</v>
          </cell>
          <cell r="DB481">
            <v>0</v>
          </cell>
          <cell r="DC481">
            <v>0</v>
          </cell>
          <cell r="DJ481" t="str">
            <v>НКРКП</v>
          </cell>
          <cell r="DL481">
            <v>40816</v>
          </cell>
          <cell r="DM481">
            <v>151</v>
          </cell>
          <cell r="DO481" t="str">
            <v>від централізованих джерел теплозабезпечення на опалення, пар, технологічні потреби, вентиляцію</v>
          </cell>
          <cell r="DT481">
            <v>766.64</v>
          </cell>
        </row>
        <row r="482">
          <cell r="W482">
            <v>503.34</v>
          </cell>
          <cell r="AF482">
            <v>39861</v>
          </cell>
          <cell r="AG482">
            <v>602</v>
          </cell>
          <cell r="AH482">
            <v>419.54495015986458</v>
          </cell>
          <cell r="AM482">
            <v>21268</v>
          </cell>
          <cell r="AO482">
            <v>10705035.119999999</v>
          </cell>
          <cell r="AQ482">
            <v>8922882</v>
          </cell>
          <cell r="AU482">
            <v>0</v>
          </cell>
          <cell r="AW482">
            <v>189120</v>
          </cell>
          <cell r="AY482">
            <v>7452887.75</v>
          </cell>
          <cell r="AZ482">
            <v>350.42729687793872</v>
          </cell>
          <cell r="BA482">
            <v>0</v>
          </cell>
          <cell r="BB482">
            <v>0</v>
          </cell>
          <cell r="BC482">
            <v>0</v>
          </cell>
          <cell r="BD482">
            <v>0</v>
          </cell>
          <cell r="BG482">
            <v>0</v>
          </cell>
          <cell r="BH482">
            <v>0</v>
          </cell>
          <cell r="BI482">
            <v>287805</v>
          </cell>
          <cell r="BJ482">
            <v>13.532302050028211</v>
          </cell>
          <cell r="BK482">
            <v>0</v>
          </cell>
          <cell r="BL482">
            <v>0</v>
          </cell>
          <cell r="BM482">
            <v>655276</v>
          </cell>
          <cell r="BN482">
            <v>30.810419409441415</v>
          </cell>
          <cell r="BO482">
            <v>0</v>
          </cell>
          <cell r="BP482">
            <v>0</v>
          </cell>
          <cell r="BY482">
            <v>2062.1</v>
          </cell>
          <cell r="CF482">
            <v>3479</v>
          </cell>
          <cell r="CG482">
            <v>2142.25</v>
          </cell>
          <cell r="CJ482">
            <v>0</v>
          </cell>
          <cell r="CK482">
            <v>0</v>
          </cell>
          <cell r="CL482">
            <v>0</v>
          </cell>
          <cell r="CM482">
            <v>5910</v>
          </cell>
          <cell r="CN482">
            <v>32</v>
          </cell>
          <cell r="CO482">
            <v>32</v>
          </cell>
          <cell r="CX482">
            <v>0</v>
          </cell>
          <cell r="CY482">
            <v>0</v>
          </cell>
          <cell r="DB482">
            <v>0</v>
          </cell>
          <cell r="DC482">
            <v>0</v>
          </cell>
          <cell r="DJ482" t="str">
            <v>НКРКП</v>
          </cell>
          <cell r="DL482">
            <v>40816</v>
          </cell>
          <cell r="DM482">
            <v>151</v>
          </cell>
          <cell r="DO482" t="str">
            <v>від централізованих джерел теплозабезпечення на опалення, пар, технологічні потреби, вентиляцію</v>
          </cell>
          <cell r="DT482">
            <v>766.64</v>
          </cell>
        </row>
        <row r="483">
          <cell r="W483">
            <v>217.27</v>
          </cell>
          <cell r="AF483">
            <v>39646</v>
          </cell>
          <cell r="AG483">
            <v>397</v>
          </cell>
          <cell r="AH483">
            <v>203.90102201512011</v>
          </cell>
          <cell r="AM483">
            <v>216533</v>
          </cell>
          <cell r="AO483">
            <v>47046124.910000004</v>
          </cell>
          <cell r="AQ483">
            <v>44151300</v>
          </cell>
          <cell r="AU483">
            <v>0</v>
          </cell>
          <cell r="AW483">
            <v>2935313.64</v>
          </cell>
          <cell r="AY483">
            <v>25456927.32</v>
          </cell>
          <cell r="AZ483">
            <v>117.56603991077573</v>
          </cell>
          <cell r="BA483">
            <v>0</v>
          </cell>
          <cell r="BB483">
            <v>0</v>
          </cell>
          <cell r="BC483">
            <v>0</v>
          </cell>
          <cell r="BD483">
            <v>0</v>
          </cell>
          <cell r="BG483">
            <v>0</v>
          </cell>
          <cell r="BH483">
            <v>0</v>
          </cell>
          <cell r="BI483">
            <v>5137900</v>
          </cell>
          <cell r="BJ483">
            <v>23.728022980330941</v>
          </cell>
          <cell r="BK483">
            <v>0</v>
          </cell>
          <cell r="BL483">
            <v>0</v>
          </cell>
          <cell r="BM483">
            <v>7080785</v>
          </cell>
          <cell r="BN483">
            <v>32.700719982635441</v>
          </cell>
          <cell r="BO483">
            <v>0</v>
          </cell>
          <cell r="BP483">
            <v>0</v>
          </cell>
          <cell r="BY483">
            <v>2062.1</v>
          </cell>
          <cell r="CF483">
            <v>35001</v>
          </cell>
          <cell r="CG483">
            <v>727.32</v>
          </cell>
          <cell r="CJ483">
            <v>0</v>
          </cell>
          <cell r="CK483">
            <v>0</v>
          </cell>
          <cell r="CL483">
            <v>0</v>
          </cell>
          <cell r="CM483">
            <v>86282</v>
          </cell>
          <cell r="CN483">
            <v>34.020000000000003</v>
          </cell>
          <cell r="CO483">
            <v>34.020000000000003</v>
          </cell>
          <cell r="CX483">
            <v>0</v>
          </cell>
          <cell r="CY483">
            <v>0</v>
          </cell>
          <cell r="DB483">
            <v>0</v>
          </cell>
          <cell r="DC483">
            <v>0</v>
          </cell>
          <cell r="DJ483" t="str">
            <v>НКРЕ</v>
          </cell>
          <cell r="DL483">
            <v>40526</v>
          </cell>
          <cell r="DM483">
            <v>1805</v>
          </cell>
          <cell r="DO483" t="str">
            <v>на теплову енергію для споживачів від централізованих джерел теплозабезпечення</v>
          </cell>
          <cell r="DT483">
            <v>224.79</v>
          </cell>
        </row>
        <row r="484">
          <cell r="W484">
            <v>564.42999999999995</v>
          </cell>
          <cell r="AF484">
            <v>39861</v>
          </cell>
          <cell r="AG484">
            <v>603</v>
          </cell>
          <cell r="AH484">
            <v>480.62690850648607</v>
          </cell>
          <cell r="AM484">
            <v>8711</v>
          </cell>
          <cell r="AO484">
            <v>4916749.7299999995</v>
          </cell>
          <cell r="AQ484">
            <v>4186741</v>
          </cell>
          <cell r="AU484">
            <v>0</v>
          </cell>
          <cell r="AW484">
            <v>77440</v>
          </cell>
          <cell r="AY484">
            <v>3052406</v>
          </cell>
          <cell r="AZ484">
            <v>350.40821949259555</v>
          </cell>
          <cell r="BA484">
            <v>0</v>
          </cell>
          <cell r="BB484">
            <v>0</v>
          </cell>
          <cell r="BC484">
            <v>0</v>
          </cell>
          <cell r="BD484">
            <v>0</v>
          </cell>
          <cell r="BG484">
            <v>0</v>
          </cell>
          <cell r="BH484">
            <v>0</v>
          </cell>
          <cell r="BI484">
            <v>649964</v>
          </cell>
          <cell r="BJ484">
            <v>74.614165997015263</v>
          </cell>
          <cell r="BK484">
            <v>0</v>
          </cell>
          <cell r="BL484">
            <v>0</v>
          </cell>
          <cell r="BM484">
            <v>268389</v>
          </cell>
          <cell r="BN484">
            <v>30.810354723912294</v>
          </cell>
          <cell r="BO484">
            <v>0</v>
          </cell>
          <cell r="BP484">
            <v>0</v>
          </cell>
          <cell r="BY484">
            <v>2062.1</v>
          </cell>
          <cell r="CF484">
            <v>1424.8598436223597</v>
          </cell>
          <cell r="CG484">
            <v>2142.25</v>
          </cell>
          <cell r="CJ484">
            <v>0</v>
          </cell>
          <cell r="CK484">
            <v>0</v>
          </cell>
          <cell r="CL484">
            <v>0</v>
          </cell>
          <cell r="CM484">
            <v>2420</v>
          </cell>
          <cell r="CN484">
            <v>32</v>
          </cell>
          <cell r="CO484">
            <v>32</v>
          </cell>
          <cell r="CX484">
            <v>0</v>
          </cell>
          <cell r="CY484">
            <v>0</v>
          </cell>
          <cell r="DB484">
            <v>0</v>
          </cell>
          <cell r="DC484">
            <v>0</v>
          </cell>
          <cell r="DJ484" t="str">
            <v>НКРКП</v>
          </cell>
          <cell r="DL484">
            <v>40816</v>
          </cell>
          <cell r="DM484">
            <v>151</v>
          </cell>
          <cell r="DO484" t="str">
            <v xml:space="preserve">для споживачів від централізованих джерел теплозабезпечення на централізоване гаряче водопостачання (підігрів води) </v>
          </cell>
          <cell r="DT484">
            <v>827.73</v>
          </cell>
        </row>
        <row r="485">
          <cell r="W485">
            <v>564.42999999999995</v>
          </cell>
          <cell r="AF485">
            <v>39861</v>
          </cell>
          <cell r="AG485">
            <v>603</v>
          </cell>
          <cell r="AH485">
            <v>480.62706270627064</v>
          </cell>
          <cell r="AM485">
            <v>606</v>
          </cell>
          <cell r="AO485">
            <v>342044.57999999996</v>
          </cell>
          <cell r="AQ485">
            <v>291260</v>
          </cell>
          <cell r="AU485">
            <v>0</v>
          </cell>
          <cell r="AW485">
            <v>5376</v>
          </cell>
          <cell r="AY485">
            <v>212348</v>
          </cell>
          <cell r="AZ485">
            <v>350.40924092409239</v>
          </cell>
          <cell r="BA485">
            <v>0</v>
          </cell>
          <cell r="BB485">
            <v>0</v>
          </cell>
          <cell r="BC485">
            <v>0</v>
          </cell>
          <cell r="BD485">
            <v>0</v>
          </cell>
          <cell r="BG485">
            <v>0</v>
          </cell>
          <cell r="BH485">
            <v>0</v>
          </cell>
          <cell r="BI485">
            <v>45216</v>
          </cell>
          <cell r="BJ485">
            <v>74.613861386138609</v>
          </cell>
          <cell r="BK485">
            <v>0</v>
          </cell>
          <cell r="BL485">
            <v>0</v>
          </cell>
          <cell r="BM485">
            <v>18671</v>
          </cell>
          <cell r="BN485">
            <v>30.810231023102311</v>
          </cell>
          <cell r="BO485">
            <v>0</v>
          </cell>
          <cell r="BP485">
            <v>0</v>
          </cell>
          <cell r="BY485">
            <v>2062.1</v>
          </cell>
          <cell r="CF485">
            <v>99.123818415217642</v>
          </cell>
          <cell r="CG485">
            <v>2142.25</v>
          </cell>
          <cell r="CJ485">
            <v>0</v>
          </cell>
          <cell r="CK485">
            <v>0</v>
          </cell>
          <cell r="CL485">
            <v>0</v>
          </cell>
          <cell r="CM485">
            <v>168</v>
          </cell>
          <cell r="CN485">
            <v>32</v>
          </cell>
          <cell r="CO485">
            <v>32</v>
          </cell>
          <cell r="CX485">
            <v>0</v>
          </cell>
          <cell r="CY485">
            <v>0</v>
          </cell>
          <cell r="DB485">
            <v>0</v>
          </cell>
          <cell r="DC485">
            <v>0</v>
          </cell>
          <cell r="DJ485" t="str">
            <v>НКРКП</v>
          </cell>
          <cell r="DL485">
            <v>40816</v>
          </cell>
          <cell r="DM485">
            <v>151</v>
          </cell>
          <cell r="DO485" t="str">
            <v xml:space="preserve">для споживачів від централізованих джерел теплозабезпечення на централізоване гаряче водопостачання (підігрів води) </v>
          </cell>
          <cell r="DT485">
            <v>827.73</v>
          </cell>
        </row>
        <row r="486">
          <cell r="W486">
            <v>213.67</v>
          </cell>
          <cell r="AF486">
            <v>40429</v>
          </cell>
          <cell r="AG486">
            <v>166</v>
          </cell>
          <cell r="AH486">
            <v>369.36688596179624</v>
          </cell>
          <cell r="AM486">
            <v>211131</v>
          </cell>
          <cell r="AO486">
            <v>45112360.769999996</v>
          </cell>
          <cell r="AQ486">
            <v>77984800</v>
          </cell>
          <cell r="AU486">
            <v>0</v>
          </cell>
          <cell r="AW486">
            <v>0</v>
          </cell>
          <cell r="AY486">
            <v>42467502.300000004</v>
          </cell>
          <cell r="AZ486">
            <v>201.14290322122287</v>
          </cell>
          <cell r="BA486">
            <v>0</v>
          </cell>
          <cell r="BB486">
            <v>0</v>
          </cell>
          <cell r="BC486">
            <v>0</v>
          </cell>
          <cell r="BD486">
            <v>0</v>
          </cell>
          <cell r="BG486">
            <v>0</v>
          </cell>
          <cell r="BH486">
            <v>0</v>
          </cell>
          <cell r="BI486">
            <v>7633420</v>
          </cell>
          <cell r="BJ486">
            <v>36.154899091085632</v>
          </cell>
          <cell r="BK486">
            <v>0</v>
          </cell>
          <cell r="BL486">
            <v>0</v>
          </cell>
          <cell r="BM486">
            <v>20593502</v>
          </cell>
          <cell r="BN486">
            <v>97.538978169951363</v>
          </cell>
          <cell r="BO486">
            <v>0</v>
          </cell>
          <cell r="BP486">
            <v>0</v>
          </cell>
          <cell r="BY486">
            <v>3383.88</v>
          </cell>
          <cell r="CF486">
            <v>38925.300000000003</v>
          </cell>
          <cell r="CG486">
            <v>1091</v>
          </cell>
          <cell r="CJ486">
            <v>0</v>
          </cell>
          <cell r="CK486">
            <v>0</v>
          </cell>
          <cell r="CL486">
            <v>0</v>
          </cell>
          <cell r="CM486">
            <v>0</v>
          </cell>
          <cell r="CN486">
            <v>0</v>
          </cell>
          <cell r="CO486">
            <v>0</v>
          </cell>
          <cell r="CX486">
            <v>0</v>
          </cell>
          <cell r="CY486">
            <v>0</v>
          </cell>
          <cell r="DB486">
            <v>0</v>
          </cell>
          <cell r="DC486">
            <v>0</v>
          </cell>
          <cell r="DJ486" t="str">
            <v>НКРЕ</v>
          </cell>
          <cell r="DL486">
            <v>40526</v>
          </cell>
          <cell r="DM486">
            <v>1767</v>
          </cell>
          <cell r="DO486" t="str">
            <v>тариф на теплову енергію</v>
          </cell>
          <cell r="DT486">
            <v>235.04</v>
          </cell>
        </row>
        <row r="487">
          <cell r="W487">
            <v>493.27</v>
          </cell>
          <cell r="AF487">
            <v>40429</v>
          </cell>
          <cell r="AG487">
            <v>167</v>
          </cell>
          <cell r="AH487">
            <v>611.70869743710045</v>
          </cell>
          <cell r="AM487">
            <v>68204</v>
          </cell>
          <cell r="AO487">
            <v>33642987.079999998</v>
          </cell>
          <cell r="AQ487">
            <v>41720980</v>
          </cell>
          <cell r="AU487">
            <v>0</v>
          </cell>
          <cell r="AW487">
            <v>0</v>
          </cell>
          <cell r="AY487">
            <v>30699891.022800002</v>
          </cell>
          <cell r="AZ487">
            <v>450.11862974019124</v>
          </cell>
          <cell r="BA487">
            <v>0</v>
          </cell>
          <cell r="BB487">
            <v>0</v>
          </cell>
          <cell r="BC487">
            <v>0</v>
          </cell>
          <cell r="BD487">
            <v>0</v>
          </cell>
          <cell r="BG487">
            <v>0</v>
          </cell>
          <cell r="BH487">
            <v>0</v>
          </cell>
          <cell r="BI487">
            <v>2060000</v>
          </cell>
          <cell r="BJ487">
            <v>30.203507125681778</v>
          </cell>
          <cell r="BK487">
            <v>0</v>
          </cell>
          <cell r="BL487">
            <v>0</v>
          </cell>
          <cell r="BM487">
            <v>6652487</v>
          </cell>
          <cell r="BN487">
            <v>97.538076945633691</v>
          </cell>
          <cell r="BO487">
            <v>0</v>
          </cell>
          <cell r="BP487">
            <v>0</v>
          </cell>
          <cell r="BY487">
            <v>3383.88</v>
          </cell>
          <cell r="CF487">
            <v>12454.62</v>
          </cell>
          <cell r="CG487">
            <v>2464.94</v>
          </cell>
          <cell r="CJ487">
            <v>0</v>
          </cell>
          <cell r="CK487">
            <v>0</v>
          </cell>
          <cell r="CL487">
            <v>0</v>
          </cell>
          <cell r="CM487">
            <v>0</v>
          </cell>
          <cell r="CN487">
            <v>0</v>
          </cell>
          <cell r="CO487">
            <v>0</v>
          </cell>
          <cell r="CX487">
            <v>0</v>
          </cell>
          <cell r="CY487">
            <v>0</v>
          </cell>
          <cell r="DB487">
            <v>0</v>
          </cell>
          <cell r="DC487">
            <v>0</v>
          </cell>
          <cell r="DJ487" t="str">
            <v>НКРКП</v>
          </cell>
          <cell r="DL487">
            <v>40984</v>
          </cell>
          <cell r="DM487">
            <v>131</v>
          </cell>
          <cell r="DT487">
            <v>877.89</v>
          </cell>
        </row>
        <row r="488">
          <cell r="W488">
            <v>493.27</v>
          </cell>
          <cell r="AF488">
            <v>40429</v>
          </cell>
          <cell r="AG488">
            <v>168</v>
          </cell>
          <cell r="AH488">
            <v>612.97947171978183</v>
          </cell>
          <cell r="AM488">
            <v>27864</v>
          </cell>
          <cell r="AO488">
            <v>13744475.279999999</v>
          </cell>
          <cell r="AQ488">
            <v>17080060</v>
          </cell>
          <cell r="AU488">
            <v>0</v>
          </cell>
          <cell r="AW488">
            <v>0</v>
          </cell>
          <cell r="AY488">
            <v>12619630.070999999</v>
          </cell>
          <cell r="AZ488">
            <v>452.90087822997413</v>
          </cell>
          <cell r="BA488">
            <v>0</v>
          </cell>
          <cell r="BB488">
            <v>0</v>
          </cell>
          <cell r="BC488">
            <v>0</v>
          </cell>
          <cell r="BD488">
            <v>0</v>
          </cell>
          <cell r="BG488">
            <v>0</v>
          </cell>
          <cell r="BH488">
            <v>0</v>
          </cell>
          <cell r="BI488">
            <v>771930</v>
          </cell>
          <cell r="BJ488">
            <v>27.703488372093023</v>
          </cell>
          <cell r="BK488">
            <v>0</v>
          </cell>
          <cell r="BL488">
            <v>0</v>
          </cell>
          <cell r="BM488">
            <v>2717879</v>
          </cell>
          <cell r="BN488">
            <v>97.540877117427499</v>
          </cell>
          <cell r="BO488">
            <v>0</v>
          </cell>
          <cell r="BP488">
            <v>0</v>
          </cell>
          <cell r="BY488">
            <v>3383.88</v>
          </cell>
          <cell r="CF488">
            <v>5119.6499999999996</v>
          </cell>
          <cell r="CG488">
            <v>2464.94</v>
          </cell>
          <cell r="CJ488">
            <v>0</v>
          </cell>
          <cell r="CK488">
            <v>0</v>
          </cell>
          <cell r="CL488">
            <v>0</v>
          </cell>
          <cell r="CM488">
            <v>0</v>
          </cell>
          <cell r="CN488">
            <v>0</v>
          </cell>
          <cell r="CO488">
            <v>0</v>
          </cell>
          <cell r="CX488">
            <v>0</v>
          </cell>
          <cell r="CY488">
            <v>0</v>
          </cell>
          <cell r="DB488">
            <v>0</v>
          </cell>
          <cell r="DC488">
            <v>0</v>
          </cell>
          <cell r="DJ488" t="str">
            <v>НКРКП</v>
          </cell>
          <cell r="DL488">
            <v>40984</v>
          </cell>
          <cell r="DM488">
            <v>131</v>
          </cell>
          <cell r="DT488">
            <v>880.8</v>
          </cell>
        </row>
        <row r="489">
          <cell r="AF489">
            <v>39512</v>
          </cell>
          <cell r="AG489">
            <v>149</v>
          </cell>
          <cell r="AM489">
            <v>71565</v>
          </cell>
          <cell r="AO489">
            <v>8287227</v>
          </cell>
          <cell r="AQ489">
            <v>8287090</v>
          </cell>
          <cell r="AU489">
            <v>0</v>
          </cell>
          <cell r="AW489">
            <v>0</v>
          </cell>
          <cell r="AY489">
            <v>4759766.9725409998</v>
          </cell>
          <cell r="AZ489">
            <v>66.509704080779713</v>
          </cell>
          <cell r="BA489">
            <v>2671593</v>
          </cell>
          <cell r="BB489">
            <v>37.330999790400334</v>
          </cell>
          <cell r="BG489">
            <v>714742</v>
          </cell>
          <cell r="BH489">
            <v>9.9873122336337588</v>
          </cell>
          <cell r="BI489">
            <v>140988</v>
          </cell>
          <cell r="BJ489">
            <v>1.9700691678893314</v>
          </cell>
          <cell r="BK489">
            <v>0</v>
          </cell>
          <cell r="BL489">
            <v>0</v>
          </cell>
          <cell r="BO489">
            <v>0</v>
          </cell>
          <cell r="BP489">
            <v>0</v>
          </cell>
          <cell r="CF489">
            <v>8326.0889999999999</v>
          </cell>
          <cell r="CG489">
            <v>571.66899999999998</v>
          </cell>
          <cell r="CJ489">
            <v>0</v>
          </cell>
          <cell r="CK489">
            <v>0</v>
          </cell>
          <cell r="CL489">
            <v>0</v>
          </cell>
          <cell r="CM489">
            <v>0</v>
          </cell>
          <cell r="CN489">
            <v>0</v>
          </cell>
          <cell r="CO489">
            <v>0</v>
          </cell>
          <cell r="CX489">
            <v>0</v>
          </cell>
          <cell r="CY489">
            <v>0</v>
          </cell>
          <cell r="DJ489" t="str">
            <v>НКРЕ</v>
          </cell>
          <cell r="DL489">
            <v>40526</v>
          </cell>
          <cell r="DM489">
            <v>1775</v>
          </cell>
          <cell r="DO489" t="str">
            <v>умовно-змінна частина двоставкового тарифу</v>
          </cell>
        </row>
        <row r="490">
          <cell r="AF490">
            <v>39874</v>
          </cell>
          <cell r="AG490">
            <v>547</v>
          </cell>
          <cell r="AM490">
            <v>22627</v>
          </cell>
          <cell r="AO490">
            <v>8002717.3600000003</v>
          </cell>
          <cell r="AQ490">
            <v>6958930</v>
          </cell>
          <cell r="AU490">
            <v>0</v>
          </cell>
          <cell r="AW490">
            <v>0</v>
          </cell>
          <cell r="AY490">
            <v>5984028.9983778</v>
          </cell>
          <cell r="AZ490">
            <v>264.46409150032264</v>
          </cell>
          <cell r="BA490">
            <v>588681</v>
          </cell>
          <cell r="BB490">
            <v>26.016749900561276</v>
          </cell>
          <cell r="BG490">
            <v>341263</v>
          </cell>
          <cell r="BH490">
            <v>15.082114288239714</v>
          </cell>
          <cell r="BI490">
            <v>44957</v>
          </cell>
          <cell r="BJ490">
            <v>1.9868740884783667</v>
          </cell>
          <cell r="BK490">
            <v>0</v>
          </cell>
          <cell r="BL490">
            <v>0</v>
          </cell>
          <cell r="BO490">
            <v>0</v>
          </cell>
          <cell r="BP490">
            <v>0</v>
          </cell>
          <cell r="CF490">
            <v>2746.416228</v>
          </cell>
          <cell r="CG490">
            <v>2178.85</v>
          </cell>
          <cell r="CJ490">
            <v>0</v>
          </cell>
          <cell r="CK490">
            <v>0</v>
          </cell>
          <cell r="CL490">
            <v>0</v>
          </cell>
          <cell r="CM490">
            <v>0</v>
          </cell>
          <cell r="CN490">
            <v>0</v>
          </cell>
          <cell r="CO490">
            <v>0</v>
          </cell>
          <cell r="CX490">
            <v>0</v>
          </cell>
          <cell r="CY490">
            <v>0</v>
          </cell>
          <cell r="DJ490" t="str">
            <v>НКРКП</v>
          </cell>
          <cell r="DL490">
            <v>40816</v>
          </cell>
          <cell r="DM490">
            <v>158</v>
          </cell>
        </row>
        <row r="491">
          <cell r="AF491">
            <v>39874</v>
          </cell>
          <cell r="AG491">
            <v>547</v>
          </cell>
          <cell r="AM491">
            <v>3809.1</v>
          </cell>
          <cell r="AO491">
            <v>1451000.463</v>
          </cell>
          <cell r="AQ491">
            <v>1160810</v>
          </cell>
          <cell r="AU491">
            <v>0</v>
          </cell>
          <cell r="AW491">
            <v>0</v>
          </cell>
          <cell r="AY491">
            <v>1041170.00905</v>
          </cell>
          <cell r="AZ491">
            <v>273.33753617652462</v>
          </cell>
          <cell r="BA491">
            <v>55220</v>
          </cell>
          <cell r="BB491">
            <v>14.496862775983828</v>
          </cell>
          <cell r="BG491">
            <v>59134</v>
          </cell>
          <cell r="BH491">
            <v>15.524402089732483</v>
          </cell>
          <cell r="BI491">
            <v>5286</v>
          </cell>
          <cell r="BJ491">
            <v>1.3877293848940695</v>
          </cell>
          <cell r="BK491">
            <v>0</v>
          </cell>
          <cell r="BL491">
            <v>0</v>
          </cell>
          <cell r="BO491">
            <v>0</v>
          </cell>
          <cell r="BP491">
            <v>0</v>
          </cell>
          <cell r="CF491">
            <v>477.85300000000001</v>
          </cell>
          <cell r="CG491">
            <v>2178.85</v>
          </cell>
          <cell r="CJ491">
            <v>0</v>
          </cell>
          <cell r="CK491">
            <v>0</v>
          </cell>
          <cell r="CL491">
            <v>0</v>
          </cell>
          <cell r="CM491">
            <v>0</v>
          </cell>
          <cell r="CN491">
            <v>0</v>
          </cell>
          <cell r="CO491">
            <v>0</v>
          </cell>
          <cell r="CX491">
            <v>0</v>
          </cell>
          <cell r="CY491">
            <v>0</v>
          </cell>
          <cell r="DJ491" t="str">
            <v>НКРКП</v>
          </cell>
          <cell r="DL491">
            <v>40816</v>
          </cell>
          <cell r="DM491">
            <v>158</v>
          </cell>
        </row>
        <row r="492">
          <cell r="AF492">
            <v>39527</v>
          </cell>
          <cell r="AG492">
            <v>149</v>
          </cell>
          <cell r="AO492">
            <v>6174106.8443999998</v>
          </cell>
          <cell r="AQ492">
            <v>6173937</v>
          </cell>
          <cell r="AY492">
            <v>940550.86062960001</v>
          </cell>
          <cell r="AZ492">
            <v>2169.3672401273179</v>
          </cell>
          <cell r="BC492">
            <v>0</v>
          </cell>
          <cell r="BD492">
            <v>0</v>
          </cell>
          <cell r="BG492">
            <v>133698</v>
          </cell>
          <cell r="BH492">
            <v>308.3725435925823</v>
          </cell>
          <cell r="BI492">
            <v>26372</v>
          </cell>
          <cell r="BJ492">
            <v>60.826644524402617</v>
          </cell>
          <cell r="BK492">
            <v>0</v>
          </cell>
          <cell r="BL492">
            <v>0</v>
          </cell>
          <cell r="BM492">
            <v>3607510</v>
          </cell>
          <cell r="BN492">
            <v>8320.6707260817402</v>
          </cell>
          <cell r="BO492">
            <v>0</v>
          </cell>
          <cell r="BP492">
            <v>0</v>
          </cell>
          <cell r="BY492">
            <v>1576</v>
          </cell>
          <cell r="CF492">
            <v>1645.2688800000001</v>
          </cell>
          <cell r="CG492">
            <v>571.66999999999996</v>
          </cell>
          <cell r="CX492">
            <v>0</v>
          </cell>
          <cell r="CY492">
            <v>0</v>
          </cell>
          <cell r="DB492">
            <v>0</v>
          </cell>
          <cell r="DC492">
            <v>0</v>
          </cell>
          <cell r="DJ492" t="str">
            <v>МОС</v>
          </cell>
          <cell r="DL492">
            <v>40556</v>
          </cell>
          <cell r="DM492">
            <v>7</v>
          </cell>
          <cell r="DO492" t="str">
            <v>тариф на теплову енергію</v>
          </cell>
        </row>
        <row r="493">
          <cell r="AF493">
            <v>39874</v>
          </cell>
          <cell r="AG493">
            <v>547</v>
          </cell>
          <cell r="AO493">
            <v>3282888.2172000008</v>
          </cell>
          <cell r="AQ493">
            <v>2854510</v>
          </cell>
          <cell r="AY493">
            <v>1182470.6103999999</v>
          </cell>
          <cell r="AZ493">
            <v>8651.3799414691239</v>
          </cell>
          <cell r="BC493">
            <v>0</v>
          </cell>
          <cell r="BD493">
            <v>0</v>
          </cell>
          <cell r="BG493">
            <v>64432</v>
          </cell>
          <cell r="BH493">
            <v>471.40766754462976</v>
          </cell>
          <cell r="BI493">
            <v>8488</v>
          </cell>
          <cell r="BJ493">
            <v>62.101258413813277</v>
          </cell>
          <cell r="BK493">
            <v>0</v>
          </cell>
          <cell r="BL493">
            <v>0</v>
          </cell>
          <cell r="BM493">
            <v>1140600</v>
          </cell>
          <cell r="BN493">
            <v>8345.0395083406493</v>
          </cell>
          <cell r="BO493">
            <v>0</v>
          </cell>
          <cell r="BP493">
            <v>0</v>
          </cell>
          <cell r="BY493">
            <v>1576</v>
          </cell>
          <cell r="CF493">
            <v>542.70399999999995</v>
          </cell>
          <cell r="CG493">
            <v>2178.85</v>
          </cell>
          <cell r="CX493">
            <v>0</v>
          </cell>
          <cell r="CY493">
            <v>0</v>
          </cell>
          <cell r="DB493">
            <v>0</v>
          </cell>
          <cell r="DC493">
            <v>0</v>
          </cell>
          <cell r="DJ493" t="str">
            <v>МОС</v>
          </cell>
          <cell r="DL493">
            <v>39954</v>
          </cell>
          <cell r="DM493">
            <v>414</v>
          </cell>
          <cell r="DO493" t="str">
            <v>на теплову енергію</v>
          </cell>
        </row>
        <row r="494">
          <cell r="AF494">
            <v>39874</v>
          </cell>
          <cell r="AG494">
            <v>547</v>
          </cell>
          <cell r="AO494">
            <v>607563.92280000006</v>
          </cell>
          <cell r="AQ494">
            <v>485140</v>
          </cell>
          <cell r="AY494">
            <v>205742.26895</v>
          </cell>
          <cell r="AZ494">
            <v>8883.5176575993082</v>
          </cell>
          <cell r="BC494">
            <v>0</v>
          </cell>
          <cell r="BD494">
            <v>0</v>
          </cell>
          <cell r="BG494">
            <v>11456</v>
          </cell>
          <cell r="BH494">
            <v>494.64594127806566</v>
          </cell>
          <cell r="BI494">
            <v>1024</v>
          </cell>
          <cell r="BJ494">
            <v>44.21416234887738</v>
          </cell>
          <cell r="BK494">
            <v>0</v>
          </cell>
          <cell r="BL494">
            <v>0</v>
          </cell>
          <cell r="BM494">
            <v>192020</v>
          </cell>
          <cell r="BN494">
            <v>8291.0189982728843</v>
          </cell>
          <cell r="BO494">
            <v>0</v>
          </cell>
          <cell r="BP494">
            <v>0</v>
          </cell>
          <cell r="BY494">
            <v>1576</v>
          </cell>
          <cell r="CF494">
            <v>94.427000000000007</v>
          </cell>
          <cell r="CG494">
            <v>2178.85</v>
          </cell>
          <cell r="CX494">
            <v>0</v>
          </cell>
          <cell r="CY494">
            <v>0</v>
          </cell>
          <cell r="DB494">
            <v>0</v>
          </cell>
          <cell r="DC494">
            <v>0</v>
          </cell>
          <cell r="DJ494" t="str">
            <v>МОС</v>
          </cell>
          <cell r="DL494">
            <v>39919</v>
          </cell>
          <cell r="DM494">
            <v>301</v>
          </cell>
          <cell r="DO494" t="str">
            <v>на теплову енергію</v>
          </cell>
        </row>
        <row r="495">
          <cell r="W495">
            <v>227.5</v>
          </cell>
          <cell r="AF495">
            <v>39671</v>
          </cell>
          <cell r="AG495">
            <v>550</v>
          </cell>
          <cell r="AH495">
            <v>234.05665236051502</v>
          </cell>
          <cell r="AM495">
            <v>58250</v>
          </cell>
          <cell r="AO495">
            <v>13251875</v>
          </cell>
          <cell r="AQ495">
            <v>13633800</v>
          </cell>
          <cell r="AU495">
            <v>0</v>
          </cell>
          <cell r="AW495">
            <v>291042.22000000003</v>
          </cell>
          <cell r="AY495">
            <v>6339321.1200000001</v>
          </cell>
          <cell r="AZ495">
            <v>108.82954712446352</v>
          </cell>
          <cell r="BA495">
            <v>44300</v>
          </cell>
          <cell r="BB495">
            <v>0.76051502145922745</v>
          </cell>
          <cell r="BC495">
            <v>0</v>
          </cell>
          <cell r="BD495">
            <v>0</v>
          </cell>
          <cell r="BG495">
            <v>0</v>
          </cell>
          <cell r="BH495">
            <v>0</v>
          </cell>
          <cell r="BI495">
            <v>1229000</v>
          </cell>
          <cell r="BJ495">
            <v>21.098712446351932</v>
          </cell>
          <cell r="BK495">
            <v>0</v>
          </cell>
          <cell r="BL495">
            <v>0</v>
          </cell>
          <cell r="BM495">
            <v>4085500</v>
          </cell>
          <cell r="BN495">
            <v>70.137339055793987</v>
          </cell>
          <cell r="BO495">
            <v>0</v>
          </cell>
          <cell r="BP495">
            <v>0</v>
          </cell>
          <cell r="BY495">
            <v>1506.17</v>
          </cell>
          <cell r="CF495">
            <v>8716</v>
          </cell>
          <cell r="CG495">
            <v>727.32</v>
          </cell>
          <cell r="CJ495">
            <v>0</v>
          </cell>
          <cell r="CK495">
            <v>0</v>
          </cell>
          <cell r="CL495">
            <v>0</v>
          </cell>
          <cell r="CM495">
            <v>1799</v>
          </cell>
          <cell r="CN495">
            <v>161.78</v>
          </cell>
          <cell r="CO495">
            <v>250.25</v>
          </cell>
          <cell r="CX495">
            <v>0</v>
          </cell>
          <cell r="CY495">
            <v>0</v>
          </cell>
          <cell r="DB495">
            <v>0</v>
          </cell>
          <cell r="DC495">
            <v>0</v>
          </cell>
          <cell r="DJ495" t="str">
            <v>НКРЕ</v>
          </cell>
          <cell r="DL495">
            <v>40526</v>
          </cell>
          <cell r="DM495">
            <v>1834</v>
          </cell>
          <cell r="DO495" t="str">
            <v>тариф на теплову енергію</v>
          </cell>
          <cell r="DT495">
            <v>250.25</v>
          </cell>
        </row>
        <row r="496">
          <cell r="W496">
            <v>650</v>
          </cell>
          <cell r="AF496">
            <v>39856</v>
          </cell>
          <cell r="AG496">
            <v>898</v>
          </cell>
          <cell r="AH496">
            <v>461.24980764298539</v>
          </cell>
          <cell r="AM496">
            <v>7798</v>
          </cell>
          <cell r="AO496">
            <v>5068700</v>
          </cell>
          <cell r="AQ496">
            <v>3596826</v>
          </cell>
          <cell r="AU496">
            <v>0</v>
          </cell>
          <cell r="AW496">
            <v>7394.9861899999996</v>
          </cell>
          <cell r="AY496">
            <v>2595560.5970249996</v>
          </cell>
          <cell r="AZ496">
            <v>332.84952513785578</v>
          </cell>
          <cell r="BA496">
            <v>0</v>
          </cell>
          <cell r="BB496">
            <v>0</v>
          </cell>
          <cell r="BC496">
            <v>0</v>
          </cell>
          <cell r="BD496">
            <v>0</v>
          </cell>
          <cell r="BG496">
            <v>0</v>
          </cell>
          <cell r="BH496">
            <v>0</v>
          </cell>
          <cell r="BI496">
            <v>211098</v>
          </cell>
          <cell r="BJ496">
            <v>27.070787381379841</v>
          </cell>
          <cell r="BK496">
            <v>0</v>
          </cell>
          <cell r="BL496">
            <v>0</v>
          </cell>
          <cell r="BM496">
            <v>547276</v>
          </cell>
          <cell r="BN496">
            <v>70.181585021800458</v>
          </cell>
          <cell r="BO496">
            <v>0</v>
          </cell>
          <cell r="BP496">
            <v>0</v>
          </cell>
          <cell r="BY496">
            <v>1506.17</v>
          </cell>
          <cell r="CF496">
            <v>1211.6048999999998</v>
          </cell>
          <cell r="CG496">
            <v>2142.25</v>
          </cell>
          <cell r="CJ496">
            <v>0</v>
          </cell>
          <cell r="CK496">
            <v>0</v>
          </cell>
          <cell r="CL496">
            <v>0</v>
          </cell>
          <cell r="CM496">
            <v>28.151</v>
          </cell>
          <cell r="CN496">
            <v>262.69</v>
          </cell>
          <cell r="CO496">
            <v>702.85</v>
          </cell>
          <cell r="CX496">
            <v>0</v>
          </cell>
          <cell r="CY496">
            <v>0</v>
          </cell>
          <cell r="DB496">
            <v>0</v>
          </cell>
          <cell r="DC496">
            <v>0</v>
          </cell>
          <cell r="DJ496" t="str">
            <v>НКРКП</v>
          </cell>
          <cell r="DL496">
            <v>40816</v>
          </cell>
          <cell r="DM496">
            <v>122</v>
          </cell>
          <cell r="DT496">
            <v>900.1</v>
          </cell>
        </row>
        <row r="497">
          <cell r="W497">
            <v>650</v>
          </cell>
          <cell r="AF497">
            <v>39856</v>
          </cell>
          <cell r="AG497">
            <v>898</v>
          </cell>
          <cell r="AH497">
            <v>461.24977973568281</v>
          </cell>
          <cell r="AM497">
            <v>4540</v>
          </cell>
          <cell r="AO497">
            <v>2951000</v>
          </cell>
          <cell r="AQ497">
            <v>2094074</v>
          </cell>
          <cell r="AU497">
            <v>0</v>
          </cell>
          <cell r="AW497">
            <v>4304.9637200000006</v>
          </cell>
          <cell r="AY497">
            <v>1511143.15</v>
          </cell>
          <cell r="AZ497">
            <v>332.85091409691626</v>
          </cell>
          <cell r="BA497">
            <v>0</v>
          </cell>
          <cell r="BB497">
            <v>0</v>
          </cell>
          <cell r="BC497">
            <v>0</v>
          </cell>
          <cell r="BD497">
            <v>0</v>
          </cell>
          <cell r="BG497">
            <v>0</v>
          </cell>
          <cell r="BH497">
            <v>0</v>
          </cell>
          <cell r="BI497">
            <v>122902</v>
          </cell>
          <cell r="BJ497">
            <v>27.070925110132158</v>
          </cell>
          <cell r="BK497">
            <v>0</v>
          </cell>
          <cell r="BL497">
            <v>0</v>
          </cell>
          <cell r="BM497">
            <v>318624</v>
          </cell>
          <cell r="BN497">
            <v>70.181497797356826</v>
          </cell>
          <cell r="BO497">
            <v>0</v>
          </cell>
          <cell r="BP497">
            <v>0</v>
          </cell>
          <cell r="BY497">
            <v>1506.17</v>
          </cell>
          <cell r="CF497">
            <v>705.4</v>
          </cell>
          <cell r="CG497">
            <v>2142.25</v>
          </cell>
          <cell r="CJ497">
            <v>0</v>
          </cell>
          <cell r="CK497">
            <v>0</v>
          </cell>
          <cell r="CL497">
            <v>0</v>
          </cell>
          <cell r="CM497">
            <v>16.388000000000002</v>
          </cell>
          <cell r="CN497">
            <v>262.69</v>
          </cell>
          <cell r="CO497">
            <v>702.85</v>
          </cell>
          <cell r="CX497">
            <v>0</v>
          </cell>
          <cell r="CY497">
            <v>0</v>
          </cell>
          <cell r="DB497">
            <v>0</v>
          </cell>
          <cell r="DC497">
            <v>0</v>
          </cell>
          <cell r="DJ497" t="str">
            <v>НКРКП</v>
          </cell>
          <cell r="DL497">
            <v>40816</v>
          </cell>
          <cell r="DM497">
            <v>122</v>
          </cell>
          <cell r="DT497">
            <v>900.1</v>
          </cell>
        </row>
        <row r="498">
          <cell r="AF498">
            <v>39874</v>
          </cell>
          <cell r="AG498">
            <v>37</v>
          </cell>
          <cell r="AO498">
            <v>3809899.9007999999</v>
          </cell>
          <cell r="AQ498">
            <v>3666900</v>
          </cell>
          <cell r="AY498">
            <v>0</v>
          </cell>
          <cell r="AZ498">
            <v>0</v>
          </cell>
          <cell r="BC498">
            <v>0</v>
          </cell>
          <cell r="BD498">
            <v>0</v>
          </cell>
          <cell r="BG498">
            <v>0</v>
          </cell>
          <cell r="BH498">
            <v>0</v>
          </cell>
          <cell r="BI498">
            <v>0</v>
          </cell>
          <cell r="BJ498">
            <v>0</v>
          </cell>
          <cell r="BK498">
            <v>0</v>
          </cell>
          <cell r="BL498">
            <v>0</v>
          </cell>
          <cell r="BM498">
            <v>2909900</v>
          </cell>
          <cell r="BN498">
            <v>10715.495654735603</v>
          </cell>
          <cell r="BO498">
            <v>0</v>
          </cell>
          <cell r="BP498">
            <v>0</v>
          </cell>
          <cell r="BY498">
            <v>2015</v>
          </cell>
          <cell r="CF498">
            <v>0</v>
          </cell>
          <cell r="CG498">
            <v>0</v>
          </cell>
          <cell r="CX498">
            <v>0</v>
          </cell>
          <cell r="CY498">
            <v>0</v>
          </cell>
          <cell r="DB498">
            <v>0</v>
          </cell>
          <cell r="DC498">
            <v>0</v>
          </cell>
          <cell r="DJ498" t="str">
            <v>МОС</v>
          </cell>
          <cell r="DL498">
            <v>40198</v>
          </cell>
          <cell r="DM498">
            <v>15</v>
          </cell>
          <cell r="DO498" t="str">
            <v xml:space="preserve">Централізоване опалення </v>
          </cell>
        </row>
        <row r="499">
          <cell r="AF499">
            <v>39874</v>
          </cell>
          <cell r="AG499">
            <v>37</v>
          </cell>
          <cell r="AO499">
            <v>1208999.93994</v>
          </cell>
          <cell r="AQ499">
            <v>1051300</v>
          </cell>
          <cell r="AY499">
            <v>0</v>
          </cell>
          <cell r="AZ499">
            <v>0</v>
          </cell>
          <cell r="BC499">
            <v>0</v>
          </cell>
          <cell r="BD499">
            <v>0</v>
          </cell>
          <cell r="BG499">
            <v>0</v>
          </cell>
          <cell r="BH499">
            <v>0</v>
          </cell>
          <cell r="BI499">
            <v>0</v>
          </cell>
          <cell r="BJ499">
            <v>0</v>
          </cell>
          <cell r="BK499">
            <v>0</v>
          </cell>
          <cell r="BL499">
            <v>0</v>
          </cell>
          <cell r="BM499">
            <v>834300</v>
          </cell>
          <cell r="BN499">
            <v>10715.821500076296</v>
          </cell>
          <cell r="BO499">
            <v>0</v>
          </cell>
          <cell r="BP499">
            <v>0</v>
          </cell>
          <cell r="BY499">
            <v>2015</v>
          </cell>
          <cell r="CF499">
            <v>0</v>
          </cell>
          <cell r="CG499">
            <v>0</v>
          </cell>
          <cell r="CX499">
            <v>0</v>
          </cell>
          <cell r="CY499">
            <v>0</v>
          </cell>
          <cell r="DB499">
            <v>0</v>
          </cell>
          <cell r="DC499">
            <v>0</v>
          </cell>
          <cell r="DJ499" t="str">
            <v>МОС</v>
          </cell>
          <cell r="DL499">
            <v>40198</v>
          </cell>
          <cell r="DM499">
            <v>15</v>
          </cell>
          <cell r="DO499" t="str">
            <v>на теплову енергію</v>
          </cell>
        </row>
        <row r="500">
          <cell r="AF500">
            <v>39874</v>
          </cell>
          <cell r="AG500">
            <v>37</v>
          </cell>
          <cell r="AO500">
            <v>309850.06001975999</v>
          </cell>
          <cell r="AQ500">
            <v>309850</v>
          </cell>
          <cell r="AY500">
            <v>0</v>
          </cell>
          <cell r="AZ500">
            <v>0</v>
          </cell>
          <cell r="BC500">
            <v>0</v>
          </cell>
          <cell r="BD500">
            <v>0</v>
          </cell>
          <cell r="BG500">
            <v>0</v>
          </cell>
          <cell r="BH500">
            <v>0</v>
          </cell>
          <cell r="BI500">
            <v>0</v>
          </cell>
          <cell r="BJ500">
            <v>0</v>
          </cell>
          <cell r="BK500">
            <v>0</v>
          </cell>
          <cell r="BL500">
            <v>0</v>
          </cell>
          <cell r="BM500">
            <v>245800</v>
          </cell>
          <cell r="BN500">
            <v>10711.729491962455</v>
          </cell>
          <cell r="BO500">
            <v>0</v>
          </cell>
          <cell r="BP500">
            <v>0</v>
          </cell>
          <cell r="BY500">
            <v>2015</v>
          </cell>
          <cell r="CF500">
            <v>0</v>
          </cell>
          <cell r="CG500">
            <v>0</v>
          </cell>
          <cell r="CX500">
            <v>0</v>
          </cell>
          <cell r="CY500">
            <v>0</v>
          </cell>
          <cell r="DB500">
            <v>0</v>
          </cell>
          <cell r="DC500">
            <v>0</v>
          </cell>
          <cell r="DJ500" t="str">
            <v>МОС</v>
          </cell>
          <cell r="DL500">
            <v>40198</v>
          </cell>
          <cell r="DM500">
            <v>15</v>
          </cell>
          <cell r="DO500" t="str">
            <v>на теплову енергію</v>
          </cell>
        </row>
        <row r="501">
          <cell r="AF501">
            <v>39874</v>
          </cell>
          <cell r="AG501">
            <v>37</v>
          </cell>
          <cell r="AM501">
            <v>45343</v>
          </cell>
          <cell r="AO501">
            <v>6734795.79</v>
          </cell>
          <cell r="AQ501">
            <v>6402013</v>
          </cell>
          <cell r="AU501">
            <v>0</v>
          </cell>
          <cell r="AW501">
            <v>0</v>
          </cell>
          <cell r="AY501">
            <v>5296213.3223999999</v>
          </cell>
          <cell r="AZ501">
            <v>116.80332846084291</v>
          </cell>
          <cell r="BA501">
            <v>0</v>
          </cell>
          <cell r="BB501">
            <v>0</v>
          </cell>
          <cell r="BG501">
            <v>0</v>
          </cell>
          <cell r="BH501">
            <v>0</v>
          </cell>
          <cell r="BI501">
            <v>1105800</v>
          </cell>
          <cell r="BJ501">
            <v>24.38744679443354</v>
          </cell>
          <cell r="BK501">
            <v>0</v>
          </cell>
          <cell r="BL501">
            <v>0</v>
          </cell>
          <cell r="BO501">
            <v>0</v>
          </cell>
          <cell r="BP501">
            <v>0</v>
          </cell>
          <cell r="CF501">
            <v>7281.82</v>
          </cell>
          <cell r="CG501">
            <v>727.32</v>
          </cell>
          <cell r="CJ501">
            <v>0</v>
          </cell>
          <cell r="CK501">
            <v>0</v>
          </cell>
          <cell r="CL501">
            <v>0</v>
          </cell>
          <cell r="CM501">
            <v>0</v>
          </cell>
          <cell r="CN501">
            <v>0</v>
          </cell>
          <cell r="CO501">
            <v>0</v>
          </cell>
          <cell r="CX501">
            <v>0</v>
          </cell>
          <cell r="CY501">
            <v>0</v>
          </cell>
          <cell r="DJ501" t="str">
            <v>НКРЕ</v>
          </cell>
          <cell r="DL501">
            <v>40526</v>
          </cell>
          <cell r="DM501">
            <v>1739</v>
          </cell>
          <cell r="DO501" t="str">
            <v>умовно-зміна частина двоставкового тарифу на теплову енергію</v>
          </cell>
        </row>
        <row r="502">
          <cell r="AF502">
            <v>39874</v>
          </cell>
          <cell r="AG502">
            <v>37</v>
          </cell>
          <cell r="AM502">
            <v>12840.65</v>
          </cell>
          <cell r="AO502">
            <v>5385111.7970000003</v>
          </cell>
          <cell r="AQ502">
            <v>4682700</v>
          </cell>
          <cell r="AU502">
            <v>0</v>
          </cell>
          <cell r="AW502">
            <v>0</v>
          </cell>
          <cell r="AY502">
            <v>4372699.6458749995</v>
          </cell>
          <cell r="AZ502">
            <v>340.53569296530935</v>
          </cell>
          <cell r="BA502">
            <v>0</v>
          </cell>
          <cell r="BB502">
            <v>0</v>
          </cell>
          <cell r="BG502">
            <v>0</v>
          </cell>
          <cell r="BH502">
            <v>0</v>
          </cell>
          <cell r="BI502">
            <v>310000</v>
          </cell>
          <cell r="BJ502">
            <v>24.142080034889201</v>
          </cell>
          <cell r="BK502">
            <v>0</v>
          </cell>
          <cell r="BL502">
            <v>0</v>
          </cell>
          <cell r="BO502">
            <v>0</v>
          </cell>
          <cell r="BP502">
            <v>0</v>
          </cell>
          <cell r="CF502">
            <v>2041.1714999999999</v>
          </cell>
          <cell r="CG502">
            <v>2142.25</v>
          </cell>
          <cell r="CJ502">
            <v>0</v>
          </cell>
          <cell r="CK502">
            <v>0</v>
          </cell>
          <cell r="CL502">
            <v>0</v>
          </cell>
          <cell r="CM502">
            <v>0</v>
          </cell>
          <cell r="CN502">
            <v>0</v>
          </cell>
          <cell r="CO502">
            <v>0</v>
          </cell>
          <cell r="CX502">
            <v>0</v>
          </cell>
          <cell r="CY502">
            <v>0</v>
          </cell>
          <cell r="DJ502" t="str">
            <v>НКРКП</v>
          </cell>
          <cell r="DL502">
            <v>40816</v>
          </cell>
          <cell r="DM502">
            <v>163</v>
          </cell>
        </row>
        <row r="503">
          <cell r="AF503">
            <v>39874</v>
          </cell>
          <cell r="AG503">
            <v>37</v>
          </cell>
          <cell r="AM503">
            <v>3784.35</v>
          </cell>
          <cell r="AO503">
            <v>1656107.247</v>
          </cell>
          <cell r="AQ503">
            <v>1380068</v>
          </cell>
          <cell r="AU503">
            <v>0</v>
          </cell>
          <cell r="AW503">
            <v>0</v>
          </cell>
          <cell r="AY503">
            <v>1288768.1740999999</v>
          </cell>
          <cell r="AZ503">
            <v>340.55205625800994</v>
          </cell>
          <cell r="BA503">
            <v>0</v>
          </cell>
          <cell r="BB503">
            <v>0</v>
          </cell>
          <cell r="BG503">
            <v>0</v>
          </cell>
          <cell r="BH503">
            <v>0</v>
          </cell>
          <cell r="BI503">
            <v>91300</v>
          </cell>
          <cell r="BJ503">
            <v>24.125675479276495</v>
          </cell>
          <cell r="BK503">
            <v>0</v>
          </cell>
          <cell r="BL503">
            <v>0</v>
          </cell>
          <cell r="BO503">
            <v>0</v>
          </cell>
          <cell r="BP503">
            <v>0</v>
          </cell>
          <cell r="CF503">
            <v>601.59559999999999</v>
          </cell>
          <cell r="CG503">
            <v>2142.25</v>
          </cell>
          <cell r="CJ503">
            <v>0</v>
          </cell>
          <cell r="CK503">
            <v>0</v>
          </cell>
          <cell r="CL503">
            <v>0</v>
          </cell>
          <cell r="CM503">
            <v>0</v>
          </cell>
          <cell r="CN503">
            <v>0</v>
          </cell>
          <cell r="CO503">
            <v>0</v>
          </cell>
          <cell r="CX503">
            <v>0</v>
          </cell>
          <cell r="CY503">
            <v>0</v>
          </cell>
          <cell r="DJ503" t="str">
            <v>НКРКП</v>
          </cell>
          <cell r="DL503">
            <v>40816</v>
          </cell>
          <cell r="DM503">
            <v>163</v>
          </cell>
        </row>
        <row r="504">
          <cell r="W504">
            <v>251</v>
          </cell>
          <cell r="AF504">
            <v>40092</v>
          </cell>
          <cell r="AG504">
            <v>178</v>
          </cell>
          <cell r="AH504">
            <v>248.51327433628319</v>
          </cell>
          <cell r="AM504">
            <v>22600</v>
          </cell>
          <cell r="AO504">
            <v>5672600</v>
          </cell>
          <cell r="AQ504">
            <v>5616400</v>
          </cell>
          <cell r="AU504">
            <v>0</v>
          </cell>
          <cell r="AW504">
            <v>0</v>
          </cell>
          <cell r="AY504">
            <v>2530564.4760000003</v>
          </cell>
          <cell r="AZ504">
            <v>111.97187946902656</v>
          </cell>
          <cell r="BA504">
            <v>89636</v>
          </cell>
          <cell r="BB504">
            <v>3.9661946902654868</v>
          </cell>
          <cell r="BC504">
            <v>0</v>
          </cell>
          <cell r="BD504">
            <v>0</v>
          </cell>
          <cell r="BG504">
            <v>0</v>
          </cell>
          <cell r="BH504">
            <v>0</v>
          </cell>
          <cell r="BI504">
            <v>407000</v>
          </cell>
          <cell r="BJ504">
            <v>18.008849557522122</v>
          </cell>
          <cell r="BK504">
            <v>0</v>
          </cell>
          <cell r="BL504">
            <v>0</v>
          </cell>
          <cell r="BM504">
            <v>1905260</v>
          </cell>
          <cell r="BN504">
            <v>84.303539823008848</v>
          </cell>
          <cell r="BO504">
            <v>0</v>
          </cell>
          <cell r="BP504">
            <v>0</v>
          </cell>
          <cell r="BY504">
            <v>2059</v>
          </cell>
          <cell r="CF504">
            <v>3479.3</v>
          </cell>
          <cell r="CG504">
            <v>727.32</v>
          </cell>
          <cell r="CJ504">
            <v>0</v>
          </cell>
          <cell r="CK504">
            <v>0</v>
          </cell>
          <cell r="CL504">
            <v>0</v>
          </cell>
          <cell r="CM504">
            <v>0</v>
          </cell>
          <cell r="CN504">
            <v>0</v>
          </cell>
          <cell r="CO504">
            <v>0</v>
          </cell>
          <cell r="CX504">
            <v>0</v>
          </cell>
          <cell r="CY504">
            <v>0</v>
          </cell>
          <cell r="DB504">
            <v>0</v>
          </cell>
          <cell r="DC504">
            <v>0</v>
          </cell>
          <cell r="DJ504" t="str">
            <v>НКРКП</v>
          </cell>
          <cell r="DL504">
            <v>40526</v>
          </cell>
          <cell r="DM504">
            <v>1764</v>
          </cell>
          <cell r="DO504" t="str">
            <v>тариф на теплову енергію</v>
          </cell>
          <cell r="DT504">
            <v>276.08999999999997</v>
          </cell>
        </row>
        <row r="505">
          <cell r="W505">
            <v>507.42</v>
          </cell>
          <cell r="AF505">
            <v>40092</v>
          </cell>
          <cell r="AG505">
            <v>179</v>
          </cell>
          <cell r="AH505">
            <v>441.2167832167832</v>
          </cell>
          <cell r="AM505">
            <v>12441</v>
          </cell>
          <cell r="AO505">
            <v>6312812.2199999997</v>
          </cell>
          <cell r="AQ505">
            <v>5489178</v>
          </cell>
          <cell r="AU505">
            <v>0</v>
          </cell>
          <cell r="AW505">
            <v>0</v>
          </cell>
          <cell r="AY505">
            <v>3666563.0322900005</v>
          </cell>
          <cell r="AZ505">
            <v>294.71610258741265</v>
          </cell>
          <cell r="BA505">
            <v>173739</v>
          </cell>
          <cell r="BB505">
            <v>13.965034965034965</v>
          </cell>
          <cell r="BC505">
            <v>0</v>
          </cell>
          <cell r="BD505">
            <v>0</v>
          </cell>
          <cell r="BG505">
            <v>0</v>
          </cell>
          <cell r="BH505">
            <v>0</v>
          </cell>
          <cell r="BI505">
            <v>224460</v>
          </cell>
          <cell r="BJ505">
            <v>18.041958041958043</v>
          </cell>
          <cell r="BK505">
            <v>0</v>
          </cell>
          <cell r="BL505">
            <v>0</v>
          </cell>
          <cell r="BM505">
            <v>1048820</v>
          </cell>
          <cell r="BN505">
            <v>84.303512579374654</v>
          </cell>
          <cell r="BO505">
            <v>0</v>
          </cell>
          <cell r="BP505">
            <v>0</v>
          </cell>
          <cell r="BY505">
            <v>2059</v>
          </cell>
          <cell r="CF505">
            <v>1679.883</v>
          </cell>
          <cell r="CG505">
            <v>2182.63</v>
          </cell>
          <cell r="CJ505">
            <v>0</v>
          </cell>
          <cell r="CK505">
            <v>0</v>
          </cell>
          <cell r="CL505">
            <v>0</v>
          </cell>
          <cell r="CM505">
            <v>0</v>
          </cell>
          <cell r="CN505">
            <v>0</v>
          </cell>
          <cell r="CO505">
            <v>0</v>
          </cell>
          <cell r="CX505">
            <v>0</v>
          </cell>
          <cell r="CY505">
            <v>0</v>
          </cell>
          <cell r="DB505">
            <v>0</v>
          </cell>
          <cell r="DC505">
            <v>0</v>
          </cell>
          <cell r="DJ505" t="str">
            <v>НКРКП</v>
          </cell>
          <cell r="DL505">
            <v>40816</v>
          </cell>
          <cell r="DM505">
            <v>88</v>
          </cell>
          <cell r="DT505">
            <v>719.59</v>
          </cell>
        </row>
        <row r="506">
          <cell r="W506">
            <v>529.48</v>
          </cell>
          <cell r="AF506">
            <v>40092</v>
          </cell>
          <cell r="AG506">
            <v>179</v>
          </cell>
          <cell r="AH506">
            <v>441.2167832167832</v>
          </cell>
          <cell r="AM506">
            <v>1859</v>
          </cell>
          <cell r="AO506">
            <v>984303.32000000007</v>
          </cell>
          <cell r="AQ506">
            <v>820222</v>
          </cell>
          <cell r="AU506">
            <v>0</v>
          </cell>
          <cell r="AW506">
            <v>0</v>
          </cell>
          <cell r="AY506">
            <v>547877.23470999999</v>
          </cell>
          <cell r="AZ506">
            <v>294.71610258741259</v>
          </cell>
          <cell r="BA506">
            <v>25961</v>
          </cell>
          <cell r="BB506">
            <v>13.965034965034965</v>
          </cell>
          <cell r="BC506">
            <v>0</v>
          </cell>
          <cell r="BD506">
            <v>0</v>
          </cell>
          <cell r="BG506">
            <v>0</v>
          </cell>
          <cell r="BH506">
            <v>0</v>
          </cell>
          <cell r="BI506">
            <v>33540</v>
          </cell>
          <cell r="BJ506">
            <v>18.041958041958043</v>
          </cell>
          <cell r="BK506">
            <v>0</v>
          </cell>
          <cell r="BL506">
            <v>0</v>
          </cell>
          <cell r="BM506">
            <v>156720</v>
          </cell>
          <cell r="BN506">
            <v>84.303388918773535</v>
          </cell>
          <cell r="BO506">
            <v>0</v>
          </cell>
          <cell r="BP506">
            <v>0</v>
          </cell>
          <cell r="BY506">
            <v>2059</v>
          </cell>
          <cell r="CF506">
            <v>251.017</v>
          </cell>
          <cell r="CG506">
            <v>2182.63</v>
          </cell>
          <cell r="CJ506">
            <v>0</v>
          </cell>
          <cell r="CK506">
            <v>0</v>
          </cell>
          <cell r="CL506">
            <v>0</v>
          </cell>
          <cell r="CM506">
            <v>0</v>
          </cell>
          <cell r="CN506">
            <v>0</v>
          </cell>
          <cell r="CO506">
            <v>0</v>
          </cell>
          <cell r="CX506">
            <v>0</v>
          </cell>
          <cell r="CY506">
            <v>0</v>
          </cell>
          <cell r="DB506">
            <v>0</v>
          </cell>
          <cell r="DC506">
            <v>0</v>
          </cell>
          <cell r="DJ506" t="str">
            <v>НКРКП</v>
          </cell>
          <cell r="DL506">
            <v>40816</v>
          </cell>
          <cell r="DM506">
            <v>88</v>
          </cell>
          <cell r="DT506">
            <v>741.65</v>
          </cell>
        </row>
        <row r="507">
          <cell r="W507">
            <v>204.17080442846557</v>
          </cell>
          <cell r="AF507">
            <v>39637</v>
          </cell>
          <cell r="AG507" t="str">
            <v>4/6-5/2023</v>
          </cell>
          <cell r="AH507">
            <v>195.58523749662538</v>
          </cell>
          <cell r="AM507">
            <v>1681666</v>
          </cell>
          <cell r="AO507">
            <v>343347100</v>
          </cell>
          <cell r="AQ507">
            <v>328909044</v>
          </cell>
          <cell r="AU507">
            <v>0</v>
          </cell>
          <cell r="AW507">
            <v>107607307.92</v>
          </cell>
          <cell r="AY507">
            <v>115056700</v>
          </cell>
          <cell r="AZ507">
            <v>68.418282821915881</v>
          </cell>
          <cell r="BA507">
            <v>0</v>
          </cell>
          <cell r="BB507">
            <v>0</v>
          </cell>
          <cell r="BC507">
            <v>0</v>
          </cell>
          <cell r="BD507">
            <v>0</v>
          </cell>
          <cell r="BG507">
            <v>16329756</v>
          </cell>
          <cell r="BH507">
            <v>9.7104633143561205</v>
          </cell>
          <cell r="BI507">
            <v>7904668</v>
          </cell>
          <cell r="BJ507">
            <v>4.7004981964313961</v>
          </cell>
          <cell r="BK507">
            <v>0</v>
          </cell>
          <cell r="BL507">
            <v>0</v>
          </cell>
          <cell r="BM507">
            <v>65704280</v>
          </cell>
          <cell r="BN507">
            <v>39.07094512227755</v>
          </cell>
          <cell r="BO507">
            <v>0</v>
          </cell>
          <cell r="BP507">
            <v>0</v>
          </cell>
          <cell r="BY507">
            <v>2116.5</v>
          </cell>
          <cell r="CF507">
            <v>183864</v>
          </cell>
          <cell r="CG507">
            <v>625.77067832745945</v>
          </cell>
          <cell r="CJ507">
            <v>0</v>
          </cell>
          <cell r="CK507">
            <v>0</v>
          </cell>
          <cell r="CL507">
            <v>0</v>
          </cell>
          <cell r="CM507">
            <v>631832</v>
          </cell>
          <cell r="CN507">
            <v>170.31</v>
          </cell>
          <cell r="CO507">
            <v>213.87655337118079</v>
          </cell>
          <cell r="CX507">
            <v>0</v>
          </cell>
          <cell r="CY507">
            <v>0</v>
          </cell>
          <cell r="DB507">
            <v>0</v>
          </cell>
          <cell r="DC507">
            <v>0</v>
          </cell>
          <cell r="DJ507" t="str">
            <v>НКРЕ</v>
          </cell>
          <cell r="DL507">
            <v>40526</v>
          </cell>
          <cell r="DM507">
            <v>1844</v>
          </cell>
          <cell r="DO507" t="str">
            <v>на теплову енергію</v>
          </cell>
          <cell r="DT507">
            <v>224.58</v>
          </cell>
        </row>
        <row r="508">
          <cell r="W508">
            <v>504.16500000000002</v>
          </cell>
          <cell r="AF508">
            <v>39861</v>
          </cell>
          <cell r="AG508" t="str">
            <v>6/1/1-107</v>
          </cell>
          <cell r="AH508">
            <v>480.13224529275215</v>
          </cell>
          <cell r="AM508">
            <v>393800</v>
          </cell>
          <cell r="AO508">
            <v>198540177</v>
          </cell>
          <cell r="AQ508">
            <v>189076078.19628578</v>
          </cell>
          <cell r="AU508">
            <v>0</v>
          </cell>
          <cell r="AW508">
            <v>56374549.513000004</v>
          </cell>
          <cell r="AY508">
            <v>107299631.6481816</v>
          </cell>
          <cell r="AZ508">
            <v>272.47240134124326</v>
          </cell>
          <cell r="BA508">
            <v>0</v>
          </cell>
          <cell r="BB508">
            <v>0</v>
          </cell>
          <cell r="BC508">
            <v>0</v>
          </cell>
          <cell r="BD508">
            <v>0</v>
          </cell>
          <cell r="BG508">
            <v>4328083</v>
          </cell>
          <cell r="BH508">
            <v>10.990561198577959</v>
          </cell>
          <cell r="BI508">
            <v>2552230</v>
          </cell>
          <cell r="BJ508">
            <v>6.4810309801929913</v>
          </cell>
          <cell r="BK508">
            <v>0</v>
          </cell>
          <cell r="BL508">
            <v>0</v>
          </cell>
          <cell r="BM508">
            <v>14677730</v>
          </cell>
          <cell r="BN508">
            <v>37.272041645505332</v>
          </cell>
          <cell r="BO508">
            <v>0</v>
          </cell>
          <cell r="BP508">
            <v>0</v>
          </cell>
          <cell r="BY508">
            <v>2362</v>
          </cell>
          <cell r="CF508">
            <v>50164.553778694863</v>
          </cell>
          <cell r="CG508">
            <v>2138.9531764110357</v>
          </cell>
          <cell r="CJ508">
            <v>0</v>
          </cell>
          <cell r="CK508">
            <v>0</v>
          </cell>
          <cell r="CL508">
            <v>0</v>
          </cell>
          <cell r="CM508">
            <v>127978.546</v>
          </cell>
          <cell r="CN508">
            <v>440.5</v>
          </cell>
          <cell r="CO508">
            <v>781.78747837822641</v>
          </cell>
          <cell r="CX508">
            <v>0</v>
          </cell>
          <cell r="CY508">
            <v>0</v>
          </cell>
          <cell r="DB508">
            <v>0</v>
          </cell>
          <cell r="DC508">
            <v>0</v>
          </cell>
          <cell r="DJ508" t="str">
            <v>НКРКП</v>
          </cell>
          <cell r="DL508">
            <v>40816</v>
          </cell>
          <cell r="DM508">
            <v>119</v>
          </cell>
          <cell r="DT508">
            <v>793.2</v>
          </cell>
        </row>
        <row r="509">
          <cell r="W509">
            <v>504.16500000000002</v>
          </cell>
          <cell r="AF509">
            <v>39861</v>
          </cell>
          <cell r="AG509" t="str">
            <v>6/1/1-107</v>
          </cell>
          <cell r="AH509">
            <v>480.13224529275215</v>
          </cell>
          <cell r="AM509">
            <v>381600</v>
          </cell>
          <cell r="AO509">
            <v>192389364</v>
          </cell>
          <cell r="AQ509">
            <v>183218464.80371422</v>
          </cell>
          <cell r="AU509">
            <v>0</v>
          </cell>
          <cell r="AW509">
            <v>54630202.109999999</v>
          </cell>
          <cell r="AY509">
            <v>103975468.35181843</v>
          </cell>
          <cell r="AZ509">
            <v>272.47240134124326</v>
          </cell>
          <cell r="BA509">
            <v>0</v>
          </cell>
          <cell r="BB509">
            <v>0</v>
          </cell>
          <cell r="BC509">
            <v>0</v>
          </cell>
          <cell r="BD509">
            <v>0</v>
          </cell>
          <cell r="BG509">
            <v>4193998</v>
          </cell>
          <cell r="BH509">
            <v>10.990560796645703</v>
          </cell>
          <cell r="BI509">
            <v>2473161</v>
          </cell>
          <cell r="BJ509">
            <v>6.4810298742138368</v>
          </cell>
          <cell r="BK509">
            <v>0</v>
          </cell>
          <cell r="BL509">
            <v>0</v>
          </cell>
          <cell r="BM509">
            <v>14223011</v>
          </cell>
          <cell r="BN509">
            <v>37.27204140461216</v>
          </cell>
          <cell r="BO509">
            <v>0</v>
          </cell>
          <cell r="BP509">
            <v>0</v>
          </cell>
          <cell r="BY509">
            <v>2362</v>
          </cell>
          <cell r="CF509">
            <v>48610.44622130513</v>
          </cell>
          <cell r="CG509">
            <v>2138.9531764110357</v>
          </cell>
          <cell r="CJ509">
            <v>0</v>
          </cell>
          <cell r="CK509">
            <v>0</v>
          </cell>
          <cell r="CL509">
            <v>0</v>
          </cell>
          <cell r="CM509">
            <v>124018.62</v>
          </cell>
          <cell r="CN509">
            <v>440.5</v>
          </cell>
          <cell r="CO509">
            <v>781.78747837822641</v>
          </cell>
          <cell r="CX509">
            <v>0</v>
          </cell>
          <cell r="CY509">
            <v>0</v>
          </cell>
          <cell r="DB509">
            <v>0</v>
          </cell>
          <cell r="DC509">
            <v>0</v>
          </cell>
          <cell r="DJ509" t="str">
            <v>НКРКП</v>
          </cell>
          <cell r="DL509">
            <v>40816</v>
          </cell>
          <cell r="DM509">
            <v>119</v>
          </cell>
          <cell r="DT509">
            <v>795.04</v>
          </cell>
        </row>
        <row r="510">
          <cell r="W510">
            <v>204.65</v>
          </cell>
          <cell r="AF510">
            <v>40014</v>
          </cell>
          <cell r="AG510">
            <v>517</v>
          </cell>
          <cell r="AH510">
            <v>201.15000285046463</v>
          </cell>
          <cell r="AM510">
            <v>87705</v>
          </cell>
          <cell r="AO510">
            <v>17948828.25</v>
          </cell>
          <cell r="AQ510">
            <v>17641861</v>
          </cell>
          <cell r="AU510">
            <v>0</v>
          </cell>
          <cell r="AW510">
            <v>2852586.9529071632</v>
          </cell>
          <cell r="AY510">
            <v>12170972.880000001</v>
          </cell>
          <cell r="AZ510">
            <v>138.77171062083121</v>
          </cell>
          <cell r="BA510">
            <v>0</v>
          </cell>
          <cell r="BB510">
            <v>0</v>
          </cell>
          <cell r="BC510">
            <v>1473444</v>
          </cell>
          <cell r="BD510">
            <v>16.8</v>
          </cell>
          <cell r="BG510">
            <v>0</v>
          </cell>
          <cell r="BH510">
            <v>0</v>
          </cell>
          <cell r="BI510">
            <v>0</v>
          </cell>
          <cell r="BJ510">
            <v>0</v>
          </cell>
          <cell r="BK510">
            <v>0</v>
          </cell>
          <cell r="BL510">
            <v>0</v>
          </cell>
          <cell r="BM510">
            <v>825975.21</v>
          </cell>
          <cell r="BN510">
            <v>9.4176524713528309</v>
          </cell>
          <cell r="BO510">
            <v>0</v>
          </cell>
          <cell r="BP510">
            <v>0</v>
          </cell>
          <cell r="BY510">
            <v>1867</v>
          </cell>
          <cell r="CF510">
            <v>16734</v>
          </cell>
          <cell r="CG510">
            <v>727.32</v>
          </cell>
          <cell r="CJ510">
            <v>0</v>
          </cell>
          <cell r="CK510">
            <v>0</v>
          </cell>
          <cell r="CL510">
            <v>0</v>
          </cell>
          <cell r="CM510">
            <v>100799.55027304849</v>
          </cell>
          <cell r="CN510">
            <v>28.299600000000002</v>
          </cell>
          <cell r="CO510">
            <v>28.299600000000002</v>
          </cell>
          <cell r="CX510">
            <v>0</v>
          </cell>
          <cell r="CY510">
            <v>0</v>
          </cell>
          <cell r="DB510">
            <v>21.02</v>
          </cell>
          <cell r="DC510">
            <v>21.02</v>
          </cell>
          <cell r="DJ510" t="str">
            <v>НКРЕ</v>
          </cell>
          <cell r="DL510">
            <v>40526</v>
          </cell>
          <cell r="DM510">
            <v>1722</v>
          </cell>
          <cell r="DO510" t="str">
            <v>на теплову енергію</v>
          </cell>
          <cell r="DT510">
            <v>225.12</v>
          </cell>
        </row>
        <row r="511">
          <cell r="W511">
            <v>306.08</v>
          </cell>
          <cell r="AF511">
            <v>40014</v>
          </cell>
          <cell r="AG511">
            <v>517</v>
          </cell>
          <cell r="AH511">
            <v>470.8</v>
          </cell>
          <cell r="AM511">
            <v>5730</v>
          </cell>
          <cell r="AO511">
            <v>1753838.4</v>
          </cell>
          <cell r="AQ511">
            <v>2697684</v>
          </cell>
          <cell r="AU511">
            <v>0</v>
          </cell>
          <cell r="AW511">
            <v>186367.06276903307</v>
          </cell>
          <cell r="AY511">
            <v>2340251.7407499999</v>
          </cell>
          <cell r="AZ511">
            <v>408.42089716404882</v>
          </cell>
          <cell r="BA511">
            <v>0</v>
          </cell>
          <cell r="BB511">
            <v>0</v>
          </cell>
          <cell r="BC511">
            <v>96264</v>
          </cell>
          <cell r="BD511">
            <v>16.8</v>
          </cell>
          <cell r="BG511">
            <v>0</v>
          </cell>
          <cell r="BH511">
            <v>0</v>
          </cell>
          <cell r="BI511">
            <v>0</v>
          </cell>
          <cell r="BJ511">
            <v>0</v>
          </cell>
          <cell r="BK511">
            <v>0</v>
          </cell>
          <cell r="BL511">
            <v>0</v>
          </cell>
          <cell r="BM511">
            <v>53963.15</v>
          </cell>
          <cell r="BN511">
            <v>9.4176527050610819</v>
          </cell>
          <cell r="BO511">
            <v>0</v>
          </cell>
          <cell r="BP511">
            <v>0</v>
          </cell>
          <cell r="BY511">
            <v>1867</v>
          </cell>
          <cell r="CF511">
            <v>1092.4269999999999</v>
          </cell>
          <cell r="CG511">
            <v>2142.25</v>
          </cell>
          <cell r="CJ511">
            <v>0</v>
          </cell>
          <cell r="CK511">
            <v>0</v>
          </cell>
          <cell r="CL511">
            <v>0</v>
          </cell>
          <cell r="CM511">
            <v>6585.501659706606</v>
          </cell>
          <cell r="CN511">
            <v>28.299600000000002</v>
          </cell>
          <cell r="CO511">
            <v>29.01</v>
          </cell>
          <cell r="CX511">
            <v>0</v>
          </cell>
          <cell r="CY511">
            <v>0</v>
          </cell>
          <cell r="DB511">
            <v>21.02</v>
          </cell>
          <cell r="DC511">
            <v>21.02</v>
          </cell>
          <cell r="DJ511" t="str">
            <v>НКРКП</v>
          </cell>
          <cell r="DL511">
            <v>40816</v>
          </cell>
          <cell r="DM511">
            <v>115</v>
          </cell>
          <cell r="DT511">
            <v>816.06</v>
          </cell>
        </row>
        <row r="512">
          <cell r="W512">
            <v>508.46</v>
          </cell>
          <cell r="AF512">
            <v>40014</v>
          </cell>
          <cell r="AG512">
            <v>517</v>
          </cell>
          <cell r="AH512">
            <v>470.8</v>
          </cell>
          <cell r="AM512">
            <v>9030</v>
          </cell>
          <cell r="AO512">
            <v>4591393.8</v>
          </cell>
          <cell r="AQ512">
            <v>4251324</v>
          </cell>
          <cell r="AU512">
            <v>0</v>
          </cell>
          <cell r="AW512">
            <v>293698.87902345002</v>
          </cell>
          <cell r="AY512">
            <v>3688039.7592500001</v>
          </cell>
          <cell r="AZ512">
            <v>408.42079282945735</v>
          </cell>
          <cell r="BA512">
            <v>0</v>
          </cell>
          <cell r="BB512">
            <v>0</v>
          </cell>
          <cell r="BC512">
            <v>151704</v>
          </cell>
          <cell r="BD512">
            <v>16.8</v>
          </cell>
          <cell r="BG512">
            <v>0</v>
          </cell>
          <cell r="BH512">
            <v>0</v>
          </cell>
          <cell r="BI512">
            <v>0</v>
          </cell>
          <cell r="BJ512">
            <v>0</v>
          </cell>
          <cell r="BK512">
            <v>0</v>
          </cell>
          <cell r="BL512">
            <v>0</v>
          </cell>
          <cell r="BM512">
            <v>85041.4</v>
          </cell>
          <cell r="BN512">
            <v>9.4176522702104091</v>
          </cell>
          <cell r="BO512">
            <v>0</v>
          </cell>
          <cell r="BP512">
            <v>0</v>
          </cell>
          <cell r="BY512">
            <v>1867</v>
          </cell>
          <cell r="CF512">
            <v>1721.5730000000001</v>
          </cell>
          <cell r="CG512">
            <v>2142.25</v>
          </cell>
          <cell r="CJ512">
            <v>0</v>
          </cell>
          <cell r="CK512">
            <v>0</v>
          </cell>
          <cell r="CL512">
            <v>0</v>
          </cell>
          <cell r="CM512">
            <v>10378.198950637112</v>
          </cell>
          <cell r="CN512">
            <v>28.299600000000002</v>
          </cell>
          <cell r="CO512">
            <v>29.01</v>
          </cell>
          <cell r="CX512">
            <v>0</v>
          </cell>
          <cell r="CY512">
            <v>0</v>
          </cell>
          <cell r="DB512">
            <v>21.02</v>
          </cell>
          <cell r="DC512">
            <v>21.02</v>
          </cell>
          <cell r="DJ512" t="str">
            <v>НКРКП</v>
          </cell>
          <cell r="DL512">
            <v>40816</v>
          </cell>
          <cell r="DM512">
            <v>115</v>
          </cell>
          <cell r="DT512">
            <v>816.06</v>
          </cell>
        </row>
        <row r="513">
          <cell r="W513">
            <v>343.3</v>
          </cell>
          <cell r="AF513">
            <v>40014</v>
          </cell>
          <cell r="AG513">
            <v>519</v>
          </cell>
          <cell r="AH513">
            <v>317.86968057332643</v>
          </cell>
          <cell r="AM513">
            <v>70191.070000000007</v>
          </cell>
          <cell r="AO513">
            <v>24096594.331000004</v>
          </cell>
          <cell r="AQ513">
            <v>22311613</v>
          </cell>
          <cell r="AU513">
            <v>0</v>
          </cell>
          <cell r="AW513">
            <v>7698556.6898470102</v>
          </cell>
          <cell r="AY513">
            <v>10740334.440000001</v>
          </cell>
          <cell r="AZ513">
            <v>153.01568190939389</v>
          </cell>
          <cell r="BA513">
            <v>0</v>
          </cell>
          <cell r="BB513">
            <v>0</v>
          </cell>
          <cell r="BC513">
            <v>2700248</v>
          </cell>
          <cell r="BD513">
            <v>38.469964911490877</v>
          </cell>
          <cell r="BG513">
            <v>0</v>
          </cell>
          <cell r="BH513">
            <v>0</v>
          </cell>
          <cell r="BI513">
            <v>0</v>
          </cell>
          <cell r="BJ513">
            <v>0</v>
          </cell>
          <cell r="BK513">
            <v>0</v>
          </cell>
          <cell r="BL513">
            <v>0</v>
          </cell>
          <cell r="BM513">
            <v>811300</v>
          </cell>
          <cell r="BN513">
            <v>11.558450384073073</v>
          </cell>
          <cell r="BO513">
            <v>0</v>
          </cell>
          <cell r="BP513">
            <v>0</v>
          </cell>
          <cell r="BY513">
            <v>1867</v>
          </cell>
          <cell r="CF513">
            <v>14767</v>
          </cell>
          <cell r="CG513">
            <v>727.32</v>
          </cell>
          <cell r="CJ513">
            <v>0</v>
          </cell>
          <cell r="CK513">
            <v>0</v>
          </cell>
          <cell r="CL513">
            <v>0</v>
          </cell>
          <cell r="CM513">
            <v>103475.22432590066</v>
          </cell>
          <cell r="CN513">
            <v>74.400000000000006</v>
          </cell>
          <cell r="CO513">
            <v>74.400000000000006</v>
          </cell>
          <cell r="CX513">
            <v>0</v>
          </cell>
          <cell r="CY513">
            <v>0</v>
          </cell>
          <cell r="DB513">
            <v>73.760000000000005</v>
          </cell>
          <cell r="DC513">
            <v>73.760000000000005</v>
          </cell>
          <cell r="DJ513" t="str">
            <v>НКРЕ</v>
          </cell>
          <cell r="DL513">
            <v>40526</v>
          </cell>
          <cell r="DM513">
            <v>1722</v>
          </cell>
          <cell r="DO513" t="str">
            <v>на теплову енергію</v>
          </cell>
          <cell r="DT513">
            <v>377.63</v>
          </cell>
        </row>
        <row r="514">
          <cell r="W514">
            <v>669.7</v>
          </cell>
          <cell r="AF514">
            <v>40014</v>
          </cell>
          <cell r="AG514">
            <v>519</v>
          </cell>
          <cell r="AH514">
            <v>620.08949267993023</v>
          </cell>
          <cell r="AM514">
            <v>12144.01</v>
          </cell>
          <cell r="AO514">
            <v>8132843.4970000004</v>
          </cell>
          <cell r="AQ514">
            <v>7530373</v>
          </cell>
          <cell r="AU514">
            <v>0</v>
          </cell>
          <cell r="AW514">
            <v>1331955.2712100139</v>
          </cell>
          <cell r="AY514">
            <v>5528333.1949999994</v>
          </cell>
          <cell r="AZ514">
            <v>455.23127821864438</v>
          </cell>
          <cell r="BA514">
            <v>0</v>
          </cell>
          <cell r="BB514">
            <v>0</v>
          </cell>
          <cell r="BC514">
            <v>467180</v>
          </cell>
          <cell r="BD514">
            <v>38.469994672270523</v>
          </cell>
          <cell r="BG514">
            <v>0</v>
          </cell>
          <cell r="BH514">
            <v>0</v>
          </cell>
          <cell r="BI514">
            <v>0</v>
          </cell>
          <cell r="BJ514">
            <v>0</v>
          </cell>
          <cell r="BK514">
            <v>0</v>
          </cell>
          <cell r="BL514">
            <v>0</v>
          </cell>
          <cell r="BM514">
            <v>140366</v>
          </cell>
          <cell r="BN514">
            <v>11.55845556780668</v>
          </cell>
          <cell r="BO514">
            <v>0</v>
          </cell>
          <cell r="BP514">
            <v>0</v>
          </cell>
          <cell r="BY514">
            <v>1867</v>
          </cell>
          <cell r="CF514">
            <v>2580.62</v>
          </cell>
          <cell r="CG514">
            <v>2142.25</v>
          </cell>
          <cell r="CJ514">
            <v>0</v>
          </cell>
          <cell r="CK514">
            <v>0</v>
          </cell>
          <cell r="CL514">
            <v>0</v>
          </cell>
          <cell r="CM514">
            <v>17902.62461303782</v>
          </cell>
          <cell r="CN514">
            <v>74.400000000000006</v>
          </cell>
          <cell r="CO514">
            <v>100.65</v>
          </cell>
          <cell r="CX514">
            <v>0</v>
          </cell>
          <cell r="CY514">
            <v>0</v>
          </cell>
          <cell r="DB514">
            <v>73.760000000000005</v>
          </cell>
          <cell r="DC514">
            <v>73.760000000000005</v>
          </cell>
          <cell r="DJ514" t="str">
            <v>НКРКП</v>
          </cell>
          <cell r="DL514">
            <v>40816</v>
          </cell>
          <cell r="DM514">
            <v>115</v>
          </cell>
          <cell r="DT514">
            <v>999.9</v>
          </cell>
        </row>
        <row r="515">
          <cell r="W515">
            <v>669.7</v>
          </cell>
          <cell r="AF515">
            <v>40014</v>
          </cell>
          <cell r="AG515">
            <v>519</v>
          </cell>
          <cell r="AH515">
            <v>620.09142857142854</v>
          </cell>
          <cell r="AM515">
            <v>350</v>
          </cell>
          <cell r="AO515">
            <v>234395.00000000003</v>
          </cell>
          <cell r="AQ515">
            <v>217032</v>
          </cell>
          <cell r="AU515">
            <v>0</v>
          </cell>
          <cell r="AW515">
            <v>38388.038942976367</v>
          </cell>
          <cell r="AY515">
            <v>159329.84375</v>
          </cell>
          <cell r="AZ515">
            <v>455.22812499999998</v>
          </cell>
          <cell r="BA515">
            <v>0</v>
          </cell>
          <cell r="BB515">
            <v>0</v>
          </cell>
          <cell r="BC515">
            <v>13465</v>
          </cell>
          <cell r="BD515">
            <v>38.471428571428568</v>
          </cell>
          <cell r="BG515">
            <v>0</v>
          </cell>
          <cell r="BH515">
            <v>0</v>
          </cell>
          <cell r="BI515">
            <v>0</v>
          </cell>
          <cell r="BJ515">
            <v>0</v>
          </cell>
          <cell r="BK515">
            <v>0</v>
          </cell>
          <cell r="BL515">
            <v>0</v>
          </cell>
          <cell r="BM515">
            <v>4045</v>
          </cell>
          <cell r="BN515">
            <v>11.557142857142857</v>
          </cell>
          <cell r="BO515">
            <v>0</v>
          </cell>
          <cell r="BP515">
            <v>0</v>
          </cell>
          <cell r="BY515">
            <v>1867</v>
          </cell>
          <cell r="CF515">
            <v>74.375</v>
          </cell>
          <cell r="CG515">
            <v>2142.25</v>
          </cell>
          <cell r="CJ515">
            <v>0</v>
          </cell>
          <cell r="CK515">
            <v>0</v>
          </cell>
          <cell r="CL515">
            <v>0</v>
          </cell>
          <cell r="CM515">
            <v>515.9682653625855</v>
          </cell>
          <cell r="CN515">
            <v>74.400000000000006</v>
          </cell>
          <cell r="CO515">
            <v>100.65</v>
          </cell>
          <cell r="CX515">
            <v>0</v>
          </cell>
          <cell r="CY515">
            <v>0</v>
          </cell>
          <cell r="DB515">
            <v>73.760000000000005</v>
          </cell>
          <cell r="DC515">
            <v>73.760000000000005</v>
          </cell>
          <cell r="DJ515" t="str">
            <v>НКРКП</v>
          </cell>
          <cell r="DL515">
            <v>40816</v>
          </cell>
          <cell r="DM515">
            <v>115</v>
          </cell>
          <cell r="DT515">
            <v>1038.01</v>
          </cell>
        </row>
        <row r="516">
          <cell r="W516">
            <v>293.10000000000002</v>
          </cell>
          <cell r="AF516">
            <v>40014</v>
          </cell>
          <cell r="AG516">
            <v>518</v>
          </cell>
          <cell r="AH516">
            <v>290.05999349223134</v>
          </cell>
          <cell r="AM516">
            <v>49172</v>
          </cell>
          <cell r="AO516">
            <v>14412313.200000001</v>
          </cell>
          <cell r="AQ516">
            <v>14262830</v>
          </cell>
          <cell r="AU516">
            <v>0</v>
          </cell>
          <cell r="AW516">
            <v>6353022.3999924501</v>
          </cell>
          <cell r="AY516">
            <v>5471628.3600000003</v>
          </cell>
          <cell r="AZ516">
            <v>111.27528593508501</v>
          </cell>
          <cell r="BA516">
            <v>0</v>
          </cell>
          <cell r="BB516">
            <v>0</v>
          </cell>
          <cell r="BC516">
            <v>1558752</v>
          </cell>
          <cell r="BD516">
            <v>31.699991865289189</v>
          </cell>
          <cell r="BG516">
            <v>0</v>
          </cell>
          <cell r="BH516">
            <v>0</v>
          </cell>
          <cell r="BI516">
            <v>0</v>
          </cell>
          <cell r="BJ516">
            <v>0</v>
          </cell>
          <cell r="BK516">
            <v>0</v>
          </cell>
          <cell r="BL516">
            <v>0</v>
          </cell>
          <cell r="BM516">
            <v>609646</v>
          </cell>
          <cell r="BN516">
            <v>12.398234767754007</v>
          </cell>
          <cell r="BO516">
            <v>0</v>
          </cell>
          <cell r="BP516">
            <v>0</v>
          </cell>
          <cell r="BY516">
            <v>1867</v>
          </cell>
          <cell r="CF516">
            <v>7523</v>
          </cell>
          <cell r="CG516">
            <v>727.32</v>
          </cell>
          <cell r="CJ516">
            <v>0</v>
          </cell>
          <cell r="CK516">
            <v>0</v>
          </cell>
          <cell r="CL516">
            <v>0</v>
          </cell>
          <cell r="CM516">
            <v>55973.765638700002</v>
          </cell>
          <cell r="CN516">
            <v>113.5</v>
          </cell>
          <cell r="CO516">
            <v>113.5</v>
          </cell>
          <cell r="CX516">
            <v>0</v>
          </cell>
          <cell r="CY516">
            <v>0</v>
          </cell>
          <cell r="DB516">
            <v>47.4</v>
          </cell>
          <cell r="DC516">
            <v>47.4</v>
          </cell>
          <cell r="DJ516" t="str">
            <v>НКРЕ</v>
          </cell>
          <cell r="DL516">
            <v>40526</v>
          </cell>
          <cell r="DM516">
            <v>1722</v>
          </cell>
          <cell r="DO516" t="str">
            <v>на теплову енергію</v>
          </cell>
          <cell r="DT516">
            <v>322.41000000000003</v>
          </cell>
        </row>
        <row r="517">
          <cell r="W517">
            <v>666.67</v>
          </cell>
          <cell r="AF517">
            <v>40014</v>
          </cell>
          <cell r="AG517">
            <v>518</v>
          </cell>
          <cell r="AH517">
            <v>507.14004720692367</v>
          </cell>
          <cell r="AM517">
            <v>8897</v>
          </cell>
          <cell r="AO517">
            <v>5931362.9899999993</v>
          </cell>
          <cell r="AQ517">
            <v>4512025</v>
          </cell>
          <cell r="AU517">
            <v>0</v>
          </cell>
          <cell r="AW517">
            <v>1149492.3999986001</v>
          </cell>
          <cell r="AY517">
            <v>2921329.9499988724</v>
          </cell>
          <cell r="AZ517">
            <v>328.34999999987326</v>
          </cell>
          <cell r="BA517">
            <v>0</v>
          </cell>
          <cell r="BB517">
            <v>0</v>
          </cell>
          <cell r="BC517">
            <v>282035</v>
          </cell>
          <cell r="BD517">
            <v>31.700011239743734</v>
          </cell>
          <cell r="BG517">
            <v>0</v>
          </cell>
          <cell r="BH517">
            <v>0</v>
          </cell>
          <cell r="BI517">
            <v>0</v>
          </cell>
          <cell r="BJ517">
            <v>0</v>
          </cell>
          <cell r="BK517">
            <v>0</v>
          </cell>
          <cell r="BL517">
            <v>0</v>
          </cell>
          <cell r="BM517">
            <v>110309</v>
          </cell>
          <cell r="BN517">
            <v>12.39844891536473</v>
          </cell>
          <cell r="BO517">
            <v>0</v>
          </cell>
          <cell r="BP517">
            <v>0</v>
          </cell>
          <cell r="BY517">
            <v>1867</v>
          </cell>
          <cell r="CF517">
            <v>1363.6736842099999</v>
          </cell>
          <cell r="CG517">
            <v>2142.25</v>
          </cell>
          <cell r="CJ517">
            <v>0</v>
          </cell>
          <cell r="CK517">
            <v>0</v>
          </cell>
          <cell r="CL517">
            <v>0</v>
          </cell>
          <cell r="CM517">
            <v>10127.6863436</v>
          </cell>
          <cell r="CN517">
            <v>113.5</v>
          </cell>
          <cell r="CO517">
            <v>138.24</v>
          </cell>
          <cell r="CX517">
            <v>0</v>
          </cell>
          <cell r="CY517">
            <v>0</v>
          </cell>
          <cell r="DB517">
            <v>47.4</v>
          </cell>
          <cell r="DC517">
            <v>47.4</v>
          </cell>
          <cell r="DJ517" t="str">
            <v>НКРКП</v>
          </cell>
          <cell r="DL517">
            <v>40816</v>
          </cell>
          <cell r="DM517">
            <v>115</v>
          </cell>
          <cell r="DT517">
            <v>895.48</v>
          </cell>
        </row>
        <row r="518">
          <cell r="W518">
            <v>547.71</v>
          </cell>
          <cell r="AF518">
            <v>40014</v>
          </cell>
          <cell r="AG518">
            <v>518</v>
          </cell>
          <cell r="AH518">
            <v>507.14010624169987</v>
          </cell>
          <cell r="AM518">
            <v>1506</v>
          </cell>
          <cell r="AO518">
            <v>824851.26</v>
          </cell>
          <cell r="AQ518">
            <v>763753</v>
          </cell>
          <cell r="AU518">
            <v>0</v>
          </cell>
          <cell r="AW518">
            <v>194575.19999985499</v>
          </cell>
          <cell r="AY518">
            <v>494495.09999892476</v>
          </cell>
          <cell r="AZ518">
            <v>328.34999999928601</v>
          </cell>
          <cell r="BA518">
            <v>0</v>
          </cell>
          <cell r="BB518">
            <v>0</v>
          </cell>
          <cell r="BC518">
            <v>47740</v>
          </cell>
          <cell r="BD518">
            <v>31.699867197875164</v>
          </cell>
          <cell r="BG518">
            <v>0</v>
          </cell>
          <cell r="BH518">
            <v>0</v>
          </cell>
          <cell r="BI518">
            <v>0</v>
          </cell>
          <cell r="BJ518">
            <v>0</v>
          </cell>
          <cell r="BK518">
            <v>0</v>
          </cell>
          <cell r="BL518">
            <v>0</v>
          </cell>
          <cell r="BM518">
            <v>18672</v>
          </cell>
          <cell r="BN518">
            <v>12.398406374501992</v>
          </cell>
          <cell r="BO518">
            <v>0</v>
          </cell>
          <cell r="BP518">
            <v>0</v>
          </cell>
          <cell r="BY518">
            <v>1867</v>
          </cell>
          <cell r="CF518">
            <v>230.829781771</v>
          </cell>
          <cell r="CG518">
            <v>2142.25</v>
          </cell>
          <cell r="CJ518">
            <v>0</v>
          </cell>
          <cell r="CK518">
            <v>0</v>
          </cell>
          <cell r="CL518">
            <v>0</v>
          </cell>
          <cell r="CM518">
            <v>1714.3189427299999</v>
          </cell>
          <cell r="CN518">
            <v>113.5</v>
          </cell>
          <cell r="CO518">
            <v>138.24</v>
          </cell>
          <cell r="CX518">
            <v>0</v>
          </cell>
          <cell r="CY518">
            <v>0</v>
          </cell>
          <cell r="DB518">
            <v>47.4</v>
          </cell>
          <cell r="DC518">
            <v>47.4</v>
          </cell>
          <cell r="DJ518" t="str">
            <v>НКРКП</v>
          </cell>
          <cell r="DL518">
            <v>40816</v>
          </cell>
          <cell r="DM518">
            <v>115</v>
          </cell>
          <cell r="DT518">
            <v>819.25</v>
          </cell>
        </row>
        <row r="519">
          <cell r="W519">
            <v>211.69512171113155</v>
          </cell>
          <cell r="AF519">
            <v>39643</v>
          </cell>
          <cell r="AG519">
            <v>385</v>
          </cell>
          <cell r="AH519">
            <v>236.40553127874884</v>
          </cell>
          <cell r="AM519">
            <v>104352</v>
          </cell>
          <cell r="AO519">
            <v>22090809.340799998</v>
          </cell>
          <cell r="AQ519">
            <v>24669390</v>
          </cell>
          <cell r="AU519">
            <v>0</v>
          </cell>
          <cell r="AW519">
            <v>0</v>
          </cell>
          <cell r="AY519">
            <v>12056309.999999998</v>
          </cell>
          <cell r="AZ519">
            <v>115.53501609935601</v>
          </cell>
          <cell r="BA519">
            <v>0</v>
          </cell>
          <cell r="BB519">
            <v>0</v>
          </cell>
          <cell r="BC519">
            <v>0</v>
          </cell>
          <cell r="BD519">
            <v>0</v>
          </cell>
          <cell r="BG519">
            <v>0</v>
          </cell>
          <cell r="BH519">
            <v>0</v>
          </cell>
          <cell r="BI519">
            <v>1475011</v>
          </cell>
          <cell r="BJ519">
            <v>14.13495668506593</v>
          </cell>
          <cell r="BK519">
            <v>0</v>
          </cell>
          <cell r="BL519">
            <v>0</v>
          </cell>
          <cell r="BM519">
            <v>8851138</v>
          </cell>
          <cell r="BN519">
            <v>84.820013032812014</v>
          </cell>
          <cell r="BO519">
            <v>0</v>
          </cell>
          <cell r="BP519">
            <v>0</v>
          </cell>
          <cell r="BY519">
            <v>2104.9699999999998</v>
          </cell>
          <cell r="CF519">
            <v>16720.792414258904</v>
          </cell>
          <cell r="CG519">
            <v>721.03700000000003</v>
          </cell>
          <cell r="CJ519">
            <v>0</v>
          </cell>
          <cell r="CK519">
            <v>0</v>
          </cell>
          <cell r="CL519">
            <v>0</v>
          </cell>
          <cell r="CM519">
            <v>0</v>
          </cell>
          <cell r="CN519">
            <v>0</v>
          </cell>
          <cell r="CO519">
            <v>0</v>
          </cell>
          <cell r="CX519">
            <v>0</v>
          </cell>
          <cell r="CY519">
            <v>0</v>
          </cell>
          <cell r="DB519">
            <v>0</v>
          </cell>
          <cell r="DC519">
            <v>0</v>
          </cell>
          <cell r="DJ519" t="str">
            <v>НКРЕ</v>
          </cell>
          <cell r="DL519">
            <v>40526</v>
          </cell>
          <cell r="DM519">
            <v>1806</v>
          </cell>
          <cell r="DO519" t="str">
            <v>тариф на теплову енергію</v>
          </cell>
          <cell r="DT519">
            <v>267.85200009199627</v>
          </cell>
        </row>
        <row r="520">
          <cell r="W520">
            <v>356.9</v>
          </cell>
          <cell r="AF520">
            <v>39643</v>
          </cell>
          <cell r="AG520">
            <v>387</v>
          </cell>
          <cell r="AH520">
            <v>324.9331960540178</v>
          </cell>
          <cell r="AM520">
            <v>20882</v>
          </cell>
          <cell r="AO520">
            <v>7452785.7999999998</v>
          </cell>
          <cell r="AQ520">
            <v>6785255</v>
          </cell>
          <cell r="AU520">
            <v>0</v>
          </cell>
          <cell r="AW520">
            <v>0</v>
          </cell>
          <cell r="AY520">
            <v>4119436.0000000005</v>
          </cell>
          <cell r="AZ520">
            <v>197.27210037352745</v>
          </cell>
          <cell r="BA520">
            <v>0</v>
          </cell>
          <cell r="BB520">
            <v>0</v>
          </cell>
          <cell r="BC520">
            <v>0</v>
          </cell>
          <cell r="BD520">
            <v>0</v>
          </cell>
          <cell r="BG520">
            <v>0</v>
          </cell>
          <cell r="BH520">
            <v>0</v>
          </cell>
          <cell r="BI520">
            <v>278540</v>
          </cell>
          <cell r="BJ520">
            <v>13.338760655109663</v>
          </cell>
          <cell r="BK520">
            <v>0</v>
          </cell>
          <cell r="BL520">
            <v>0</v>
          </cell>
          <cell r="BM520">
            <v>1940168</v>
          </cell>
          <cell r="BN520">
            <v>92.911023848290398</v>
          </cell>
          <cell r="BO520">
            <v>0</v>
          </cell>
          <cell r="BP520">
            <v>0</v>
          </cell>
          <cell r="BY520">
            <v>2104.9699999999998</v>
          </cell>
          <cell r="CF520">
            <v>3319.2348599606798</v>
          </cell>
          <cell r="CG520">
            <v>1241.08</v>
          </cell>
          <cell r="CJ520">
            <v>0</v>
          </cell>
          <cell r="CK520">
            <v>0</v>
          </cell>
          <cell r="CL520">
            <v>0</v>
          </cell>
          <cell r="CM520">
            <v>0</v>
          </cell>
          <cell r="CN520">
            <v>0</v>
          </cell>
          <cell r="CO520">
            <v>0</v>
          </cell>
          <cell r="CX520">
            <v>0</v>
          </cell>
          <cell r="CY520">
            <v>0</v>
          </cell>
          <cell r="DB520">
            <v>0</v>
          </cell>
          <cell r="DC520">
            <v>0</v>
          </cell>
          <cell r="DJ520" t="str">
            <v>НКРКП</v>
          </cell>
          <cell r="DL520">
            <v>40816</v>
          </cell>
          <cell r="DM520">
            <v>152</v>
          </cell>
          <cell r="DT520">
            <v>835.48</v>
          </cell>
        </row>
        <row r="521">
          <cell r="W521">
            <v>415</v>
          </cell>
          <cell r="AF521">
            <v>39643</v>
          </cell>
          <cell r="AG521">
            <v>390</v>
          </cell>
          <cell r="AH521">
            <v>345.8150301464255</v>
          </cell>
          <cell r="AM521">
            <v>9288</v>
          </cell>
          <cell r="AO521">
            <v>3854520</v>
          </cell>
          <cell r="AQ521">
            <v>3211930</v>
          </cell>
          <cell r="AU521">
            <v>0</v>
          </cell>
          <cell r="AW521">
            <v>0</v>
          </cell>
          <cell r="AY521">
            <v>1931662.3600000003</v>
          </cell>
          <cell r="AZ521">
            <v>207.97398363479763</v>
          </cell>
          <cell r="BA521">
            <v>0</v>
          </cell>
          <cell r="BB521">
            <v>0</v>
          </cell>
          <cell r="BC521">
            <v>0</v>
          </cell>
          <cell r="BD521">
            <v>0</v>
          </cell>
          <cell r="BG521">
            <v>0</v>
          </cell>
          <cell r="BH521">
            <v>0</v>
          </cell>
          <cell r="BI521">
            <v>152125</v>
          </cell>
          <cell r="BJ521">
            <v>16.378660637381568</v>
          </cell>
          <cell r="BK521">
            <v>0</v>
          </cell>
          <cell r="BL521">
            <v>0</v>
          </cell>
          <cell r="BM521">
            <v>916827</v>
          </cell>
          <cell r="BN521">
            <v>98.710917312661493</v>
          </cell>
          <cell r="BO521">
            <v>0</v>
          </cell>
          <cell r="BP521">
            <v>0</v>
          </cell>
          <cell r="BY521">
            <v>2104.9699999999998</v>
          </cell>
          <cell r="CF521">
            <v>1498.4</v>
          </cell>
          <cell r="CG521">
            <v>1289.1500000000001</v>
          </cell>
          <cell r="CJ521">
            <v>0</v>
          </cell>
          <cell r="CK521">
            <v>0</v>
          </cell>
          <cell r="CL521">
            <v>0</v>
          </cell>
          <cell r="CM521">
            <v>0</v>
          </cell>
          <cell r="CN521">
            <v>0</v>
          </cell>
          <cell r="CO521">
            <v>0</v>
          </cell>
          <cell r="CX521">
            <v>0</v>
          </cell>
          <cell r="CY521">
            <v>0</v>
          </cell>
          <cell r="DB521">
            <v>0</v>
          </cell>
          <cell r="DC521">
            <v>0</v>
          </cell>
          <cell r="DJ521" t="str">
            <v>НКРКП</v>
          </cell>
          <cell r="DL521">
            <v>40816</v>
          </cell>
          <cell r="DM521">
            <v>152</v>
          </cell>
          <cell r="DT521">
            <v>999.9</v>
          </cell>
        </row>
        <row r="522">
          <cell r="W522">
            <v>341.45</v>
          </cell>
          <cell r="AF522">
            <v>39643</v>
          </cell>
          <cell r="AG522">
            <v>389</v>
          </cell>
          <cell r="AH522">
            <v>313.92443064182197</v>
          </cell>
          <cell r="AM522">
            <v>966</v>
          </cell>
          <cell r="AO522">
            <v>329840.7</v>
          </cell>
          <cell r="AQ522">
            <v>303251</v>
          </cell>
          <cell r="AU522">
            <v>0</v>
          </cell>
          <cell r="AW522">
            <v>0</v>
          </cell>
          <cell r="AY522">
            <v>188783.00000000003</v>
          </cell>
          <cell r="AZ522">
            <v>195.42753623188409</v>
          </cell>
          <cell r="BA522">
            <v>0</v>
          </cell>
          <cell r="BB522">
            <v>0</v>
          </cell>
          <cell r="BC522">
            <v>0</v>
          </cell>
          <cell r="BD522">
            <v>0</v>
          </cell>
          <cell r="BG522">
            <v>0</v>
          </cell>
          <cell r="BH522">
            <v>0</v>
          </cell>
          <cell r="BI522">
            <v>12700</v>
          </cell>
          <cell r="BJ522">
            <v>13.146997929606625</v>
          </cell>
          <cell r="BK522">
            <v>0</v>
          </cell>
          <cell r="BL522">
            <v>0</v>
          </cell>
          <cell r="BM522">
            <v>82749</v>
          </cell>
          <cell r="BN522">
            <v>85.661490683229815</v>
          </cell>
          <cell r="BO522">
            <v>0</v>
          </cell>
          <cell r="BP522">
            <v>0</v>
          </cell>
          <cell r="BY522">
            <v>2104.9699999999998</v>
          </cell>
          <cell r="CF522">
            <v>152.11187030650726</v>
          </cell>
          <cell r="CG522">
            <v>1241.08</v>
          </cell>
          <cell r="CJ522">
            <v>0</v>
          </cell>
          <cell r="CK522">
            <v>0</v>
          </cell>
          <cell r="CL522">
            <v>0</v>
          </cell>
          <cell r="CM522">
            <v>0</v>
          </cell>
          <cell r="CN522">
            <v>0</v>
          </cell>
          <cell r="CO522">
            <v>0</v>
          </cell>
          <cell r="CX522">
            <v>0</v>
          </cell>
          <cell r="CY522">
            <v>0</v>
          </cell>
          <cell r="DB522">
            <v>0</v>
          </cell>
          <cell r="DC522">
            <v>0</v>
          </cell>
          <cell r="DJ522" t="str">
            <v>НКРКП</v>
          </cell>
          <cell r="DL522">
            <v>40816</v>
          </cell>
          <cell r="DM522">
            <v>152</v>
          </cell>
          <cell r="DO522" t="str">
            <v>на виробництво пари</v>
          </cell>
          <cell r="DT522">
            <v>835.48</v>
          </cell>
        </row>
        <row r="523">
          <cell r="W523">
            <v>176.00833333333335</v>
          </cell>
          <cell r="AF523">
            <v>39780</v>
          </cell>
          <cell r="AG523" t="str">
            <v>25/2440-221</v>
          </cell>
          <cell r="AH523">
            <v>168.72816046095642</v>
          </cell>
          <cell r="AM523">
            <v>23072.03</v>
          </cell>
          <cell r="AO523">
            <v>4060869.5469166669</v>
          </cell>
          <cell r="AQ523">
            <v>3892901.18</v>
          </cell>
          <cell r="AU523">
            <v>0</v>
          </cell>
          <cell r="AW523">
            <v>0</v>
          </cell>
          <cell r="AY523">
            <v>2434553.4900000002</v>
          </cell>
          <cell r="AZ523">
            <v>105.51969159194056</v>
          </cell>
          <cell r="BA523">
            <v>0</v>
          </cell>
          <cell r="BB523">
            <v>0</v>
          </cell>
          <cell r="BC523">
            <v>0</v>
          </cell>
          <cell r="BD523">
            <v>0</v>
          </cell>
          <cell r="BG523">
            <v>226735</v>
          </cell>
          <cell r="BH523">
            <v>9.8272670415217043</v>
          </cell>
          <cell r="BI523">
            <v>219654</v>
          </cell>
          <cell r="BJ523">
            <v>9.5203586333755634</v>
          </cell>
          <cell r="BK523">
            <v>0</v>
          </cell>
          <cell r="BL523">
            <v>0</v>
          </cell>
          <cell r="BM523">
            <v>812007.30176373699</v>
          </cell>
          <cell r="BN523">
            <v>35.194445472016852</v>
          </cell>
          <cell r="BO523">
            <v>0</v>
          </cell>
          <cell r="BP523">
            <v>0</v>
          </cell>
          <cell r="BY523">
            <v>1171.81</v>
          </cell>
          <cell r="CF523">
            <v>3347.2934746741462</v>
          </cell>
          <cell r="CG523">
            <v>727.32</v>
          </cell>
          <cell r="CJ523">
            <v>0</v>
          </cell>
          <cell r="CK523">
            <v>0</v>
          </cell>
          <cell r="CL523">
            <v>0</v>
          </cell>
          <cell r="CM523">
            <v>0</v>
          </cell>
          <cell r="CN523">
            <v>0</v>
          </cell>
          <cell r="CO523">
            <v>0</v>
          </cell>
          <cell r="CX523">
            <v>0</v>
          </cell>
          <cell r="CY523">
            <v>0</v>
          </cell>
          <cell r="DB523">
            <v>0</v>
          </cell>
          <cell r="DC523">
            <v>0</v>
          </cell>
          <cell r="DJ523" t="str">
            <v>МОС</v>
          </cell>
          <cell r="DL523">
            <v>40525</v>
          </cell>
          <cell r="DM523" t="str">
            <v>№ 263</v>
          </cell>
          <cell r="DO523" t="str">
            <v>на послугу з теплопостачання</v>
          </cell>
          <cell r="DT523">
            <v>321.62</v>
          </cell>
        </row>
        <row r="524">
          <cell r="W524">
            <v>417.00833333333338</v>
          </cell>
          <cell r="AF524">
            <v>40000</v>
          </cell>
          <cell r="AG524" t="str">
            <v>25/1190-78</v>
          </cell>
          <cell r="AH524">
            <v>407.81998034267139</v>
          </cell>
          <cell r="AM524">
            <v>5931.63</v>
          </cell>
          <cell r="AO524">
            <v>2473539.1402500002</v>
          </cell>
          <cell r="AQ524">
            <v>2419037.23</v>
          </cell>
          <cell r="AU524">
            <v>0</v>
          </cell>
          <cell r="AW524">
            <v>0</v>
          </cell>
          <cell r="AY524">
            <v>1882065.17</v>
          </cell>
          <cell r="AZ524">
            <v>317.29308301428102</v>
          </cell>
          <cell r="BA524">
            <v>0</v>
          </cell>
          <cell r="BB524">
            <v>0</v>
          </cell>
          <cell r="BC524">
            <v>0</v>
          </cell>
          <cell r="BD524">
            <v>0</v>
          </cell>
          <cell r="BG524">
            <v>69628</v>
          </cell>
          <cell r="BH524">
            <v>11.738426031293253</v>
          </cell>
          <cell r="BI524">
            <v>67397</v>
          </cell>
          <cell r="BJ524">
            <v>11.362306819542015</v>
          </cell>
          <cell r="BK524">
            <v>0</v>
          </cell>
          <cell r="BL524">
            <v>0</v>
          </cell>
          <cell r="BM524">
            <v>299728.22518761078</v>
          </cell>
          <cell r="BN524">
            <v>50.530499236737754</v>
          </cell>
          <cell r="BO524">
            <v>0</v>
          </cell>
          <cell r="BP524">
            <v>0</v>
          </cell>
          <cell r="BY524">
            <v>1496.89</v>
          </cell>
          <cell r="CF524">
            <v>862.28050635463148</v>
          </cell>
          <cell r="CG524">
            <v>2182.66</v>
          </cell>
          <cell r="CJ524">
            <v>0</v>
          </cell>
          <cell r="CK524">
            <v>0</v>
          </cell>
          <cell r="CL524">
            <v>0</v>
          </cell>
          <cell r="CM524">
            <v>0</v>
          </cell>
          <cell r="CN524">
            <v>0</v>
          </cell>
          <cell r="CO524">
            <v>0</v>
          </cell>
          <cell r="CX524">
            <v>0</v>
          </cell>
          <cell r="CY524">
            <v>0</v>
          </cell>
          <cell r="DB524">
            <v>0</v>
          </cell>
          <cell r="DC524">
            <v>0</v>
          </cell>
          <cell r="DJ524" t="str">
            <v>НКРКП</v>
          </cell>
          <cell r="DL524">
            <v>40942</v>
          </cell>
          <cell r="DM524" t="str">
            <v>№ 40</v>
          </cell>
          <cell r="DT524">
            <v>670.93</v>
          </cell>
        </row>
        <row r="525">
          <cell r="W525">
            <v>419.04166666666669</v>
          </cell>
          <cell r="AF525">
            <v>40000</v>
          </cell>
          <cell r="AG525" t="str">
            <v>25/1191-79</v>
          </cell>
          <cell r="AH525">
            <v>409.84873458681494</v>
          </cell>
          <cell r="AM525">
            <v>1746.07</v>
          </cell>
          <cell r="AO525">
            <v>731676.08291666664</v>
          </cell>
          <cell r="AQ525">
            <v>715624.58</v>
          </cell>
          <cell r="AU525">
            <v>0</v>
          </cell>
          <cell r="AW525">
            <v>0</v>
          </cell>
          <cell r="AY525">
            <v>553488.84</v>
          </cell>
          <cell r="AZ525">
            <v>316.99120882897017</v>
          </cell>
          <cell r="BA525">
            <v>0</v>
          </cell>
          <cell r="BB525">
            <v>0</v>
          </cell>
          <cell r="BC525">
            <v>0</v>
          </cell>
          <cell r="BD525">
            <v>0</v>
          </cell>
          <cell r="BG525">
            <v>20693</v>
          </cell>
          <cell r="BH525">
            <v>11.851185805838254</v>
          </cell>
          <cell r="BI525">
            <v>20047</v>
          </cell>
          <cell r="BJ525">
            <v>11.481212093444135</v>
          </cell>
          <cell r="BK525">
            <v>0</v>
          </cell>
          <cell r="BL525">
            <v>0</v>
          </cell>
          <cell r="BM525">
            <v>88229.788802290699</v>
          </cell>
          <cell r="BN525">
            <v>50.530499236737761</v>
          </cell>
          <cell r="BO525">
            <v>0</v>
          </cell>
          <cell r="BP525">
            <v>0</v>
          </cell>
          <cell r="BY525">
            <v>1496.89</v>
          </cell>
          <cell r="CF525">
            <v>253.58454363024933</v>
          </cell>
          <cell r="CG525">
            <v>2182.66</v>
          </cell>
          <cell r="CJ525">
            <v>0</v>
          </cell>
          <cell r="CK525">
            <v>0</v>
          </cell>
          <cell r="CL525">
            <v>0</v>
          </cell>
          <cell r="CM525">
            <v>0</v>
          </cell>
          <cell r="CN525">
            <v>0</v>
          </cell>
          <cell r="CO525">
            <v>0</v>
          </cell>
          <cell r="CX525">
            <v>0</v>
          </cell>
          <cell r="CY525">
            <v>0</v>
          </cell>
          <cell r="DB525">
            <v>0</v>
          </cell>
          <cell r="DC525">
            <v>0</v>
          </cell>
          <cell r="DJ525" t="str">
            <v>НКРКП</v>
          </cell>
          <cell r="DL525">
            <v>40942</v>
          </cell>
          <cell r="DM525" t="str">
            <v>№ 40</v>
          </cell>
          <cell r="DT525">
            <v>672.72</v>
          </cell>
        </row>
        <row r="526">
          <cell r="W526">
            <v>231.15</v>
          </cell>
          <cell r="AF526">
            <v>39741</v>
          </cell>
          <cell r="AG526" t="str">
            <v>№98</v>
          </cell>
          <cell r="AH526">
            <v>220.46995994659545</v>
          </cell>
          <cell r="AM526">
            <v>7490</v>
          </cell>
          <cell r="AO526">
            <v>1731313.5</v>
          </cell>
          <cell r="AQ526">
            <v>1651320</v>
          </cell>
          <cell r="AU526">
            <v>0</v>
          </cell>
          <cell r="AW526">
            <v>0</v>
          </cell>
          <cell r="AY526">
            <v>825526</v>
          </cell>
          <cell r="AZ526">
            <v>110.21708945260347</v>
          </cell>
          <cell r="BA526">
            <v>0</v>
          </cell>
          <cell r="BB526">
            <v>0</v>
          </cell>
          <cell r="BC526">
            <v>0</v>
          </cell>
          <cell r="BD526">
            <v>0</v>
          </cell>
          <cell r="BG526">
            <v>0</v>
          </cell>
          <cell r="BH526">
            <v>0</v>
          </cell>
          <cell r="BI526">
            <v>92452</v>
          </cell>
          <cell r="BJ526">
            <v>12.343391188251001</v>
          </cell>
          <cell r="BK526">
            <v>0</v>
          </cell>
          <cell r="BL526">
            <v>0</v>
          </cell>
          <cell r="BM526">
            <v>139109</v>
          </cell>
          <cell r="BN526">
            <v>18.572630173564754</v>
          </cell>
          <cell r="BO526">
            <v>0</v>
          </cell>
          <cell r="BP526">
            <v>0</v>
          </cell>
          <cell r="BY526">
            <v>0</v>
          </cell>
          <cell r="CF526">
            <v>1135.0307156724175</v>
          </cell>
          <cell r="CG526">
            <v>727.31600000000003</v>
          </cell>
          <cell r="CJ526">
            <v>0</v>
          </cell>
          <cell r="CK526">
            <v>0</v>
          </cell>
          <cell r="CL526">
            <v>0</v>
          </cell>
          <cell r="CM526">
            <v>0</v>
          </cell>
          <cell r="CN526">
            <v>0</v>
          </cell>
          <cell r="CO526">
            <v>0</v>
          </cell>
          <cell r="CX526">
            <v>0</v>
          </cell>
          <cell r="CY526">
            <v>0</v>
          </cell>
          <cell r="DB526">
            <v>0</v>
          </cell>
          <cell r="DC526">
            <v>0</v>
          </cell>
          <cell r="DJ526" t="str">
            <v>МОС</v>
          </cell>
          <cell r="DL526">
            <v>40541</v>
          </cell>
          <cell r="DM526" t="str">
            <v>№743</v>
          </cell>
          <cell r="DO526" t="str">
            <v>тариф на теплову енергію</v>
          </cell>
          <cell r="DT526">
            <v>261.9666666666667</v>
          </cell>
        </row>
        <row r="527">
          <cell r="W527">
            <v>479.99166666666667</v>
          </cell>
          <cell r="AF527">
            <v>39975</v>
          </cell>
          <cell r="AG527" t="str">
            <v>№40</v>
          </cell>
          <cell r="AH527">
            <v>436.09730632816877</v>
          </cell>
          <cell r="AM527">
            <v>5357</v>
          </cell>
          <cell r="AO527">
            <v>2571315.3583333334</v>
          </cell>
          <cell r="AQ527">
            <v>2336173.27</v>
          </cell>
          <cell r="AU527">
            <v>0</v>
          </cell>
          <cell r="AW527">
            <v>0</v>
          </cell>
          <cell r="AY527">
            <v>1842058.02</v>
          </cell>
          <cell r="AZ527">
            <v>343.86</v>
          </cell>
          <cell r="BA527">
            <v>0</v>
          </cell>
          <cell r="BB527">
            <v>0</v>
          </cell>
          <cell r="BC527">
            <v>0</v>
          </cell>
          <cell r="BD527">
            <v>0</v>
          </cell>
          <cell r="BG527">
            <v>0</v>
          </cell>
          <cell r="BH527">
            <v>0</v>
          </cell>
          <cell r="BI527">
            <v>72212.36</v>
          </cell>
          <cell r="BJ527">
            <v>13.48</v>
          </cell>
          <cell r="BK527">
            <v>0</v>
          </cell>
          <cell r="BL527">
            <v>0</v>
          </cell>
          <cell r="BM527">
            <v>99501</v>
          </cell>
          <cell r="BN527">
            <v>18.574015307074855</v>
          </cell>
          <cell r="BO527">
            <v>0</v>
          </cell>
          <cell r="BP527">
            <v>0</v>
          </cell>
          <cell r="BY527">
            <v>0</v>
          </cell>
          <cell r="CF527">
            <v>843.95161252142839</v>
          </cell>
          <cell r="CG527">
            <v>2182.6583333333333</v>
          </cell>
          <cell r="CJ527">
            <v>0</v>
          </cell>
          <cell r="CK527">
            <v>0</v>
          </cell>
          <cell r="CL527">
            <v>0</v>
          </cell>
          <cell r="CM527">
            <v>0</v>
          </cell>
          <cell r="CN527">
            <v>0</v>
          </cell>
          <cell r="CO527">
            <v>0</v>
          </cell>
          <cell r="CX527">
            <v>0</v>
          </cell>
          <cell r="CY527">
            <v>0</v>
          </cell>
          <cell r="DB527">
            <v>0</v>
          </cell>
          <cell r="DC527">
            <v>0</v>
          </cell>
          <cell r="DJ527" t="str">
            <v>МОС</v>
          </cell>
          <cell r="DL527">
            <v>40897</v>
          </cell>
          <cell r="DM527" t="str">
            <v>№562</v>
          </cell>
          <cell r="DT527">
            <v>765.40833333333342</v>
          </cell>
        </row>
        <row r="528">
          <cell r="W528">
            <v>476.22500000000002</v>
          </cell>
          <cell r="AF528">
            <v>39861</v>
          </cell>
          <cell r="AG528" t="str">
            <v>№19</v>
          </cell>
          <cell r="AH528">
            <v>437.62782086528722</v>
          </cell>
          <cell r="AM528">
            <v>69.11</v>
          </cell>
          <cell r="AO528">
            <v>32911.909749999999</v>
          </cell>
          <cell r="AQ528">
            <v>30244.458699999999</v>
          </cell>
          <cell r="AU528">
            <v>0</v>
          </cell>
          <cell r="AW528">
            <v>0</v>
          </cell>
          <cell r="AY528">
            <v>22800.771199999999</v>
          </cell>
          <cell r="AZ528">
            <v>329.92</v>
          </cell>
          <cell r="BA528">
            <v>0</v>
          </cell>
          <cell r="BB528">
            <v>0</v>
          </cell>
          <cell r="BC528">
            <v>0</v>
          </cell>
          <cell r="BD528">
            <v>0</v>
          </cell>
          <cell r="BG528">
            <v>0</v>
          </cell>
          <cell r="BH528">
            <v>0</v>
          </cell>
          <cell r="BI528">
            <v>931.6028</v>
          </cell>
          <cell r="BJ528">
            <v>13.48</v>
          </cell>
          <cell r="BK528">
            <v>0</v>
          </cell>
          <cell r="BL528">
            <v>0</v>
          </cell>
          <cell r="BM528">
            <v>1283</v>
          </cell>
          <cell r="BN528">
            <v>18.564607148024887</v>
          </cell>
          <cell r="BO528">
            <v>0</v>
          </cell>
          <cell r="BP528">
            <v>0</v>
          </cell>
          <cell r="BY528">
            <v>0</v>
          </cell>
          <cell r="CF528">
            <v>11.286113698799653</v>
          </cell>
          <cell r="CG528">
            <v>2020.25</v>
          </cell>
          <cell r="CJ528">
            <v>0</v>
          </cell>
          <cell r="CK528">
            <v>0</v>
          </cell>
          <cell r="CL528">
            <v>0</v>
          </cell>
          <cell r="CM528">
            <v>0</v>
          </cell>
          <cell r="CN528">
            <v>0</v>
          </cell>
          <cell r="CO528">
            <v>0</v>
          </cell>
          <cell r="CX528">
            <v>0</v>
          </cell>
          <cell r="CY528">
            <v>0</v>
          </cell>
          <cell r="DB528">
            <v>0</v>
          </cell>
          <cell r="DC528">
            <v>0</v>
          </cell>
          <cell r="DJ528" t="str">
            <v>МОС</v>
          </cell>
          <cell r="DL528">
            <v>40897</v>
          </cell>
          <cell r="DM528" t="str">
            <v>№562</v>
          </cell>
          <cell r="DT528">
            <v>813.25833333333333</v>
          </cell>
        </row>
        <row r="529">
          <cell r="W529">
            <v>238.75833333333333</v>
          </cell>
          <cell r="AF529">
            <v>39463</v>
          </cell>
          <cell r="AG529">
            <v>18</v>
          </cell>
          <cell r="AH529">
            <v>167.58559174837035</v>
          </cell>
          <cell r="AM529">
            <v>61906.025999999998</v>
          </cell>
          <cell r="AO529">
            <v>14780579.591049999</v>
          </cell>
          <cell r="AQ529">
            <v>10374558</v>
          </cell>
          <cell r="AU529">
            <v>0</v>
          </cell>
          <cell r="AW529">
            <v>0</v>
          </cell>
          <cell r="AY529">
            <v>4704138.0875499994</v>
          </cell>
          <cell r="AZ529">
            <v>75.988371270189418</v>
          </cell>
          <cell r="BA529">
            <v>757800</v>
          </cell>
          <cell r="BB529">
            <v>12.241134651415035</v>
          </cell>
          <cell r="BC529">
            <v>0</v>
          </cell>
          <cell r="BD529">
            <v>0</v>
          </cell>
          <cell r="BG529">
            <v>0</v>
          </cell>
          <cell r="BH529">
            <v>0</v>
          </cell>
          <cell r="BI529">
            <v>1343500</v>
          </cell>
          <cell r="BJ529">
            <v>21.702249147764711</v>
          </cell>
          <cell r="BK529">
            <v>0</v>
          </cell>
          <cell r="BL529">
            <v>0</v>
          </cell>
          <cell r="BM529">
            <v>1912600</v>
          </cell>
          <cell r="BN529">
            <v>30.895215273550267</v>
          </cell>
          <cell r="BO529">
            <v>0</v>
          </cell>
          <cell r="BP529">
            <v>0</v>
          </cell>
          <cell r="BY529">
            <v>991.1</v>
          </cell>
          <cell r="CF529">
            <v>8228.7649999999994</v>
          </cell>
          <cell r="CG529">
            <v>571.66999999999996</v>
          </cell>
          <cell r="CJ529">
            <v>0</v>
          </cell>
          <cell r="CK529">
            <v>0</v>
          </cell>
          <cell r="CL529">
            <v>0</v>
          </cell>
          <cell r="CM529">
            <v>0</v>
          </cell>
          <cell r="CN529">
            <v>0</v>
          </cell>
          <cell r="CO529">
            <v>0</v>
          </cell>
          <cell r="CX529">
            <v>0</v>
          </cell>
          <cell r="CY529">
            <v>0</v>
          </cell>
          <cell r="DB529">
            <v>0</v>
          </cell>
          <cell r="DC529">
            <v>0</v>
          </cell>
          <cell r="DJ529" t="str">
            <v>НКРЕ</v>
          </cell>
          <cell r="DL529">
            <v>40535</v>
          </cell>
          <cell r="DM529" t="str">
            <v>№1919</v>
          </cell>
          <cell r="DO529" t="str">
            <v>Тариф на теплову енергію</v>
          </cell>
          <cell r="DT529">
            <v>262.64</v>
          </cell>
        </row>
        <row r="530">
          <cell r="W530">
            <v>453.1583333333333</v>
          </cell>
          <cell r="AF530">
            <v>39463</v>
          </cell>
          <cell r="AG530">
            <v>19</v>
          </cell>
          <cell r="AH530">
            <v>230.60936613283502</v>
          </cell>
          <cell r="AM530">
            <v>7728.6540000000005</v>
          </cell>
          <cell r="AO530">
            <v>3502303.9655499998</v>
          </cell>
          <cell r="AQ530">
            <v>1782300</v>
          </cell>
          <cell r="AU530">
            <v>0</v>
          </cell>
          <cell r="AW530">
            <v>0</v>
          </cell>
          <cell r="AY530">
            <v>887588.49708000012</v>
          </cell>
          <cell r="AZ530">
            <v>114.84386506110897</v>
          </cell>
          <cell r="BA530">
            <v>199200</v>
          </cell>
          <cell r="BB530">
            <v>25.774216312439396</v>
          </cell>
          <cell r="BC530">
            <v>0</v>
          </cell>
          <cell r="BD530">
            <v>0</v>
          </cell>
          <cell r="BG530">
            <v>0</v>
          </cell>
          <cell r="BH530">
            <v>0</v>
          </cell>
          <cell r="BI530">
            <v>167700</v>
          </cell>
          <cell r="BJ530">
            <v>21.698474275080756</v>
          </cell>
          <cell r="BK530">
            <v>0</v>
          </cell>
          <cell r="BL530">
            <v>0</v>
          </cell>
          <cell r="BM530">
            <v>238700</v>
          </cell>
          <cell r="BN530">
            <v>30.885067438651024</v>
          </cell>
          <cell r="BO530">
            <v>0</v>
          </cell>
          <cell r="BP530">
            <v>0</v>
          </cell>
          <cell r="BY530">
            <v>991.1</v>
          </cell>
          <cell r="CF530">
            <v>830.77200000000005</v>
          </cell>
          <cell r="CG530">
            <v>1068.3900000000001</v>
          </cell>
          <cell r="CJ530">
            <v>0</v>
          </cell>
          <cell r="CK530">
            <v>0</v>
          </cell>
          <cell r="CL530">
            <v>0</v>
          </cell>
          <cell r="CM530">
            <v>0</v>
          </cell>
          <cell r="CN530">
            <v>0</v>
          </cell>
          <cell r="CO530">
            <v>0</v>
          </cell>
          <cell r="CX530">
            <v>0</v>
          </cell>
          <cell r="CY530">
            <v>0</v>
          </cell>
          <cell r="DB530">
            <v>0</v>
          </cell>
          <cell r="DC530">
            <v>0</v>
          </cell>
          <cell r="DJ530" t="str">
            <v>НКРКП</v>
          </cell>
          <cell r="DL530">
            <v>40816</v>
          </cell>
          <cell r="DM530" t="str">
            <v>№62</v>
          </cell>
          <cell r="DT530">
            <v>596.91999999999996</v>
          </cell>
        </row>
        <row r="531">
          <cell r="W531">
            <v>453.1583333333333</v>
          </cell>
          <cell r="AF531">
            <v>39463</v>
          </cell>
          <cell r="AG531">
            <v>20</v>
          </cell>
          <cell r="AH531">
            <v>251.83945600292148</v>
          </cell>
          <cell r="AM531">
            <v>7042.9790000000003</v>
          </cell>
          <cell r="AO531">
            <v>3191584.6253416664</v>
          </cell>
          <cell r="AQ531">
            <v>1773700</v>
          </cell>
          <cell r="AU531">
            <v>0</v>
          </cell>
          <cell r="AW531">
            <v>0</v>
          </cell>
          <cell r="AY531">
            <v>1005613.54038</v>
          </cell>
          <cell r="AZ531">
            <v>142.7824135752783</v>
          </cell>
          <cell r="BA531">
            <v>86200</v>
          </cell>
          <cell r="BB531">
            <v>12.239139148363213</v>
          </cell>
          <cell r="BC531">
            <v>0</v>
          </cell>
          <cell r="BD531">
            <v>0</v>
          </cell>
          <cell r="BG531">
            <v>0</v>
          </cell>
          <cell r="BH531">
            <v>0</v>
          </cell>
          <cell r="BI531">
            <v>152800</v>
          </cell>
          <cell r="BJ531">
            <v>21.695364986889778</v>
          </cell>
          <cell r="BK531">
            <v>0</v>
          </cell>
          <cell r="BL531">
            <v>0</v>
          </cell>
          <cell r="BM531">
            <v>217600</v>
          </cell>
          <cell r="BN531">
            <v>30.896017154104818</v>
          </cell>
          <cell r="BO531">
            <v>0</v>
          </cell>
          <cell r="BP531">
            <v>0</v>
          </cell>
          <cell r="BY531">
            <v>991.1</v>
          </cell>
          <cell r="CF531">
            <v>941.24199999999996</v>
          </cell>
          <cell r="CG531">
            <v>1068.3900000000001</v>
          </cell>
          <cell r="CJ531">
            <v>0</v>
          </cell>
          <cell r="CK531">
            <v>0</v>
          </cell>
          <cell r="CL531">
            <v>0</v>
          </cell>
          <cell r="CM531">
            <v>0</v>
          </cell>
          <cell r="CN531">
            <v>0</v>
          </cell>
          <cell r="CO531">
            <v>0</v>
          </cell>
          <cell r="CX531">
            <v>0</v>
          </cell>
          <cell r="CY531">
            <v>0</v>
          </cell>
          <cell r="DB531">
            <v>0</v>
          </cell>
          <cell r="DC531">
            <v>0</v>
          </cell>
          <cell r="DJ531" t="str">
            <v>НКРКП</v>
          </cell>
          <cell r="DL531">
            <v>40816</v>
          </cell>
          <cell r="DM531" t="str">
            <v>№62</v>
          </cell>
          <cell r="DT531">
            <v>702.04</v>
          </cell>
        </row>
        <row r="532">
          <cell r="W532">
            <v>405.9</v>
          </cell>
          <cell r="AF532">
            <v>39870</v>
          </cell>
          <cell r="AG532" t="str">
            <v>№25/410-31</v>
          </cell>
          <cell r="AH532">
            <v>391.72979797979798</v>
          </cell>
          <cell r="AM532">
            <v>792</v>
          </cell>
          <cell r="AO532">
            <v>321472.8</v>
          </cell>
          <cell r="AQ532">
            <v>310250</v>
          </cell>
          <cell r="AU532">
            <v>0</v>
          </cell>
          <cell r="AW532">
            <v>0</v>
          </cell>
          <cell r="AY532">
            <v>251130</v>
          </cell>
          <cell r="AZ532">
            <v>317.08333333333331</v>
          </cell>
          <cell r="BA532">
            <v>2040</v>
          </cell>
          <cell r="BB532">
            <v>2.5757575757575757</v>
          </cell>
          <cell r="BC532">
            <v>0</v>
          </cell>
          <cell r="BD532">
            <v>0</v>
          </cell>
          <cell r="BG532">
            <v>0</v>
          </cell>
          <cell r="BH532">
            <v>0</v>
          </cell>
          <cell r="BI532">
            <v>13220</v>
          </cell>
          <cell r="BJ532">
            <v>16.69191919191919</v>
          </cell>
          <cell r="BK532">
            <v>0</v>
          </cell>
          <cell r="BL532">
            <v>0</v>
          </cell>
          <cell r="BM532">
            <v>11300</v>
          </cell>
          <cell r="BN532">
            <v>14.267676767676768</v>
          </cell>
          <cell r="BO532">
            <v>0</v>
          </cell>
          <cell r="BP532">
            <v>0</v>
          </cell>
          <cell r="BY532">
            <v>0</v>
          </cell>
          <cell r="CF532">
            <v>117.22721437740694</v>
          </cell>
          <cell r="CG532">
            <v>2142.25</v>
          </cell>
          <cell r="CJ532">
            <v>0</v>
          </cell>
          <cell r="CK532">
            <v>0</v>
          </cell>
          <cell r="CL532">
            <v>0</v>
          </cell>
          <cell r="CM532">
            <v>0</v>
          </cell>
          <cell r="CN532">
            <v>0</v>
          </cell>
          <cell r="CO532">
            <v>0</v>
          </cell>
          <cell r="CX532">
            <v>0</v>
          </cell>
          <cell r="CY532">
            <v>0</v>
          </cell>
          <cell r="DB532">
            <v>0</v>
          </cell>
          <cell r="DC532">
            <v>0</v>
          </cell>
          <cell r="DJ532" t="str">
            <v>НКРКП</v>
          </cell>
          <cell r="DL532">
            <v>40816</v>
          </cell>
          <cell r="DM532">
            <v>147</v>
          </cell>
          <cell r="DO532" t="str">
            <v>для виробництва пари</v>
          </cell>
          <cell r="DT532">
            <v>644.15</v>
          </cell>
        </row>
        <row r="533">
          <cell r="W533">
            <v>416.41666666666669</v>
          </cell>
          <cell r="AF533">
            <v>39870</v>
          </cell>
          <cell r="AG533" t="str">
            <v>№25/411-32</v>
          </cell>
          <cell r="AH533">
            <v>401.53969206158769</v>
          </cell>
          <cell r="AM533">
            <v>500.1</v>
          </cell>
          <cell r="AO533">
            <v>208249.97500000001</v>
          </cell>
          <cell r="AQ533">
            <v>200810</v>
          </cell>
          <cell r="AU533">
            <v>0</v>
          </cell>
          <cell r="AW533">
            <v>0</v>
          </cell>
          <cell r="AY533">
            <v>163920</v>
          </cell>
          <cell r="AZ533">
            <v>327.77444511097781</v>
          </cell>
          <cell r="BA533">
            <v>560</v>
          </cell>
          <cell r="BB533">
            <v>1.1197760447910416</v>
          </cell>
          <cell r="BC533">
            <v>0</v>
          </cell>
          <cell r="BD533">
            <v>0</v>
          </cell>
          <cell r="BG533">
            <v>0</v>
          </cell>
          <cell r="BH533">
            <v>0</v>
          </cell>
          <cell r="BI533">
            <v>8530</v>
          </cell>
          <cell r="BJ533">
            <v>17.056588682263545</v>
          </cell>
          <cell r="BK533">
            <v>0</v>
          </cell>
          <cell r="BL533">
            <v>0</v>
          </cell>
          <cell r="BM533">
            <v>7140</v>
          </cell>
          <cell r="BN533">
            <v>14.277144571085783</v>
          </cell>
          <cell r="BO533">
            <v>0</v>
          </cell>
          <cell r="BP533">
            <v>0</v>
          </cell>
          <cell r="BY533">
            <v>0</v>
          </cell>
          <cell r="CF533">
            <v>76.517680009335976</v>
          </cell>
          <cell r="CG533">
            <v>2142.25</v>
          </cell>
          <cell r="CJ533">
            <v>0</v>
          </cell>
          <cell r="CK533">
            <v>0</v>
          </cell>
          <cell r="CL533">
            <v>0</v>
          </cell>
          <cell r="CM533">
            <v>0</v>
          </cell>
          <cell r="CN533">
            <v>0</v>
          </cell>
          <cell r="CO533">
            <v>0</v>
          </cell>
          <cell r="CX533">
            <v>0</v>
          </cell>
          <cell r="CY533">
            <v>0</v>
          </cell>
          <cell r="DB533">
            <v>0</v>
          </cell>
          <cell r="DC533">
            <v>0</v>
          </cell>
          <cell r="DJ533" t="str">
            <v>НКРКП</v>
          </cell>
          <cell r="DL533">
            <v>40816</v>
          </cell>
          <cell r="DM533">
            <v>147</v>
          </cell>
          <cell r="DO533" t="str">
            <v>для виробництва пари</v>
          </cell>
          <cell r="DT533">
            <v>662.71</v>
          </cell>
        </row>
        <row r="534">
          <cell r="AF534">
            <v>39870</v>
          </cell>
          <cell r="AG534" t="str">
            <v>№25/410-31</v>
          </cell>
          <cell r="AM534">
            <v>25688.1</v>
          </cell>
          <cell r="AO534">
            <v>7691017.1399999987</v>
          </cell>
          <cell r="AQ534">
            <v>7690970</v>
          </cell>
          <cell r="AU534">
            <v>0</v>
          </cell>
          <cell r="AW534">
            <v>0</v>
          </cell>
          <cell r="AY534">
            <v>7247070</v>
          </cell>
          <cell r="AZ534">
            <v>282.11778994943188</v>
          </cell>
          <cell r="BA534">
            <v>61950</v>
          </cell>
          <cell r="BB534">
            <v>2.411622502248123</v>
          </cell>
          <cell r="BG534">
            <v>0</v>
          </cell>
          <cell r="BH534">
            <v>0</v>
          </cell>
          <cell r="BI534">
            <v>381950</v>
          </cell>
          <cell r="BJ534">
            <v>14.868752457363527</v>
          </cell>
          <cell r="BK534">
            <v>0</v>
          </cell>
          <cell r="BL534">
            <v>0</v>
          </cell>
          <cell r="BO534">
            <v>0</v>
          </cell>
          <cell r="BP534">
            <v>0</v>
          </cell>
          <cell r="CF534">
            <v>3382.9244952736608</v>
          </cell>
          <cell r="CG534">
            <v>2142.25</v>
          </cell>
          <cell r="CJ534">
            <v>0</v>
          </cell>
          <cell r="CK534">
            <v>0</v>
          </cell>
          <cell r="CL534">
            <v>0</v>
          </cell>
          <cell r="CM534">
            <v>0</v>
          </cell>
          <cell r="CN534">
            <v>0</v>
          </cell>
          <cell r="CO534">
            <v>0</v>
          </cell>
          <cell r="CX534">
            <v>0</v>
          </cell>
          <cell r="CY534">
            <v>0</v>
          </cell>
          <cell r="DJ534" t="str">
            <v>НКРКП</v>
          </cell>
          <cell r="DL534">
            <v>40816</v>
          </cell>
          <cell r="DM534">
            <v>147</v>
          </cell>
        </row>
        <row r="535">
          <cell r="AF535">
            <v>39870</v>
          </cell>
          <cell r="AG535" t="str">
            <v>№25/411-32</v>
          </cell>
          <cell r="AM535">
            <v>15383</v>
          </cell>
          <cell r="AO535">
            <v>4634769.708333334</v>
          </cell>
          <cell r="AQ535">
            <v>4634870</v>
          </cell>
          <cell r="AU535">
            <v>0</v>
          </cell>
          <cell r="AW535">
            <v>0</v>
          </cell>
          <cell r="AY535">
            <v>4387720</v>
          </cell>
          <cell r="AZ535">
            <v>285.23174933368006</v>
          </cell>
          <cell r="BA535">
            <v>15720</v>
          </cell>
          <cell r="BB535">
            <v>1.021907300266528</v>
          </cell>
          <cell r="BG535">
            <v>0</v>
          </cell>
          <cell r="BH535">
            <v>0</v>
          </cell>
          <cell r="BI535">
            <v>228540</v>
          </cell>
          <cell r="BJ535">
            <v>14.856659949294675</v>
          </cell>
          <cell r="BK535">
            <v>0</v>
          </cell>
          <cell r="BL535">
            <v>0</v>
          </cell>
          <cell r="BO535">
            <v>0</v>
          </cell>
          <cell r="BP535">
            <v>0</v>
          </cell>
          <cell r="CF535">
            <v>2048.182985179134</v>
          </cell>
          <cell r="CG535">
            <v>2142.25</v>
          </cell>
          <cell r="CJ535">
            <v>0</v>
          </cell>
          <cell r="CK535">
            <v>0</v>
          </cell>
          <cell r="CL535">
            <v>0</v>
          </cell>
          <cell r="CM535">
            <v>0</v>
          </cell>
          <cell r="CN535">
            <v>0</v>
          </cell>
          <cell r="CO535">
            <v>0</v>
          </cell>
          <cell r="CX535">
            <v>0</v>
          </cell>
          <cell r="CY535">
            <v>0</v>
          </cell>
          <cell r="DJ535" t="str">
            <v>НКРКП</v>
          </cell>
          <cell r="DL535">
            <v>40816</v>
          </cell>
          <cell r="DM535">
            <v>147</v>
          </cell>
        </row>
        <row r="536">
          <cell r="W536">
            <v>244.31208142898492</v>
          </cell>
          <cell r="AF536">
            <v>39776</v>
          </cell>
          <cell r="AG536">
            <v>1099</v>
          </cell>
          <cell r="AH536">
            <v>244.31208142898492</v>
          </cell>
          <cell r="AM536">
            <v>3300.8885</v>
          </cell>
          <cell r="AO536">
            <v>806446.94</v>
          </cell>
          <cell r="AQ536">
            <v>806446.94</v>
          </cell>
          <cell r="AU536">
            <v>0</v>
          </cell>
          <cell r="AW536">
            <v>0</v>
          </cell>
          <cell r="AY536">
            <v>419225.51879999996</v>
          </cell>
          <cell r="AZ536">
            <v>127.00384117791315</v>
          </cell>
          <cell r="BA536">
            <v>0</v>
          </cell>
          <cell r="BB536">
            <v>0</v>
          </cell>
          <cell r="BC536">
            <v>0</v>
          </cell>
          <cell r="BD536">
            <v>0</v>
          </cell>
          <cell r="BG536">
            <v>0</v>
          </cell>
          <cell r="BH536">
            <v>0</v>
          </cell>
          <cell r="BI536">
            <v>44939.81</v>
          </cell>
          <cell r="BJ536">
            <v>13.614458652571875</v>
          </cell>
          <cell r="BK536">
            <v>0</v>
          </cell>
          <cell r="BL536">
            <v>0</v>
          </cell>
          <cell r="BM536">
            <v>300975.28000000003</v>
          </cell>
          <cell r="BN536">
            <v>91.180080757044664</v>
          </cell>
          <cell r="BO536">
            <v>0</v>
          </cell>
          <cell r="BP536">
            <v>0</v>
          </cell>
          <cell r="BY536">
            <v>1391.94</v>
          </cell>
          <cell r="CF536">
            <v>576.4</v>
          </cell>
          <cell r="CG536">
            <v>727.31700000000001</v>
          </cell>
          <cell r="CJ536">
            <v>0</v>
          </cell>
          <cell r="CK536">
            <v>0</v>
          </cell>
          <cell r="CL536">
            <v>0</v>
          </cell>
          <cell r="CM536">
            <v>0</v>
          </cell>
          <cell r="CN536">
            <v>0</v>
          </cell>
          <cell r="CO536">
            <v>0</v>
          </cell>
          <cell r="CX536">
            <v>0</v>
          </cell>
          <cell r="CY536">
            <v>0</v>
          </cell>
          <cell r="DB536">
            <v>0</v>
          </cell>
          <cell r="DC536">
            <v>0</v>
          </cell>
          <cell r="DJ536" t="str">
            <v>НКРЕ</v>
          </cell>
          <cell r="DL536">
            <v>40526</v>
          </cell>
          <cell r="DM536">
            <v>1758</v>
          </cell>
          <cell r="DO536" t="str">
            <v>Тариф на теплову енергію</v>
          </cell>
          <cell r="DT536">
            <v>268.74</v>
          </cell>
        </row>
        <row r="537">
          <cell r="W537">
            <v>556.02</v>
          </cell>
          <cell r="AF537">
            <v>39882</v>
          </cell>
          <cell r="AG537">
            <v>1510</v>
          </cell>
          <cell r="AH537">
            <v>489.45183592935842</v>
          </cell>
          <cell r="AM537">
            <v>5832.3267999999998</v>
          </cell>
          <cell r="AO537">
            <v>3242890.3473359998</v>
          </cell>
          <cell r="AQ537">
            <v>2854643.06</v>
          </cell>
          <cell r="AU537">
            <v>0</v>
          </cell>
          <cell r="AW537">
            <v>0</v>
          </cell>
          <cell r="AY537">
            <v>2136358.8125</v>
          </cell>
          <cell r="AZ537">
            <v>366.2961431619367</v>
          </cell>
          <cell r="BA537">
            <v>0</v>
          </cell>
          <cell r="BB537">
            <v>0</v>
          </cell>
          <cell r="BC537">
            <v>0</v>
          </cell>
          <cell r="BD537">
            <v>0</v>
          </cell>
          <cell r="BG537">
            <v>0</v>
          </cell>
          <cell r="BH537">
            <v>0</v>
          </cell>
          <cell r="BI537">
            <v>91479.03</v>
          </cell>
          <cell r="BJ537">
            <v>15.684825822860269</v>
          </cell>
          <cell r="BK537">
            <v>0</v>
          </cell>
          <cell r="BL537">
            <v>0</v>
          </cell>
          <cell r="BM537">
            <v>557081.86</v>
          </cell>
          <cell r="BN537">
            <v>95.516228617367602</v>
          </cell>
          <cell r="BO537">
            <v>0</v>
          </cell>
          <cell r="BP537">
            <v>0</v>
          </cell>
          <cell r="BY537">
            <v>1391.94</v>
          </cell>
          <cell r="CF537">
            <v>997.25</v>
          </cell>
          <cell r="CG537">
            <v>2142.25</v>
          </cell>
          <cell r="CJ537">
            <v>0</v>
          </cell>
          <cell r="CK537">
            <v>0</v>
          </cell>
          <cell r="CL537">
            <v>0</v>
          </cell>
          <cell r="CM537">
            <v>0</v>
          </cell>
          <cell r="CN537">
            <v>0</v>
          </cell>
          <cell r="CO537">
            <v>0</v>
          </cell>
          <cell r="CX537">
            <v>0</v>
          </cell>
          <cell r="CY537">
            <v>0</v>
          </cell>
          <cell r="DB537">
            <v>0</v>
          </cell>
          <cell r="DC537">
            <v>0</v>
          </cell>
          <cell r="DJ537" t="str">
            <v>НКРКП</v>
          </cell>
          <cell r="DL537">
            <v>40816</v>
          </cell>
          <cell r="DM537">
            <v>92</v>
          </cell>
          <cell r="DT537">
            <v>831.26</v>
          </cell>
        </row>
        <row r="538">
          <cell r="W538">
            <v>615.41999999999996</v>
          </cell>
          <cell r="AF538">
            <v>39882</v>
          </cell>
          <cell r="AG538">
            <v>1511</v>
          </cell>
          <cell r="AH538">
            <v>500.27795996026248</v>
          </cell>
          <cell r="AM538">
            <v>927.18389999999999</v>
          </cell>
          <cell r="AO538">
            <v>570607.51573799993</v>
          </cell>
          <cell r="AQ538">
            <v>463849.67</v>
          </cell>
          <cell r="AU538">
            <v>0</v>
          </cell>
          <cell r="AW538">
            <v>0</v>
          </cell>
          <cell r="AY538">
            <v>348156.32775</v>
          </cell>
          <cell r="AZ538">
            <v>375.49867696149596</v>
          </cell>
          <cell r="BA538">
            <v>0</v>
          </cell>
          <cell r="BB538">
            <v>0</v>
          </cell>
          <cell r="BC538">
            <v>0</v>
          </cell>
          <cell r="BD538">
            <v>0</v>
          </cell>
          <cell r="BG538">
            <v>0</v>
          </cell>
          <cell r="BH538">
            <v>0</v>
          </cell>
          <cell r="BI538">
            <v>14948.7</v>
          </cell>
          <cell r="BJ538">
            <v>16.122691517831576</v>
          </cell>
          <cell r="BK538">
            <v>0</v>
          </cell>
          <cell r="BL538">
            <v>0</v>
          </cell>
          <cell r="BM538">
            <v>88867.87</v>
          </cell>
          <cell r="BN538">
            <v>95.847080606123555</v>
          </cell>
          <cell r="BO538">
            <v>0</v>
          </cell>
          <cell r="BP538">
            <v>0</v>
          </cell>
          <cell r="BY538">
            <v>1391.94</v>
          </cell>
          <cell r="CF538">
            <v>162.51900000000001</v>
          </cell>
          <cell r="CG538">
            <v>2142.25</v>
          </cell>
          <cell r="CJ538">
            <v>0</v>
          </cell>
          <cell r="CK538">
            <v>0</v>
          </cell>
          <cell r="CL538">
            <v>0</v>
          </cell>
          <cell r="CM538">
            <v>0</v>
          </cell>
          <cell r="CN538">
            <v>0</v>
          </cell>
          <cell r="CO538">
            <v>0</v>
          </cell>
          <cell r="CX538">
            <v>0</v>
          </cell>
          <cell r="CY538">
            <v>0</v>
          </cell>
          <cell r="DB538">
            <v>0</v>
          </cell>
          <cell r="DC538">
            <v>0</v>
          </cell>
          <cell r="DJ538" t="str">
            <v>НКРКП</v>
          </cell>
          <cell r="DL538">
            <v>40816</v>
          </cell>
          <cell r="DM538">
            <v>92</v>
          </cell>
          <cell r="DT538">
            <v>897.57</v>
          </cell>
        </row>
        <row r="539">
          <cell r="W539">
            <v>680.23</v>
          </cell>
          <cell r="AF539">
            <v>39895</v>
          </cell>
          <cell r="AG539">
            <v>1575</v>
          </cell>
          <cell r="AH539">
            <v>607.35056718085821</v>
          </cell>
          <cell r="AM539">
            <v>442.4162</v>
          </cell>
          <cell r="AO539">
            <v>300944.77172600001</v>
          </cell>
          <cell r="AQ539">
            <v>268701.73</v>
          </cell>
          <cell r="AU539">
            <v>0</v>
          </cell>
          <cell r="AW539">
            <v>0</v>
          </cell>
          <cell r="AY539">
            <v>164345.49367500001</v>
          </cell>
          <cell r="AZ539">
            <v>371.47259452750603</v>
          </cell>
          <cell r="BA539">
            <v>0</v>
          </cell>
          <cell r="BB539">
            <v>0</v>
          </cell>
          <cell r="BC539">
            <v>0</v>
          </cell>
          <cell r="BD539">
            <v>0</v>
          </cell>
          <cell r="BG539">
            <v>0</v>
          </cell>
          <cell r="BH539">
            <v>0</v>
          </cell>
          <cell r="BI539">
            <v>11207.58</v>
          </cell>
          <cell r="BJ539">
            <v>25.332661869072606</v>
          </cell>
          <cell r="BK539">
            <v>0</v>
          </cell>
          <cell r="BL539">
            <v>0</v>
          </cell>
          <cell r="BM539">
            <v>87525.22</v>
          </cell>
          <cell r="BN539">
            <v>197.83457296545652</v>
          </cell>
          <cell r="BO539">
            <v>0</v>
          </cell>
          <cell r="BP539">
            <v>0</v>
          </cell>
          <cell r="BY539">
            <v>1350</v>
          </cell>
          <cell r="CF539">
            <v>76.716300000000004</v>
          </cell>
          <cell r="CG539">
            <v>2142.25</v>
          </cell>
          <cell r="CJ539">
            <v>0</v>
          </cell>
          <cell r="CK539">
            <v>0</v>
          </cell>
          <cell r="CL539">
            <v>0</v>
          </cell>
          <cell r="CM539">
            <v>0</v>
          </cell>
          <cell r="CN539">
            <v>0</v>
          </cell>
          <cell r="CO539">
            <v>0</v>
          </cell>
          <cell r="CX539">
            <v>0</v>
          </cell>
          <cell r="CY539">
            <v>0</v>
          </cell>
          <cell r="DB539">
            <v>0</v>
          </cell>
          <cell r="DC539">
            <v>0</v>
          </cell>
          <cell r="DJ539" t="str">
            <v>НКРКП</v>
          </cell>
          <cell r="DL539">
            <v>40816</v>
          </cell>
          <cell r="DM539">
            <v>92</v>
          </cell>
          <cell r="DT539">
            <v>959.35</v>
          </cell>
        </row>
        <row r="541">
          <cell r="W541">
            <v>708.08</v>
          </cell>
          <cell r="AF541">
            <v>39895</v>
          </cell>
          <cell r="AG541">
            <v>1576</v>
          </cell>
          <cell r="AH541">
            <v>632.21517461278722</v>
          </cell>
          <cell r="AM541">
            <v>677.67660000000001</v>
          </cell>
          <cell r="AO541">
            <v>479849.24692800001</v>
          </cell>
          <cell r="AQ541">
            <v>428437.43</v>
          </cell>
          <cell r="AU541">
            <v>0</v>
          </cell>
          <cell r="AW541">
            <v>0</v>
          </cell>
          <cell r="AY541">
            <v>264375.50095000002</v>
          </cell>
          <cell r="AZ541">
            <v>390.12045118571308</v>
          </cell>
          <cell r="BA541">
            <v>0</v>
          </cell>
          <cell r="BB541">
            <v>0</v>
          </cell>
          <cell r="BC541">
            <v>0</v>
          </cell>
          <cell r="BD541">
            <v>0</v>
          </cell>
          <cell r="BG541">
            <v>0</v>
          </cell>
          <cell r="BH541">
            <v>0</v>
          </cell>
          <cell r="BI541">
            <v>22404.080000000002</v>
          </cell>
          <cell r="BJ541">
            <v>33.060135173621163</v>
          </cell>
          <cell r="BK541">
            <v>0</v>
          </cell>
          <cell r="BL541">
            <v>0</v>
          </cell>
          <cell r="BM541">
            <v>109939.5</v>
          </cell>
          <cell r="BN541">
            <v>162.23003715931759</v>
          </cell>
          <cell r="BO541">
            <v>0</v>
          </cell>
          <cell r="BP541">
            <v>0</v>
          </cell>
          <cell r="BY541">
            <v>1350</v>
          </cell>
          <cell r="CF541">
            <v>123.4102</v>
          </cell>
          <cell r="CG541">
            <v>2142.25</v>
          </cell>
          <cell r="CJ541">
            <v>0</v>
          </cell>
          <cell r="CK541">
            <v>0</v>
          </cell>
          <cell r="CL541">
            <v>0</v>
          </cell>
          <cell r="CM541">
            <v>0</v>
          </cell>
          <cell r="CN541">
            <v>0</v>
          </cell>
          <cell r="CO541">
            <v>0</v>
          </cell>
          <cell r="CX541">
            <v>0</v>
          </cell>
          <cell r="CY541">
            <v>0</v>
          </cell>
          <cell r="DB541">
            <v>0</v>
          </cell>
          <cell r="DC541">
            <v>0</v>
          </cell>
          <cell r="DJ541" t="str">
            <v>НКРКП</v>
          </cell>
          <cell r="DL541">
            <v>40816</v>
          </cell>
          <cell r="DM541">
            <v>92</v>
          </cell>
          <cell r="DT541">
            <v>999.9</v>
          </cell>
        </row>
        <row r="543">
          <cell r="W543">
            <v>679.78</v>
          </cell>
          <cell r="AF543">
            <v>39895</v>
          </cell>
          <cell r="AG543">
            <v>1570</v>
          </cell>
          <cell r="AH543">
            <v>612.40710224566612</v>
          </cell>
          <cell r="AM543">
            <v>259.3039</v>
          </cell>
          <cell r="AO543">
            <v>176269.60514199999</v>
          </cell>
          <cell r="AQ543">
            <v>158799.54999999999</v>
          </cell>
          <cell r="AU543">
            <v>0</v>
          </cell>
          <cell r="AW543">
            <v>0</v>
          </cell>
          <cell r="AY543">
            <v>97753.009749999997</v>
          </cell>
          <cell r="AZ543">
            <v>376.98241233548742</v>
          </cell>
          <cell r="BA543">
            <v>0</v>
          </cell>
          <cell r="BB543">
            <v>0</v>
          </cell>
          <cell r="BC543">
            <v>0</v>
          </cell>
          <cell r="BD543">
            <v>0</v>
          </cell>
          <cell r="BG543">
            <v>0</v>
          </cell>
          <cell r="BH543">
            <v>0</v>
          </cell>
          <cell r="BI543">
            <v>5035.54</v>
          </cell>
          <cell r="BJ543">
            <v>19.41945339040408</v>
          </cell>
          <cell r="BK543">
            <v>0</v>
          </cell>
          <cell r="BL543">
            <v>0</v>
          </cell>
          <cell r="BM543">
            <v>49471.44</v>
          </cell>
          <cell r="BN543">
            <v>190.78556088049584</v>
          </cell>
          <cell r="BO543">
            <v>0</v>
          </cell>
          <cell r="BP543">
            <v>0</v>
          </cell>
          <cell r="BY543">
            <v>1350</v>
          </cell>
          <cell r="CF543">
            <v>45.631</v>
          </cell>
          <cell r="CG543">
            <v>2142.25</v>
          </cell>
          <cell r="CJ543">
            <v>0</v>
          </cell>
          <cell r="CK543">
            <v>0</v>
          </cell>
          <cell r="CL543">
            <v>0</v>
          </cell>
          <cell r="CM543">
            <v>0</v>
          </cell>
          <cell r="CN543">
            <v>0</v>
          </cell>
          <cell r="CO543">
            <v>0</v>
          </cell>
          <cell r="CX543">
            <v>0</v>
          </cell>
          <cell r="CY543">
            <v>0</v>
          </cell>
          <cell r="DB543">
            <v>0</v>
          </cell>
          <cell r="DC543">
            <v>0</v>
          </cell>
          <cell r="DJ543" t="str">
            <v>НКРКП</v>
          </cell>
          <cell r="DL543">
            <v>40816</v>
          </cell>
          <cell r="DM543">
            <v>92</v>
          </cell>
          <cell r="DT543">
            <v>963.04</v>
          </cell>
        </row>
        <row r="544">
          <cell r="W544">
            <v>886.11</v>
          </cell>
          <cell r="AF544">
            <v>39877</v>
          </cell>
          <cell r="AG544">
            <v>1482</v>
          </cell>
          <cell r="AH544">
            <v>791.16931298236591</v>
          </cell>
          <cell r="AM544">
            <v>255.0968</v>
          </cell>
          <cell r="AO544">
            <v>226043.82544800002</v>
          </cell>
          <cell r="AQ544">
            <v>201824.76</v>
          </cell>
          <cell r="AU544">
            <v>0</v>
          </cell>
          <cell r="AW544">
            <v>0</v>
          </cell>
          <cell r="AY544">
            <v>101639.05125</v>
          </cell>
          <cell r="AZ544">
            <v>398.43326631302313</v>
          </cell>
          <cell r="BA544">
            <v>0</v>
          </cell>
          <cell r="BB544">
            <v>0</v>
          </cell>
          <cell r="BC544">
            <v>0</v>
          </cell>
          <cell r="BD544">
            <v>0</v>
          </cell>
          <cell r="BG544">
            <v>0</v>
          </cell>
          <cell r="BH544">
            <v>0</v>
          </cell>
          <cell r="BI544">
            <v>14518.46</v>
          </cell>
          <cell r="BJ544">
            <v>56.913532431610271</v>
          </cell>
          <cell r="BK544">
            <v>0</v>
          </cell>
          <cell r="BL544">
            <v>0</v>
          </cell>
          <cell r="BM544">
            <v>80470.58</v>
          </cell>
          <cell r="BN544">
            <v>315.45115422851245</v>
          </cell>
          <cell r="BO544">
            <v>0</v>
          </cell>
          <cell r="BP544">
            <v>0</v>
          </cell>
          <cell r="BY544">
            <v>1382</v>
          </cell>
          <cell r="CF544">
            <v>47.445</v>
          </cell>
          <cell r="CG544">
            <v>2142.25</v>
          </cell>
          <cell r="CJ544">
            <v>0</v>
          </cell>
          <cell r="CK544">
            <v>0</v>
          </cell>
          <cell r="CL544">
            <v>0</v>
          </cell>
          <cell r="CM544">
            <v>0</v>
          </cell>
          <cell r="CN544">
            <v>0</v>
          </cell>
          <cell r="CO544">
            <v>0</v>
          </cell>
          <cell r="CX544">
            <v>0</v>
          </cell>
          <cell r="CY544">
            <v>0</v>
          </cell>
          <cell r="DB544">
            <v>0</v>
          </cell>
          <cell r="DC544">
            <v>0</v>
          </cell>
          <cell r="DJ544" t="str">
            <v>НКРКП</v>
          </cell>
          <cell r="DL544">
            <v>40816</v>
          </cell>
          <cell r="DM544">
            <v>92</v>
          </cell>
          <cell r="DT544">
            <v>999.9</v>
          </cell>
        </row>
        <row r="545">
          <cell r="W545">
            <v>773.83</v>
          </cell>
          <cell r="AF545">
            <v>39877</v>
          </cell>
          <cell r="AG545">
            <v>1483</v>
          </cell>
          <cell r="AH545">
            <v>682.24544407042265</v>
          </cell>
          <cell r="AM545">
            <v>326.83780000000002</v>
          </cell>
          <cell r="AO545">
            <v>252916.89477400001</v>
          </cell>
          <cell r="AQ545">
            <v>222983.6</v>
          </cell>
          <cell r="AU545">
            <v>0</v>
          </cell>
          <cell r="AW545">
            <v>0</v>
          </cell>
          <cell r="AY545">
            <v>130660.11199999999</v>
          </cell>
          <cell r="AZ545">
            <v>399.77050390132348</v>
          </cell>
          <cell r="BA545">
            <v>0</v>
          </cell>
          <cell r="BB545">
            <v>0</v>
          </cell>
          <cell r="BC545">
            <v>0</v>
          </cell>
          <cell r="BD545">
            <v>0</v>
          </cell>
          <cell r="BG545">
            <v>0</v>
          </cell>
          <cell r="BH545">
            <v>0</v>
          </cell>
          <cell r="BI545">
            <v>8401.8799999999992</v>
          </cell>
          <cell r="BJ545">
            <v>25.706573719441259</v>
          </cell>
          <cell r="BK545">
            <v>0</v>
          </cell>
          <cell r="BL545">
            <v>0</v>
          </cell>
          <cell r="BM545">
            <v>73398.81</v>
          </cell>
          <cell r="BN545">
            <v>224.57258615741506</v>
          </cell>
          <cell r="BO545">
            <v>0</v>
          </cell>
          <cell r="BP545">
            <v>0</v>
          </cell>
          <cell r="BY545">
            <v>1382</v>
          </cell>
          <cell r="CF545">
            <v>60.991999999999997</v>
          </cell>
          <cell r="CG545">
            <v>2142.25</v>
          </cell>
          <cell r="CJ545">
            <v>0</v>
          </cell>
          <cell r="CK545">
            <v>0</v>
          </cell>
          <cell r="CL545">
            <v>0</v>
          </cell>
          <cell r="CM545">
            <v>0</v>
          </cell>
          <cell r="CN545">
            <v>0</v>
          </cell>
          <cell r="CO545">
            <v>0</v>
          </cell>
          <cell r="CX545">
            <v>0</v>
          </cell>
          <cell r="CY545">
            <v>0</v>
          </cell>
          <cell r="DB545">
            <v>0</v>
          </cell>
          <cell r="DC545">
            <v>0</v>
          </cell>
          <cell r="DJ545" t="str">
            <v>НКРКП</v>
          </cell>
          <cell r="DL545">
            <v>40816</v>
          </cell>
          <cell r="DM545">
            <v>92</v>
          </cell>
          <cell r="DT545">
            <v>999.9</v>
          </cell>
        </row>
        <row r="546">
          <cell r="W546">
            <v>288.0209590082535</v>
          </cell>
          <cell r="AF546">
            <v>39665</v>
          </cell>
          <cell r="AG546">
            <v>788</v>
          </cell>
          <cell r="AH546">
            <v>288.0209590082535</v>
          </cell>
          <cell r="AM546">
            <v>9801.2461999999996</v>
          </cell>
          <cell r="AO546">
            <v>2822964.33</v>
          </cell>
          <cell r="AQ546">
            <v>2822964.33</v>
          </cell>
          <cell r="AU546">
            <v>0</v>
          </cell>
          <cell r="AW546">
            <v>0</v>
          </cell>
          <cell r="AY546">
            <v>1420399.18881</v>
          </cell>
          <cell r="AZ546">
            <v>144.92026420170939</v>
          </cell>
          <cell r="BA546">
            <v>0</v>
          </cell>
          <cell r="BB546">
            <v>0</v>
          </cell>
          <cell r="BC546">
            <v>0</v>
          </cell>
          <cell r="BD546">
            <v>0</v>
          </cell>
          <cell r="BG546">
            <v>0</v>
          </cell>
          <cell r="BH546">
            <v>0</v>
          </cell>
          <cell r="BI546">
            <v>450610.08</v>
          </cell>
          <cell r="BJ546">
            <v>45.974774105766265</v>
          </cell>
          <cell r="BK546">
            <v>0</v>
          </cell>
          <cell r="BL546">
            <v>0</v>
          </cell>
          <cell r="BM546">
            <v>783076.10000000009</v>
          </cell>
          <cell r="BN546">
            <v>79.895564708904075</v>
          </cell>
          <cell r="BO546">
            <v>0</v>
          </cell>
          <cell r="BP546">
            <v>0</v>
          </cell>
          <cell r="BY546">
            <v>1822</v>
          </cell>
          <cell r="CF546">
            <v>1952.93</v>
          </cell>
          <cell r="CG546">
            <v>727.31700000000001</v>
          </cell>
          <cell r="CJ546">
            <v>0</v>
          </cell>
          <cell r="CK546">
            <v>0</v>
          </cell>
          <cell r="CL546">
            <v>0</v>
          </cell>
          <cell r="CM546">
            <v>0</v>
          </cell>
          <cell r="CN546">
            <v>0</v>
          </cell>
          <cell r="CO546">
            <v>0</v>
          </cell>
          <cell r="CX546">
            <v>0</v>
          </cell>
          <cell r="CY546">
            <v>0</v>
          </cell>
          <cell r="DB546">
            <v>0</v>
          </cell>
          <cell r="DC546">
            <v>0</v>
          </cell>
          <cell r="DJ546" t="str">
            <v>НКРЕ</v>
          </cell>
          <cell r="DL546">
            <v>40526</v>
          </cell>
          <cell r="DM546">
            <v>1758</v>
          </cell>
          <cell r="DO546" t="str">
            <v>Тариф на теплову енергію</v>
          </cell>
          <cell r="DT546">
            <v>316.82</v>
          </cell>
        </row>
        <row r="547">
          <cell r="W547">
            <v>621.45000000000005</v>
          </cell>
          <cell r="AF547">
            <v>39875</v>
          </cell>
          <cell r="AG547">
            <v>1446</v>
          </cell>
          <cell r="AH547">
            <v>533.21374071938669</v>
          </cell>
          <cell r="AM547">
            <v>7216.7779</v>
          </cell>
          <cell r="AO547">
            <v>4484866.6259550005</v>
          </cell>
          <cell r="AQ547">
            <v>3848085.14</v>
          </cell>
          <cell r="AU547">
            <v>0</v>
          </cell>
          <cell r="AW547">
            <v>0</v>
          </cell>
          <cell r="AY547">
            <v>2878249.9790000003</v>
          </cell>
          <cell r="AZ547">
            <v>398.82756804806206</v>
          </cell>
          <cell r="BA547">
            <v>0</v>
          </cell>
          <cell r="BB547">
            <v>0</v>
          </cell>
          <cell r="BC547">
            <v>0</v>
          </cell>
          <cell r="BD547">
            <v>0</v>
          </cell>
          <cell r="BG547">
            <v>0</v>
          </cell>
          <cell r="BH547">
            <v>0</v>
          </cell>
          <cell r="BI547">
            <v>256703.97</v>
          </cell>
          <cell r="BJ547">
            <v>35.570440653300416</v>
          </cell>
          <cell r="BK547">
            <v>0</v>
          </cell>
          <cell r="BL547">
            <v>0</v>
          </cell>
          <cell r="BM547">
            <v>600384.05000000005</v>
          </cell>
          <cell r="BN547">
            <v>83.192812404549684</v>
          </cell>
          <cell r="BO547">
            <v>0</v>
          </cell>
          <cell r="BP547">
            <v>0</v>
          </cell>
          <cell r="BY547">
            <v>1822</v>
          </cell>
          <cell r="CF547">
            <v>1343.5640000000001</v>
          </cell>
          <cell r="CG547">
            <v>2142.25</v>
          </cell>
          <cell r="CJ547">
            <v>0</v>
          </cell>
          <cell r="CK547">
            <v>0</v>
          </cell>
          <cell r="CL547">
            <v>0</v>
          </cell>
          <cell r="CM547">
            <v>0</v>
          </cell>
          <cell r="CN547">
            <v>0</v>
          </cell>
          <cell r="CO547">
            <v>0</v>
          </cell>
          <cell r="CX547">
            <v>0</v>
          </cell>
          <cell r="CY547">
            <v>0</v>
          </cell>
          <cell r="DB547">
            <v>0</v>
          </cell>
          <cell r="DC547">
            <v>0</v>
          </cell>
          <cell r="DJ547" t="str">
            <v>НКРКП</v>
          </cell>
          <cell r="DL547">
            <v>40816</v>
          </cell>
          <cell r="DM547">
            <v>92</v>
          </cell>
          <cell r="DT547">
            <v>921.13</v>
          </cell>
        </row>
        <row r="548">
          <cell r="W548">
            <v>811.12</v>
          </cell>
          <cell r="AF548">
            <v>39875</v>
          </cell>
          <cell r="AG548">
            <v>1447</v>
          </cell>
          <cell r="AH548">
            <v>540.74608981049062</v>
          </cell>
          <cell r="AM548">
            <v>796.81560000000002</v>
          </cell>
          <cell r="AO548">
            <v>646313.069472</v>
          </cell>
          <cell r="AQ548">
            <v>430874.92</v>
          </cell>
          <cell r="AU548">
            <v>0</v>
          </cell>
          <cell r="AW548">
            <v>0</v>
          </cell>
          <cell r="AY548">
            <v>320596.28149999998</v>
          </cell>
          <cell r="AZ548">
            <v>402.34689368531434</v>
          </cell>
          <cell r="BA548">
            <v>0</v>
          </cell>
          <cell r="BB548">
            <v>0</v>
          </cell>
          <cell r="BC548">
            <v>0</v>
          </cell>
          <cell r="BD548">
            <v>0</v>
          </cell>
          <cell r="BG548">
            <v>0</v>
          </cell>
          <cell r="BH548">
            <v>0</v>
          </cell>
          <cell r="BI548">
            <v>31200.080000000002</v>
          </cell>
          <cell r="BJ548">
            <v>39.155960299974048</v>
          </cell>
          <cell r="BK548">
            <v>0</v>
          </cell>
          <cell r="BL548">
            <v>0</v>
          </cell>
          <cell r="BM548">
            <v>66487.670000000013</v>
          </cell>
          <cell r="BN548">
            <v>83.441727295499746</v>
          </cell>
          <cell r="BO548">
            <v>0</v>
          </cell>
          <cell r="BP548">
            <v>0</v>
          </cell>
          <cell r="BY548">
            <v>1822</v>
          </cell>
          <cell r="CF548">
            <v>149.654</v>
          </cell>
          <cell r="CG548">
            <v>2142.25</v>
          </cell>
          <cell r="CJ548">
            <v>0</v>
          </cell>
          <cell r="CK548">
            <v>0</v>
          </cell>
          <cell r="CL548">
            <v>0</v>
          </cell>
          <cell r="CM548">
            <v>0</v>
          </cell>
          <cell r="CN548">
            <v>0</v>
          </cell>
          <cell r="CO548">
            <v>0</v>
          </cell>
          <cell r="CX548">
            <v>0</v>
          </cell>
          <cell r="CY548">
            <v>0</v>
          </cell>
          <cell r="DB548">
            <v>0</v>
          </cell>
          <cell r="DC548">
            <v>0</v>
          </cell>
          <cell r="DJ548" t="str">
            <v>НКРКП</v>
          </cell>
          <cell r="DL548">
            <v>40816</v>
          </cell>
          <cell r="DM548">
            <v>92</v>
          </cell>
          <cell r="DT548">
            <v>999.9</v>
          </cell>
        </row>
        <row r="549">
          <cell r="W549">
            <v>659.8</v>
          </cell>
          <cell r="AF549">
            <v>39875</v>
          </cell>
          <cell r="AG549">
            <v>1455</v>
          </cell>
          <cell r="AH549">
            <v>589.62772791009854</v>
          </cell>
          <cell r="AM549">
            <v>1906.2670000000001</v>
          </cell>
          <cell r="AO549">
            <v>1257754.9665999999</v>
          </cell>
          <cell r="AQ549">
            <v>1123987.8799999999</v>
          </cell>
          <cell r="AU549">
            <v>0</v>
          </cell>
          <cell r="AW549">
            <v>0</v>
          </cell>
          <cell r="AY549">
            <v>768163.72049999994</v>
          </cell>
          <cell r="AZ549">
            <v>402.96753838785435</v>
          </cell>
          <cell r="BA549">
            <v>0</v>
          </cell>
          <cell r="BB549">
            <v>0</v>
          </cell>
          <cell r="BC549">
            <v>0</v>
          </cell>
          <cell r="BD549">
            <v>0</v>
          </cell>
          <cell r="BG549">
            <v>0</v>
          </cell>
          <cell r="BH549">
            <v>0</v>
          </cell>
          <cell r="BI549">
            <v>83912.98</v>
          </cell>
          <cell r="BJ549">
            <v>44.019531366802234</v>
          </cell>
          <cell r="BK549">
            <v>0</v>
          </cell>
          <cell r="BL549">
            <v>0</v>
          </cell>
          <cell r="BM549">
            <v>238403.12</v>
          </cell>
          <cell r="BN549">
            <v>125.06281648898081</v>
          </cell>
          <cell r="BO549">
            <v>0</v>
          </cell>
          <cell r="BP549">
            <v>0</v>
          </cell>
          <cell r="BY549">
            <v>1630</v>
          </cell>
          <cell r="CF549">
            <v>358.57799999999997</v>
          </cell>
          <cell r="CG549">
            <v>2142.25</v>
          </cell>
          <cell r="CJ549">
            <v>0</v>
          </cell>
          <cell r="CK549">
            <v>0</v>
          </cell>
          <cell r="CL549">
            <v>0</v>
          </cell>
          <cell r="CM549">
            <v>0</v>
          </cell>
          <cell r="CN549">
            <v>0</v>
          </cell>
          <cell r="CO549">
            <v>0</v>
          </cell>
          <cell r="CX549">
            <v>0</v>
          </cell>
          <cell r="CY549">
            <v>0</v>
          </cell>
          <cell r="DB549">
            <v>0</v>
          </cell>
          <cell r="DC549">
            <v>0</v>
          </cell>
          <cell r="DJ549" t="str">
            <v>НКРКП</v>
          </cell>
          <cell r="DL549">
            <v>40816</v>
          </cell>
          <cell r="DM549">
            <v>92</v>
          </cell>
          <cell r="DT549">
            <v>962.59</v>
          </cell>
        </row>
        <row r="550">
          <cell r="W550">
            <v>855.82</v>
          </cell>
          <cell r="AF550">
            <v>39877</v>
          </cell>
          <cell r="AG550">
            <v>1485</v>
          </cell>
          <cell r="AH550">
            <v>764.12560517773159</v>
          </cell>
          <cell r="AM550">
            <v>242.09829999999999</v>
          </cell>
          <cell r="AO550">
            <v>207192.567106</v>
          </cell>
          <cell r="AQ550">
            <v>184993.51</v>
          </cell>
          <cell r="AU550">
            <v>0</v>
          </cell>
          <cell r="AW550">
            <v>0</v>
          </cell>
          <cell r="AY550">
            <v>88528.481250000012</v>
          </cell>
          <cell r="AZ550">
            <v>365.67163524072663</v>
          </cell>
          <cell r="BA550">
            <v>0</v>
          </cell>
          <cell r="BB550">
            <v>0</v>
          </cell>
          <cell r="BC550">
            <v>0</v>
          </cell>
          <cell r="BD550">
            <v>0</v>
          </cell>
          <cell r="BG550">
            <v>0</v>
          </cell>
          <cell r="BH550">
            <v>0</v>
          </cell>
          <cell r="BI550">
            <v>13082.03</v>
          </cell>
          <cell r="BJ550">
            <v>54.036025862222083</v>
          </cell>
          <cell r="BK550">
            <v>0</v>
          </cell>
          <cell r="BL550">
            <v>0</v>
          </cell>
          <cell r="BM550">
            <v>79441.39</v>
          </cell>
          <cell r="BN550">
            <v>328.13691793787893</v>
          </cell>
          <cell r="BO550">
            <v>0</v>
          </cell>
          <cell r="BP550">
            <v>0</v>
          </cell>
          <cell r="BY550">
            <v>1382</v>
          </cell>
          <cell r="CF550">
            <v>41.325000000000003</v>
          </cell>
          <cell r="CG550">
            <v>2142.25</v>
          </cell>
          <cell r="CJ550">
            <v>0</v>
          </cell>
          <cell r="CK550">
            <v>0</v>
          </cell>
          <cell r="CL550">
            <v>0</v>
          </cell>
          <cell r="CM550">
            <v>0</v>
          </cell>
          <cell r="CN550">
            <v>0</v>
          </cell>
          <cell r="CO550">
            <v>0</v>
          </cell>
          <cell r="CX550">
            <v>0</v>
          </cell>
          <cell r="CY550">
            <v>0</v>
          </cell>
          <cell r="DB550">
            <v>0</v>
          </cell>
          <cell r="DC550">
            <v>0</v>
          </cell>
          <cell r="DJ550" t="str">
            <v>НКРКП</v>
          </cell>
          <cell r="DL550">
            <v>40816</v>
          </cell>
          <cell r="DM550">
            <v>92</v>
          </cell>
          <cell r="DT550">
            <v>999.9</v>
          </cell>
        </row>
        <row r="551">
          <cell r="W551">
            <v>246.21045838352421</v>
          </cell>
          <cell r="AF551">
            <v>39742</v>
          </cell>
          <cell r="AG551">
            <v>1031</v>
          </cell>
          <cell r="AH551">
            <v>246.21045838352421</v>
          </cell>
          <cell r="AM551">
            <v>88638.757400000002</v>
          </cell>
          <cell r="AO551">
            <v>21823789.09</v>
          </cell>
          <cell r="AQ551">
            <v>21823789.09</v>
          </cell>
          <cell r="AU551">
            <v>0</v>
          </cell>
          <cell r="AW551">
            <v>0</v>
          </cell>
          <cell r="AY551">
            <v>10951913.32467657</v>
          </cell>
          <cell r="AZ551">
            <v>123.55671092334795</v>
          </cell>
          <cell r="BA551">
            <v>0</v>
          </cell>
          <cell r="BB551">
            <v>0</v>
          </cell>
          <cell r="BC551">
            <v>0</v>
          </cell>
          <cell r="BD551">
            <v>0</v>
          </cell>
          <cell r="BG551">
            <v>0</v>
          </cell>
          <cell r="BH551">
            <v>0</v>
          </cell>
          <cell r="BI551">
            <v>1732394.81</v>
          </cell>
          <cell r="BJ551">
            <v>19.54443925902779</v>
          </cell>
          <cell r="BK551">
            <v>0</v>
          </cell>
          <cell r="BL551">
            <v>0</v>
          </cell>
          <cell r="BM551">
            <v>6232705.6500000004</v>
          </cell>
          <cell r="BN551">
            <v>70.31580578091453</v>
          </cell>
          <cell r="BO551">
            <v>0</v>
          </cell>
          <cell r="BP551">
            <v>0</v>
          </cell>
          <cell r="BY551">
            <v>1720</v>
          </cell>
          <cell r="CF551">
            <v>15057.971</v>
          </cell>
          <cell r="CG551">
            <v>727.31667000000004</v>
          </cell>
          <cell r="CJ551">
            <v>0</v>
          </cell>
          <cell r="CK551">
            <v>0</v>
          </cell>
          <cell r="CL551">
            <v>0</v>
          </cell>
          <cell r="CM551">
            <v>0</v>
          </cell>
          <cell r="CN551">
            <v>0</v>
          </cell>
          <cell r="CO551">
            <v>0</v>
          </cell>
          <cell r="CX551">
            <v>0</v>
          </cell>
          <cell r="CY551">
            <v>0</v>
          </cell>
          <cell r="DB551">
            <v>0</v>
          </cell>
          <cell r="DC551">
            <v>0</v>
          </cell>
          <cell r="DJ551" t="str">
            <v>НКРЕ</v>
          </cell>
          <cell r="DL551">
            <v>40526</v>
          </cell>
          <cell r="DM551">
            <v>1758</v>
          </cell>
          <cell r="DO551" t="str">
            <v>Тариф на теплову енергію</v>
          </cell>
          <cell r="DT551">
            <v>270.83</v>
          </cell>
        </row>
        <row r="552">
          <cell r="W552">
            <v>627.84</v>
          </cell>
          <cell r="AF552">
            <v>39877</v>
          </cell>
          <cell r="AG552">
            <v>1480</v>
          </cell>
          <cell r="AH552">
            <v>499.99010109626795</v>
          </cell>
          <cell r="AM552">
            <v>23797.584699999999</v>
          </cell>
          <cell r="AO552">
            <v>14941075.578048</v>
          </cell>
          <cell r="AQ552">
            <v>11898556.779999999</v>
          </cell>
          <cell r="AU552">
            <v>0</v>
          </cell>
          <cell r="AW552">
            <v>0</v>
          </cell>
          <cell r="AY552">
            <v>8816935.4460000005</v>
          </cell>
          <cell r="AZ552">
            <v>370.49707174694919</v>
          </cell>
          <cell r="BA552">
            <v>0</v>
          </cell>
          <cell r="BB552">
            <v>0</v>
          </cell>
          <cell r="BC552">
            <v>0</v>
          </cell>
          <cell r="BD552">
            <v>0</v>
          </cell>
          <cell r="BG552">
            <v>0</v>
          </cell>
          <cell r="BH552">
            <v>0</v>
          </cell>
          <cell r="BI552">
            <v>593408.91</v>
          </cell>
          <cell r="BJ552">
            <v>24.935678031224743</v>
          </cell>
          <cell r="BK552">
            <v>0</v>
          </cell>
          <cell r="BL552">
            <v>0</v>
          </cell>
          <cell r="BM552">
            <v>2161773</v>
          </cell>
          <cell r="BN552">
            <v>90.840017054335775</v>
          </cell>
          <cell r="BO552">
            <v>0</v>
          </cell>
          <cell r="BP552">
            <v>0</v>
          </cell>
          <cell r="BY552">
            <v>1720</v>
          </cell>
          <cell r="CF552">
            <v>4115.7359999999999</v>
          </cell>
          <cell r="CG552">
            <v>2142.25</v>
          </cell>
          <cell r="CJ552">
            <v>0</v>
          </cell>
          <cell r="CK552">
            <v>0</v>
          </cell>
          <cell r="CL552">
            <v>0</v>
          </cell>
          <cell r="CM552">
            <v>0</v>
          </cell>
          <cell r="CN552">
            <v>0</v>
          </cell>
          <cell r="CO552">
            <v>0</v>
          </cell>
          <cell r="CX552">
            <v>0</v>
          </cell>
          <cell r="CY552">
            <v>0</v>
          </cell>
          <cell r="DB552">
            <v>0</v>
          </cell>
          <cell r="DC552">
            <v>0</v>
          </cell>
          <cell r="DJ552" t="str">
            <v>НКРКП</v>
          </cell>
          <cell r="DL552">
            <v>40816</v>
          </cell>
          <cell r="DM552">
            <v>92</v>
          </cell>
          <cell r="DT552">
            <v>906.23</v>
          </cell>
        </row>
        <row r="553">
          <cell r="W553">
            <v>722.93</v>
          </cell>
          <cell r="AF553">
            <v>39877</v>
          </cell>
          <cell r="AG553">
            <v>1481</v>
          </cell>
          <cell r="AH553">
            <v>498.51459269105339</v>
          </cell>
          <cell r="AM553">
            <v>6100.2662</v>
          </cell>
          <cell r="AO553">
            <v>4410065.4439659994</v>
          </cell>
          <cell r="AQ553">
            <v>3041071.72</v>
          </cell>
          <cell r="AU553">
            <v>0</v>
          </cell>
          <cell r="AW553">
            <v>0</v>
          </cell>
          <cell r="AY553">
            <v>2220527.8149999999</v>
          </cell>
          <cell r="AZ553">
            <v>364.00506833619818</v>
          </cell>
          <cell r="BA553">
            <v>0</v>
          </cell>
          <cell r="BB553">
            <v>0</v>
          </cell>
          <cell r="BC553">
            <v>0</v>
          </cell>
          <cell r="BD553">
            <v>0</v>
          </cell>
          <cell r="BG553">
            <v>0</v>
          </cell>
          <cell r="BH553">
            <v>0</v>
          </cell>
          <cell r="BI553">
            <v>129268.75</v>
          </cell>
          <cell r="BJ553">
            <v>21.190673613554765</v>
          </cell>
          <cell r="BK553">
            <v>0</v>
          </cell>
          <cell r="BL553">
            <v>0</v>
          </cell>
          <cell r="BM553">
            <v>554715.11</v>
          </cell>
          <cell r="BN553">
            <v>90.93293502503218</v>
          </cell>
          <cell r="BO553">
            <v>0</v>
          </cell>
          <cell r="BP553">
            <v>0</v>
          </cell>
          <cell r="BY553">
            <v>1720</v>
          </cell>
          <cell r="CF553">
            <v>1036.54</v>
          </cell>
          <cell r="CG553">
            <v>2142.25</v>
          </cell>
          <cell r="CJ553">
            <v>0</v>
          </cell>
          <cell r="CK553">
            <v>0</v>
          </cell>
          <cell r="CL553">
            <v>0</v>
          </cell>
          <cell r="CM553">
            <v>0</v>
          </cell>
          <cell r="CN553">
            <v>0</v>
          </cell>
          <cell r="CO553">
            <v>0</v>
          </cell>
          <cell r="CX553">
            <v>0</v>
          </cell>
          <cell r="CY553">
            <v>0</v>
          </cell>
          <cell r="DB553">
            <v>0</v>
          </cell>
          <cell r="DC553">
            <v>0</v>
          </cell>
          <cell r="DJ553" t="str">
            <v>НКРКП</v>
          </cell>
          <cell r="DL553">
            <v>40816</v>
          </cell>
          <cell r="DM553">
            <v>92</v>
          </cell>
          <cell r="DT553">
            <v>996.45</v>
          </cell>
        </row>
        <row r="554">
          <cell r="W554">
            <v>284.55</v>
          </cell>
          <cell r="AF554">
            <v>39742</v>
          </cell>
          <cell r="AG554">
            <v>1043</v>
          </cell>
          <cell r="AH554">
            <v>284.54834527819503</v>
          </cell>
          <cell r="AM554">
            <v>3788.4072000000001</v>
          </cell>
          <cell r="AO554">
            <v>1077991.2687600001</v>
          </cell>
          <cell r="AQ554">
            <v>1077985</v>
          </cell>
          <cell r="AU554">
            <v>0</v>
          </cell>
          <cell r="AW554">
            <v>0</v>
          </cell>
          <cell r="AY554">
            <v>486994.56167999998</v>
          </cell>
          <cell r="AZ554">
            <v>128.54863164656638</v>
          </cell>
          <cell r="BA554">
            <v>0</v>
          </cell>
          <cell r="BB554">
            <v>0</v>
          </cell>
          <cell r="BC554">
            <v>0</v>
          </cell>
          <cell r="BD554">
            <v>0</v>
          </cell>
          <cell r="BG554">
            <v>0</v>
          </cell>
          <cell r="BH554">
            <v>0</v>
          </cell>
          <cell r="BI554">
            <v>74174.289999999994</v>
          </cell>
          <cell r="BJ554">
            <v>19.579281234604345</v>
          </cell>
          <cell r="BK554">
            <v>0</v>
          </cell>
          <cell r="BL554">
            <v>0</v>
          </cell>
          <cell r="BM554">
            <v>369658.55</v>
          </cell>
          <cell r="BN554">
            <v>97.576245235728621</v>
          </cell>
          <cell r="BO554">
            <v>0</v>
          </cell>
          <cell r="BP554">
            <v>0</v>
          </cell>
          <cell r="BY554">
            <v>1620</v>
          </cell>
          <cell r="CF554">
            <v>669.57399999999996</v>
          </cell>
          <cell r="CG554">
            <v>727.32</v>
          </cell>
          <cell r="CJ554">
            <v>0</v>
          </cell>
          <cell r="CK554">
            <v>0</v>
          </cell>
          <cell r="CL554">
            <v>0</v>
          </cell>
          <cell r="CM554">
            <v>0</v>
          </cell>
          <cell r="CN554">
            <v>0</v>
          </cell>
          <cell r="CO554">
            <v>0</v>
          </cell>
          <cell r="CX554">
            <v>0</v>
          </cell>
          <cell r="CY554">
            <v>0</v>
          </cell>
          <cell r="DB554">
            <v>0</v>
          </cell>
          <cell r="DC554">
            <v>0</v>
          </cell>
          <cell r="DJ554" t="str">
            <v>НКРЕ</v>
          </cell>
          <cell r="DL554">
            <v>40526</v>
          </cell>
          <cell r="DM554">
            <v>1758</v>
          </cell>
          <cell r="DO554" t="str">
            <v>Тариф на теплову енергію</v>
          </cell>
          <cell r="DT554">
            <v>313.01</v>
          </cell>
        </row>
        <row r="555">
          <cell r="W555">
            <v>781.38</v>
          </cell>
          <cell r="AF555">
            <v>39877</v>
          </cell>
          <cell r="AG555">
            <v>1486</v>
          </cell>
          <cell r="AH555">
            <v>541.46213303443699</v>
          </cell>
          <cell r="AM555">
            <v>600.43100000000004</v>
          </cell>
          <cell r="AO555">
            <v>469164.77478000004</v>
          </cell>
          <cell r="AQ555">
            <v>325110.65000000002</v>
          </cell>
          <cell r="AU555">
            <v>0</v>
          </cell>
          <cell r="AW555">
            <v>0</v>
          </cell>
          <cell r="AY555">
            <v>230958.11475000001</v>
          </cell>
          <cell r="AZ555">
            <v>384.65388154509009</v>
          </cell>
          <cell r="BA555">
            <v>0</v>
          </cell>
          <cell r="BB555">
            <v>0</v>
          </cell>
          <cell r="BC555">
            <v>0</v>
          </cell>
          <cell r="BD555">
            <v>0</v>
          </cell>
          <cell r="BG555">
            <v>0</v>
          </cell>
          <cell r="BH555">
            <v>0</v>
          </cell>
          <cell r="BI555">
            <v>14055.29</v>
          </cell>
          <cell r="BJ555">
            <v>23.408668106743324</v>
          </cell>
          <cell r="BK555">
            <v>0</v>
          </cell>
          <cell r="BL555">
            <v>0</v>
          </cell>
          <cell r="BM555">
            <v>70929.64</v>
          </cell>
          <cell r="BN555">
            <v>118.13120908147647</v>
          </cell>
          <cell r="BO555">
            <v>0</v>
          </cell>
          <cell r="BP555">
            <v>0</v>
          </cell>
          <cell r="BY555">
            <v>1620</v>
          </cell>
          <cell r="CF555">
            <v>107.81100000000001</v>
          </cell>
          <cell r="CG555">
            <v>2142.25</v>
          </cell>
          <cell r="CJ555">
            <v>0</v>
          </cell>
          <cell r="CK555">
            <v>0</v>
          </cell>
          <cell r="CL555">
            <v>0</v>
          </cell>
          <cell r="CM555">
            <v>0</v>
          </cell>
          <cell r="CN555">
            <v>0</v>
          </cell>
          <cell r="CO555">
            <v>0</v>
          </cell>
          <cell r="CX555">
            <v>0</v>
          </cell>
          <cell r="CY555">
            <v>0</v>
          </cell>
          <cell r="DB555">
            <v>0</v>
          </cell>
          <cell r="DC555">
            <v>0</v>
          </cell>
          <cell r="DJ555" t="str">
            <v>НКРКП</v>
          </cell>
          <cell r="DL555">
            <v>40816</v>
          </cell>
          <cell r="DM555">
            <v>92</v>
          </cell>
          <cell r="DT555">
            <v>999.9</v>
          </cell>
        </row>
        <row r="556">
          <cell r="W556">
            <v>763.32</v>
          </cell>
          <cell r="AF556">
            <v>39877</v>
          </cell>
          <cell r="AG556">
            <v>1488</v>
          </cell>
          <cell r="AH556">
            <v>681.54190221161423</v>
          </cell>
          <cell r="AM556">
            <v>341.21230000000003</v>
          </cell>
          <cell r="AO556">
            <v>260454.17283600004</v>
          </cell>
          <cell r="AQ556">
            <v>232550.48</v>
          </cell>
          <cell r="AU556">
            <v>0</v>
          </cell>
          <cell r="AW556">
            <v>0</v>
          </cell>
          <cell r="AY556">
            <v>130145.97200000001</v>
          </cell>
          <cell r="AZ556">
            <v>381.42227580893183</v>
          </cell>
          <cell r="BA556">
            <v>0</v>
          </cell>
          <cell r="BB556">
            <v>0</v>
          </cell>
          <cell r="BC556">
            <v>0</v>
          </cell>
          <cell r="BD556">
            <v>0</v>
          </cell>
          <cell r="BG556">
            <v>0</v>
          </cell>
          <cell r="BH556">
            <v>0</v>
          </cell>
          <cell r="BI556">
            <v>13331.13</v>
          </cell>
          <cell r="BJ556">
            <v>39.069898711154309</v>
          </cell>
          <cell r="BK556">
            <v>0</v>
          </cell>
          <cell r="BL556">
            <v>0</v>
          </cell>
          <cell r="BM556">
            <v>87288.940000000017</v>
          </cell>
          <cell r="BN556">
            <v>255.82002758986124</v>
          </cell>
          <cell r="BO556">
            <v>0</v>
          </cell>
          <cell r="BP556">
            <v>0</v>
          </cell>
          <cell r="BY556">
            <v>1382</v>
          </cell>
          <cell r="CF556">
            <v>60.752000000000002</v>
          </cell>
          <cell r="CG556">
            <v>2142.25</v>
          </cell>
          <cell r="CJ556">
            <v>0</v>
          </cell>
          <cell r="CK556">
            <v>0</v>
          </cell>
          <cell r="CL556">
            <v>0</v>
          </cell>
          <cell r="CM556">
            <v>0</v>
          </cell>
          <cell r="CN556">
            <v>0</v>
          </cell>
          <cell r="CO556">
            <v>0</v>
          </cell>
          <cell r="CX556">
            <v>0</v>
          </cell>
          <cell r="CY556">
            <v>0</v>
          </cell>
          <cell r="DB556">
            <v>0</v>
          </cell>
          <cell r="DC556">
            <v>0</v>
          </cell>
          <cell r="DJ556" t="str">
            <v>НКРКП</v>
          </cell>
          <cell r="DL556">
            <v>40816</v>
          </cell>
          <cell r="DM556">
            <v>92</v>
          </cell>
          <cell r="DT556">
            <v>999.9</v>
          </cell>
        </row>
        <row r="557">
          <cell r="W557">
            <v>338.75</v>
          </cell>
          <cell r="AF557">
            <v>39665</v>
          </cell>
          <cell r="AG557">
            <v>802</v>
          </cell>
          <cell r="AH557">
            <v>328.88069293467811</v>
          </cell>
          <cell r="AM557">
            <v>1937.4871000000001</v>
          </cell>
          <cell r="AO557">
            <v>656323.75512500003</v>
          </cell>
          <cell r="AQ557">
            <v>637202.1</v>
          </cell>
          <cell r="AU557">
            <v>0</v>
          </cell>
          <cell r="AW557">
            <v>0</v>
          </cell>
          <cell r="AY557">
            <v>293110.68732000003</v>
          </cell>
          <cell r="AZ557">
            <v>151.28394264921818</v>
          </cell>
          <cell r="BA557">
            <v>0</v>
          </cell>
          <cell r="BB557">
            <v>0</v>
          </cell>
          <cell r="BC557">
            <v>0</v>
          </cell>
          <cell r="BD557">
            <v>0</v>
          </cell>
          <cell r="BG557">
            <v>0</v>
          </cell>
          <cell r="BH557">
            <v>0</v>
          </cell>
          <cell r="BI557">
            <v>32776.910000000003</v>
          </cell>
          <cell r="BJ557">
            <v>16.91722747470164</v>
          </cell>
          <cell r="BK557">
            <v>0</v>
          </cell>
          <cell r="BL557">
            <v>0</v>
          </cell>
          <cell r="BM557">
            <v>198305.5</v>
          </cell>
          <cell r="BN557">
            <v>102.35190727205358</v>
          </cell>
          <cell r="BO557">
            <v>0</v>
          </cell>
          <cell r="BP557">
            <v>0</v>
          </cell>
          <cell r="BY557">
            <v>1650</v>
          </cell>
          <cell r="CF557">
            <v>403.00099999999998</v>
          </cell>
          <cell r="CG557">
            <v>727.32</v>
          </cell>
          <cell r="CJ557">
            <v>0</v>
          </cell>
          <cell r="CK557">
            <v>0</v>
          </cell>
          <cell r="CL557">
            <v>0</v>
          </cell>
          <cell r="CM557">
            <v>0</v>
          </cell>
          <cell r="CN557">
            <v>0</v>
          </cell>
          <cell r="CO557">
            <v>0</v>
          </cell>
          <cell r="CX557">
            <v>0</v>
          </cell>
          <cell r="CY557">
            <v>0</v>
          </cell>
          <cell r="DB557">
            <v>0</v>
          </cell>
          <cell r="DC557">
            <v>0</v>
          </cell>
          <cell r="DJ557" t="str">
            <v>НКРЕ</v>
          </cell>
          <cell r="DL557">
            <v>40526</v>
          </cell>
          <cell r="DM557">
            <v>1758</v>
          </cell>
          <cell r="DO557" t="str">
            <v>Тариф на теплову енергію</v>
          </cell>
          <cell r="DT557">
            <v>372.63</v>
          </cell>
        </row>
        <row r="558">
          <cell r="W558">
            <v>672.69</v>
          </cell>
          <cell r="AF558">
            <v>39875</v>
          </cell>
          <cell r="AG558">
            <v>1451</v>
          </cell>
          <cell r="AH558">
            <v>640.65619454609873</v>
          </cell>
          <cell r="AM558">
            <v>1651.5407</v>
          </cell>
          <cell r="AO558">
            <v>1110974.9134830001</v>
          </cell>
          <cell r="AQ558">
            <v>1058069.78</v>
          </cell>
          <cell r="AU558">
            <v>0</v>
          </cell>
          <cell r="AW558">
            <v>0</v>
          </cell>
          <cell r="AY558">
            <v>674091.09625000006</v>
          </cell>
          <cell r="AZ558">
            <v>408.15893683395149</v>
          </cell>
          <cell r="BA558">
            <v>0</v>
          </cell>
          <cell r="BB558">
            <v>0</v>
          </cell>
          <cell r="BC558">
            <v>0</v>
          </cell>
          <cell r="BD558">
            <v>0</v>
          </cell>
          <cell r="BG558">
            <v>0</v>
          </cell>
          <cell r="BH558">
            <v>0</v>
          </cell>
          <cell r="BI558">
            <v>116652.65</v>
          </cell>
          <cell r="BJ558">
            <v>70.63262201167673</v>
          </cell>
          <cell r="BK558">
            <v>0</v>
          </cell>
          <cell r="BL558">
            <v>0</v>
          </cell>
          <cell r="BM558">
            <v>178777.64</v>
          </cell>
          <cell r="BN558">
            <v>108.2490065185799</v>
          </cell>
          <cell r="BO558">
            <v>0</v>
          </cell>
          <cell r="BP558">
            <v>0</v>
          </cell>
          <cell r="BY558">
            <v>1650</v>
          </cell>
          <cell r="CF558">
            <v>314.66500000000002</v>
          </cell>
          <cell r="CG558">
            <v>2142.25</v>
          </cell>
          <cell r="CJ558">
            <v>0</v>
          </cell>
          <cell r="CK558">
            <v>0</v>
          </cell>
          <cell r="CL558">
            <v>0</v>
          </cell>
          <cell r="CM558">
            <v>0</v>
          </cell>
          <cell r="CN558">
            <v>0</v>
          </cell>
          <cell r="CO558">
            <v>0</v>
          </cell>
          <cell r="CX558">
            <v>0</v>
          </cell>
          <cell r="CY558">
            <v>0</v>
          </cell>
          <cell r="DB558">
            <v>0</v>
          </cell>
          <cell r="DC558">
            <v>0</v>
          </cell>
          <cell r="DJ558" t="str">
            <v>НКРКП</v>
          </cell>
          <cell r="DL558">
            <v>40816</v>
          </cell>
          <cell r="DM558">
            <v>92</v>
          </cell>
          <cell r="DT558">
            <v>979.38</v>
          </cell>
        </row>
        <row r="559">
          <cell r="W559">
            <v>231.62328379985743</v>
          </cell>
          <cell r="AF559">
            <v>39665</v>
          </cell>
          <cell r="AG559">
            <v>793</v>
          </cell>
          <cell r="AH559">
            <v>231.62328379985743</v>
          </cell>
          <cell r="AM559">
            <v>8490.4869999999992</v>
          </cell>
          <cell r="AO559">
            <v>1966594.48</v>
          </cell>
          <cell r="AQ559">
            <v>1966594.48</v>
          </cell>
          <cell r="AU559">
            <v>0</v>
          </cell>
          <cell r="AW559">
            <v>0</v>
          </cell>
          <cell r="AY559">
            <v>1046028.0367170001</v>
          </cell>
          <cell r="AZ559">
            <v>123.20000451293315</v>
          </cell>
          <cell r="BA559">
            <v>0</v>
          </cell>
          <cell r="BB559">
            <v>0</v>
          </cell>
          <cell r="BC559">
            <v>0</v>
          </cell>
          <cell r="BD559">
            <v>0</v>
          </cell>
          <cell r="BG559">
            <v>0</v>
          </cell>
          <cell r="BH559">
            <v>0</v>
          </cell>
          <cell r="BI559">
            <v>235435.58</v>
          </cell>
          <cell r="BJ559">
            <v>27.729337551544454</v>
          </cell>
          <cell r="BK559">
            <v>0</v>
          </cell>
          <cell r="BL559">
            <v>0</v>
          </cell>
          <cell r="BM559">
            <v>569756.44999999995</v>
          </cell>
          <cell r="BN559">
            <v>67.105273231087921</v>
          </cell>
          <cell r="BO559">
            <v>0</v>
          </cell>
          <cell r="BP559">
            <v>0</v>
          </cell>
          <cell r="BY559">
            <v>1805</v>
          </cell>
          <cell r="CF559">
            <v>1438.201</v>
          </cell>
          <cell r="CG559">
            <v>727.31700000000001</v>
          </cell>
          <cell r="CJ559">
            <v>0</v>
          </cell>
          <cell r="CK559">
            <v>0</v>
          </cell>
          <cell r="CL559">
            <v>0</v>
          </cell>
          <cell r="CM559">
            <v>0</v>
          </cell>
          <cell r="CN559">
            <v>0</v>
          </cell>
          <cell r="CO559">
            <v>0</v>
          </cell>
          <cell r="CX559">
            <v>0</v>
          </cell>
          <cell r="CY559">
            <v>0</v>
          </cell>
          <cell r="DB559">
            <v>0</v>
          </cell>
          <cell r="DC559">
            <v>0</v>
          </cell>
          <cell r="DJ559" t="str">
            <v>НКРЕ</v>
          </cell>
          <cell r="DL559">
            <v>40526</v>
          </cell>
          <cell r="DM559">
            <v>1758</v>
          </cell>
          <cell r="DO559" t="str">
            <v>Тариф на теплову енергію</v>
          </cell>
          <cell r="DT559">
            <v>254.78</v>
          </cell>
        </row>
        <row r="560">
          <cell r="W560">
            <v>573.17999999999995</v>
          </cell>
          <cell r="AF560">
            <v>39875</v>
          </cell>
          <cell r="AG560">
            <v>1448</v>
          </cell>
          <cell r="AH560">
            <v>483.92778534669213</v>
          </cell>
          <cell r="AM560">
            <v>5685.9762000000001</v>
          </cell>
          <cell r="AO560">
            <v>3259087.8383159996</v>
          </cell>
          <cell r="AQ560">
            <v>2751601.87</v>
          </cell>
          <cell r="AU560">
            <v>0</v>
          </cell>
          <cell r="AW560">
            <v>0</v>
          </cell>
          <cell r="AY560">
            <v>2063297.37625</v>
          </cell>
          <cell r="AZ560">
            <v>362.8747823900494</v>
          </cell>
          <cell r="BA560">
            <v>0</v>
          </cell>
          <cell r="BB560">
            <v>0</v>
          </cell>
          <cell r="BC560">
            <v>0</v>
          </cell>
          <cell r="BD560">
            <v>0</v>
          </cell>
          <cell r="BG560">
            <v>0</v>
          </cell>
          <cell r="BH560">
            <v>0</v>
          </cell>
          <cell r="BI560">
            <v>204737.71</v>
          </cell>
          <cell r="BJ560">
            <v>36.007486278257723</v>
          </cell>
          <cell r="BK560">
            <v>0</v>
          </cell>
          <cell r="BL560">
            <v>0</v>
          </cell>
          <cell r="BM560">
            <v>406300.43</v>
          </cell>
          <cell r="BN560">
            <v>71.456582952281792</v>
          </cell>
          <cell r="BO560">
            <v>0</v>
          </cell>
          <cell r="BP560">
            <v>0</v>
          </cell>
          <cell r="BY560">
            <v>1805</v>
          </cell>
          <cell r="CF560">
            <v>963.14499999999998</v>
          </cell>
          <cell r="CG560">
            <v>2142.25</v>
          </cell>
          <cell r="CJ560">
            <v>0</v>
          </cell>
          <cell r="CK560">
            <v>0</v>
          </cell>
          <cell r="CL560">
            <v>0</v>
          </cell>
          <cell r="CM560">
            <v>0</v>
          </cell>
          <cell r="CN560">
            <v>0</v>
          </cell>
          <cell r="CO560">
            <v>0</v>
          </cell>
          <cell r="CX560">
            <v>0</v>
          </cell>
          <cell r="CY560">
            <v>0</v>
          </cell>
          <cell r="DB560">
            <v>0</v>
          </cell>
          <cell r="DC560">
            <v>0</v>
          </cell>
          <cell r="DJ560" t="str">
            <v>НКРКП</v>
          </cell>
          <cell r="DL560">
            <v>40816</v>
          </cell>
          <cell r="DM560">
            <v>92</v>
          </cell>
          <cell r="DT560">
            <v>845.84</v>
          </cell>
        </row>
        <row r="561">
          <cell r="W561">
            <v>754.92</v>
          </cell>
          <cell r="AF561">
            <v>39875</v>
          </cell>
          <cell r="AG561">
            <v>1449</v>
          </cell>
          <cell r="AH561">
            <v>483.9278278268111</v>
          </cell>
          <cell r="AM561">
            <v>275.68520000000001</v>
          </cell>
          <cell r="AO561">
            <v>208120.27118399998</v>
          </cell>
          <cell r="AQ561">
            <v>133411.74</v>
          </cell>
          <cell r="AU561">
            <v>0</v>
          </cell>
          <cell r="AW561">
            <v>0</v>
          </cell>
          <cell r="AY561">
            <v>100038.7905</v>
          </cell>
          <cell r="AZ561">
            <v>362.87327176068936</v>
          </cell>
          <cell r="BA561">
            <v>0</v>
          </cell>
          <cell r="BB561">
            <v>0</v>
          </cell>
          <cell r="BC561">
            <v>0</v>
          </cell>
          <cell r="BD561">
            <v>0</v>
          </cell>
          <cell r="BG561">
            <v>0</v>
          </cell>
          <cell r="BH561">
            <v>0</v>
          </cell>
          <cell r="BI561">
            <v>9926.73</v>
          </cell>
          <cell r="BJ561">
            <v>36.007482447371132</v>
          </cell>
          <cell r="BK561">
            <v>0</v>
          </cell>
          <cell r="BL561">
            <v>0</v>
          </cell>
          <cell r="BM561">
            <v>19699.52</v>
          </cell>
          <cell r="BN561">
            <v>71.456574382665451</v>
          </cell>
          <cell r="BO561">
            <v>0</v>
          </cell>
          <cell r="BP561">
            <v>0</v>
          </cell>
          <cell r="BY561">
            <v>1805</v>
          </cell>
          <cell r="CF561">
            <v>46.698</v>
          </cell>
          <cell r="CG561">
            <v>2142.25</v>
          </cell>
          <cell r="CJ561">
            <v>0</v>
          </cell>
          <cell r="CK561">
            <v>0</v>
          </cell>
          <cell r="CL561">
            <v>0</v>
          </cell>
          <cell r="CM561">
            <v>0</v>
          </cell>
          <cell r="CN561">
            <v>0</v>
          </cell>
          <cell r="CO561">
            <v>0</v>
          </cell>
          <cell r="CX561">
            <v>0</v>
          </cell>
          <cell r="CY561">
            <v>0</v>
          </cell>
          <cell r="DB561">
            <v>0</v>
          </cell>
          <cell r="DC561">
            <v>0</v>
          </cell>
          <cell r="DJ561" t="str">
            <v>НКРКП</v>
          </cell>
          <cell r="DL561">
            <v>40816</v>
          </cell>
          <cell r="DM561">
            <v>92</v>
          </cell>
          <cell r="DT561">
            <v>999.9</v>
          </cell>
        </row>
        <row r="563">
          <cell r="W563">
            <v>616.84</v>
          </cell>
          <cell r="AF563">
            <v>39895</v>
          </cell>
          <cell r="AG563">
            <v>1572</v>
          </cell>
          <cell r="AH563">
            <v>550.75175982102496</v>
          </cell>
          <cell r="AM563">
            <v>237.3963</v>
          </cell>
          <cell r="AO563">
            <v>146435.533692</v>
          </cell>
          <cell r="AQ563">
            <v>130746.43</v>
          </cell>
          <cell r="AU563">
            <v>0</v>
          </cell>
          <cell r="AW563">
            <v>0</v>
          </cell>
          <cell r="AY563">
            <v>81568.52522499999</v>
          </cell>
          <cell r="AZ563">
            <v>343.5964470592001</v>
          </cell>
          <cell r="BA563">
            <v>0</v>
          </cell>
          <cell r="BB563">
            <v>0</v>
          </cell>
          <cell r="BC563">
            <v>0</v>
          </cell>
          <cell r="BD563">
            <v>0</v>
          </cell>
          <cell r="BG563">
            <v>0</v>
          </cell>
          <cell r="BH563">
            <v>0</v>
          </cell>
          <cell r="BI563">
            <v>937.7</v>
          </cell>
          <cell r="BJ563">
            <v>3.9499351927557425</v>
          </cell>
          <cell r="BK563">
            <v>0</v>
          </cell>
          <cell r="BL563">
            <v>0</v>
          </cell>
          <cell r="BM563">
            <v>41899.56</v>
          </cell>
          <cell r="BN563">
            <v>176.49626384235978</v>
          </cell>
          <cell r="BO563">
            <v>0</v>
          </cell>
          <cell r="BP563">
            <v>0</v>
          </cell>
          <cell r="BY563">
            <v>1350</v>
          </cell>
          <cell r="CF563">
            <v>38.076099999999997</v>
          </cell>
          <cell r="CG563">
            <v>2142.25</v>
          </cell>
          <cell r="CJ563">
            <v>0</v>
          </cell>
          <cell r="CK563">
            <v>0</v>
          </cell>
          <cell r="CL563">
            <v>0</v>
          </cell>
          <cell r="CM563">
            <v>0</v>
          </cell>
          <cell r="CN563">
            <v>0</v>
          </cell>
          <cell r="CO563">
            <v>0</v>
          </cell>
          <cell r="CX563">
            <v>0</v>
          </cell>
          <cell r="CY563">
            <v>0</v>
          </cell>
          <cell r="DB563">
            <v>0</v>
          </cell>
          <cell r="DC563">
            <v>0</v>
          </cell>
          <cell r="DJ563" t="str">
            <v>НКРКП</v>
          </cell>
          <cell r="DL563">
            <v>40816</v>
          </cell>
          <cell r="DM563">
            <v>92</v>
          </cell>
          <cell r="DT563">
            <v>875.02</v>
          </cell>
        </row>
        <row r="564">
          <cell r="W564">
            <v>631.76</v>
          </cell>
          <cell r="AF564">
            <v>39877</v>
          </cell>
          <cell r="AG564">
            <v>1489</v>
          </cell>
          <cell r="AH564">
            <v>564.0742353522719</v>
          </cell>
          <cell r="AM564">
            <v>716.95759999999996</v>
          </cell>
          <cell r="AO564">
            <v>452945.13337599998</v>
          </cell>
          <cell r="AQ564">
            <v>404417.31</v>
          </cell>
          <cell r="AU564">
            <v>0</v>
          </cell>
          <cell r="AW564">
            <v>0</v>
          </cell>
          <cell r="AY564">
            <v>270257.69099999999</v>
          </cell>
          <cell r="AZ564">
            <v>376.95073041976264</v>
          </cell>
          <cell r="BA564">
            <v>0</v>
          </cell>
          <cell r="BB564">
            <v>0</v>
          </cell>
          <cell r="BC564">
            <v>0</v>
          </cell>
          <cell r="BD564">
            <v>0</v>
          </cell>
          <cell r="BG564">
            <v>0</v>
          </cell>
          <cell r="BH564">
            <v>0</v>
          </cell>
          <cell r="BI564">
            <v>13607.81</v>
          </cell>
          <cell r="BJ564">
            <v>18.979936888875994</v>
          </cell>
          <cell r="BK564">
            <v>0</v>
          </cell>
          <cell r="BL564">
            <v>0</v>
          </cell>
          <cell r="BM564">
            <v>117039.28</v>
          </cell>
          <cell r="BN564">
            <v>163.24435364099637</v>
          </cell>
          <cell r="BO564">
            <v>0</v>
          </cell>
          <cell r="BP564">
            <v>0</v>
          </cell>
          <cell r="BY564">
            <v>1382</v>
          </cell>
          <cell r="CF564">
            <v>126.15600000000001</v>
          </cell>
          <cell r="CG564">
            <v>2142.25</v>
          </cell>
          <cell r="CJ564">
            <v>0</v>
          </cell>
          <cell r="CK564">
            <v>0</v>
          </cell>
          <cell r="CL564">
            <v>0</v>
          </cell>
          <cell r="CM564">
            <v>0</v>
          </cell>
          <cell r="CN564">
            <v>0</v>
          </cell>
          <cell r="CO564">
            <v>0</v>
          </cell>
          <cell r="CX564">
            <v>0</v>
          </cell>
          <cell r="CY564">
            <v>0</v>
          </cell>
          <cell r="DB564">
            <v>0</v>
          </cell>
          <cell r="DC564">
            <v>0</v>
          </cell>
          <cell r="DJ564" t="str">
            <v>НКРКП</v>
          </cell>
          <cell r="DL564">
            <v>40816</v>
          </cell>
          <cell r="DM564">
            <v>92</v>
          </cell>
          <cell r="DT564">
            <v>915.01</v>
          </cell>
        </row>
        <row r="568">
          <cell r="W568">
            <v>821.03</v>
          </cell>
          <cell r="AF568">
            <v>39895</v>
          </cell>
          <cell r="AG568">
            <v>1574</v>
          </cell>
          <cell r="AH568">
            <v>733.06843387711842</v>
          </cell>
          <cell r="AM568">
            <v>91.519000000000005</v>
          </cell>
          <cell r="AO568">
            <v>75139.844570000001</v>
          </cell>
          <cell r="AQ568">
            <v>67089.69</v>
          </cell>
          <cell r="AU568">
            <v>0</v>
          </cell>
          <cell r="AW568">
            <v>0</v>
          </cell>
          <cell r="AY568">
            <v>27966.216850000001</v>
          </cell>
          <cell r="AZ568">
            <v>305.57826079830414</v>
          </cell>
          <cell r="BA568">
            <v>0</v>
          </cell>
          <cell r="BB568">
            <v>0</v>
          </cell>
          <cell r="BC568">
            <v>0</v>
          </cell>
          <cell r="BD568">
            <v>0</v>
          </cell>
          <cell r="BG568">
            <v>0</v>
          </cell>
          <cell r="BH568">
            <v>0</v>
          </cell>
          <cell r="BI568">
            <v>358.83</v>
          </cell>
          <cell r="BJ568">
            <v>3.9208251838416062</v>
          </cell>
          <cell r="BK568">
            <v>0</v>
          </cell>
          <cell r="BL568">
            <v>0</v>
          </cell>
          <cell r="BM568">
            <v>28001.19</v>
          </cell>
          <cell r="BN568">
            <v>305.96040166522795</v>
          </cell>
          <cell r="BO568">
            <v>0</v>
          </cell>
          <cell r="BP568">
            <v>0</v>
          </cell>
          <cell r="BY568">
            <v>1350</v>
          </cell>
          <cell r="CF568">
            <v>13.054600000000001</v>
          </cell>
          <cell r="CG568">
            <v>2142.25</v>
          </cell>
          <cell r="CJ568">
            <v>0</v>
          </cell>
          <cell r="CK568">
            <v>0</v>
          </cell>
          <cell r="CL568">
            <v>0</v>
          </cell>
          <cell r="CM568">
            <v>0</v>
          </cell>
          <cell r="CN568">
            <v>0</v>
          </cell>
          <cell r="CO568">
            <v>0</v>
          </cell>
          <cell r="CX568">
            <v>0</v>
          </cell>
          <cell r="CY568">
            <v>0</v>
          </cell>
          <cell r="DB568">
            <v>0</v>
          </cell>
          <cell r="DC568">
            <v>0</v>
          </cell>
          <cell r="DJ568" t="str">
            <v>НКРКП</v>
          </cell>
          <cell r="DL568">
            <v>40816</v>
          </cell>
          <cell r="DM568">
            <v>92</v>
          </cell>
          <cell r="DT568">
            <v>999.9</v>
          </cell>
        </row>
        <row r="569">
          <cell r="W569">
            <v>642.51</v>
          </cell>
          <cell r="AF569">
            <v>39895</v>
          </cell>
          <cell r="AG569">
            <v>1573</v>
          </cell>
          <cell r="AH569">
            <v>573.67180028716018</v>
          </cell>
          <cell r="AM569">
            <v>418.37270000000001</v>
          </cell>
          <cell r="AO569">
            <v>268808.64347700001</v>
          </cell>
          <cell r="AQ569">
            <v>240008.62</v>
          </cell>
          <cell r="AU569">
            <v>0</v>
          </cell>
          <cell r="AW569">
            <v>0</v>
          </cell>
          <cell r="AY569">
            <v>136650.91412500001</v>
          </cell>
          <cell r="AZ569">
            <v>326.6248350454033</v>
          </cell>
          <cell r="BA569">
            <v>0</v>
          </cell>
          <cell r="BB569">
            <v>0</v>
          </cell>
          <cell r="BC569">
            <v>0</v>
          </cell>
          <cell r="BD569">
            <v>0</v>
          </cell>
          <cell r="BG569">
            <v>0</v>
          </cell>
          <cell r="BH569">
            <v>0</v>
          </cell>
          <cell r="BI569">
            <v>9450.2900000000009</v>
          </cell>
          <cell r="BJ569">
            <v>22.588209029891292</v>
          </cell>
          <cell r="BK569">
            <v>0</v>
          </cell>
          <cell r="BL569">
            <v>0</v>
          </cell>
          <cell r="BM569">
            <v>85234.48</v>
          </cell>
          <cell r="BN569">
            <v>203.72858936541508</v>
          </cell>
          <cell r="BO569">
            <v>0</v>
          </cell>
          <cell r="BP569">
            <v>0</v>
          </cell>
          <cell r="BY569">
            <v>1350</v>
          </cell>
          <cell r="CF569">
            <v>63.788499999999999</v>
          </cell>
          <cell r="CG569">
            <v>2142.25</v>
          </cell>
          <cell r="CJ569">
            <v>0</v>
          </cell>
          <cell r="CK569">
            <v>0</v>
          </cell>
          <cell r="CL569">
            <v>0</v>
          </cell>
          <cell r="CM569">
            <v>0</v>
          </cell>
          <cell r="CN569">
            <v>0</v>
          </cell>
          <cell r="CO569">
            <v>0</v>
          </cell>
          <cell r="CX569">
            <v>0</v>
          </cell>
          <cell r="CY569">
            <v>0</v>
          </cell>
          <cell r="DB569">
            <v>0</v>
          </cell>
          <cell r="DC569">
            <v>0</v>
          </cell>
          <cell r="DJ569" t="str">
            <v>НКРКП</v>
          </cell>
          <cell r="DL569">
            <v>40816</v>
          </cell>
          <cell r="DM569">
            <v>92</v>
          </cell>
          <cell r="DT569">
            <v>887.93</v>
          </cell>
        </row>
        <row r="570">
          <cell r="W570">
            <v>749.15</v>
          </cell>
          <cell r="AF570">
            <v>39875</v>
          </cell>
          <cell r="AG570">
            <v>1450</v>
          </cell>
          <cell r="AH570">
            <v>592.68512756384087</v>
          </cell>
          <cell r="AM570">
            <v>407.5136</v>
          </cell>
          <cell r="AO570">
            <v>305288.81344</v>
          </cell>
          <cell r="AQ570">
            <v>241527.25</v>
          </cell>
          <cell r="AU570">
            <v>0</v>
          </cell>
          <cell r="AW570">
            <v>0</v>
          </cell>
          <cell r="AY570">
            <v>167742.45950000003</v>
          </cell>
          <cell r="AZ570">
            <v>411.62419978130799</v>
          </cell>
          <cell r="BA570">
            <v>0</v>
          </cell>
          <cell r="BB570">
            <v>0</v>
          </cell>
          <cell r="BC570">
            <v>0</v>
          </cell>
          <cell r="BD570">
            <v>0</v>
          </cell>
          <cell r="BG570">
            <v>0</v>
          </cell>
          <cell r="BH570">
            <v>0</v>
          </cell>
          <cell r="BI570">
            <v>15749.47</v>
          </cell>
          <cell r="BJ570">
            <v>38.647716297075725</v>
          </cell>
          <cell r="BK570">
            <v>0</v>
          </cell>
          <cell r="BL570">
            <v>0</v>
          </cell>
          <cell r="BM570">
            <v>51773.07</v>
          </cell>
          <cell r="BN570">
            <v>127.04623845682696</v>
          </cell>
          <cell r="BO570">
            <v>0</v>
          </cell>
          <cell r="BP570">
            <v>0</v>
          </cell>
          <cell r="BY570">
            <v>1630</v>
          </cell>
          <cell r="CF570">
            <v>78.302000000000007</v>
          </cell>
          <cell r="CG570">
            <v>2142.25</v>
          </cell>
          <cell r="CJ570">
            <v>0</v>
          </cell>
          <cell r="CK570">
            <v>0</v>
          </cell>
          <cell r="CL570">
            <v>0</v>
          </cell>
          <cell r="CM570">
            <v>0</v>
          </cell>
          <cell r="CN570">
            <v>0</v>
          </cell>
          <cell r="CO570">
            <v>0</v>
          </cell>
          <cell r="CX570">
            <v>0</v>
          </cell>
          <cell r="CY570">
            <v>0</v>
          </cell>
          <cell r="DB570">
            <v>0</v>
          </cell>
          <cell r="DC570">
            <v>0</v>
          </cell>
          <cell r="DJ570" t="str">
            <v>НКРКП</v>
          </cell>
          <cell r="DL570">
            <v>40816</v>
          </cell>
          <cell r="DM570">
            <v>92</v>
          </cell>
          <cell r="DT570">
            <v>999.9</v>
          </cell>
        </row>
        <row r="571">
          <cell r="W571">
            <v>198.26</v>
          </cell>
          <cell r="AF571">
            <v>39769</v>
          </cell>
          <cell r="AG571">
            <v>1087</v>
          </cell>
          <cell r="AH571">
            <v>198.25898828026558</v>
          </cell>
          <cell r="AM571">
            <v>14512.8374</v>
          </cell>
          <cell r="AO571">
            <v>2877315.142924</v>
          </cell>
          <cell r="AQ571">
            <v>2877300.46</v>
          </cell>
          <cell r="AU571">
            <v>0</v>
          </cell>
          <cell r="AW571">
            <v>0</v>
          </cell>
          <cell r="AY571">
            <v>1654551.6237899999</v>
          </cell>
          <cell r="AZ571">
            <v>114.00607463499865</v>
          </cell>
          <cell r="BA571">
            <v>0</v>
          </cell>
          <cell r="BB571">
            <v>0</v>
          </cell>
          <cell r="BC571">
            <v>0</v>
          </cell>
          <cell r="BD571">
            <v>0</v>
          </cell>
          <cell r="BG571">
            <v>0</v>
          </cell>
          <cell r="BH571">
            <v>0</v>
          </cell>
          <cell r="BI571">
            <v>353268.56</v>
          </cell>
          <cell r="BJ571">
            <v>24.341798248218502</v>
          </cell>
          <cell r="BK571">
            <v>0</v>
          </cell>
          <cell r="BL571">
            <v>0</v>
          </cell>
          <cell r="BM571">
            <v>806705.04</v>
          </cell>
          <cell r="BN571">
            <v>55.585618288536743</v>
          </cell>
          <cell r="BO571">
            <v>0</v>
          </cell>
          <cell r="BP571">
            <v>0</v>
          </cell>
          <cell r="BY571">
            <v>1460</v>
          </cell>
          <cell r="CF571">
            <v>2274.87</v>
          </cell>
          <cell r="CG571">
            <v>727.31700000000001</v>
          </cell>
          <cell r="CJ571">
            <v>0</v>
          </cell>
          <cell r="CK571">
            <v>0</v>
          </cell>
          <cell r="CL571">
            <v>0</v>
          </cell>
          <cell r="CM571">
            <v>0</v>
          </cell>
          <cell r="CN571">
            <v>0</v>
          </cell>
          <cell r="CO571">
            <v>0</v>
          </cell>
          <cell r="CX571">
            <v>0</v>
          </cell>
          <cell r="CY571">
            <v>0</v>
          </cell>
          <cell r="DB571">
            <v>0</v>
          </cell>
          <cell r="DC571">
            <v>0</v>
          </cell>
          <cell r="DJ571" t="str">
            <v>НКРЕ</v>
          </cell>
          <cell r="DL571">
            <v>40526</v>
          </cell>
          <cell r="DM571">
            <v>1758</v>
          </cell>
          <cell r="DO571" t="str">
            <v>Тариф на теплову енергію</v>
          </cell>
          <cell r="DT571">
            <v>218.09</v>
          </cell>
        </row>
        <row r="572">
          <cell r="W572">
            <v>490.51</v>
          </cell>
          <cell r="AF572">
            <v>39888</v>
          </cell>
          <cell r="AG572">
            <v>1528</v>
          </cell>
          <cell r="AH572">
            <v>426.53032423623358</v>
          </cell>
          <cell r="AM572">
            <v>1296.0210999999999</v>
          </cell>
          <cell r="AO572">
            <v>635711.30976099998</v>
          </cell>
          <cell r="AQ572">
            <v>552792.30000000005</v>
          </cell>
          <cell r="AU572">
            <v>0</v>
          </cell>
          <cell r="AW572">
            <v>0</v>
          </cell>
          <cell r="AY572">
            <v>435198.08750000002</v>
          </cell>
          <cell r="AZ572">
            <v>335.79552639999463</v>
          </cell>
          <cell r="BA572">
            <v>0</v>
          </cell>
          <cell r="BB572">
            <v>0</v>
          </cell>
          <cell r="BC572">
            <v>0</v>
          </cell>
          <cell r="BD572">
            <v>0</v>
          </cell>
          <cell r="BG572">
            <v>0</v>
          </cell>
          <cell r="BH572">
            <v>0</v>
          </cell>
          <cell r="BI572">
            <v>38422.25</v>
          </cell>
          <cell r="BJ572">
            <v>29.646315171874903</v>
          </cell>
          <cell r="BK572">
            <v>0</v>
          </cell>
          <cell r="BL572">
            <v>0</v>
          </cell>
          <cell r="BM572">
            <v>73565.960000000006</v>
          </cell>
          <cell r="BN572">
            <v>56.762933875073493</v>
          </cell>
          <cell r="BO572">
            <v>0</v>
          </cell>
          <cell r="BP572">
            <v>0</v>
          </cell>
          <cell r="BY572">
            <v>1460</v>
          </cell>
          <cell r="CF572">
            <v>203.15</v>
          </cell>
          <cell r="CG572">
            <v>2142.25</v>
          </cell>
          <cell r="CJ572">
            <v>0</v>
          </cell>
          <cell r="CK572">
            <v>0</v>
          </cell>
          <cell r="CL572">
            <v>0</v>
          </cell>
          <cell r="CM572">
            <v>0</v>
          </cell>
          <cell r="CN572">
            <v>0</v>
          </cell>
          <cell r="CO572">
            <v>0</v>
          </cell>
          <cell r="CX572">
            <v>0</v>
          </cell>
          <cell r="CY572">
            <v>0</v>
          </cell>
          <cell r="DB572">
            <v>0</v>
          </cell>
          <cell r="DC572">
            <v>0</v>
          </cell>
          <cell r="DJ572" t="str">
            <v>НКРКП</v>
          </cell>
          <cell r="DL572">
            <v>40816</v>
          </cell>
          <cell r="DM572">
            <v>92</v>
          </cell>
          <cell r="DT572">
            <v>742.83</v>
          </cell>
        </row>
        <row r="573">
          <cell r="W573">
            <v>639.79</v>
          </cell>
          <cell r="AF573">
            <v>39888</v>
          </cell>
          <cell r="AG573">
            <v>1529</v>
          </cell>
          <cell r="AH573">
            <v>426.52963704882382</v>
          </cell>
          <cell r="AM573">
            <v>1331.1818000000001</v>
          </cell>
          <cell r="AO573">
            <v>851676.80382200005</v>
          </cell>
          <cell r="AQ573">
            <v>567788.49</v>
          </cell>
          <cell r="AU573">
            <v>0</v>
          </cell>
          <cell r="AW573">
            <v>0</v>
          </cell>
          <cell r="AY573">
            <v>447004.02724999998</v>
          </cell>
          <cell r="AZ573">
            <v>335.79487583889738</v>
          </cell>
          <cell r="BA573">
            <v>0</v>
          </cell>
          <cell r="BB573">
            <v>0</v>
          </cell>
          <cell r="BC573">
            <v>0</v>
          </cell>
          <cell r="BD573">
            <v>0</v>
          </cell>
          <cell r="BG573">
            <v>0</v>
          </cell>
          <cell r="BH573">
            <v>0</v>
          </cell>
          <cell r="BI573">
            <v>39464.589999999997</v>
          </cell>
          <cell r="BJ573">
            <v>29.646281221693382</v>
          </cell>
          <cell r="BK573">
            <v>0</v>
          </cell>
          <cell r="BL573">
            <v>0</v>
          </cell>
          <cell r="BM573">
            <v>75561.790000000008</v>
          </cell>
          <cell r="BN573">
            <v>56.762938014927791</v>
          </cell>
          <cell r="BO573">
            <v>0</v>
          </cell>
          <cell r="BP573">
            <v>0</v>
          </cell>
          <cell r="BY573">
            <v>1460</v>
          </cell>
          <cell r="CF573">
            <v>208.661</v>
          </cell>
          <cell r="CG573">
            <v>2142.25</v>
          </cell>
          <cell r="CJ573">
            <v>0</v>
          </cell>
          <cell r="CK573">
            <v>0</v>
          </cell>
          <cell r="CL573">
            <v>0</v>
          </cell>
          <cell r="CM573">
            <v>0</v>
          </cell>
          <cell r="CN573">
            <v>0</v>
          </cell>
          <cell r="CO573">
            <v>0</v>
          </cell>
          <cell r="CX573">
            <v>0</v>
          </cell>
          <cell r="CY573">
            <v>0</v>
          </cell>
          <cell r="DB573">
            <v>0</v>
          </cell>
          <cell r="DC573">
            <v>0</v>
          </cell>
          <cell r="DJ573" t="str">
            <v>НКРКП</v>
          </cell>
          <cell r="DL573">
            <v>40816</v>
          </cell>
          <cell r="DM573">
            <v>92</v>
          </cell>
          <cell r="DT573">
            <v>892.11</v>
          </cell>
        </row>
        <row r="574">
          <cell r="W574">
            <v>282.2</v>
          </cell>
          <cell r="AF574">
            <v>39895</v>
          </cell>
          <cell r="AG574">
            <v>1567</v>
          </cell>
          <cell r="AH574">
            <v>282.20006954841796</v>
          </cell>
          <cell r="AM574">
            <v>689.87909999999999</v>
          </cell>
          <cell r="AO574">
            <v>194683.88201999999</v>
          </cell>
          <cell r="AQ574">
            <v>194683.93</v>
          </cell>
          <cell r="AU574">
            <v>0</v>
          </cell>
          <cell r="AW574">
            <v>0</v>
          </cell>
          <cell r="AY574">
            <v>84362.792316000006</v>
          </cell>
          <cell r="AZ574">
            <v>122.28634309402909</v>
          </cell>
          <cell r="BA574">
            <v>0</v>
          </cell>
          <cell r="BB574">
            <v>0</v>
          </cell>
          <cell r="BC574">
            <v>0</v>
          </cell>
          <cell r="BD574">
            <v>0</v>
          </cell>
          <cell r="BG574">
            <v>0</v>
          </cell>
          <cell r="BH574">
            <v>0</v>
          </cell>
          <cell r="BI574">
            <v>13287.08</v>
          </cell>
          <cell r="BJ574">
            <v>19.26001237028343</v>
          </cell>
          <cell r="BK574">
            <v>0</v>
          </cell>
          <cell r="BL574">
            <v>0</v>
          </cell>
          <cell r="BM574">
            <v>86554.31</v>
          </cell>
          <cell r="BN574">
            <v>125.4630122872254</v>
          </cell>
          <cell r="BO574">
            <v>0</v>
          </cell>
          <cell r="BP574">
            <v>0</v>
          </cell>
          <cell r="BY574">
            <v>1526</v>
          </cell>
          <cell r="CF574">
            <v>115.9913</v>
          </cell>
          <cell r="CG574">
            <v>727.32</v>
          </cell>
          <cell r="CJ574">
            <v>0</v>
          </cell>
          <cell r="CK574">
            <v>0</v>
          </cell>
          <cell r="CL574">
            <v>0</v>
          </cell>
          <cell r="CM574">
            <v>0</v>
          </cell>
          <cell r="CN574">
            <v>0</v>
          </cell>
          <cell r="CO574">
            <v>0</v>
          </cell>
          <cell r="CX574">
            <v>0</v>
          </cell>
          <cell r="CY574">
            <v>0</v>
          </cell>
          <cell r="DB574">
            <v>0</v>
          </cell>
          <cell r="DC574">
            <v>0</v>
          </cell>
          <cell r="DJ574" t="str">
            <v>НКРЕ</v>
          </cell>
          <cell r="DL574">
            <v>40526</v>
          </cell>
          <cell r="DM574">
            <v>1758</v>
          </cell>
          <cell r="DO574" t="str">
            <v>Тариф на теплову енергію</v>
          </cell>
          <cell r="DT574">
            <v>310.42</v>
          </cell>
        </row>
        <row r="575">
          <cell r="W575">
            <v>581.27</v>
          </cell>
          <cell r="AF575">
            <v>39895</v>
          </cell>
          <cell r="AG575">
            <v>1568</v>
          </cell>
          <cell r="AH575">
            <v>518.99166885282114</v>
          </cell>
          <cell r="AM575">
            <v>7794.5087999999996</v>
          </cell>
          <cell r="AO575">
            <v>4530714.1301759994</v>
          </cell>
          <cell r="AQ575">
            <v>4045285.13</v>
          </cell>
          <cell r="AU575">
            <v>0</v>
          </cell>
          <cell r="AW575">
            <v>0</v>
          </cell>
          <cell r="AY575">
            <v>2795931.6662749997</v>
          </cell>
          <cell r="AZ575">
            <v>358.70530626317338</v>
          </cell>
          <cell r="BA575">
            <v>0</v>
          </cell>
          <cell r="BB575">
            <v>0</v>
          </cell>
          <cell r="BC575">
            <v>0</v>
          </cell>
          <cell r="BD575">
            <v>0</v>
          </cell>
          <cell r="BG575">
            <v>0</v>
          </cell>
          <cell r="BH575">
            <v>0</v>
          </cell>
          <cell r="BI575">
            <v>143389.17000000001</v>
          </cell>
          <cell r="BJ575">
            <v>18.396177832270844</v>
          </cell>
          <cell r="BK575">
            <v>0</v>
          </cell>
          <cell r="BL575">
            <v>0</v>
          </cell>
          <cell r="BM575">
            <v>987560.28</v>
          </cell>
          <cell r="BN575">
            <v>126.69948874777074</v>
          </cell>
          <cell r="BO575">
            <v>0</v>
          </cell>
          <cell r="BP575">
            <v>0</v>
          </cell>
          <cell r="BY575">
            <v>1526</v>
          </cell>
          <cell r="CF575">
            <v>1305.1378999999999</v>
          </cell>
          <cell r="CG575">
            <v>2142.25</v>
          </cell>
          <cell r="CJ575">
            <v>0</v>
          </cell>
          <cell r="CK575">
            <v>0</v>
          </cell>
          <cell r="CL575">
            <v>0</v>
          </cell>
          <cell r="CM575">
            <v>0</v>
          </cell>
          <cell r="CN575">
            <v>0</v>
          </cell>
          <cell r="CO575">
            <v>0</v>
          </cell>
          <cell r="CX575">
            <v>0</v>
          </cell>
          <cell r="CY575">
            <v>0</v>
          </cell>
          <cell r="DB575">
            <v>0</v>
          </cell>
          <cell r="DC575">
            <v>0</v>
          </cell>
          <cell r="DJ575" t="str">
            <v>НКРКП</v>
          </cell>
          <cell r="DL575">
            <v>40816</v>
          </cell>
          <cell r="DM575">
            <v>92</v>
          </cell>
          <cell r="DT575">
            <v>850.81</v>
          </cell>
        </row>
        <row r="576">
          <cell r="W576">
            <v>646.08000000000004</v>
          </cell>
          <cell r="AF576">
            <v>39895</v>
          </cell>
          <cell r="AG576">
            <v>1569</v>
          </cell>
          <cell r="AH576">
            <v>521.70598363842669</v>
          </cell>
          <cell r="AM576">
            <v>378.08100000000002</v>
          </cell>
          <cell r="AO576">
            <v>244270.57248000003</v>
          </cell>
          <cell r="AQ576">
            <v>197247.12</v>
          </cell>
          <cell r="AU576">
            <v>0</v>
          </cell>
          <cell r="AW576">
            <v>0</v>
          </cell>
          <cell r="AY576">
            <v>136360.63925000001</v>
          </cell>
          <cell r="AZ576">
            <v>360.66514648977335</v>
          </cell>
          <cell r="BA576">
            <v>0</v>
          </cell>
          <cell r="BB576">
            <v>0</v>
          </cell>
          <cell r="BC576">
            <v>0</v>
          </cell>
          <cell r="BD576">
            <v>0</v>
          </cell>
          <cell r="BG576">
            <v>0</v>
          </cell>
          <cell r="BH576">
            <v>0</v>
          </cell>
          <cell r="BI576">
            <v>7240.5</v>
          </cell>
          <cell r="BJ576">
            <v>19.150658192292127</v>
          </cell>
          <cell r="BK576">
            <v>0</v>
          </cell>
          <cell r="BL576">
            <v>0</v>
          </cell>
          <cell r="BM576">
            <v>47902.66</v>
          </cell>
          <cell r="BN576">
            <v>126.69946387149844</v>
          </cell>
          <cell r="BO576">
            <v>0</v>
          </cell>
          <cell r="BP576">
            <v>0</v>
          </cell>
          <cell r="BY576">
            <v>1526</v>
          </cell>
          <cell r="CF576">
            <v>63.652999999999999</v>
          </cell>
          <cell r="CG576">
            <v>2142.25</v>
          </cell>
          <cell r="CJ576">
            <v>0</v>
          </cell>
          <cell r="CK576">
            <v>0</v>
          </cell>
          <cell r="CL576">
            <v>0</v>
          </cell>
          <cell r="CM576">
            <v>0</v>
          </cell>
          <cell r="CN576">
            <v>0</v>
          </cell>
          <cell r="CO576">
            <v>0</v>
          </cell>
          <cell r="CX576">
            <v>0</v>
          </cell>
          <cell r="CY576">
            <v>0</v>
          </cell>
          <cell r="DB576">
            <v>0</v>
          </cell>
          <cell r="DC576">
            <v>0</v>
          </cell>
          <cell r="DJ576" t="str">
            <v>НКРКП</v>
          </cell>
          <cell r="DL576">
            <v>40816</v>
          </cell>
          <cell r="DM576">
            <v>92</v>
          </cell>
          <cell r="DT576">
            <v>917.09</v>
          </cell>
        </row>
        <row r="577">
          <cell r="W577">
            <v>301.33999999999997</v>
          </cell>
          <cell r="AF577">
            <v>38961</v>
          </cell>
          <cell r="AG577" t="str">
            <v>Кошторис планових витрат на 2006 р. по однобродівській селищній раді (536)</v>
          </cell>
          <cell r="AH577">
            <v>286.99958618664317</v>
          </cell>
          <cell r="AM577">
            <v>149.82599999999999</v>
          </cell>
          <cell r="AO577">
            <v>45148.566839999992</v>
          </cell>
          <cell r="AQ577">
            <v>43000</v>
          </cell>
          <cell r="AU577">
            <v>0</v>
          </cell>
          <cell r="AW577">
            <v>0</v>
          </cell>
          <cell r="AY577">
            <v>7525.0882000000001</v>
          </cell>
          <cell r="AZ577">
            <v>50.225516265534694</v>
          </cell>
          <cell r="BA577">
            <v>0</v>
          </cell>
          <cell r="BB577">
            <v>0</v>
          </cell>
          <cell r="BC577">
            <v>0</v>
          </cell>
          <cell r="BD577">
            <v>0</v>
          </cell>
          <cell r="BG577">
            <v>0</v>
          </cell>
          <cell r="BH577">
            <v>0</v>
          </cell>
          <cell r="BI577">
            <v>8500</v>
          </cell>
          <cell r="BJ577">
            <v>56.732476339220163</v>
          </cell>
          <cell r="BK577">
            <v>0</v>
          </cell>
          <cell r="BL577">
            <v>0</v>
          </cell>
          <cell r="BM577">
            <v>19100</v>
          </cell>
          <cell r="BN577">
            <v>127.48121153871826</v>
          </cell>
          <cell r="BO577">
            <v>0</v>
          </cell>
          <cell r="BP577">
            <v>0</v>
          </cell>
          <cell r="BY577">
            <v>990</v>
          </cell>
          <cell r="CF577">
            <v>29.638000000000002</v>
          </cell>
          <cell r="CG577">
            <v>253.9</v>
          </cell>
          <cell r="CJ577">
            <v>0</v>
          </cell>
          <cell r="CK577">
            <v>0</v>
          </cell>
          <cell r="CL577">
            <v>0</v>
          </cell>
          <cell r="CM577">
            <v>0</v>
          </cell>
          <cell r="CN577">
            <v>0</v>
          </cell>
          <cell r="CO577">
            <v>0</v>
          </cell>
          <cell r="CX577">
            <v>0</v>
          </cell>
          <cell r="CY577">
            <v>0</v>
          </cell>
          <cell r="DB577">
            <v>0</v>
          </cell>
          <cell r="DC577">
            <v>0</v>
          </cell>
          <cell r="DJ577" t="str">
            <v>НКРЕ</v>
          </cell>
          <cell r="DL577">
            <v>40526</v>
          </cell>
          <cell r="DM577">
            <v>1758</v>
          </cell>
          <cell r="DO577" t="str">
            <v>Тариф на теплову енергію</v>
          </cell>
          <cell r="DT577">
            <v>331.49</v>
          </cell>
        </row>
        <row r="578">
          <cell r="W578">
            <v>747.4</v>
          </cell>
          <cell r="AF578">
            <v>39335</v>
          </cell>
          <cell r="AG578">
            <v>136</v>
          </cell>
          <cell r="AH578">
            <v>533.85656231628457</v>
          </cell>
          <cell r="AM578">
            <v>1360.8</v>
          </cell>
          <cell r="AO578">
            <v>1017061.9199999999</v>
          </cell>
          <cell r="AQ578">
            <v>726472.01</v>
          </cell>
          <cell r="AU578">
            <v>0</v>
          </cell>
          <cell r="AW578">
            <v>0</v>
          </cell>
          <cell r="AY578">
            <v>327172.85639999999</v>
          </cell>
          <cell r="AZ578">
            <v>240.4268492063492</v>
          </cell>
          <cell r="BA578">
            <v>0</v>
          </cell>
          <cell r="BB578">
            <v>0</v>
          </cell>
          <cell r="BC578">
            <v>0</v>
          </cell>
          <cell r="BD578">
            <v>0</v>
          </cell>
          <cell r="BG578">
            <v>0</v>
          </cell>
          <cell r="BH578">
            <v>0</v>
          </cell>
          <cell r="BI578">
            <v>173307.6</v>
          </cell>
          <cell r="BJ578">
            <v>127.35714285714286</v>
          </cell>
          <cell r="BK578">
            <v>0</v>
          </cell>
          <cell r="BL578">
            <v>0</v>
          </cell>
          <cell r="BM578">
            <v>190917.49</v>
          </cell>
          <cell r="BN578">
            <v>140.29797912992356</v>
          </cell>
          <cell r="BO578">
            <v>0</v>
          </cell>
          <cell r="BP578">
            <v>0</v>
          </cell>
          <cell r="BY578">
            <v>1153</v>
          </cell>
          <cell r="CF578">
            <v>393.85199999999998</v>
          </cell>
          <cell r="CG578">
            <v>830.7</v>
          </cell>
          <cell r="CJ578">
            <v>0</v>
          </cell>
          <cell r="CK578">
            <v>0</v>
          </cell>
          <cell r="CL578">
            <v>0</v>
          </cell>
          <cell r="CM578">
            <v>0</v>
          </cell>
          <cell r="CN578">
            <v>0</v>
          </cell>
          <cell r="CO578">
            <v>0</v>
          </cell>
          <cell r="CX578">
            <v>0</v>
          </cell>
          <cell r="CY578">
            <v>0</v>
          </cell>
          <cell r="DB578">
            <v>0</v>
          </cell>
          <cell r="DC578">
            <v>0</v>
          </cell>
          <cell r="DJ578" t="str">
            <v>НКРКП</v>
          </cell>
          <cell r="DL578">
            <v>40816</v>
          </cell>
          <cell r="DM578">
            <v>92</v>
          </cell>
          <cell r="DT578">
            <v>999.9</v>
          </cell>
        </row>
        <row r="579">
          <cell r="AF579">
            <v>39861</v>
          </cell>
          <cell r="AG579">
            <v>17</v>
          </cell>
          <cell r="AM579">
            <v>1726.9601000000002</v>
          </cell>
          <cell r="AO579">
            <v>576338.39417300012</v>
          </cell>
          <cell r="AQ579">
            <v>540181.0452020982</v>
          </cell>
          <cell r="AU579">
            <v>0</v>
          </cell>
          <cell r="AW579">
            <v>0</v>
          </cell>
          <cell r="AY579">
            <v>502319.63204879209</v>
          </cell>
          <cell r="AZ579">
            <v>290.86927488874352</v>
          </cell>
          <cell r="BA579">
            <v>0</v>
          </cell>
          <cell r="BB579">
            <v>0</v>
          </cell>
          <cell r="BG579">
            <v>0</v>
          </cell>
          <cell r="BH579">
            <v>0</v>
          </cell>
          <cell r="BI579">
            <v>37861.413153306072</v>
          </cell>
          <cell r="BJ579">
            <v>21.923733590200531</v>
          </cell>
          <cell r="BK579">
            <v>0</v>
          </cell>
          <cell r="BL579">
            <v>0</v>
          </cell>
          <cell r="BO579">
            <v>0</v>
          </cell>
          <cell r="BP579">
            <v>0</v>
          </cell>
          <cell r="CF579">
            <v>234.48226493116681</v>
          </cell>
          <cell r="CG579">
            <v>2142.25</v>
          </cell>
          <cell r="CJ579">
            <v>0</v>
          </cell>
          <cell r="CK579">
            <v>0</v>
          </cell>
          <cell r="CL579">
            <v>0</v>
          </cell>
          <cell r="CM579">
            <v>0</v>
          </cell>
          <cell r="CN579">
            <v>0</v>
          </cell>
          <cell r="CO579">
            <v>0</v>
          </cell>
          <cell r="CX579">
            <v>0</v>
          </cell>
          <cell r="CY579">
            <v>0</v>
          </cell>
          <cell r="DJ579" t="str">
            <v>НКРКП</v>
          </cell>
          <cell r="DL579">
            <v>40816</v>
          </cell>
          <cell r="DM579">
            <v>161</v>
          </cell>
        </row>
        <row r="580">
          <cell r="AF580">
            <v>39861</v>
          </cell>
          <cell r="AG580">
            <v>17</v>
          </cell>
          <cell r="AM580">
            <v>117.07490000000001</v>
          </cell>
          <cell r="AO580">
            <v>43186.589112000001</v>
          </cell>
          <cell r="AQ580">
            <v>36491.224793717018</v>
          </cell>
          <cell r="AU580">
            <v>0</v>
          </cell>
          <cell r="AW580">
            <v>0</v>
          </cell>
          <cell r="AY580">
            <v>33996.121648626031</v>
          </cell>
          <cell r="AZ580">
            <v>290.3792499385097</v>
          </cell>
          <cell r="BA580">
            <v>0</v>
          </cell>
          <cell r="BB580">
            <v>0</v>
          </cell>
          <cell r="BG580">
            <v>0</v>
          </cell>
          <cell r="BH580">
            <v>0</v>
          </cell>
          <cell r="BI580">
            <v>2495.1031450909841</v>
          </cell>
          <cell r="BJ580">
            <v>21.31202456795593</v>
          </cell>
          <cell r="BK580">
            <v>0</v>
          </cell>
          <cell r="BL580">
            <v>0</v>
          </cell>
          <cell r="BO580">
            <v>0</v>
          </cell>
          <cell r="BP580">
            <v>0</v>
          </cell>
          <cell r="CF580">
            <v>15.869353086066532</v>
          </cell>
          <cell r="CG580">
            <v>2142.25</v>
          </cell>
          <cell r="CJ580">
            <v>0</v>
          </cell>
          <cell r="CK580">
            <v>0</v>
          </cell>
          <cell r="CL580">
            <v>0</v>
          </cell>
          <cell r="CM580">
            <v>0</v>
          </cell>
          <cell r="CN580">
            <v>0</v>
          </cell>
          <cell r="CO580">
            <v>0</v>
          </cell>
          <cell r="CX580">
            <v>0</v>
          </cell>
          <cell r="CY580">
            <v>0</v>
          </cell>
          <cell r="DJ580" t="str">
            <v>НКРКП</v>
          </cell>
          <cell r="DL580">
            <v>40816</v>
          </cell>
          <cell r="DM580">
            <v>161</v>
          </cell>
        </row>
        <row r="581">
          <cell r="AF581">
            <v>39861</v>
          </cell>
          <cell r="AG581">
            <v>17</v>
          </cell>
          <cell r="AO581">
            <v>347882.04000000027</v>
          </cell>
          <cell r="AQ581">
            <v>263460.55055061769</v>
          </cell>
          <cell r="AY581">
            <v>63805.550234926901</v>
          </cell>
          <cell r="AZ581">
            <v>6506.5212753841224</v>
          </cell>
          <cell r="BC581">
            <v>0</v>
          </cell>
          <cell r="BD581">
            <v>0</v>
          </cell>
          <cell r="BG581">
            <v>0</v>
          </cell>
          <cell r="BH581">
            <v>0</v>
          </cell>
          <cell r="BI581">
            <v>3858.8144788798886</v>
          </cell>
          <cell r="BJ581">
            <v>393.49960014683126</v>
          </cell>
          <cell r="BK581">
            <v>0</v>
          </cell>
          <cell r="BL581">
            <v>0</v>
          </cell>
          <cell r="BM581">
            <v>96283.105988358438</v>
          </cell>
          <cell r="BN581">
            <v>9818.3947206271787</v>
          </cell>
          <cell r="BO581">
            <v>0</v>
          </cell>
          <cell r="BP581">
            <v>0</v>
          </cell>
          <cell r="BY581">
            <v>0</v>
          </cell>
          <cell r="CF581">
            <v>29.784362345630484</v>
          </cell>
          <cell r="CG581">
            <v>2142.25</v>
          </cell>
          <cell r="CX581">
            <v>0</v>
          </cell>
          <cell r="CY581">
            <v>0</v>
          </cell>
          <cell r="DB581">
            <v>0</v>
          </cell>
          <cell r="DC581">
            <v>0</v>
          </cell>
          <cell r="DJ581" t="str">
            <v>МОС</v>
          </cell>
          <cell r="DL581">
            <v>40084</v>
          </cell>
          <cell r="DM581">
            <v>80</v>
          </cell>
          <cell r="DO581" t="str">
            <v>на теплову енергію</v>
          </cell>
        </row>
        <row r="582">
          <cell r="AF582">
            <v>39861</v>
          </cell>
          <cell r="AG582">
            <v>17</v>
          </cell>
          <cell r="AO582">
            <v>33879.963071999984</v>
          </cell>
          <cell r="AQ582">
            <v>18247.581134352367</v>
          </cell>
          <cell r="AY582">
            <v>4340.9619889380519</v>
          </cell>
          <cell r="AZ582">
            <v>6529.7262168141606</v>
          </cell>
          <cell r="BC582">
            <v>0</v>
          </cell>
          <cell r="BD582">
            <v>0</v>
          </cell>
          <cell r="BG582">
            <v>0</v>
          </cell>
          <cell r="BH582">
            <v>0</v>
          </cell>
          <cell r="BI582">
            <v>256.31302493966206</v>
          </cell>
          <cell r="BJ582">
            <v>385.54907481898636</v>
          </cell>
          <cell r="BK582">
            <v>0</v>
          </cell>
          <cell r="BL582">
            <v>0</v>
          </cell>
          <cell r="BM582">
            <v>6837.0530571198688</v>
          </cell>
          <cell r="BN582">
            <v>10284.375838026281</v>
          </cell>
          <cell r="BO582">
            <v>0</v>
          </cell>
          <cell r="BP582">
            <v>0</v>
          </cell>
          <cell r="BY582">
            <v>0</v>
          </cell>
          <cell r="CF582">
            <v>2.0263563958165722</v>
          </cell>
          <cell r="CG582">
            <v>2142.25</v>
          </cell>
          <cell r="CX582">
            <v>0</v>
          </cell>
          <cell r="CY582">
            <v>0</v>
          </cell>
          <cell r="DB582">
            <v>0</v>
          </cell>
          <cell r="DC582">
            <v>0</v>
          </cell>
          <cell r="DJ582" t="str">
            <v>МОС</v>
          </cell>
          <cell r="DL582">
            <v>40084</v>
          </cell>
          <cell r="DM582">
            <v>80</v>
          </cell>
          <cell r="DO582" t="str">
            <v>на теплову енергію</v>
          </cell>
        </row>
        <row r="583">
          <cell r="AF583">
            <v>39861</v>
          </cell>
          <cell r="AG583">
            <v>17</v>
          </cell>
          <cell r="AM583">
            <v>9026.82</v>
          </cell>
          <cell r="AO583">
            <v>3012520.6386000002</v>
          </cell>
          <cell r="AQ583">
            <v>2823526.1847979021</v>
          </cell>
          <cell r="AU583">
            <v>0</v>
          </cell>
          <cell r="AW583">
            <v>0</v>
          </cell>
          <cell r="AY583">
            <v>2625624.587951208</v>
          </cell>
          <cell r="AZ583">
            <v>290.86927488874358</v>
          </cell>
          <cell r="BA583">
            <v>0</v>
          </cell>
          <cell r="BB583">
            <v>0</v>
          </cell>
          <cell r="BG583">
            <v>0</v>
          </cell>
          <cell r="BH583">
            <v>0</v>
          </cell>
          <cell r="BI583">
            <v>197901.59684669395</v>
          </cell>
          <cell r="BJ583">
            <v>21.923733590200531</v>
          </cell>
          <cell r="BK583">
            <v>0</v>
          </cell>
          <cell r="BL583">
            <v>0</v>
          </cell>
          <cell r="BO583">
            <v>0</v>
          </cell>
          <cell r="BP583">
            <v>0</v>
          </cell>
          <cell r="CF583">
            <v>1225.6387386865249</v>
          </cell>
          <cell r="CG583">
            <v>2142.25</v>
          </cell>
          <cell r="CJ583">
            <v>0</v>
          </cell>
          <cell r="CK583">
            <v>0</v>
          </cell>
          <cell r="CL583">
            <v>0</v>
          </cell>
          <cell r="CM583">
            <v>0</v>
          </cell>
          <cell r="CN583">
            <v>0</v>
          </cell>
          <cell r="CO583">
            <v>0</v>
          </cell>
          <cell r="CX583">
            <v>0</v>
          </cell>
          <cell r="CY583">
            <v>0</v>
          </cell>
          <cell r="DJ583" t="str">
            <v>НКРКП</v>
          </cell>
          <cell r="DL583">
            <v>40816</v>
          </cell>
          <cell r="DM583">
            <v>161</v>
          </cell>
        </row>
        <row r="584">
          <cell r="AF584">
            <v>39861</v>
          </cell>
          <cell r="AG584">
            <v>17</v>
          </cell>
          <cell r="AM584">
            <v>408.61799999999999</v>
          </cell>
          <cell r="AO584">
            <v>156014.43857999999</v>
          </cell>
          <cell r="AQ584">
            <v>127362.66520628298</v>
          </cell>
          <cell r="AU584">
            <v>0</v>
          </cell>
          <cell r="AW584">
            <v>0</v>
          </cell>
          <cell r="AY584">
            <v>118654.18835137396</v>
          </cell>
          <cell r="AZ584">
            <v>290.3792499385097</v>
          </cell>
          <cell r="BA584">
            <v>0</v>
          </cell>
          <cell r="BB584">
            <v>0</v>
          </cell>
          <cell r="BG584">
            <v>0</v>
          </cell>
          <cell r="BH584">
            <v>0</v>
          </cell>
          <cell r="BI584">
            <v>8708.4768549090168</v>
          </cell>
          <cell r="BJ584">
            <v>21.31202456795593</v>
          </cell>
          <cell r="BK584">
            <v>0</v>
          </cell>
          <cell r="BL584">
            <v>0</v>
          </cell>
          <cell r="BO584">
            <v>0</v>
          </cell>
          <cell r="BP584">
            <v>0</v>
          </cell>
          <cell r="CF584">
            <v>55.387647730831581</v>
          </cell>
          <cell r="CG584">
            <v>2142.25</v>
          </cell>
          <cell r="CJ584">
            <v>0</v>
          </cell>
          <cell r="CK584">
            <v>0</v>
          </cell>
          <cell r="CL584">
            <v>0</v>
          </cell>
          <cell r="CM584">
            <v>0</v>
          </cell>
          <cell r="CN584">
            <v>0</v>
          </cell>
          <cell r="CO584">
            <v>0</v>
          </cell>
          <cell r="CX584">
            <v>0</v>
          </cell>
          <cell r="CY584">
            <v>0</v>
          </cell>
          <cell r="DJ584" t="str">
            <v>НКРКП</v>
          </cell>
          <cell r="DL584">
            <v>40816</v>
          </cell>
          <cell r="DM584">
            <v>161</v>
          </cell>
        </row>
        <row r="585">
          <cell r="AF585">
            <v>39861</v>
          </cell>
          <cell r="AG585">
            <v>17</v>
          </cell>
          <cell r="AO585">
            <v>1816887.5999999999</v>
          </cell>
          <cell r="AQ585">
            <v>1375978.4994493825</v>
          </cell>
          <cell r="AY585">
            <v>333237.99364007305</v>
          </cell>
          <cell r="AZ585">
            <v>6506.5212753841197</v>
          </cell>
          <cell r="BC585">
            <v>0</v>
          </cell>
          <cell r="BD585">
            <v>0</v>
          </cell>
          <cell r="BG585">
            <v>0</v>
          </cell>
          <cell r="BH585">
            <v>0</v>
          </cell>
          <cell r="BI585">
            <v>20153.475521120108</v>
          </cell>
          <cell r="BJ585">
            <v>393.49960014683126</v>
          </cell>
          <cell r="BK585">
            <v>0</v>
          </cell>
          <cell r="BL585">
            <v>0</v>
          </cell>
          <cell r="BM585">
            <v>502858.90401164151</v>
          </cell>
          <cell r="BN585">
            <v>9818.3947206271787</v>
          </cell>
          <cell r="BO585">
            <v>0</v>
          </cell>
          <cell r="BP585">
            <v>0</v>
          </cell>
          <cell r="BY585">
            <v>0</v>
          </cell>
          <cell r="CF585">
            <v>155.5551376543695</v>
          </cell>
          <cell r="CG585">
            <v>2142.25</v>
          </cell>
          <cell r="CX585">
            <v>0</v>
          </cell>
          <cell r="CY585">
            <v>0</v>
          </cell>
          <cell r="DB585">
            <v>0</v>
          </cell>
          <cell r="DC585">
            <v>0</v>
          </cell>
          <cell r="DJ585" t="str">
            <v>МОС</v>
          </cell>
          <cell r="DL585">
            <v>40087</v>
          </cell>
          <cell r="DM585">
            <v>155</v>
          </cell>
          <cell r="DO585" t="str">
            <v>на теплову енергію</v>
          </cell>
        </row>
        <row r="586">
          <cell r="AF586">
            <v>39861</v>
          </cell>
          <cell r="AG586">
            <v>17</v>
          </cell>
          <cell r="AO586">
            <v>130477.34952</v>
          </cell>
          <cell r="AQ586">
            <v>63635.968865647636</v>
          </cell>
          <cell r="AY586">
            <v>15138.517261061948</v>
          </cell>
          <cell r="AZ586">
            <v>6529.7262168141597</v>
          </cell>
          <cell r="BC586">
            <v>0</v>
          </cell>
          <cell r="BD586">
            <v>0</v>
          </cell>
          <cell r="BG586">
            <v>0</v>
          </cell>
          <cell r="BH586">
            <v>0</v>
          </cell>
          <cell r="BI586">
            <v>893.85697506033796</v>
          </cell>
          <cell r="BJ586">
            <v>385.54907481898636</v>
          </cell>
          <cell r="BK586">
            <v>0</v>
          </cell>
          <cell r="BL586">
            <v>0</v>
          </cell>
          <cell r="BM586">
            <v>23843.29694288013</v>
          </cell>
          <cell r="BN586">
            <v>10284.375838026281</v>
          </cell>
          <cell r="BO586">
            <v>0</v>
          </cell>
          <cell r="BP586">
            <v>0</v>
          </cell>
          <cell r="BY586">
            <v>0</v>
          </cell>
          <cell r="CF586">
            <v>7.0666436041834277</v>
          </cell>
          <cell r="CG586">
            <v>2142.25</v>
          </cell>
          <cell r="CX586">
            <v>0</v>
          </cell>
          <cell r="CY586">
            <v>0</v>
          </cell>
          <cell r="DB586">
            <v>0</v>
          </cell>
          <cell r="DC586">
            <v>0</v>
          </cell>
          <cell r="DJ586" t="str">
            <v>МОС</v>
          </cell>
          <cell r="DL586">
            <v>40087</v>
          </cell>
          <cell r="DM586">
            <v>155</v>
          </cell>
          <cell r="DO586" t="str">
            <v>на теплову енергію</v>
          </cell>
        </row>
        <row r="587">
          <cell r="AF587">
            <v>39861</v>
          </cell>
          <cell r="AG587">
            <v>11</v>
          </cell>
          <cell r="AM587">
            <v>1613.6588999999999</v>
          </cell>
          <cell r="AO587">
            <v>179342.05014599999</v>
          </cell>
          <cell r="AQ587">
            <v>174350.28</v>
          </cell>
          <cell r="AU587">
            <v>0</v>
          </cell>
          <cell r="AW587">
            <v>0</v>
          </cell>
          <cell r="AY587">
            <v>147227.01999999999</v>
          </cell>
          <cell r="AZ587">
            <v>91.238005752021067</v>
          </cell>
          <cell r="BA587">
            <v>0</v>
          </cell>
          <cell r="BB587">
            <v>0</v>
          </cell>
          <cell r="BG587">
            <v>0</v>
          </cell>
          <cell r="BH587">
            <v>0</v>
          </cell>
          <cell r="BI587">
            <v>27123.26</v>
          </cell>
          <cell r="BJ587">
            <v>16.808546093601318</v>
          </cell>
          <cell r="BK587">
            <v>0</v>
          </cell>
          <cell r="BL587">
            <v>0</v>
          </cell>
          <cell r="BO587">
            <v>0</v>
          </cell>
          <cell r="BP587">
            <v>0</v>
          </cell>
          <cell r="CF587">
            <v>202.42399494032884</v>
          </cell>
          <cell r="CG587">
            <v>727.32</v>
          </cell>
          <cell r="CJ587">
            <v>0</v>
          </cell>
          <cell r="CK587">
            <v>0</v>
          </cell>
          <cell r="CL587">
            <v>0</v>
          </cell>
          <cell r="CM587">
            <v>0</v>
          </cell>
          <cell r="CN587">
            <v>0</v>
          </cell>
          <cell r="CO587">
            <v>0</v>
          </cell>
          <cell r="CX587">
            <v>0</v>
          </cell>
          <cell r="CY587">
            <v>0</v>
          </cell>
          <cell r="DJ587" t="str">
            <v>МОС</v>
          </cell>
          <cell r="DL587">
            <v>40563</v>
          </cell>
          <cell r="DM587">
            <v>40</v>
          </cell>
          <cell r="DO587" t="str">
            <v>тариф на послуги з централізованого опалення</v>
          </cell>
        </row>
        <row r="588">
          <cell r="AF588">
            <v>39861</v>
          </cell>
          <cell r="AG588">
            <v>11</v>
          </cell>
          <cell r="AM588">
            <v>6119.6271999999999</v>
          </cell>
          <cell r="AO588">
            <v>1831359.6358719999</v>
          </cell>
          <cell r="AQ588">
            <v>1747409.52</v>
          </cell>
          <cell r="AU588">
            <v>0</v>
          </cell>
          <cell r="AW588">
            <v>0</v>
          </cell>
          <cell r="AY588">
            <v>1644547.48</v>
          </cell>
          <cell r="AZ588">
            <v>268.7332783931675</v>
          </cell>
          <cell r="BA588">
            <v>0</v>
          </cell>
          <cell r="BB588">
            <v>0</v>
          </cell>
          <cell r="BG588">
            <v>0</v>
          </cell>
          <cell r="BH588">
            <v>0</v>
          </cell>
          <cell r="BI588">
            <v>102862.04</v>
          </cell>
          <cell r="BJ588">
            <v>16.808546768992723</v>
          </cell>
          <cell r="BK588">
            <v>0</v>
          </cell>
          <cell r="BL588">
            <v>0</v>
          </cell>
          <cell r="BO588">
            <v>0</v>
          </cell>
          <cell r="BP588">
            <v>0</v>
          </cell>
          <cell r="CF588">
            <v>767.67299801610454</v>
          </cell>
          <cell r="CG588">
            <v>2142.25</v>
          </cell>
          <cell r="CJ588">
            <v>0</v>
          </cell>
          <cell r="CK588">
            <v>0</v>
          </cell>
          <cell r="CL588">
            <v>0</v>
          </cell>
          <cell r="CM588">
            <v>0</v>
          </cell>
          <cell r="CN588">
            <v>0</v>
          </cell>
          <cell r="CO588">
            <v>0</v>
          </cell>
          <cell r="CX588">
            <v>0</v>
          </cell>
          <cell r="CY588">
            <v>0</v>
          </cell>
          <cell r="DJ588" t="str">
            <v>НКРКП</v>
          </cell>
          <cell r="DL588">
            <v>40816</v>
          </cell>
          <cell r="DM588">
            <v>161</v>
          </cell>
        </row>
        <row r="589">
          <cell r="AF589">
            <v>39861</v>
          </cell>
          <cell r="AG589">
            <v>11</v>
          </cell>
          <cell r="AM589">
            <v>62.678899999999999</v>
          </cell>
          <cell r="AO589">
            <v>21337.777926999999</v>
          </cell>
          <cell r="AQ589">
            <v>17898.060000000001</v>
          </cell>
          <cell r="AU589">
            <v>0</v>
          </cell>
          <cell r="AW589">
            <v>0</v>
          </cell>
          <cell r="AY589">
            <v>16844.509999999998</v>
          </cell>
          <cell r="AZ589">
            <v>268.74291029357568</v>
          </cell>
          <cell r="BA589">
            <v>0</v>
          </cell>
          <cell r="BB589">
            <v>0</v>
          </cell>
          <cell r="BG589">
            <v>0</v>
          </cell>
          <cell r="BH589">
            <v>0</v>
          </cell>
          <cell r="BI589">
            <v>1053.55</v>
          </cell>
          <cell r="BJ589">
            <v>16.80868681486114</v>
          </cell>
          <cell r="BK589">
            <v>0</v>
          </cell>
          <cell r="BL589">
            <v>0</v>
          </cell>
          <cell r="BO589">
            <v>0</v>
          </cell>
          <cell r="BP589">
            <v>0</v>
          </cell>
          <cell r="CF589">
            <v>7.862999183101878</v>
          </cell>
          <cell r="CG589">
            <v>2142.25</v>
          </cell>
          <cell r="CJ589">
            <v>0</v>
          </cell>
          <cell r="CK589">
            <v>0</v>
          </cell>
          <cell r="CL589">
            <v>0</v>
          </cell>
          <cell r="CM589">
            <v>0</v>
          </cell>
          <cell r="CN589">
            <v>0</v>
          </cell>
          <cell r="CO589">
            <v>0</v>
          </cell>
          <cell r="CX589">
            <v>0</v>
          </cell>
          <cell r="CY589">
            <v>0</v>
          </cell>
          <cell r="DJ589" t="str">
            <v>НКРКП</v>
          </cell>
          <cell r="DL589">
            <v>40816</v>
          </cell>
          <cell r="DM589">
            <v>161</v>
          </cell>
        </row>
        <row r="590">
          <cell r="AF590">
            <v>39861</v>
          </cell>
          <cell r="AG590">
            <v>11</v>
          </cell>
          <cell r="AO590">
            <v>254539.39036439999</v>
          </cell>
          <cell r="AQ590">
            <v>242883.1</v>
          </cell>
          <cell r="AY590">
            <v>17628.78</v>
          </cell>
          <cell r="AZ590">
            <v>1967.6339210972185</v>
          </cell>
          <cell r="BC590">
            <v>0</v>
          </cell>
          <cell r="BD590">
            <v>0</v>
          </cell>
          <cell r="BG590">
            <v>0</v>
          </cell>
          <cell r="BH590">
            <v>0</v>
          </cell>
          <cell r="BI590">
            <v>2854.49</v>
          </cell>
          <cell r="BJ590">
            <v>318.60351943996119</v>
          </cell>
          <cell r="BK590">
            <v>0</v>
          </cell>
          <cell r="BL590">
            <v>0</v>
          </cell>
          <cell r="BM590">
            <v>190563.05</v>
          </cell>
          <cell r="BN590">
            <v>21269.669329797372</v>
          </cell>
          <cell r="BO590">
            <v>0</v>
          </cell>
          <cell r="BP590">
            <v>0</v>
          </cell>
          <cell r="BY590">
            <v>1605</v>
          </cell>
          <cell r="CF590">
            <v>24.237997030193036</v>
          </cell>
          <cell r="CG590">
            <v>727.32</v>
          </cell>
          <cell r="CX590">
            <v>0</v>
          </cell>
          <cell r="CY590">
            <v>0</v>
          </cell>
          <cell r="DB590">
            <v>0</v>
          </cell>
          <cell r="DC590">
            <v>0</v>
          </cell>
          <cell r="DJ590" t="str">
            <v>МОС</v>
          </cell>
          <cell r="DL590">
            <v>40563</v>
          </cell>
          <cell r="DM590">
            <v>40</v>
          </cell>
          <cell r="DO590" t="str">
            <v>тариф на послуги з централізованого опалення</v>
          </cell>
        </row>
        <row r="591">
          <cell r="AF591">
            <v>39861</v>
          </cell>
          <cell r="AG591">
            <v>11</v>
          </cell>
          <cell r="AO591">
            <v>1247057.5940355998</v>
          </cell>
          <cell r="AQ591">
            <v>1051166.1000000001</v>
          </cell>
          <cell r="AY591">
            <v>196913.48</v>
          </cell>
          <cell r="AZ591">
            <v>5795.5684742657895</v>
          </cell>
          <cell r="BC591">
            <v>0</v>
          </cell>
          <cell r="BD591">
            <v>0</v>
          </cell>
          <cell r="BG591">
            <v>0</v>
          </cell>
          <cell r="BH591">
            <v>0</v>
          </cell>
          <cell r="BI591">
            <v>10825.35</v>
          </cell>
          <cell r="BJ591">
            <v>318.61230212829082</v>
          </cell>
          <cell r="BK591">
            <v>0</v>
          </cell>
          <cell r="BL591">
            <v>0</v>
          </cell>
          <cell r="BM591">
            <v>720711.81</v>
          </cell>
          <cell r="BN591">
            <v>21212.029999505543</v>
          </cell>
          <cell r="BO591">
            <v>0</v>
          </cell>
          <cell r="BP591">
            <v>0</v>
          </cell>
          <cell r="BY591">
            <v>1605</v>
          </cell>
          <cell r="CF591">
            <v>91.919001050297595</v>
          </cell>
          <cell r="CG591">
            <v>2142.25</v>
          </cell>
          <cell r="CX591">
            <v>0</v>
          </cell>
          <cell r="CY591">
            <v>0</v>
          </cell>
          <cell r="DB591">
            <v>0</v>
          </cell>
          <cell r="DC591">
            <v>0</v>
          </cell>
          <cell r="DJ591" t="str">
            <v>МОС</v>
          </cell>
          <cell r="DL591">
            <v>40101</v>
          </cell>
          <cell r="DM591">
            <v>1522</v>
          </cell>
          <cell r="DO591" t="str">
            <v>тарифи на виробництво, транспортування, постачання теплової енергії та послуги з централізованого опалення</v>
          </cell>
        </row>
        <row r="592">
          <cell r="AF592">
            <v>39861</v>
          </cell>
          <cell r="AG592">
            <v>11</v>
          </cell>
          <cell r="AO592">
            <v>18791.089980000001</v>
          </cell>
          <cell r="AQ592">
            <v>10765.34</v>
          </cell>
          <cell r="AY592">
            <v>2015.86</v>
          </cell>
          <cell r="AZ592">
            <v>5792.7011494252865</v>
          </cell>
          <cell r="BC592">
            <v>0</v>
          </cell>
          <cell r="BD592">
            <v>0</v>
          </cell>
          <cell r="BG592">
            <v>0</v>
          </cell>
          <cell r="BH592">
            <v>0</v>
          </cell>
          <cell r="BI592">
            <v>110.88</v>
          </cell>
          <cell r="BJ592">
            <v>318.62068965517238</v>
          </cell>
          <cell r="BK592">
            <v>0</v>
          </cell>
          <cell r="BL592">
            <v>0</v>
          </cell>
          <cell r="BM592">
            <v>7213.31</v>
          </cell>
          <cell r="BN592">
            <v>20727.902298850575</v>
          </cell>
          <cell r="BO592">
            <v>0</v>
          </cell>
          <cell r="BP592">
            <v>0</v>
          </cell>
          <cell r="BY592">
            <v>1605</v>
          </cell>
          <cell r="CF592">
            <v>0.9410012836970475</v>
          </cell>
          <cell r="CG592">
            <v>2142.25</v>
          </cell>
          <cell r="CX592">
            <v>0</v>
          </cell>
          <cell r="CY592">
            <v>0</v>
          </cell>
          <cell r="DB592">
            <v>0</v>
          </cell>
          <cell r="DC592">
            <v>0</v>
          </cell>
          <cell r="DJ592" t="str">
            <v>МОС</v>
          </cell>
          <cell r="DL592">
            <v>40101</v>
          </cell>
          <cell r="DM592">
            <v>1522</v>
          </cell>
          <cell r="DO592" t="str">
            <v>тарифи на виробництво, транспортування, постачання теплової енергії та послуги з централізованого опалення</v>
          </cell>
        </row>
        <row r="593">
          <cell r="AF593">
            <v>39861</v>
          </cell>
          <cell r="AG593">
            <v>8</v>
          </cell>
          <cell r="AM593">
            <v>306.40699999999998</v>
          </cell>
          <cell r="AO593">
            <v>37016.518991666664</v>
          </cell>
          <cell r="AQ593">
            <v>36101.96</v>
          </cell>
          <cell r="AU593">
            <v>0</v>
          </cell>
          <cell r="AW593">
            <v>0</v>
          </cell>
          <cell r="AY593">
            <v>30116.13924</v>
          </cell>
          <cell r="AZ593">
            <v>98.288026187391281</v>
          </cell>
          <cell r="BA593">
            <v>0</v>
          </cell>
          <cell r="BB593">
            <v>0</v>
          </cell>
          <cell r="BG593">
            <v>0</v>
          </cell>
          <cell r="BH593">
            <v>0</v>
          </cell>
          <cell r="BI593">
            <v>5985.82</v>
          </cell>
          <cell r="BJ593">
            <v>19.535519749875167</v>
          </cell>
          <cell r="BK593">
            <v>0</v>
          </cell>
          <cell r="BL593">
            <v>0</v>
          </cell>
          <cell r="BO593">
            <v>0</v>
          </cell>
          <cell r="BP593">
            <v>0</v>
          </cell>
          <cell r="CF593">
            <v>41.406999999999996</v>
          </cell>
          <cell r="CG593">
            <v>727.32</v>
          </cell>
          <cell r="CJ593">
            <v>0</v>
          </cell>
          <cell r="CK593">
            <v>0</v>
          </cell>
          <cell r="CL593">
            <v>0</v>
          </cell>
          <cell r="CM593">
            <v>0</v>
          </cell>
          <cell r="CN593">
            <v>0</v>
          </cell>
          <cell r="CO593">
            <v>0</v>
          </cell>
          <cell r="CX593">
            <v>0</v>
          </cell>
          <cell r="CY593">
            <v>0</v>
          </cell>
          <cell r="DJ593" t="str">
            <v>ОДА</v>
          </cell>
          <cell r="DL593">
            <v>40541</v>
          </cell>
          <cell r="DM593" t="str">
            <v>106-В</v>
          </cell>
          <cell r="DO593" t="str">
            <v>тарифи на постачання теплової енергії</v>
          </cell>
        </row>
        <row r="594">
          <cell r="AF594">
            <v>39861</v>
          </cell>
          <cell r="AG594">
            <v>8</v>
          </cell>
          <cell r="AM594">
            <v>5260.0596999999998</v>
          </cell>
          <cell r="AO594">
            <v>1679142.5577325001</v>
          </cell>
          <cell r="AQ594">
            <v>1625546.6</v>
          </cell>
          <cell r="AU594">
            <v>0</v>
          </cell>
          <cell r="AW594">
            <v>0</v>
          </cell>
          <cell r="AY594">
            <v>1522788.4210000001</v>
          </cell>
          <cell r="AZ594">
            <v>289.5002163188376</v>
          </cell>
          <cell r="BA594">
            <v>0</v>
          </cell>
          <cell r="BB594">
            <v>0</v>
          </cell>
          <cell r="BG594">
            <v>0</v>
          </cell>
          <cell r="BH594">
            <v>0</v>
          </cell>
          <cell r="BI594">
            <v>102758.18</v>
          </cell>
          <cell r="BJ594">
            <v>19.535553940575998</v>
          </cell>
          <cell r="BK594">
            <v>0</v>
          </cell>
          <cell r="BL594">
            <v>0</v>
          </cell>
          <cell r="BO594">
            <v>0</v>
          </cell>
          <cell r="BP594">
            <v>0</v>
          </cell>
          <cell r="CF594">
            <v>710.83600000000001</v>
          </cell>
          <cell r="CG594">
            <v>2142.25</v>
          </cell>
          <cell r="CJ594">
            <v>0</v>
          </cell>
          <cell r="CK594">
            <v>0</v>
          </cell>
          <cell r="CL594">
            <v>0</v>
          </cell>
          <cell r="CM594">
            <v>0</v>
          </cell>
          <cell r="CN594">
            <v>0</v>
          </cell>
          <cell r="CO594">
            <v>0</v>
          </cell>
          <cell r="CX594">
            <v>0</v>
          </cell>
          <cell r="CY594">
            <v>0</v>
          </cell>
          <cell r="DJ594" t="str">
            <v>НКРКП</v>
          </cell>
          <cell r="DL594">
            <v>40816</v>
          </cell>
          <cell r="DM594">
            <v>161</v>
          </cell>
        </row>
        <row r="595">
          <cell r="AF595">
            <v>39861</v>
          </cell>
          <cell r="AG595">
            <v>8</v>
          </cell>
          <cell r="AM595">
            <v>158.66730000000001</v>
          </cell>
          <cell r="AO595">
            <v>50650.568842500004</v>
          </cell>
          <cell r="AQ595">
            <v>49033.78</v>
          </cell>
          <cell r="AU595">
            <v>0</v>
          </cell>
          <cell r="AW595">
            <v>0</v>
          </cell>
          <cell r="AY595">
            <v>45934.124499999998</v>
          </cell>
          <cell r="AZ595">
            <v>289.4996290981191</v>
          </cell>
          <cell r="BA595">
            <v>0</v>
          </cell>
          <cell r="BB595">
            <v>0</v>
          </cell>
          <cell r="BG595">
            <v>0</v>
          </cell>
          <cell r="BH595">
            <v>0</v>
          </cell>
          <cell r="BI595">
            <v>3099.66</v>
          </cell>
          <cell r="BJ595">
            <v>19.535594290695055</v>
          </cell>
          <cell r="BK595">
            <v>0</v>
          </cell>
          <cell r="BL595">
            <v>0</v>
          </cell>
          <cell r="BO595">
            <v>0</v>
          </cell>
          <cell r="BP595">
            <v>0</v>
          </cell>
          <cell r="CF595">
            <v>21.442</v>
          </cell>
          <cell r="CG595">
            <v>2142.25</v>
          </cell>
          <cell r="CJ595">
            <v>0</v>
          </cell>
          <cell r="CK595">
            <v>0</v>
          </cell>
          <cell r="CL595">
            <v>0</v>
          </cell>
          <cell r="CM595">
            <v>0</v>
          </cell>
          <cell r="CN595">
            <v>0</v>
          </cell>
          <cell r="CO595">
            <v>0</v>
          </cell>
          <cell r="CX595">
            <v>0</v>
          </cell>
          <cell r="CY595">
            <v>0</v>
          </cell>
          <cell r="DJ595" t="str">
            <v>НКРКП</v>
          </cell>
          <cell r="DL595">
            <v>40816</v>
          </cell>
          <cell r="DM595">
            <v>161</v>
          </cell>
        </row>
        <row r="596">
          <cell r="AF596">
            <v>39861</v>
          </cell>
          <cell r="AG596">
            <v>8</v>
          </cell>
          <cell r="AO596">
            <v>42854.830018333334</v>
          </cell>
          <cell r="AQ596">
            <v>40718.06</v>
          </cell>
          <cell r="AY596">
            <v>4507.2</v>
          </cell>
          <cell r="AZ596">
            <v>2679.0299572039944</v>
          </cell>
          <cell r="BC596">
            <v>0</v>
          </cell>
          <cell r="BD596">
            <v>0</v>
          </cell>
          <cell r="BG596">
            <v>0</v>
          </cell>
          <cell r="BH596">
            <v>0</v>
          </cell>
          <cell r="BI596">
            <v>774.37</v>
          </cell>
          <cell r="BJ596">
            <v>460.27698525915361</v>
          </cell>
          <cell r="BK596">
            <v>0</v>
          </cell>
          <cell r="BL596">
            <v>0</v>
          </cell>
          <cell r="BM596">
            <v>30652.01</v>
          </cell>
          <cell r="BN596">
            <v>18219.216595339993</v>
          </cell>
          <cell r="BO596">
            <v>0</v>
          </cell>
          <cell r="BP596">
            <v>0</v>
          </cell>
          <cell r="BY596">
            <v>1605</v>
          </cell>
          <cell r="CF596">
            <v>6.1969971951823126</v>
          </cell>
          <cell r="CG596">
            <v>727.32</v>
          </cell>
          <cell r="CX596">
            <v>0</v>
          </cell>
          <cell r="CY596">
            <v>0</v>
          </cell>
          <cell r="DB596">
            <v>0</v>
          </cell>
          <cell r="DC596">
            <v>0</v>
          </cell>
          <cell r="DJ596" t="str">
            <v>ОДА</v>
          </cell>
          <cell r="DL596">
            <v>40541</v>
          </cell>
          <cell r="DM596" t="str">
            <v>106-В</v>
          </cell>
          <cell r="DO596" t="str">
            <v>тарифи на постачання теплової енергії</v>
          </cell>
        </row>
        <row r="597">
          <cell r="AF597">
            <v>39861</v>
          </cell>
          <cell r="AG597">
            <v>8</v>
          </cell>
          <cell r="AO597">
            <v>974572.6075066668</v>
          </cell>
          <cell r="AQ597">
            <v>849533.93</v>
          </cell>
          <cell r="AY597">
            <v>227905.41</v>
          </cell>
          <cell r="AZ597">
            <v>7891.0243892305143</v>
          </cell>
          <cell r="BC597">
            <v>0</v>
          </cell>
          <cell r="BD597">
            <v>0</v>
          </cell>
          <cell r="BG597">
            <v>0</v>
          </cell>
          <cell r="BH597">
            <v>0</v>
          </cell>
          <cell r="BI597">
            <v>13293.49</v>
          </cell>
          <cell r="BJ597">
            <v>460.27540025483353</v>
          </cell>
          <cell r="BK597">
            <v>0</v>
          </cell>
          <cell r="BL597">
            <v>0</v>
          </cell>
          <cell r="BM597">
            <v>526316.01</v>
          </cell>
          <cell r="BN597">
            <v>18223.228976234004</v>
          </cell>
          <cell r="BO597">
            <v>0</v>
          </cell>
          <cell r="BP597">
            <v>0</v>
          </cell>
          <cell r="BY597">
            <v>1605</v>
          </cell>
          <cell r="CF597">
            <v>106.38600070019839</v>
          </cell>
          <cell r="CG597">
            <v>2142.25</v>
          </cell>
          <cell r="CX597">
            <v>0</v>
          </cell>
          <cell r="CY597">
            <v>0</v>
          </cell>
          <cell r="DB597">
            <v>0</v>
          </cell>
          <cell r="DC597">
            <v>0</v>
          </cell>
          <cell r="DJ597" t="str">
            <v>МОС</v>
          </cell>
          <cell r="DL597">
            <v>39896</v>
          </cell>
          <cell r="DM597">
            <v>65</v>
          </cell>
          <cell r="DO597" t="str">
            <v>тарифи на виробництво, транспортування, постачання теплової енергії</v>
          </cell>
        </row>
        <row r="598">
          <cell r="AF598">
            <v>39861</v>
          </cell>
          <cell r="AG598">
            <v>8</v>
          </cell>
          <cell r="AO598">
            <v>29397.340225000004</v>
          </cell>
          <cell r="AQ598">
            <v>25625.61</v>
          </cell>
          <cell r="AY598">
            <v>6874.4800000000005</v>
          </cell>
          <cell r="AZ598">
            <v>7890.8172635445371</v>
          </cell>
          <cell r="BC598">
            <v>0</v>
          </cell>
          <cell r="BD598">
            <v>0</v>
          </cell>
          <cell r="BG598">
            <v>0</v>
          </cell>
          <cell r="BH598">
            <v>0</v>
          </cell>
          <cell r="BI598">
            <v>400.99</v>
          </cell>
          <cell r="BJ598">
            <v>460.27318640955008</v>
          </cell>
          <cell r="BK598">
            <v>0</v>
          </cell>
          <cell r="BL598">
            <v>0</v>
          </cell>
          <cell r="BM598">
            <v>15881.25</v>
          </cell>
          <cell r="BN598">
            <v>18229.166666666668</v>
          </cell>
          <cell r="BO598">
            <v>0</v>
          </cell>
          <cell r="BP598">
            <v>0</v>
          </cell>
          <cell r="BY598">
            <v>1605</v>
          </cell>
          <cell r="CF598">
            <v>3.2089998833002684</v>
          </cell>
          <cell r="CG598">
            <v>2142.25</v>
          </cell>
          <cell r="CX598">
            <v>0</v>
          </cell>
          <cell r="CY598">
            <v>0</v>
          </cell>
          <cell r="DB598">
            <v>0</v>
          </cell>
          <cell r="DC598">
            <v>0</v>
          </cell>
          <cell r="DJ598" t="str">
            <v>МОС</v>
          </cell>
          <cell r="DL598">
            <v>39896</v>
          </cell>
          <cell r="DM598">
            <v>65</v>
          </cell>
          <cell r="DO598" t="str">
            <v>тарифи на виробництво, транспортування, постачання теплової енергії</v>
          </cell>
        </row>
        <row r="599">
          <cell r="AF599">
            <v>39861</v>
          </cell>
          <cell r="AG599">
            <v>20</v>
          </cell>
          <cell r="AM599">
            <v>2242.9198999999999</v>
          </cell>
          <cell r="AO599">
            <v>297366.32034199999</v>
          </cell>
          <cell r="AQ599">
            <v>290844.46999999997</v>
          </cell>
          <cell r="AU599">
            <v>0</v>
          </cell>
          <cell r="AW599">
            <v>0</v>
          </cell>
          <cell r="AY599">
            <v>220914.72216</v>
          </cell>
          <cell r="AZ599">
            <v>98.494253923200745</v>
          </cell>
          <cell r="BA599">
            <v>0</v>
          </cell>
          <cell r="BB599">
            <v>0</v>
          </cell>
          <cell r="BG599">
            <v>0</v>
          </cell>
          <cell r="BH599">
            <v>0</v>
          </cell>
          <cell r="BI599">
            <v>69929.75</v>
          </cell>
          <cell r="BJ599">
            <v>31.177997038592419</v>
          </cell>
          <cell r="BK599">
            <v>0</v>
          </cell>
          <cell r="BL599">
            <v>0</v>
          </cell>
          <cell r="BO599">
            <v>0</v>
          </cell>
          <cell r="BP599">
            <v>0</v>
          </cell>
          <cell r="CF599">
            <v>303.738</v>
          </cell>
          <cell r="CG599">
            <v>727.32</v>
          </cell>
          <cell r="CJ599">
            <v>0</v>
          </cell>
          <cell r="CK599">
            <v>0</v>
          </cell>
          <cell r="CL599">
            <v>0</v>
          </cell>
          <cell r="CM599">
            <v>0</v>
          </cell>
          <cell r="CN599">
            <v>0</v>
          </cell>
          <cell r="CO599">
            <v>0</v>
          </cell>
          <cell r="CX599">
            <v>0</v>
          </cell>
          <cell r="CY599">
            <v>0</v>
          </cell>
          <cell r="DJ599" t="str">
            <v>МОС</v>
          </cell>
          <cell r="DL599">
            <v>40555</v>
          </cell>
          <cell r="DM599">
            <v>3</v>
          </cell>
          <cell r="DO599" t="str">
            <v>тарифи на послуги з централізованого опалення</v>
          </cell>
        </row>
        <row r="600">
          <cell r="AF600">
            <v>39861</v>
          </cell>
          <cell r="AG600">
            <v>20</v>
          </cell>
          <cell r="AM600">
            <v>5478.8395</v>
          </cell>
          <cell r="AO600">
            <v>1873215.2250499998</v>
          </cell>
          <cell r="AQ600">
            <v>1760257.35</v>
          </cell>
          <cell r="AU600">
            <v>0</v>
          </cell>
          <cell r="AW600">
            <v>0</v>
          </cell>
          <cell r="AY600">
            <v>1589438.1029999999</v>
          </cell>
          <cell r="AZ600">
            <v>290.10488498522358</v>
          </cell>
          <cell r="BA600">
            <v>0</v>
          </cell>
          <cell r="BB600">
            <v>0</v>
          </cell>
          <cell r="BG600">
            <v>0</v>
          </cell>
          <cell r="BH600">
            <v>0</v>
          </cell>
          <cell r="BI600">
            <v>170819.25</v>
          </cell>
          <cell r="BJ600">
            <v>31.177998552430672</v>
          </cell>
          <cell r="BK600">
            <v>0</v>
          </cell>
          <cell r="BL600">
            <v>0</v>
          </cell>
          <cell r="BO600">
            <v>0</v>
          </cell>
          <cell r="BP600">
            <v>0</v>
          </cell>
          <cell r="CF600">
            <v>741.94799999999998</v>
          </cell>
          <cell r="CG600">
            <v>2142.25</v>
          </cell>
          <cell r="CJ600">
            <v>0</v>
          </cell>
          <cell r="CK600">
            <v>0</v>
          </cell>
          <cell r="CL600">
            <v>0</v>
          </cell>
          <cell r="CM600">
            <v>0</v>
          </cell>
          <cell r="CN600">
            <v>0</v>
          </cell>
          <cell r="CO600">
            <v>0</v>
          </cell>
          <cell r="CX600">
            <v>0</v>
          </cell>
          <cell r="CY600">
            <v>0</v>
          </cell>
          <cell r="DJ600" t="str">
            <v>НКРКП</v>
          </cell>
          <cell r="DL600">
            <v>40816</v>
          </cell>
          <cell r="DM600">
            <v>161</v>
          </cell>
        </row>
        <row r="601">
          <cell r="AF601">
            <v>39861</v>
          </cell>
          <cell r="AG601">
            <v>20</v>
          </cell>
          <cell r="AM601">
            <v>385.2706</v>
          </cell>
          <cell r="AO601">
            <v>150261.95517666667</v>
          </cell>
          <cell r="AQ601">
            <v>123779.58</v>
          </cell>
          <cell r="AU601">
            <v>0</v>
          </cell>
          <cell r="AW601">
            <v>0</v>
          </cell>
          <cell r="AY601">
            <v>111767.60925000001</v>
          </cell>
          <cell r="AZ601">
            <v>290.10157860475209</v>
          </cell>
          <cell r="BA601">
            <v>0</v>
          </cell>
          <cell r="BB601">
            <v>0</v>
          </cell>
          <cell r="BG601">
            <v>0</v>
          </cell>
          <cell r="BH601">
            <v>0</v>
          </cell>
          <cell r="BI601">
            <v>12011.97</v>
          </cell>
          <cell r="BJ601">
            <v>31.178008392023681</v>
          </cell>
          <cell r="BK601">
            <v>0</v>
          </cell>
          <cell r="BL601">
            <v>0</v>
          </cell>
          <cell r="BO601">
            <v>0</v>
          </cell>
          <cell r="BP601">
            <v>0</v>
          </cell>
          <cell r="CF601">
            <v>52.173000000000002</v>
          </cell>
          <cell r="CG601">
            <v>2142.25</v>
          </cell>
          <cell r="CJ601">
            <v>0</v>
          </cell>
          <cell r="CK601">
            <v>0</v>
          </cell>
          <cell r="CL601">
            <v>0</v>
          </cell>
          <cell r="CM601">
            <v>0</v>
          </cell>
          <cell r="CN601">
            <v>0</v>
          </cell>
          <cell r="CO601">
            <v>0</v>
          </cell>
          <cell r="CX601">
            <v>0</v>
          </cell>
          <cell r="CY601">
            <v>0</v>
          </cell>
          <cell r="DJ601" t="str">
            <v>НКРКП</v>
          </cell>
          <cell r="DL601">
            <v>40816</v>
          </cell>
          <cell r="DM601">
            <v>161</v>
          </cell>
        </row>
        <row r="602">
          <cell r="AF602">
            <v>39861</v>
          </cell>
          <cell r="AG602">
            <v>20</v>
          </cell>
          <cell r="AO602">
            <v>258120.63277</v>
          </cell>
          <cell r="AQ602">
            <v>242912.2</v>
          </cell>
          <cell r="AY602">
            <v>33035.601719999999</v>
          </cell>
          <cell r="AZ602">
            <v>2711.4811484290353</v>
          </cell>
          <cell r="BC602">
            <v>0</v>
          </cell>
          <cell r="BD602">
            <v>0</v>
          </cell>
          <cell r="BG602">
            <v>0</v>
          </cell>
          <cell r="BH602">
            <v>0</v>
          </cell>
          <cell r="BI602">
            <v>4155.04</v>
          </cell>
          <cell r="BJ602">
            <v>341.03549033126495</v>
          </cell>
          <cell r="BK602">
            <v>0</v>
          </cell>
          <cell r="BL602">
            <v>0</v>
          </cell>
          <cell r="BM602">
            <v>171380.45</v>
          </cell>
          <cell r="BN602">
            <v>14066.486916839029</v>
          </cell>
          <cell r="BO602">
            <v>0</v>
          </cell>
          <cell r="BP602">
            <v>0</v>
          </cell>
          <cell r="BY602">
            <v>1605</v>
          </cell>
          <cell r="CF602">
            <v>45.420999999999999</v>
          </cell>
          <cell r="CG602">
            <v>727.32</v>
          </cell>
          <cell r="CX602">
            <v>0</v>
          </cell>
          <cell r="CY602">
            <v>0</v>
          </cell>
          <cell r="DB602">
            <v>0</v>
          </cell>
          <cell r="DC602">
            <v>0</v>
          </cell>
          <cell r="DJ602" t="str">
            <v>МОС</v>
          </cell>
          <cell r="DL602">
            <v>40555</v>
          </cell>
          <cell r="DM602">
            <v>3</v>
          </cell>
          <cell r="DO602" t="str">
            <v>тарифи на послуги з централізованого опалення</v>
          </cell>
        </row>
        <row r="603">
          <cell r="AF603">
            <v>39861</v>
          </cell>
          <cell r="AG603">
            <v>20</v>
          </cell>
          <cell r="AO603">
            <v>1013967.8868200001</v>
          </cell>
          <cell r="AQ603">
            <v>750353.72</v>
          </cell>
          <cell r="AY603">
            <v>237682.63750000001</v>
          </cell>
          <cell r="AZ603">
            <v>7986.3257361934329</v>
          </cell>
          <cell r="BC603">
            <v>0</v>
          </cell>
          <cell r="BD603">
            <v>0</v>
          </cell>
          <cell r="BG603">
            <v>0</v>
          </cell>
          <cell r="BH603">
            <v>0</v>
          </cell>
          <cell r="BI603">
            <v>10149.620000000001</v>
          </cell>
          <cell r="BJ603">
            <v>341.03530771608672</v>
          </cell>
          <cell r="BK603">
            <v>0</v>
          </cell>
          <cell r="BL603">
            <v>0</v>
          </cell>
          <cell r="BM603">
            <v>418633.07</v>
          </cell>
          <cell r="BN603">
            <v>14066.404244452509</v>
          </cell>
          <cell r="BO603">
            <v>0</v>
          </cell>
          <cell r="BP603">
            <v>0</v>
          </cell>
          <cell r="BY603">
            <v>1605</v>
          </cell>
          <cell r="CF603">
            <v>110.95</v>
          </cell>
          <cell r="CG603">
            <v>2142.25</v>
          </cell>
          <cell r="CX603">
            <v>0</v>
          </cell>
          <cell r="CY603">
            <v>0</v>
          </cell>
          <cell r="DB603">
            <v>0</v>
          </cell>
          <cell r="DC603">
            <v>0</v>
          </cell>
          <cell r="DJ603" t="str">
            <v>МОС</v>
          </cell>
          <cell r="DL603">
            <v>40093</v>
          </cell>
          <cell r="DM603">
            <v>614</v>
          </cell>
          <cell r="DO603" t="str">
            <v>тарифи на виробництво, транспортування, постачання теплової енергії</v>
          </cell>
        </row>
        <row r="604">
          <cell r="AF604">
            <v>39861</v>
          </cell>
          <cell r="AG604">
            <v>20</v>
          </cell>
          <cell r="AO604">
            <v>114555.19953333335</v>
          </cell>
          <cell r="AQ604">
            <v>52764.7</v>
          </cell>
          <cell r="AY604">
            <v>16713.834500000001</v>
          </cell>
          <cell r="AZ604">
            <v>7986.3505829510714</v>
          </cell>
          <cell r="BC604">
            <v>0</v>
          </cell>
          <cell r="BD604">
            <v>0</v>
          </cell>
          <cell r="BG604">
            <v>0</v>
          </cell>
          <cell r="BH604">
            <v>0</v>
          </cell>
          <cell r="BI604">
            <v>713.72</v>
          </cell>
          <cell r="BJ604">
            <v>341.03593272171253</v>
          </cell>
          <cell r="BK604">
            <v>0</v>
          </cell>
          <cell r="BL604">
            <v>0</v>
          </cell>
          <cell r="BM604">
            <v>29433.38</v>
          </cell>
          <cell r="BN604">
            <v>14064.115061162081</v>
          </cell>
          <cell r="BO604">
            <v>0</v>
          </cell>
          <cell r="BP604">
            <v>0</v>
          </cell>
          <cell r="BY604">
            <v>1605</v>
          </cell>
          <cell r="CF604">
            <v>7.8019999999999996</v>
          </cell>
          <cell r="CG604">
            <v>2142.25</v>
          </cell>
          <cell r="CX604">
            <v>0</v>
          </cell>
          <cell r="CY604">
            <v>0</v>
          </cell>
          <cell r="DB604">
            <v>0</v>
          </cell>
          <cell r="DC604">
            <v>0</v>
          </cell>
          <cell r="DJ604" t="str">
            <v>МОС</v>
          </cell>
          <cell r="DL604">
            <v>40093</v>
          </cell>
          <cell r="DM604">
            <v>614</v>
          </cell>
          <cell r="DO604" t="str">
            <v>тарифи на виробництво, транспортування, постачання теплової енергії</v>
          </cell>
        </row>
        <row r="605">
          <cell r="AF605">
            <v>39861</v>
          </cell>
          <cell r="AG605">
            <v>23</v>
          </cell>
          <cell r="AM605">
            <v>13304.7793</v>
          </cell>
          <cell r="AO605">
            <v>1682500.2156458334</v>
          </cell>
          <cell r="AQ605">
            <v>1645582.23</v>
          </cell>
          <cell r="AU605">
            <v>0</v>
          </cell>
          <cell r="AW605">
            <v>0</v>
          </cell>
          <cell r="AY605">
            <v>1285882.1223600002</v>
          </cell>
          <cell r="AZ605">
            <v>96.648136234773929</v>
          </cell>
          <cell r="BA605">
            <v>0</v>
          </cell>
          <cell r="BB605">
            <v>0</v>
          </cell>
          <cell r="BG605">
            <v>0</v>
          </cell>
          <cell r="BH605">
            <v>0</v>
          </cell>
          <cell r="BI605">
            <v>359700.11</v>
          </cell>
          <cell r="BJ605">
            <v>27.03540599128916</v>
          </cell>
          <cell r="BK605">
            <v>0</v>
          </cell>
          <cell r="BL605">
            <v>0</v>
          </cell>
          <cell r="BO605">
            <v>0</v>
          </cell>
          <cell r="BP605">
            <v>0</v>
          </cell>
          <cell r="CF605">
            <v>1767.973</v>
          </cell>
          <cell r="CG605">
            <v>727.32</v>
          </cell>
          <cell r="CJ605">
            <v>0</v>
          </cell>
          <cell r="CK605">
            <v>0</v>
          </cell>
          <cell r="CL605">
            <v>0</v>
          </cell>
          <cell r="CM605">
            <v>0</v>
          </cell>
          <cell r="CN605">
            <v>0</v>
          </cell>
          <cell r="CO605">
            <v>0</v>
          </cell>
          <cell r="CX605">
            <v>0</v>
          </cell>
          <cell r="CY605">
            <v>0</v>
          </cell>
          <cell r="DJ605" t="str">
            <v>МОС</v>
          </cell>
          <cell r="DL605">
            <v>40590</v>
          </cell>
          <cell r="DM605">
            <v>147</v>
          </cell>
          <cell r="DO605" t="str">
            <v>тарифи на послуги з централізованого опалення</v>
          </cell>
        </row>
        <row r="606">
          <cell r="AF606">
            <v>39861</v>
          </cell>
          <cell r="AG606">
            <v>23</v>
          </cell>
          <cell r="AM606">
            <v>16622.799800000001</v>
          </cell>
          <cell r="AO606">
            <v>5510319.6103683338</v>
          </cell>
          <cell r="AQ606">
            <v>5181377.3099999996</v>
          </cell>
          <cell r="AU606">
            <v>0</v>
          </cell>
          <cell r="AW606">
            <v>0</v>
          </cell>
          <cell r="AY606">
            <v>4731973.1800000006</v>
          </cell>
          <cell r="AZ606">
            <v>284.66763944302573</v>
          </cell>
          <cell r="BA606">
            <v>0</v>
          </cell>
          <cell r="BB606">
            <v>0</v>
          </cell>
          <cell r="BG606">
            <v>0</v>
          </cell>
          <cell r="BH606">
            <v>0</v>
          </cell>
          <cell r="BI606">
            <v>449404.13</v>
          </cell>
          <cell r="BJ606">
            <v>27.035405311203952</v>
          </cell>
          <cell r="BK606">
            <v>0</v>
          </cell>
          <cell r="BL606">
            <v>0</v>
          </cell>
          <cell r="BO606">
            <v>0</v>
          </cell>
          <cell r="BP606">
            <v>0</v>
          </cell>
          <cell r="CF606">
            <v>2208.88</v>
          </cell>
          <cell r="CG606">
            <v>2142.25</v>
          </cell>
          <cell r="CJ606">
            <v>0</v>
          </cell>
          <cell r="CK606">
            <v>0</v>
          </cell>
          <cell r="CL606">
            <v>0</v>
          </cell>
          <cell r="CM606">
            <v>0</v>
          </cell>
          <cell r="CN606">
            <v>0</v>
          </cell>
          <cell r="CO606">
            <v>0</v>
          </cell>
          <cell r="CX606">
            <v>0</v>
          </cell>
          <cell r="CY606">
            <v>0</v>
          </cell>
          <cell r="DJ606" t="str">
            <v>НКРКП</v>
          </cell>
          <cell r="DL606">
            <v>40816</v>
          </cell>
          <cell r="DM606">
            <v>161</v>
          </cell>
        </row>
        <row r="607">
          <cell r="AF607">
            <v>39861</v>
          </cell>
          <cell r="AG607">
            <v>23</v>
          </cell>
          <cell r="AM607">
            <v>2436.0589</v>
          </cell>
          <cell r="AO607">
            <v>839668.90184833331</v>
          </cell>
          <cell r="AQ607">
            <v>759327.59</v>
          </cell>
          <cell r="AU607">
            <v>0</v>
          </cell>
          <cell r="AW607">
            <v>0</v>
          </cell>
          <cell r="AY607">
            <v>693467.74749999994</v>
          </cell>
          <cell r="AZ607">
            <v>284.66789021398455</v>
          </cell>
          <cell r="BA607">
            <v>0</v>
          </cell>
          <cell r="BB607">
            <v>0</v>
          </cell>
          <cell r="BG607">
            <v>0</v>
          </cell>
          <cell r="BH607">
            <v>0</v>
          </cell>
          <cell r="BI607">
            <v>65859.839999999997</v>
          </cell>
          <cell r="BJ607">
            <v>27.035405424721052</v>
          </cell>
          <cell r="BK607">
            <v>0</v>
          </cell>
          <cell r="BL607">
            <v>0</v>
          </cell>
          <cell r="BO607">
            <v>0</v>
          </cell>
          <cell r="BP607">
            <v>0</v>
          </cell>
          <cell r="CF607">
            <v>323.70999999999998</v>
          </cell>
          <cell r="CG607">
            <v>2142.25</v>
          </cell>
          <cell r="CJ607">
            <v>0</v>
          </cell>
          <cell r="CK607">
            <v>0</v>
          </cell>
          <cell r="CL607">
            <v>0</v>
          </cell>
          <cell r="CM607">
            <v>0</v>
          </cell>
          <cell r="CN607">
            <v>0</v>
          </cell>
          <cell r="CO607">
            <v>0</v>
          </cell>
          <cell r="CX607">
            <v>0</v>
          </cell>
          <cell r="CY607">
            <v>0</v>
          </cell>
          <cell r="DJ607" t="str">
            <v>НКРКП</v>
          </cell>
          <cell r="DL607">
            <v>40816</v>
          </cell>
          <cell r="DM607">
            <v>161</v>
          </cell>
        </row>
        <row r="608">
          <cell r="AF608">
            <v>39861</v>
          </cell>
          <cell r="AG608">
            <v>23</v>
          </cell>
          <cell r="AO608">
            <v>1513172.94099</v>
          </cell>
          <cell r="AQ608">
            <v>1427001.69</v>
          </cell>
          <cell r="AY608">
            <v>142313.24976000001</v>
          </cell>
          <cell r="AZ608">
            <v>1930.1527399378285</v>
          </cell>
          <cell r="BC608">
            <v>0</v>
          </cell>
          <cell r="BD608">
            <v>0</v>
          </cell>
          <cell r="BG608">
            <v>0</v>
          </cell>
          <cell r="BH608">
            <v>0</v>
          </cell>
          <cell r="BI608">
            <v>30.63</v>
          </cell>
          <cell r="BJ608">
            <v>0.41542567908468003</v>
          </cell>
          <cell r="BK608">
            <v>0</v>
          </cell>
          <cell r="BL608">
            <v>0</v>
          </cell>
          <cell r="BM608">
            <v>1079075.1299999999</v>
          </cell>
          <cell r="BN608">
            <v>14635.178539459333</v>
          </cell>
          <cell r="BO608">
            <v>0</v>
          </cell>
          <cell r="BP608">
            <v>0</v>
          </cell>
          <cell r="BY608">
            <v>1605</v>
          </cell>
          <cell r="CF608">
            <v>195.66800000000001</v>
          </cell>
          <cell r="CG608">
            <v>727.32</v>
          </cell>
          <cell r="CX608">
            <v>0</v>
          </cell>
          <cell r="CY608">
            <v>0</v>
          </cell>
          <cell r="DB608">
            <v>0</v>
          </cell>
          <cell r="DC608">
            <v>0</v>
          </cell>
          <cell r="DJ608" t="str">
            <v>МОС</v>
          </cell>
          <cell r="DL608">
            <v>40590</v>
          </cell>
          <cell r="DM608">
            <v>147</v>
          </cell>
          <cell r="DO608" t="str">
            <v>тарифи на послуги з централізованого опалення</v>
          </cell>
        </row>
        <row r="609">
          <cell r="AF609">
            <v>39861</v>
          </cell>
          <cell r="AG609">
            <v>23</v>
          </cell>
          <cell r="AO609">
            <v>2896342.5411133338</v>
          </cell>
          <cell r="AQ609">
            <v>2128776.39</v>
          </cell>
          <cell r="AY609">
            <v>523705.14624999999</v>
          </cell>
          <cell r="AZ609">
            <v>5685.0813538328593</v>
          </cell>
          <cell r="BC609">
            <v>0</v>
          </cell>
          <cell r="BD609">
            <v>0</v>
          </cell>
          <cell r="BG609">
            <v>0</v>
          </cell>
          <cell r="BH609">
            <v>0</v>
          </cell>
          <cell r="BI609">
            <v>38.270000000000003</v>
          </cell>
          <cell r="BJ609">
            <v>0.41543999513673596</v>
          </cell>
          <cell r="BK609">
            <v>0</v>
          </cell>
          <cell r="BL609">
            <v>0</v>
          </cell>
          <cell r="BM609">
            <v>1348178.99</v>
          </cell>
          <cell r="BN609">
            <v>14635.157383042841</v>
          </cell>
          <cell r="BO609">
            <v>0</v>
          </cell>
          <cell r="BP609">
            <v>0</v>
          </cell>
          <cell r="BY609">
            <v>1605</v>
          </cell>
          <cell r="CF609">
            <v>244.465</v>
          </cell>
          <cell r="CG609">
            <v>2142.25</v>
          </cell>
          <cell r="CX609">
            <v>0</v>
          </cell>
          <cell r="CY609">
            <v>0</v>
          </cell>
          <cell r="DB609">
            <v>0</v>
          </cell>
          <cell r="DC609">
            <v>0</v>
          </cell>
          <cell r="DJ609" t="str">
            <v>МОС</v>
          </cell>
          <cell r="DL609">
            <v>40107</v>
          </cell>
          <cell r="DM609">
            <v>469</v>
          </cell>
          <cell r="DO609" t="str">
            <v>тарифи на виробництво, транспортування, постачання теплової енергії</v>
          </cell>
        </row>
        <row r="610">
          <cell r="AF610">
            <v>39861</v>
          </cell>
          <cell r="AG610">
            <v>23</v>
          </cell>
          <cell r="AO610">
            <v>499449.85312500002</v>
          </cell>
          <cell r="AQ610">
            <v>311972.36</v>
          </cell>
          <cell r="AY610">
            <v>76750.390749999991</v>
          </cell>
          <cell r="AZ610">
            <v>5685.2141296296286</v>
          </cell>
          <cell r="BC610">
            <v>0</v>
          </cell>
          <cell r="BD610">
            <v>0</v>
          </cell>
          <cell r="BG610">
            <v>0</v>
          </cell>
          <cell r="BH610">
            <v>0</v>
          </cell>
          <cell r="BI610">
            <v>5.61</v>
          </cell>
          <cell r="BJ610">
            <v>0.41555555555555562</v>
          </cell>
          <cell r="BK610">
            <v>0</v>
          </cell>
          <cell r="BL610">
            <v>0</v>
          </cell>
          <cell r="BM610">
            <v>197573.17</v>
          </cell>
          <cell r="BN610">
            <v>14635.049629629631</v>
          </cell>
          <cell r="BO610">
            <v>0</v>
          </cell>
          <cell r="BP610">
            <v>0</v>
          </cell>
          <cell r="BY610">
            <v>1605</v>
          </cell>
          <cell r="CF610">
            <v>35.826999999999998</v>
          </cell>
          <cell r="CG610">
            <v>2142.25</v>
          </cell>
          <cell r="CX610">
            <v>0</v>
          </cell>
          <cell r="CY610">
            <v>0</v>
          </cell>
          <cell r="DB610">
            <v>0</v>
          </cell>
          <cell r="DC610">
            <v>0</v>
          </cell>
          <cell r="DJ610" t="str">
            <v>МОС</v>
          </cell>
          <cell r="DL610">
            <v>40107</v>
          </cell>
          <cell r="DM610">
            <v>469</v>
          </cell>
          <cell r="DO610" t="str">
            <v>тарифи на виробництво, транспортування, постачання теплової енергії</v>
          </cell>
        </row>
        <row r="611">
          <cell r="AF611">
            <v>39861</v>
          </cell>
          <cell r="AG611">
            <v>21</v>
          </cell>
          <cell r="AM611">
            <v>2658.6635000000001</v>
          </cell>
          <cell r="AO611">
            <v>294260.87618000002</v>
          </cell>
          <cell r="AQ611">
            <v>287001.5</v>
          </cell>
          <cell r="AU611">
            <v>0</v>
          </cell>
          <cell r="AW611">
            <v>0</v>
          </cell>
          <cell r="AY611">
            <v>248701.25544000001</v>
          </cell>
          <cell r="AZ611">
            <v>93.543713012195795</v>
          </cell>
          <cell r="BA611">
            <v>0</v>
          </cell>
          <cell r="BB611">
            <v>0</v>
          </cell>
          <cell r="BG611">
            <v>0</v>
          </cell>
          <cell r="BH611">
            <v>0</v>
          </cell>
          <cell r="BI611">
            <v>38300.239999999998</v>
          </cell>
          <cell r="BJ611">
            <v>14.405824580658663</v>
          </cell>
          <cell r="BK611">
            <v>0</v>
          </cell>
          <cell r="BL611">
            <v>0</v>
          </cell>
          <cell r="BO611">
            <v>0</v>
          </cell>
          <cell r="BP611">
            <v>0</v>
          </cell>
          <cell r="CF611">
            <v>341.94200000000001</v>
          </cell>
          <cell r="CG611">
            <v>727.32</v>
          </cell>
          <cell r="CJ611">
            <v>0</v>
          </cell>
          <cell r="CK611">
            <v>0</v>
          </cell>
          <cell r="CL611">
            <v>0</v>
          </cell>
          <cell r="CM611">
            <v>0</v>
          </cell>
          <cell r="CN611">
            <v>0</v>
          </cell>
          <cell r="CO611">
            <v>0</v>
          </cell>
          <cell r="CX611">
            <v>0</v>
          </cell>
          <cell r="CY611">
            <v>0</v>
          </cell>
          <cell r="DJ611" t="str">
            <v>МОС</v>
          </cell>
          <cell r="DL611">
            <v>40568</v>
          </cell>
          <cell r="DM611">
            <v>6</v>
          </cell>
          <cell r="DO611" t="str">
            <v>тарифи на послуги з централізованого опалення</v>
          </cell>
        </row>
        <row r="612">
          <cell r="AF612">
            <v>39861</v>
          </cell>
          <cell r="AG612">
            <v>21</v>
          </cell>
          <cell r="AM612">
            <v>6761.2928000000002</v>
          </cell>
          <cell r="AO612">
            <v>2031768.4999225857</v>
          </cell>
          <cell r="AQ612">
            <v>1960300.47</v>
          </cell>
          <cell r="AU612">
            <v>0</v>
          </cell>
          <cell r="AW612">
            <v>0</v>
          </cell>
          <cell r="AY612">
            <v>1862898.4577500001</v>
          </cell>
          <cell r="AZ612">
            <v>275.52400300575653</v>
          </cell>
          <cell r="BA612">
            <v>0</v>
          </cell>
          <cell r="BB612">
            <v>0</v>
          </cell>
          <cell r="BG612">
            <v>0</v>
          </cell>
          <cell r="BH612">
            <v>0</v>
          </cell>
          <cell r="BI612">
            <v>97402.01</v>
          </cell>
          <cell r="BJ612">
            <v>14.405826353208663</v>
          </cell>
          <cell r="BK612">
            <v>0</v>
          </cell>
          <cell r="BL612">
            <v>0</v>
          </cell>
          <cell r="BO612">
            <v>0</v>
          </cell>
          <cell r="BP612">
            <v>0</v>
          </cell>
          <cell r="CF612">
            <v>869.59900000000005</v>
          </cell>
          <cell r="CG612">
            <v>2142.25</v>
          </cell>
          <cell r="CJ612">
            <v>0</v>
          </cell>
          <cell r="CK612">
            <v>0</v>
          </cell>
          <cell r="CL612">
            <v>0</v>
          </cell>
          <cell r="CM612">
            <v>0</v>
          </cell>
          <cell r="CN612">
            <v>0</v>
          </cell>
          <cell r="CO612">
            <v>0</v>
          </cell>
          <cell r="CX612">
            <v>0</v>
          </cell>
          <cell r="CY612">
            <v>0</v>
          </cell>
          <cell r="DJ612" t="str">
            <v>НКРКП</v>
          </cell>
          <cell r="DL612">
            <v>40816</v>
          </cell>
          <cell r="DM612">
            <v>161</v>
          </cell>
        </row>
        <row r="613">
          <cell r="AF613">
            <v>39861</v>
          </cell>
          <cell r="AG613">
            <v>21</v>
          </cell>
          <cell r="AM613">
            <v>189.7003</v>
          </cell>
          <cell r="AO613">
            <v>57006.837153</v>
          </cell>
          <cell r="AQ613">
            <v>55001.56</v>
          </cell>
          <cell r="AU613">
            <v>0</v>
          </cell>
          <cell r="AW613">
            <v>0</v>
          </cell>
          <cell r="AY613">
            <v>52268.757750000004</v>
          </cell>
          <cell r="AZ613">
            <v>275.53334259355415</v>
          </cell>
          <cell r="BA613">
            <v>0</v>
          </cell>
          <cell r="BB613">
            <v>0</v>
          </cell>
          <cell r="BG613">
            <v>0</v>
          </cell>
          <cell r="BH613">
            <v>0</v>
          </cell>
          <cell r="BI613">
            <v>2732.8</v>
          </cell>
          <cell r="BJ613">
            <v>14.405881276940523</v>
          </cell>
          <cell r="BK613">
            <v>0</v>
          </cell>
          <cell r="BL613">
            <v>0</v>
          </cell>
          <cell r="BO613">
            <v>0</v>
          </cell>
          <cell r="BP613">
            <v>0</v>
          </cell>
          <cell r="CF613">
            <v>24.399000000000001</v>
          </cell>
          <cell r="CG613">
            <v>2142.25</v>
          </cell>
          <cell r="CJ613">
            <v>0</v>
          </cell>
          <cell r="CK613">
            <v>0</v>
          </cell>
          <cell r="CL613">
            <v>0</v>
          </cell>
          <cell r="CM613">
            <v>0</v>
          </cell>
          <cell r="CN613">
            <v>0</v>
          </cell>
          <cell r="CO613">
            <v>0</v>
          </cell>
          <cell r="CX613">
            <v>0</v>
          </cell>
          <cell r="CY613">
            <v>0</v>
          </cell>
          <cell r="DJ613" t="str">
            <v>НКРКП</v>
          </cell>
          <cell r="DL613">
            <v>40816</v>
          </cell>
          <cell r="DM613">
            <v>161</v>
          </cell>
        </row>
        <row r="614">
          <cell r="AF614">
            <v>39861</v>
          </cell>
          <cell r="AG614">
            <v>21</v>
          </cell>
          <cell r="AO614">
            <v>345971.63450006995</v>
          </cell>
          <cell r="AQ614">
            <v>329037.69</v>
          </cell>
          <cell r="AY614">
            <v>28050.550440000003</v>
          </cell>
          <cell r="AZ614">
            <v>1932.6147619933447</v>
          </cell>
          <cell r="BC614">
            <v>0</v>
          </cell>
          <cell r="BD614">
            <v>0</v>
          </cell>
          <cell r="BG614">
            <v>0</v>
          </cell>
          <cell r="BH614">
            <v>0</v>
          </cell>
          <cell r="BI614">
            <v>3705.44</v>
          </cell>
          <cell r="BJ614">
            <v>255.29581171672078</v>
          </cell>
          <cell r="BK614">
            <v>0</v>
          </cell>
          <cell r="BL614">
            <v>0</v>
          </cell>
          <cell r="BM614">
            <v>244728.38</v>
          </cell>
          <cell r="BN614">
            <v>16861.190687804443</v>
          </cell>
          <cell r="BO614">
            <v>0</v>
          </cell>
          <cell r="BP614">
            <v>0</v>
          </cell>
          <cell r="BY614">
            <v>1605</v>
          </cell>
          <cell r="CF614">
            <v>38.567</v>
          </cell>
          <cell r="CG614">
            <v>727.32</v>
          </cell>
          <cell r="CX614">
            <v>0</v>
          </cell>
          <cell r="CY614">
            <v>0</v>
          </cell>
          <cell r="DB614">
            <v>0</v>
          </cell>
          <cell r="DC614">
            <v>0</v>
          </cell>
          <cell r="DJ614" t="str">
            <v>МОС</v>
          </cell>
          <cell r="DL614">
            <v>40568</v>
          </cell>
          <cell r="DM614">
            <v>6</v>
          </cell>
          <cell r="DO614" t="str">
            <v>тарифи на послуги з централізованого опалення</v>
          </cell>
        </row>
        <row r="615">
          <cell r="AF615">
            <v>39861</v>
          </cell>
          <cell r="AG615">
            <v>21</v>
          </cell>
          <cell r="AO615">
            <v>1142320.5409416656</v>
          </cell>
          <cell r="AQ615">
            <v>975561.48</v>
          </cell>
          <cell r="AY615">
            <v>210116.16449999998</v>
          </cell>
          <cell r="AZ615">
            <v>5692.440806150159</v>
          </cell>
          <cell r="BC615">
            <v>0</v>
          </cell>
          <cell r="BD615">
            <v>0</v>
          </cell>
          <cell r="BG615">
            <v>0</v>
          </cell>
          <cell r="BH615">
            <v>0</v>
          </cell>
          <cell r="BI615">
            <v>9423.36</v>
          </cell>
          <cell r="BJ615">
            <v>255.2964886004435</v>
          </cell>
          <cell r="BK615">
            <v>0</v>
          </cell>
          <cell r="BL615">
            <v>0</v>
          </cell>
          <cell r="BM615">
            <v>620908.77</v>
          </cell>
          <cell r="BN615">
            <v>16821.582611957983</v>
          </cell>
          <cell r="BO615">
            <v>0</v>
          </cell>
          <cell r="BP615">
            <v>0</v>
          </cell>
          <cell r="BY615">
            <v>1605</v>
          </cell>
          <cell r="CF615">
            <v>98.081999999999994</v>
          </cell>
          <cell r="CG615">
            <v>2142.25</v>
          </cell>
          <cell r="CX615">
            <v>0</v>
          </cell>
          <cell r="CY615">
            <v>0</v>
          </cell>
          <cell r="DB615">
            <v>0</v>
          </cell>
          <cell r="DC615">
            <v>0</v>
          </cell>
          <cell r="DJ615" t="str">
            <v>МОС</v>
          </cell>
          <cell r="DL615">
            <v>39868</v>
          </cell>
          <cell r="DM615">
            <v>35</v>
          </cell>
          <cell r="DO615" t="str">
            <v>тарифи на виробництво, транспортування, постачання теплової енергії та послуги з централізованого опалення</v>
          </cell>
        </row>
        <row r="616">
          <cell r="AF616">
            <v>39861</v>
          </cell>
          <cell r="AG616">
            <v>21</v>
          </cell>
          <cell r="AO616">
            <v>32049.689828333339</v>
          </cell>
          <cell r="AQ616">
            <v>27371.43</v>
          </cell>
          <cell r="AY616">
            <v>5895.4719999999998</v>
          </cell>
          <cell r="AZ616">
            <v>5692.808033989957</v>
          </cell>
          <cell r="BC616">
            <v>0</v>
          </cell>
          <cell r="BD616">
            <v>0</v>
          </cell>
          <cell r="BG616">
            <v>0</v>
          </cell>
          <cell r="BH616">
            <v>0</v>
          </cell>
          <cell r="BI616">
            <v>264.39</v>
          </cell>
          <cell r="BJ616">
            <v>255.3012746234067</v>
          </cell>
          <cell r="BK616">
            <v>0</v>
          </cell>
          <cell r="BL616">
            <v>0</v>
          </cell>
          <cell r="BM616">
            <v>17595.009999999998</v>
          </cell>
          <cell r="BN616">
            <v>16990.16029354963</v>
          </cell>
          <cell r="BO616">
            <v>0</v>
          </cell>
          <cell r="BP616">
            <v>0</v>
          </cell>
          <cell r="BY616">
            <v>1605</v>
          </cell>
          <cell r="CF616">
            <v>2.7519999999999998</v>
          </cell>
          <cell r="CG616">
            <v>2142.25</v>
          </cell>
          <cell r="CX616">
            <v>0</v>
          </cell>
          <cell r="CY616">
            <v>0</v>
          </cell>
          <cell r="DB616">
            <v>0</v>
          </cell>
          <cell r="DC616">
            <v>0</v>
          </cell>
          <cell r="DJ616" t="str">
            <v>МОС</v>
          </cell>
          <cell r="DL616">
            <v>39868</v>
          </cell>
          <cell r="DM616">
            <v>35</v>
          </cell>
          <cell r="DO616" t="str">
            <v>тарифи на виробництво, транспортування, постачання теплової енергії та послуги з централізованого опалення</v>
          </cell>
        </row>
        <row r="617">
          <cell r="AF617">
            <v>39861</v>
          </cell>
          <cell r="AG617">
            <v>19</v>
          </cell>
          <cell r="AM617">
            <v>186.89580000000001</v>
          </cell>
          <cell r="AO617">
            <v>22090.7097684</v>
          </cell>
          <cell r="AQ617">
            <v>21538.69</v>
          </cell>
          <cell r="AU617">
            <v>0</v>
          </cell>
          <cell r="AW617">
            <v>0</v>
          </cell>
          <cell r="AY617">
            <v>18289.91604</v>
          </cell>
          <cell r="AZ617">
            <v>97.861567996712608</v>
          </cell>
          <cell r="BA617">
            <v>0</v>
          </cell>
          <cell r="BB617">
            <v>0</v>
          </cell>
          <cell r="BG617">
            <v>0</v>
          </cell>
          <cell r="BH617">
            <v>0</v>
          </cell>
          <cell r="BI617">
            <v>3248.77</v>
          </cell>
          <cell r="BJ617">
            <v>17.382787628186399</v>
          </cell>
          <cell r="BK617">
            <v>0</v>
          </cell>
          <cell r="BL617">
            <v>0</v>
          </cell>
          <cell r="BO617">
            <v>0</v>
          </cell>
          <cell r="BP617">
            <v>0</v>
          </cell>
          <cell r="CF617">
            <v>25.146999999999998</v>
          </cell>
          <cell r="CG617">
            <v>727.32</v>
          </cell>
          <cell r="CJ617">
            <v>0</v>
          </cell>
          <cell r="CK617">
            <v>0</v>
          </cell>
          <cell r="CL617">
            <v>0</v>
          </cell>
          <cell r="CM617">
            <v>0</v>
          </cell>
          <cell r="CN617">
            <v>0</v>
          </cell>
          <cell r="CO617">
            <v>0</v>
          </cell>
          <cell r="CX617">
            <v>0</v>
          </cell>
          <cell r="CY617">
            <v>0</v>
          </cell>
          <cell r="DJ617" t="str">
            <v>МОС</v>
          </cell>
          <cell r="DL617">
            <v>40542</v>
          </cell>
          <cell r="DM617">
            <v>133</v>
          </cell>
          <cell r="DO617" t="str">
            <v>тарифи на послуги з централізованого опалення</v>
          </cell>
        </row>
        <row r="618">
          <cell r="AF618">
            <v>39861</v>
          </cell>
          <cell r="AG618">
            <v>19</v>
          </cell>
          <cell r="AM618">
            <v>4204.4961000000003</v>
          </cell>
          <cell r="AO618">
            <v>1365031.7038260002</v>
          </cell>
          <cell r="AQ618">
            <v>1285010.3999999999</v>
          </cell>
          <cell r="AU618">
            <v>0</v>
          </cell>
          <cell r="AW618">
            <v>0</v>
          </cell>
          <cell r="AY618">
            <v>1211924.3812500001</v>
          </cell>
          <cell r="AZ618">
            <v>288.24485798666814</v>
          </cell>
          <cell r="BA618">
            <v>0</v>
          </cell>
          <cell r="BB618">
            <v>0</v>
          </cell>
          <cell r="BG618">
            <v>0</v>
          </cell>
          <cell r="BH618">
            <v>0</v>
          </cell>
          <cell r="BI618">
            <v>73086.02</v>
          </cell>
          <cell r="BJ618">
            <v>17.382825019150332</v>
          </cell>
          <cell r="BK618">
            <v>0</v>
          </cell>
          <cell r="BL618">
            <v>0</v>
          </cell>
          <cell r="BO618">
            <v>0</v>
          </cell>
          <cell r="BP618">
            <v>0</v>
          </cell>
          <cell r="CF618">
            <v>565.72500000000002</v>
          </cell>
          <cell r="CG618">
            <v>2142.25</v>
          </cell>
          <cell r="CJ618">
            <v>0</v>
          </cell>
          <cell r="CK618">
            <v>0</v>
          </cell>
          <cell r="CL618">
            <v>0</v>
          </cell>
          <cell r="CM618">
            <v>0</v>
          </cell>
          <cell r="CN618">
            <v>0</v>
          </cell>
          <cell r="CO618">
            <v>0</v>
          </cell>
          <cell r="CX618">
            <v>0</v>
          </cell>
          <cell r="CY618">
            <v>0</v>
          </cell>
          <cell r="DJ618" t="str">
            <v>НКРКП</v>
          </cell>
          <cell r="DL618">
            <v>40816</v>
          </cell>
          <cell r="DM618">
            <v>161</v>
          </cell>
        </row>
        <row r="619">
          <cell r="AF619">
            <v>39861</v>
          </cell>
          <cell r="AG619">
            <v>19</v>
          </cell>
          <cell r="AM619">
            <v>96.080100000000002</v>
          </cell>
          <cell r="AO619">
            <v>34783.878602999997</v>
          </cell>
          <cell r="AQ619">
            <v>29365.17</v>
          </cell>
          <cell r="AU619">
            <v>0</v>
          </cell>
          <cell r="AW619">
            <v>0</v>
          </cell>
          <cell r="AY619">
            <v>27695.008000000002</v>
          </cell>
          <cell r="AZ619">
            <v>288.24915877481396</v>
          </cell>
          <cell r="BA619">
            <v>0</v>
          </cell>
          <cell r="BB619">
            <v>0</v>
          </cell>
          <cell r="BG619">
            <v>0</v>
          </cell>
          <cell r="BH619">
            <v>0</v>
          </cell>
          <cell r="BI619">
            <v>1670.16</v>
          </cell>
          <cell r="BJ619">
            <v>17.382996062660219</v>
          </cell>
          <cell r="BK619">
            <v>0</v>
          </cell>
          <cell r="BL619">
            <v>0</v>
          </cell>
          <cell r="BO619">
            <v>0</v>
          </cell>
          <cell r="BP619">
            <v>0</v>
          </cell>
          <cell r="CF619">
            <v>12.928000000000001</v>
          </cell>
          <cell r="CG619">
            <v>2142.25</v>
          </cell>
          <cell r="CJ619">
            <v>0</v>
          </cell>
          <cell r="CK619">
            <v>0</v>
          </cell>
          <cell r="CL619">
            <v>0</v>
          </cell>
          <cell r="CM619">
            <v>0</v>
          </cell>
          <cell r="CN619">
            <v>0</v>
          </cell>
          <cell r="CO619">
            <v>0</v>
          </cell>
          <cell r="CX619">
            <v>0</v>
          </cell>
          <cell r="CY619">
            <v>0</v>
          </cell>
          <cell r="DJ619" t="str">
            <v>НКРКП</v>
          </cell>
          <cell r="DL619">
            <v>40816</v>
          </cell>
          <cell r="DM619">
            <v>161</v>
          </cell>
        </row>
        <row r="620">
          <cell r="AF620">
            <v>39861</v>
          </cell>
          <cell r="AG620">
            <v>19</v>
          </cell>
          <cell r="AO620">
            <v>26679.207110219999</v>
          </cell>
          <cell r="AQ620">
            <v>25392.34</v>
          </cell>
          <cell r="AY620">
            <v>2736.91</v>
          </cell>
          <cell r="AZ620">
            <v>2677.0406626211411</v>
          </cell>
          <cell r="BC620">
            <v>0</v>
          </cell>
          <cell r="BD620">
            <v>0</v>
          </cell>
          <cell r="BG620">
            <v>0</v>
          </cell>
          <cell r="BH620">
            <v>0</v>
          </cell>
          <cell r="BI620">
            <v>424.62</v>
          </cell>
          <cell r="BJ620">
            <v>415.33152575794924</v>
          </cell>
          <cell r="BK620">
            <v>0</v>
          </cell>
          <cell r="BL620">
            <v>0</v>
          </cell>
          <cell r="BM620">
            <v>18966.02</v>
          </cell>
          <cell r="BN620">
            <v>18551.142254617731</v>
          </cell>
          <cell r="BO620">
            <v>0</v>
          </cell>
          <cell r="BP620">
            <v>0</v>
          </cell>
          <cell r="BY620">
            <v>1605</v>
          </cell>
          <cell r="CF620">
            <v>3.7630066545674525</v>
          </cell>
          <cell r="CG620">
            <v>727.32</v>
          </cell>
          <cell r="CX620">
            <v>0</v>
          </cell>
          <cell r="CY620">
            <v>0</v>
          </cell>
          <cell r="DB620">
            <v>0</v>
          </cell>
          <cell r="DC620">
            <v>0</v>
          </cell>
          <cell r="DJ620" t="str">
            <v>МОС</v>
          </cell>
          <cell r="DL620">
            <v>40542</v>
          </cell>
          <cell r="DM620">
            <v>133</v>
          </cell>
          <cell r="DO620" t="str">
            <v>тарифи на послуги з централізованого опалення</v>
          </cell>
        </row>
        <row r="621">
          <cell r="AF621">
            <v>39861</v>
          </cell>
          <cell r="AG621">
            <v>19</v>
          </cell>
          <cell r="AO621">
            <v>877772.43238950009</v>
          </cell>
          <cell r="AQ621">
            <v>691036.56</v>
          </cell>
          <cell r="AY621">
            <v>181369.31</v>
          </cell>
          <cell r="AZ621">
            <v>7885.4891491395711</v>
          </cell>
          <cell r="BC621">
            <v>0</v>
          </cell>
          <cell r="BD621">
            <v>0</v>
          </cell>
          <cell r="BG621">
            <v>0</v>
          </cell>
          <cell r="BH621">
            <v>0</v>
          </cell>
          <cell r="BI621">
            <v>9552.51</v>
          </cell>
          <cell r="BJ621">
            <v>415.31951547947801</v>
          </cell>
          <cell r="BK621">
            <v>0</v>
          </cell>
          <cell r="BL621">
            <v>0</v>
          </cell>
          <cell r="BM621">
            <v>426631.1</v>
          </cell>
          <cell r="BN621">
            <v>18548.865349575841</v>
          </cell>
          <cell r="BO621">
            <v>0</v>
          </cell>
          <cell r="BP621">
            <v>0</v>
          </cell>
          <cell r="BY621">
            <v>1605</v>
          </cell>
          <cell r="CF621">
            <v>84.662999183101874</v>
          </cell>
          <cell r="CG621">
            <v>2142.25</v>
          </cell>
          <cell r="CX621">
            <v>0</v>
          </cell>
          <cell r="CY621">
            <v>0</v>
          </cell>
          <cell r="DB621">
            <v>0</v>
          </cell>
          <cell r="DC621">
            <v>0</v>
          </cell>
          <cell r="DJ621" t="str">
            <v>МОС</v>
          </cell>
          <cell r="DL621">
            <v>40086</v>
          </cell>
          <cell r="DM621">
            <v>99</v>
          </cell>
          <cell r="DO621" t="str">
            <v>тарифи на виробництво, транспортування, постачання теплової енергії</v>
          </cell>
        </row>
        <row r="622">
          <cell r="AF622">
            <v>39861</v>
          </cell>
          <cell r="AG622">
            <v>19</v>
          </cell>
          <cell r="AO622">
            <v>28436.049889999998</v>
          </cell>
          <cell r="AQ622">
            <v>15792.03</v>
          </cell>
          <cell r="AY622">
            <v>4145.25</v>
          </cell>
          <cell r="AZ622">
            <v>7886.7009132420098</v>
          </cell>
          <cell r="BC622">
            <v>0</v>
          </cell>
          <cell r="BD622">
            <v>0</v>
          </cell>
          <cell r="BG622">
            <v>0</v>
          </cell>
          <cell r="BH622">
            <v>0</v>
          </cell>
          <cell r="BI622">
            <v>218.29</v>
          </cell>
          <cell r="BJ622">
            <v>415.3158295281583</v>
          </cell>
          <cell r="BK622">
            <v>0</v>
          </cell>
          <cell r="BL622">
            <v>0</v>
          </cell>
          <cell r="BM622">
            <v>9748.24</v>
          </cell>
          <cell r="BN622">
            <v>18546.879756468796</v>
          </cell>
          <cell r="BO622">
            <v>0</v>
          </cell>
          <cell r="BP622">
            <v>0</v>
          </cell>
          <cell r="BY622">
            <v>1605</v>
          </cell>
          <cell r="CF622">
            <v>1.9349982495040261</v>
          </cell>
          <cell r="CG622">
            <v>2142.25</v>
          </cell>
          <cell r="CX622">
            <v>0</v>
          </cell>
          <cell r="CY622">
            <v>0</v>
          </cell>
          <cell r="DB622">
            <v>0</v>
          </cell>
          <cell r="DC622">
            <v>0</v>
          </cell>
          <cell r="DJ622" t="str">
            <v>МОС</v>
          </cell>
          <cell r="DL622">
            <v>40086</v>
          </cell>
          <cell r="DM622">
            <v>99</v>
          </cell>
          <cell r="DO622" t="str">
            <v>тарифи на виробництво, транспортування, постачання теплової енергії</v>
          </cell>
        </row>
        <row r="623">
          <cell r="AF623">
            <v>39861</v>
          </cell>
          <cell r="AG623">
            <v>18</v>
          </cell>
          <cell r="AM623">
            <v>1095.0051000000001</v>
          </cell>
          <cell r="AO623">
            <v>335258.25896955002</v>
          </cell>
          <cell r="AQ623">
            <v>324214.68</v>
          </cell>
          <cell r="AU623">
            <v>0</v>
          </cell>
          <cell r="AW623">
            <v>0</v>
          </cell>
          <cell r="AY623">
            <v>313717.51675000001</v>
          </cell>
          <cell r="AZ623">
            <v>286.49868091938566</v>
          </cell>
          <cell r="BA623">
            <v>0</v>
          </cell>
          <cell r="BB623">
            <v>0</v>
          </cell>
          <cell r="BG623">
            <v>0</v>
          </cell>
          <cell r="BH623">
            <v>0</v>
          </cell>
          <cell r="BI623">
            <v>10497.16</v>
          </cell>
          <cell r="BJ623">
            <v>9.586402839584947</v>
          </cell>
          <cell r="BK623">
            <v>0</v>
          </cell>
          <cell r="BL623">
            <v>0</v>
          </cell>
          <cell r="BO623">
            <v>0</v>
          </cell>
          <cell r="BP623">
            <v>0</v>
          </cell>
          <cell r="CF623">
            <v>146.44300000000001</v>
          </cell>
          <cell r="CG623">
            <v>2142.25</v>
          </cell>
          <cell r="CJ623">
            <v>0</v>
          </cell>
          <cell r="CK623">
            <v>0</v>
          </cell>
          <cell r="CL623">
            <v>0</v>
          </cell>
          <cell r="CM623">
            <v>0</v>
          </cell>
          <cell r="CN623">
            <v>0</v>
          </cell>
          <cell r="CO623">
            <v>0</v>
          </cell>
          <cell r="CX623">
            <v>0</v>
          </cell>
          <cell r="CY623">
            <v>0</v>
          </cell>
          <cell r="DJ623" t="str">
            <v>НКРКП</v>
          </cell>
          <cell r="DL623">
            <v>40816</v>
          </cell>
          <cell r="DM623">
            <v>161</v>
          </cell>
        </row>
        <row r="624">
          <cell r="AF624">
            <v>39861</v>
          </cell>
          <cell r="AG624">
            <v>18</v>
          </cell>
          <cell r="AM624">
            <v>85.992900000000006</v>
          </cell>
          <cell r="AO624">
            <v>26327.586264000005</v>
          </cell>
          <cell r="AQ624">
            <v>25460.240000000002</v>
          </cell>
          <cell r="AU624">
            <v>0</v>
          </cell>
          <cell r="AW624">
            <v>0</v>
          </cell>
          <cell r="AY624">
            <v>24635.875</v>
          </cell>
          <cell r="AZ624">
            <v>286.48731465039555</v>
          </cell>
          <cell r="BA624">
            <v>0</v>
          </cell>
          <cell r="BB624">
            <v>0</v>
          </cell>
          <cell r="BG624">
            <v>0</v>
          </cell>
          <cell r="BH624">
            <v>0</v>
          </cell>
          <cell r="BI624">
            <v>824.36</v>
          </cell>
          <cell r="BJ624">
            <v>9.5863728284544418</v>
          </cell>
          <cell r="BK624">
            <v>0</v>
          </cell>
          <cell r="BL624">
            <v>0</v>
          </cell>
          <cell r="BO624">
            <v>0</v>
          </cell>
          <cell r="BP624">
            <v>0</v>
          </cell>
          <cell r="CF624">
            <v>11.5</v>
          </cell>
          <cell r="CG624">
            <v>2142.25</v>
          </cell>
          <cell r="CJ624">
            <v>0</v>
          </cell>
          <cell r="CK624">
            <v>0</v>
          </cell>
          <cell r="CL624">
            <v>0</v>
          </cell>
          <cell r="CM624">
            <v>0</v>
          </cell>
          <cell r="CN624">
            <v>0</v>
          </cell>
          <cell r="CO624">
            <v>0</v>
          </cell>
          <cell r="CX624">
            <v>0</v>
          </cell>
          <cell r="CY624">
            <v>0</v>
          </cell>
          <cell r="DJ624" t="str">
            <v>НКРКП</v>
          </cell>
          <cell r="DL624">
            <v>40816</v>
          </cell>
          <cell r="DM624">
            <v>161</v>
          </cell>
        </row>
        <row r="625">
          <cell r="AF625">
            <v>39861</v>
          </cell>
          <cell r="AG625">
            <v>18</v>
          </cell>
          <cell r="AO625">
            <v>232906.49172578281</v>
          </cell>
          <cell r="AQ625">
            <v>207128.99</v>
          </cell>
          <cell r="AY625">
            <v>46889.568000000007</v>
          </cell>
          <cell r="AZ625">
            <v>7709.918904520433</v>
          </cell>
          <cell r="BC625">
            <v>0</v>
          </cell>
          <cell r="BD625">
            <v>0</v>
          </cell>
          <cell r="BG625">
            <v>0</v>
          </cell>
          <cell r="BH625">
            <v>0</v>
          </cell>
          <cell r="BI625">
            <v>1365.92</v>
          </cell>
          <cell r="BJ625">
            <v>224.59435817498999</v>
          </cell>
          <cell r="BK625">
            <v>0</v>
          </cell>
          <cell r="BL625">
            <v>0</v>
          </cell>
          <cell r="BM625">
            <v>138229.10999999999</v>
          </cell>
          <cell r="BN625">
            <v>22728.621179534734</v>
          </cell>
          <cell r="BO625">
            <v>0</v>
          </cell>
          <cell r="BP625">
            <v>0</v>
          </cell>
          <cell r="BY625">
            <v>1605</v>
          </cell>
          <cell r="CF625">
            <v>21.888000000000002</v>
          </cell>
          <cell r="CG625">
            <v>2142.25</v>
          </cell>
          <cell r="CX625">
            <v>0</v>
          </cell>
          <cell r="CY625">
            <v>0</v>
          </cell>
          <cell r="DB625">
            <v>0</v>
          </cell>
          <cell r="DC625">
            <v>0</v>
          </cell>
          <cell r="DJ625" t="str">
            <v>МОС</v>
          </cell>
          <cell r="DL625">
            <v>39870</v>
          </cell>
          <cell r="DM625">
            <v>39</v>
          </cell>
          <cell r="DO625" t="str">
            <v>тарифи на виробництво, транспортування, постачання теплової енергії та послуги з централізованого опалення</v>
          </cell>
        </row>
        <row r="626">
          <cell r="AF626">
            <v>39861</v>
          </cell>
          <cell r="AG626">
            <v>18</v>
          </cell>
          <cell r="AO626">
            <v>18290.390158333335</v>
          </cell>
          <cell r="AQ626">
            <v>16266.43</v>
          </cell>
          <cell r="AY626">
            <v>3682.5277500000002</v>
          </cell>
          <cell r="AZ626">
            <v>7710.4852386934681</v>
          </cell>
          <cell r="BC626">
            <v>0</v>
          </cell>
          <cell r="BD626">
            <v>0</v>
          </cell>
          <cell r="BG626">
            <v>0</v>
          </cell>
          <cell r="BH626">
            <v>0</v>
          </cell>
          <cell r="BI626">
            <v>107.27</v>
          </cell>
          <cell r="BJ626">
            <v>224.60217755443884</v>
          </cell>
          <cell r="BK626">
            <v>0</v>
          </cell>
          <cell r="BL626">
            <v>0</v>
          </cell>
          <cell r="BM626">
            <v>11090.99</v>
          </cell>
          <cell r="BN626">
            <v>23222.340871021774</v>
          </cell>
          <cell r="BO626">
            <v>0</v>
          </cell>
          <cell r="BP626">
            <v>0</v>
          </cell>
          <cell r="BY626">
            <v>1605</v>
          </cell>
          <cell r="CF626">
            <v>1.7190000000000001</v>
          </cell>
          <cell r="CG626">
            <v>2142.25</v>
          </cell>
          <cell r="CX626">
            <v>0</v>
          </cell>
          <cell r="CY626">
            <v>0</v>
          </cell>
          <cell r="DB626">
            <v>0</v>
          </cell>
          <cell r="DC626">
            <v>0</v>
          </cell>
          <cell r="DJ626" t="str">
            <v>МОС</v>
          </cell>
          <cell r="DL626">
            <v>39870</v>
          </cell>
          <cell r="DM626">
            <v>39</v>
          </cell>
          <cell r="DO626" t="str">
            <v>тарифи на виробництво, транспортування, постачання теплової енергії та послуги з централізованого опалення</v>
          </cell>
        </row>
        <row r="627">
          <cell r="AF627">
            <v>39861</v>
          </cell>
          <cell r="AG627">
            <v>14</v>
          </cell>
          <cell r="AM627">
            <v>3075.7020000000002</v>
          </cell>
          <cell r="AO627">
            <v>1051890.084</v>
          </cell>
          <cell r="AQ627">
            <v>982897.51</v>
          </cell>
          <cell r="AU627">
            <v>0</v>
          </cell>
          <cell r="AW627">
            <v>0</v>
          </cell>
          <cell r="AY627">
            <v>871720.09</v>
          </cell>
          <cell r="AZ627">
            <v>283.42150507428869</v>
          </cell>
          <cell r="BA627">
            <v>0</v>
          </cell>
          <cell r="BB627">
            <v>0</v>
          </cell>
          <cell r="BG627">
            <v>0</v>
          </cell>
          <cell r="BH627">
            <v>0</v>
          </cell>
          <cell r="BI627">
            <v>111177.42</v>
          </cell>
          <cell r="BJ627">
            <v>36.147006439505518</v>
          </cell>
          <cell r="BK627">
            <v>0</v>
          </cell>
          <cell r="BL627">
            <v>0</v>
          </cell>
          <cell r="BO627">
            <v>0</v>
          </cell>
          <cell r="BP627">
            <v>0</v>
          </cell>
          <cell r="CF627">
            <v>406.91800210059517</v>
          </cell>
          <cell r="CG627">
            <v>2142.25</v>
          </cell>
          <cell r="CJ627">
            <v>0</v>
          </cell>
          <cell r="CK627">
            <v>0</v>
          </cell>
          <cell r="CL627">
            <v>0</v>
          </cell>
          <cell r="CM627">
            <v>0</v>
          </cell>
          <cell r="CN627">
            <v>0</v>
          </cell>
          <cell r="CO627">
            <v>0</v>
          </cell>
          <cell r="CX627">
            <v>0</v>
          </cell>
          <cell r="CY627">
            <v>0</v>
          </cell>
          <cell r="DJ627" t="str">
            <v>НКРКП</v>
          </cell>
          <cell r="DL627">
            <v>40816</v>
          </cell>
          <cell r="DM627">
            <v>161</v>
          </cell>
        </row>
        <row r="628">
          <cell r="AF628">
            <v>39861</v>
          </cell>
          <cell r="AG628">
            <v>14</v>
          </cell>
          <cell r="AO628">
            <v>711440.83549108449</v>
          </cell>
          <cell r="AQ628">
            <v>550434.30000000005</v>
          </cell>
          <cell r="AY628">
            <v>79246.109999999986</v>
          </cell>
          <cell r="AZ628">
            <v>4694.1864341600476</v>
          </cell>
          <cell r="BC628">
            <v>0</v>
          </cell>
          <cell r="BD628">
            <v>0</v>
          </cell>
          <cell r="BG628">
            <v>0</v>
          </cell>
          <cell r="BH628">
            <v>0</v>
          </cell>
          <cell r="BI628">
            <v>7857.02</v>
          </cell>
          <cell r="BJ628">
            <v>465.41485376284317</v>
          </cell>
          <cell r="BK628">
            <v>0</v>
          </cell>
          <cell r="BL628">
            <v>0</v>
          </cell>
          <cell r="BM628">
            <v>402260.49</v>
          </cell>
          <cell r="BN628">
            <v>23828.118946867849</v>
          </cell>
          <cell r="BO628">
            <v>0</v>
          </cell>
          <cell r="BP628">
            <v>0</v>
          </cell>
          <cell r="BY628">
            <v>1605</v>
          </cell>
          <cell r="CF628">
            <v>36.991999066402144</v>
          </cell>
          <cell r="CG628">
            <v>2142.25</v>
          </cell>
          <cell r="CX628">
            <v>0</v>
          </cell>
          <cell r="CY628">
            <v>0</v>
          </cell>
          <cell r="DB628">
            <v>0</v>
          </cell>
          <cell r="DC628">
            <v>0</v>
          </cell>
          <cell r="DJ628" t="str">
            <v>МОС</v>
          </cell>
          <cell r="DL628">
            <v>40086</v>
          </cell>
          <cell r="DM628">
            <v>335</v>
          </cell>
          <cell r="DO628" t="str">
            <v>тарифи на виробництво, транспортування та постачання теплової енергії</v>
          </cell>
        </row>
        <row r="629">
          <cell r="AF629">
            <v>39861</v>
          </cell>
          <cell r="AG629">
            <v>15</v>
          </cell>
          <cell r="AM629">
            <v>5069.8047999999999</v>
          </cell>
          <cell r="AO629">
            <v>1686774.7550079999</v>
          </cell>
          <cell r="AQ629">
            <v>1585256.31</v>
          </cell>
          <cell r="AU629">
            <v>0</v>
          </cell>
          <cell r="AW629">
            <v>0</v>
          </cell>
          <cell r="AY629">
            <v>1506299.52</v>
          </cell>
          <cell r="AZ629">
            <v>297.11193614397149</v>
          </cell>
          <cell r="BA629">
            <v>0</v>
          </cell>
          <cell r="BB629">
            <v>0</v>
          </cell>
          <cell r="BG629">
            <v>0</v>
          </cell>
          <cell r="BH629">
            <v>0</v>
          </cell>
          <cell r="BI629">
            <v>78956.789999999994</v>
          </cell>
          <cell r="BJ629">
            <v>15.573930972648098</v>
          </cell>
          <cell r="BK629">
            <v>0</v>
          </cell>
          <cell r="BL629">
            <v>0</v>
          </cell>
          <cell r="BO629">
            <v>0</v>
          </cell>
          <cell r="BP629">
            <v>0</v>
          </cell>
          <cell r="CF629">
            <v>703.13899871630292</v>
          </cell>
          <cell r="CG629">
            <v>2142.25</v>
          </cell>
          <cell r="CJ629">
            <v>0</v>
          </cell>
          <cell r="CK629">
            <v>0</v>
          </cell>
          <cell r="CL629">
            <v>0</v>
          </cell>
          <cell r="CM629">
            <v>0</v>
          </cell>
          <cell r="CN629">
            <v>0</v>
          </cell>
          <cell r="CO629">
            <v>0</v>
          </cell>
          <cell r="CX629">
            <v>0</v>
          </cell>
          <cell r="CY629">
            <v>0</v>
          </cell>
          <cell r="DJ629" t="str">
            <v>НКРКП</v>
          </cell>
          <cell r="DL629">
            <v>40816</v>
          </cell>
          <cell r="DM629">
            <v>161</v>
          </cell>
        </row>
        <row r="630">
          <cell r="AF630">
            <v>39861</v>
          </cell>
          <cell r="AG630">
            <v>15</v>
          </cell>
          <cell r="AM630">
            <v>314.14819999999997</v>
          </cell>
          <cell r="AO630">
            <v>119196.62322959999</v>
          </cell>
          <cell r="AQ630">
            <v>98230.35</v>
          </cell>
          <cell r="AU630">
            <v>0</v>
          </cell>
          <cell r="AW630">
            <v>0</v>
          </cell>
          <cell r="AY630">
            <v>93337.83</v>
          </cell>
          <cell r="AZ630">
            <v>297.11400542801141</v>
          </cell>
          <cell r="BA630">
            <v>0</v>
          </cell>
          <cell r="BB630">
            <v>0</v>
          </cell>
          <cell r="BG630">
            <v>0</v>
          </cell>
          <cell r="BH630">
            <v>0</v>
          </cell>
          <cell r="BI630">
            <v>4892.5200000000004</v>
          </cell>
          <cell r="BJ630">
            <v>15.573923390297958</v>
          </cell>
          <cell r="BK630">
            <v>0</v>
          </cell>
          <cell r="BL630">
            <v>0</v>
          </cell>
          <cell r="BO630">
            <v>0</v>
          </cell>
          <cell r="BP630">
            <v>0</v>
          </cell>
          <cell r="CF630">
            <v>43.569998833002686</v>
          </cell>
          <cell r="CG630">
            <v>2142.25</v>
          </cell>
          <cell r="CJ630">
            <v>0</v>
          </cell>
          <cell r="CK630">
            <v>0</v>
          </cell>
          <cell r="CL630">
            <v>0</v>
          </cell>
          <cell r="CM630">
            <v>0</v>
          </cell>
          <cell r="CN630">
            <v>0</v>
          </cell>
          <cell r="CO630">
            <v>0</v>
          </cell>
          <cell r="CX630">
            <v>0</v>
          </cell>
          <cell r="CY630">
            <v>0</v>
          </cell>
          <cell r="DJ630" t="str">
            <v>НКРКП</v>
          </cell>
          <cell r="DL630">
            <v>40816</v>
          </cell>
          <cell r="DM630">
            <v>161</v>
          </cell>
        </row>
        <row r="631">
          <cell r="AF631">
            <v>39861</v>
          </cell>
          <cell r="AG631" t="str">
            <v>№ 15</v>
          </cell>
          <cell r="AO631">
            <v>907283.79780000006</v>
          </cell>
          <cell r="AQ631">
            <v>670436.1</v>
          </cell>
          <cell r="AY631">
            <v>160336.70000000001</v>
          </cell>
          <cell r="AZ631">
            <v>5666.8893318630362</v>
          </cell>
          <cell r="BC631">
            <v>0</v>
          </cell>
          <cell r="BD631">
            <v>0</v>
          </cell>
          <cell r="BG631">
            <v>0</v>
          </cell>
          <cell r="BH631">
            <v>0</v>
          </cell>
          <cell r="BI631">
            <v>7189.39</v>
          </cell>
          <cell r="BJ631">
            <v>254.09951367093618</v>
          </cell>
          <cell r="BK631">
            <v>0</v>
          </cell>
          <cell r="BL631">
            <v>0</v>
          </cell>
          <cell r="BM631">
            <v>423789.38</v>
          </cell>
          <cell r="BN631">
            <v>14978.277066191646</v>
          </cell>
          <cell r="BO631">
            <v>0</v>
          </cell>
          <cell r="BP631">
            <v>0</v>
          </cell>
          <cell r="BY631">
            <v>1605</v>
          </cell>
          <cell r="CF631">
            <v>74.844999416501352</v>
          </cell>
          <cell r="CG631">
            <v>2142.25</v>
          </cell>
          <cell r="CX631">
            <v>0</v>
          </cell>
          <cell r="CY631">
            <v>0</v>
          </cell>
          <cell r="DB631">
            <v>0</v>
          </cell>
          <cell r="DC631">
            <v>0</v>
          </cell>
          <cell r="DJ631" t="str">
            <v>МОС</v>
          </cell>
          <cell r="DL631">
            <v>40098</v>
          </cell>
          <cell r="DM631">
            <v>98</v>
          </cell>
          <cell r="DO631" t="str">
            <v>тарифи на виробництво, транспортування, постачання теплової енергії</v>
          </cell>
        </row>
        <row r="632">
          <cell r="AF632">
            <v>39861</v>
          </cell>
          <cell r="AG632" t="str">
            <v>№ 15</v>
          </cell>
          <cell r="AO632">
            <v>90464.809537499998</v>
          </cell>
          <cell r="AQ632">
            <v>41543.839999999997</v>
          </cell>
          <cell r="AY632">
            <v>9935.76</v>
          </cell>
          <cell r="AZ632">
            <v>5667.2142368240929</v>
          </cell>
          <cell r="BC632">
            <v>0</v>
          </cell>
          <cell r="BD632">
            <v>0</v>
          </cell>
          <cell r="BG632">
            <v>0</v>
          </cell>
          <cell r="BH632">
            <v>0</v>
          </cell>
          <cell r="BI632">
            <v>445.49</v>
          </cell>
          <cell r="BJ632">
            <v>254.10107232489165</v>
          </cell>
          <cell r="BK632">
            <v>0</v>
          </cell>
          <cell r="BL632">
            <v>0</v>
          </cell>
          <cell r="BM632">
            <v>25815</v>
          </cell>
          <cell r="BN632">
            <v>14724.503764544832</v>
          </cell>
          <cell r="BO632">
            <v>0</v>
          </cell>
          <cell r="BP632">
            <v>0</v>
          </cell>
          <cell r="BY632">
            <v>1605</v>
          </cell>
          <cell r="CF632">
            <v>4.6380021005951688</v>
          </cell>
          <cell r="CG632">
            <v>2142.25</v>
          </cell>
          <cell r="CX632">
            <v>0</v>
          </cell>
          <cell r="CY632">
            <v>0</v>
          </cell>
          <cell r="DB632">
            <v>0</v>
          </cell>
          <cell r="DC632">
            <v>0</v>
          </cell>
          <cell r="DJ632" t="str">
            <v>МОС</v>
          </cell>
          <cell r="DL632">
            <v>40098</v>
          </cell>
          <cell r="DM632">
            <v>98</v>
          </cell>
          <cell r="DO632" t="str">
            <v>тарифи на виробництво, транспортування, постачання теплової енергії</v>
          </cell>
        </row>
        <row r="633">
          <cell r="AF633">
            <v>39861</v>
          </cell>
          <cell r="AG633">
            <v>13</v>
          </cell>
          <cell r="AM633">
            <v>3545.4576999999999</v>
          </cell>
          <cell r="AO633">
            <v>1122775.5444360001</v>
          </cell>
          <cell r="AQ633">
            <v>1083394.32</v>
          </cell>
          <cell r="AU633">
            <v>0</v>
          </cell>
          <cell r="AW633">
            <v>0</v>
          </cell>
          <cell r="AY633">
            <v>1026266.29</v>
          </cell>
          <cell r="AZ633">
            <v>289.45946527580912</v>
          </cell>
          <cell r="BA633">
            <v>0</v>
          </cell>
          <cell r="BB633">
            <v>0</v>
          </cell>
          <cell r="BG633">
            <v>0</v>
          </cell>
          <cell r="BH633">
            <v>0</v>
          </cell>
          <cell r="BI633">
            <v>57128.03</v>
          </cell>
          <cell r="BJ633">
            <v>16.113019766108053</v>
          </cell>
          <cell r="BK633">
            <v>0</v>
          </cell>
          <cell r="BL633">
            <v>0</v>
          </cell>
          <cell r="BO633">
            <v>0</v>
          </cell>
          <cell r="BP633">
            <v>0</v>
          </cell>
          <cell r="CF633">
            <v>479.06000233399465</v>
          </cell>
          <cell r="CG633">
            <v>2142.25</v>
          </cell>
          <cell r="CJ633">
            <v>0</v>
          </cell>
          <cell r="CK633">
            <v>0</v>
          </cell>
          <cell r="CL633">
            <v>0</v>
          </cell>
          <cell r="CM633">
            <v>0</v>
          </cell>
          <cell r="CN633">
            <v>0</v>
          </cell>
          <cell r="CO633">
            <v>0</v>
          </cell>
          <cell r="CX633">
            <v>0</v>
          </cell>
          <cell r="CY633">
            <v>0</v>
          </cell>
          <cell r="DJ633" t="str">
            <v>НКРКП</v>
          </cell>
          <cell r="DL633">
            <v>40816</v>
          </cell>
          <cell r="DM633">
            <v>161</v>
          </cell>
        </row>
        <row r="634">
          <cell r="AF634">
            <v>39861</v>
          </cell>
          <cell r="AG634">
            <v>13</v>
          </cell>
          <cell r="AO634">
            <v>729336.95127562503</v>
          </cell>
          <cell r="AQ634">
            <v>637435.93999999994</v>
          </cell>
          <cell r="AY634">
            <v>113691.35</v>
          </cell>
          <cell r="AZ634">
            <v>5892.3494175096421</v>
          </cell>
          <cell r="BC634">
            <v>0</v>
          </cell>
          <cell r="BD634">
            <v>0</v>
          </cell>
          <cell r="BG634">
            <v>0</v>
          </cell>
          <cell r="BH634">
            <v>0</v>
          </cell>
          <cell r="BI634">
            <v>5300.41</v>
          </cell>
          <cell r="BJ634">
            <v>274.70751095894525</v>
          </cell>
          <cell r="BK634">
            <v>0</v>
          </cell>
          <cell r="BL634">
            <v>0</v>
          </cell>
          <cell r="BM634">
            <v>445810.71</v>
          </cell>
          <cell r="BN634">
            <v>23105.297609607591</v>
          </cell>
          <cell r="BO634">
            <v>0</v>
          </cell>
          <cell r="BP634">
            <v>0</v>
          </cell>
          <cell r="BY634">
            <v>1605</v>
          </cell>
          <cell r="CF634">
            <v>53.071000116699736</v>
          </cell>
          <cell r="CG634">
            <v>2142.25</v>
          </cell>
          <cell r="CX634">
            <v>0</v>
          </cell>
          <cell r="CY634">
            <v>0</v>
          </cell>
          <cell r="DB634">
            <v>0</v>
          </cell>
          <cell r="DC634">
            <v>0</v>
          </cell>
          <cell r="DJ634" t="str">
            <v>МОС</v>
          </cell>
          <cell r="DL634">
            <v>39870</v>
          </cell>
          <cell r="DM634">
            <v>65</v>
          </cell>
          <cell r="DO634" t="str">
            <v>тарифи на виробництво, транспортування, постачання иеплової енергії</v>
          </cell>
        </row>
        <row r="635">
          <cell r="AF635">
            <v>39861</v>
          </cell>
          <cell r="AG635">
            <v>12</v>
          </cell>
          <cell r="AM635">
            <v>169.49</v>
          </cell>
          <cell r="AO635">
            <v>21209.809110000002</v>
          </cell>
          <cell r="AQ635">
            <v>20623.5</v>
          </cell>
          <cell r="AU635">
            <v>0</v>
          </cell>
          <cell r="AW635">
            <v>0</v>
          </cell>
          <cell r="AY635">
            <v>17209.849999999999</v>
          </cell>
          <cell r="AZ635">
            <v>101.53902885125964</v>
          </cell>
          <cell r="BA635">
            <v>0</v>
          </cell>
          <cell r="BB635">
            <v>0</v>
          </cell>
          <cell r="BG635">
            <v>0</v>
          </cell>
          <cell r="BH635">
            <v>0</v>
          </cell>
          <cell r="BI635">
            <v>3413.92</v>
          </cell>
          <cell r="BJ635">
            <v>20.142309280783525</v>
          </cell>
          <cell r="BK635">
            <v>0</v>
          </cell>
          <cell r="BL635">
            <v>0</v>
          </cell>
          <cell r="BO635">
            <v>0</v>
          </cell>
          <cell r="BP635">
            <v>0</v>
          </cell>
          <cell r="CF635">
            <v>23.662005719628219</v>
          </cell>
          <cell r="CG635">
            <v>727.32</v>
          </cell>
          <cell r="CJ635">
            <v>0</v>
          </cell>
          <cell r="CK635">
            <v>0</v>
          </cell>
          <cell r="CL635">
            <v>0</v>
          </cell>
          <cell r="CM635">
            <v>0</v>
          </cell>
          <cell r="CN635">
            <v>0</v>
          </cell>
          <cell r="CO635">
            <v>0</v>
          </cell>
          <cell r="CX635">
            <v>0</v>
          </cell>
          <cell r="CY635">
            <v>0</v>
          </cell>
          <cell r="DJ635" t="str">
            <v>ОДА</v>
          </cell>
          <cell r="DL635">
            <v>40541</v>
          </cell>
          <cell r="DM635" t="str">
            <v>106-В</v>
          </cell>
          <cell r="DO635" t="str">
            <v>тариф на теплову енергію</v>
          </cell>
        </row>
        <row r="636">
          <cell r="AF636">
            <v>39861</v>
          </cell>
          <cell r="AG636">
            <v>12</v>
          </cell>
          <cell r="AM636">
            <v>6177.7462999999998</v>
          </cell>
          <cell r="AO636">
            <v>2113777.6740080002</v>
          </cell>
          <cell r="AQ636">
            <v>1971976.67</v>
          </cell>
          <cell r="AU636">
            <v>0</v>
          </cell>
          <cell r="AW636">
            <v>0</v>
          </cell>
          <cell r="AY636">
            <v>1847544.95</v>
          </cell>
          <cell r="AZ636">
            <v>299.06455530554888</v>
          </cell>
          <cell r="BA636">
            <v>0</v>
          </cell>
          <cell r="BB636">
            <v>0</v>
          </cell>
          <cell r="BG636">
            <v>0</v>
          </cell>
          <cell r="BH636">
            <v>0</v>
          </cell>
          <cell r="BI636">
            <v>124431.66</v>
          </cell>
          <cell r="BJ636">
            <v>20.141918097219371</v>
          </cell>
          <cell r="BK636">
            <v>0</v>
          </cell>
          <cell r="BL636">
            <v>0</v>
          </cell>
          <cell r="BO636">
            <v>0</v>
          </cell>
          <cell r="BP636">
            <v>0</v>
          </cell>
          <cell r="CF636">
            <v>862.43199906640211</v>
          </cell>
          <cell r="CG636">
            <v>2142.25</v>
          </cell>
          <cell r="CJ636">
            <v>0</v>
          </cell>
          <cell r="CK636">
            <v>0</v>
          </cell>
          <cell r="CL636">
            <v>0</v>
          </cell>
          <cell r="CM636">
            <v>0</v>
          </cell>
          <cell r="CN636">
            <v>0</v>
          </cell>
          <cell r="CO636">
            <v>0</v>
          </cell>
          <cell r="CX636">
            <v>0</v>
          </cell>
          <cell r="CY636">
            <v>0</v>
          </cell>
          <cell r="DJ636" t="str">
            <v>НКРКП</v>
          </cell>
          <cell r="DL636">
            <v>40816</v>
          </cell>
          <cell r="DM636">
            <v>161</v>
          </cell>
        </row>
        <row r="637">
          <cell r="AF637">
            <v>39861</v>
          </cell>
          <cell r="AG637">
            <v>12</v>
          </cell>
          <cell r="AO637">
            <v>28718.767432212167</v>
          </cell>
          <cell r="AQ637">
            <v>27349.93</v>
          </cell>
          <cell r="AY637">
            <v>2573.2600000000002</v>
          </cell>
          <cell r="AZ637">
            <v>2707.5540300789489</v>
          </cell>
          <cell r="BC637">
            <v>0</v>
          </cell>
          <cell r="BD637">
            <v>0</v>
          </cell>
          <cell r="BG637">
            <v>0</v>
          </cell>
          <cell r="BH637">
            <v>0</v>
          </cell>
          <cell r="BI637">
            <v>438.2</v>
          </cell>
          <cell r="BJ637">
            <v>461.06890713748135</v>
          </cell>
          <cell r="BK637">
            <v>0</v>
          </cell>
          <cell r="BL637">
            <v>0</v>
          </cell>
          <cell r="BM637">
            <v>21754.85</v>
          </cell>
          <cell r="BN637">
            <v>22890.198344226006</v>
          </cell>
          <cell r="BO637">
            <v>0</v>
          </cell>
          <cell r="BP637">
            <v>0</v>
          </cell>
          <cell r="BY637">
            <v>1605</v>
          </cell>
          <cell r="CF637">
            <v>3.5380025298355608</v>
          </cell>
          <cell r="CG637">
            <v>727.32</v>
          </cell>
          <cell r="CX637">
            <v>0</v>
          </cell>
          <cell r="CY637">
            <v>0</v>
          </cell>
          <cell r="DB637">
            <v>0</v>
          </cell>
          <cell r="DC637">
            <v>0</v>
          </cell>
          <cell r="DJ637" t="str">
            <v>ОДА</v>
          </cell>
          <cell r="DL637">
            <v>40541</v>
          </cell>
          <cell r="DM637" t="str">
            <v>106-В</v>
          </cell>
          <cell r="DO637" t="str">
            <v>тариф на теплову енергію</v>
          </cell>
        </row>
        <row r="638">
          <cell r="AF638">
            <v>39861</v>
          </cell>
          <cell r="AG638">
            <v>12</v>
          </cell>
          <cell r="AO638">
            <v>1510212.1371429835</v>
          </cell>
          <cell r="AQ638">
            <v>1179333.46</v>
          </cell>
          <cell r="AY638">
            <v>276268.84000000003</v>
          </cell>
          <cell r="AZ638">
            <v>7975.3832801638891</v>
          </cell>
          <cell r="BC638">
            <v>0</v>
          </cell>
          <cell r="BD638">
            <v>0</v>
          </cell>
          <cell r="BG638">
            <v>0</v>
          </cell>
          <cell r="BH638">
            <v>0</v>
          </cell>
          <cell r="BI638">
            <v>15971.52</v>
          </cell>
          <cell r="BJ638">
            <v>461.06898471359688</v>
          </cell>
          <cell r="BK638">
            <v>0</v>
          </cell>
          <cell r="BL638">
            <v>0</v>
          </cell>
          <cell r="BM638">
            <v>723869.53</v>
          </cell>
          <cell r="BN638">
            <v>20896.808147390391</v>
          </cell>
          <cell r="BO638">
            <v>0</v>
          </cell>
          <cell r="BP638">
            <v>0</v>
          </cell>
          <cell r="BY638">
            <v>1605</v>
          </cell>
          <cell r="CF638">
            <v>128.96199789940485</v>
          </cell>
          <cell r="CG638">
            <v>2142.25</v>
          </cell>
          <cell r="CX638">
            <v>0</v>
          </cell>
          <cell r="CY638">
            <v>0</v>
          </cell>
          <cell r="DB638">
            <v>0</v>
          </cell>
          <cell r="DC638">
            <v>0</v>
          </cell>
          <cell r="DJ638" t="str">
            <v>МОС</v>
          </cell>
          <cell r="DL638">
            <v>40086</v>
          </cell>
          <cell r="DM638">
            <v>339</v>
          </cell>
          <cell r="DO638" t="str">
            <v>тарифи на виробництво, транспортування, постачання теплової енергії та надання послуг з централізованого опалення</v>
          </cell>
        </row>
        <row r="639">
          <cell r="AF639">
            <v>39861</v>
          </cell>
          <cell r="AG639">
            <v>10</v>
          </cell>
          <cell r="AM639">
            <v>1743.3779999999999</v>
          </cell>
          <cell r="AO639">
            <v>227929.23972000001</v>
          </cell>
          <cell r="AQ639">
            <v>225025.97</v>
          </cell>
          <cell r="AU639">
            <v>0</v>
          </cell>
          <cell r="AW639">
            <v>0</v>
          </cell>
          <cell r="AY639">
            <v>170808.19</v>
          </cell>
          <cell r="AZ639">
            <v>97.975418985440911</v>
          </cell>
          <cell r="BA639">
            <v>0</v>
          </cell>
          <cell r="BB639">
            <v>0</v>
          </cell>
          <cell r="BG639">
            <v>0</v>
          </cell>
          <cell r="BH639">
            <v>0</v>
          </cell>
          <cell r="BI639">
            <v>54217.78</v>
          </cell>
          <cell r="BJ639">
            <v>31.099268202306099</v>
          </cell>
          <cell r="BK639">
            <v>0</v>
          </cell>
          <cell r="BL639">
            <v>0</v>
          </cell>
          <cell r="BO639">
            <v>0</v>
          </cell>
          <cell r="BP639">
            <v>0</v>
          </cell>
          <cell r="CF639">
            <v>234.84599626024308</v>
          </cell>
          <cell r="CG639">
            <v>727.32</v>
          </cell>
          <cell r="CJ639">
            <v>0</v>
          </cell>
          <cell r="CK639">
            <v>0</v>
          </cell>
          <cell r="CL639">
            <v>0</v>
          </cell>
          <cell r="CM639">
            <v>0</v>
          </cell>
          <cell r="CN639">
            <v>0</v>
          </cell>
          <cell r="CO639">
            <v>0</v>
          </cell>
          <cell r="CX639">
            <v>0</v>
          </cell>
          <cell r="CY639">
            <v>0</v>
          </cell>
          <cell r="DJ639" t="str">
            <v>МОС</v>
          </cell>
          <cell r="DL639">
            <v>40563</v>
          </cell>
          <cell r="DM639">
            <v>8</v>
          </cell>
          <cell r="DO639" t="str">
            <v>тарифи на послуги з централізованого опалення</v>
          </cell>
        </row>
        <row r="640">
          <cell r="AF640">
            <v>39861</v>
          </cell>
          <cell r="AG640">
            <v>11</v>
          </cell>
          <cell r="AO640">
            <v>236994.672096075</v>
          </cell>
          <cell r="AQ640">
            <v>230240.36</v>
          </cell>
          <cell r="AY640">
            <v>19996.939999999999</v>
          </cell>
          <cell r="AZ640">
            <v>2068.8507141317091</v>
          </cell>
          <cell r="BC640">
            <v>0</v>
          </cell>
          <cell r="BD640">
            <v>0</v>
          </cell>
          <cell r="BG640">
            <v>0</v>
          </cell>
          <cell r="BH640">
            <v>0</v>
          </cell>
          <cell r="BI640">
            <v>5343.24</v>
          </cell>
          <cell r="BJ640">
            <v>552.8028733284749</v>
          </cell>
          <cell r="BK640">
            <v>0</v>
          </cell>
          <cell r="BL640">
            <v>0</v>
          </cell>
          <cell r="BM640">
            <v>181153.01</v>
          </cell>
          <cell r="BN640">
            <v>18741.794199792999</v>
          </cell>
          <cell r="BO640">
            <v>0</v>
          </cell>
          <cell r="BP640">
            <v>0</v>
          </cell>
          <cell r="BY640">
            <v>1605</v>
          </cell>
          <cell r="CF640">
            <v>27.494005389649669</v>
          </cell>
          <cell r="CG640">
            <v>727.32</v>
          </cell>
          <cell r="CX640">
            <v>0</v>
          </cell>
          <cell r="CY640">
            <v>0</v>
          </cell>
          <cell r="DB640">
            <v>0</v>
          </cell>
          <cell r="DC640">
            <v>0</v>
          </cell>
          <cell r="DJ640" t="str">
            <v>МОС</v>
          </cell>
          <cell r="DL640">
            <v>40563</v>
          </cell>
          <cell r="DM640">
            <v>8</v>
          </cell>
          <cell r="DO640" t="str">
            <v>тарифи на послуги з централізованого опалення</v>
          </cell>
        </row>
        <row r="641">
          <cell r="AF641">
            <v>39861</v>
          </cell>
          <cell r="AG641" t="str">
            <v>№ 22</v>
          </cell>
          <cell r="AM641">
            <v>192.27010000000001</v>
          </cell>
          <cell r="AO641">
            <v>20951.672797000003</v>
          </cell>
          <cell r="AQ641">
            <v>20363.96</v>
          </cell>
          <cell r="AU641">
            <v>0</v>
          </cell>
          <cell r="AW641">
            <v>0</v>
          </cell>
          <cell r="AY641">
            <v>18038.259999999998</v>
          </cell>
          <cell r="AZ641">
            <v>93.817291404123665</v>
          </cell>
          <cell r="BA641">
            <v>0</v>
          </cell>
          <cell r="BB641">
            <v>0</v>
          </cell>
          <cell r="BG641">
            <v>0</v>
          </cell>
          <cell r="BH641">
            <v>0</v>
          </cell>
          <cell r="BI641">
            <v>2325.6999999999998</v>
          </cell>
          <cell r="BJ641">
            <v>12.096004526964929</v>
          </cell>
          <cell r="BK641">
            <v>0</v>
          </cell>
          <cell r="BL641">
            <v>0</v>
          </cell>
          <cell r="BO641">
            <v>0</v>
          </cell>
          <cell r="BP641">
            <v>0</v>
          </cell>
          <cell r="CF641">
            <v>24.800995435296702</v>
          </cell>
          <cell r="CG641">
            <v>727.32</v>
          </cell>
          <cell r="CJ641">
            <v>0</v>
          </cell>
          <cell r="CK641">
            <v>0</v>
          </cell>
          <cell r="CL641">
            <v>0</v>
          </cell>
          <cell r="CM641">
            <v>0</v>
          </cell>
          <cell r="CN641">
            <v>0</v>
          </cell>
          <cell r="CO641">
            <v>0</v>
          </cell>
          <cell r="CX641">
            <v>0</v>
          </cell>
          <cell r="CY641">
            <v>0</v>
          </cell>
          <cell r="DJ641" t="str">
            <v>МОС</v>
          </cell>
          <cell r="DL641">
            <v>40563</v>
          </cell>
          <cell r="DM641">
            <v>11</v>
          </cell>
          <cell r="DO641" t="str">
            <v>тарифи на послуги з централізованого опалення</v>
          </cell>
        </row>
        <row r="642">
          <cell r="AF642">
            <v>39861</v>
          </cell>
          <cell r="AG642" t="str">
            <v>№ 22</v>
          </cell>
          <cell r="AM642">
            <v>1823.6459</v>
          </cell>
          <cell r="AO642">
            <v>562722.41536300001</v>
          </cell>
          <cell r="AQ642">
            <v>525995.32999999996</v>
          </cell>
          <cell r="AU642">
            <v>0</v>
          </cell>
          <cell r="AW642">
            <v>0</v>
          </cell>
          <cell r="AY642">
            <v>503936.46</v>
          </cell>
          <cell r="AZ642">
            <v>276.33459982554729</v>
          </cell>
          <cell r="BA642">
            <v>0</v>
          </cell>
          <cell r="BB642">
            <v>0</v>
          </cell>
          <cell r="BG642">
            <v>0</v>
          </cell>
          <cell r="BH642">
            <v>0</v>
          </cell>
          <cell r="BI642">
            <v>22058.87</v>
          </cell>
          <cell r="BJ642">
            <v>12.096026975412277</v>
          </cell>
          <cell r="BK642">
            <v>0</v>
          </cell>
          <cell r="BL642">
            <v>0</v>
          </cell>
          <cell r="BO642">
            <v>0</v>
          </cell>
          <cell r="BP642">
            <v>0</v>
          </cell>
          <cell r="CF642">
            <v>235.23699848290349</v>
          </cell>
          <cell r="CG642">
            <v>2142.25</v>
          </cell>
          <cell r="CJ642">
            <v>0</v>
          </cell>
          <cell r="CK642">
            <v>0</v>
          </cell>
          <cell r="CL642">
            <v>0</v>
          </cell>
          <cell r="CM642">
            <v>0</v>
          </cell>
          <cell r="CN642">
            <v>0</v>
          </cell>
          <cell r="CO642">
            <v>0</v>
          </cell>
          <cell r="CX642">
            <v>0</v>
          </cell>
          <cell r="CY642">
            <v>0</v>
          </cell>
          <cell r="DJ642" t="str">
            <v>НКРКП</v>
          </cell>
          <cell r="DL642">
            <v>40816</v>
          </cell>
          <cell r="DM642">
            <v>161</v>
          </cell>
        </row>
        <row r="643">
          <cell r="AF643">
            <v>39861</v>
          </cell>
          <cell r="AG643">
            <v>22</v>
          </cell>
          <cell r="AO643">
            <v>26718.398942637599</v>
          </cell>
          <cell r="AQ643">
            <v>25346.02</v>
          </cell>
          <cell r="AY643">
            <v>2694.72</v>
          </cell>
          <cell r="AZ643">
            <v>2525.9274257047086</v>
          </cell>
          <cell r="BC643">
            <v>0</v>
          </cell>
          <cell r="BD643">
            <v>0</v>
          </cell>
          <cell r="BG643">
            <v>0</v>
          </cell>
          <cell r="BH643">
            <v>0</v>
          </cell>
          <cell r="BI643">
            <v>296.63</v>
          </cell>
          <cell r="BJ643">
            <v>278.04961268212941</v>
          </cell>
          <cell r="BK643">
            <v>0</v>
          </cell>
          <cell r="BL643">
            <v>0</v>
          </cell>
          <cell r="BM643">
            <v>18188.830000000002</v>
          </cell>
          <cell r="BN643">
            <v>17049.513321785042</v>
          </cell>
          <cell r="BO643">
            <v>0</v>
          </cell>
          <cell r="BP643">
            <v>0</v>
          </cell>
          <cell r="BY643">
            <v>1605</v>
          </cell>
          <cell r="CF643">
            <v>3.7049991750536209</v>
          </cell>
          <cell r="CG643">
            <v>727.32</v>
          </cell>
          <cell r="CX643">
            <v>0</v>
          </cell>
          <cell r="CY643">
            <v>0</v>
          </cell>
          <cell r="DB643">
            <v>0</v>
          </cell>
          <cell r="DC643">
            <v>0</v>
          </cell>
          <cell r="DJ643" t="str">
            <v>МОС</v>
          </cell>
          <cell r="DL643">
            <v>40563</v>
          </cell>
          <cell r="DM643">
            <v>11</v>
          </cell>
          <cell r="DO643" t="str">
            <v>тарифи на послуги з централізованого опалення</v>
          </cell>
        </row>
        <row r="644">
          <cell r="AF644">
            <v>39861</v>
          </cell>
          <cell r="AG644">
            <v>22</v>
          </cell>
          <cell r="AO644">
            <v>375816.40322381997</v>
          </cell>
          <cell r="AQ644">
            <v>290128.375</v>
          </cell>
          <cell r="AY644">
            <v>75285.09</v>
          </cell>
          <cell r="AZ644">
            <v>7440.5115579069461</v>
          </cell>
          <cell r="BC644">
            <v>0</v>
          </cell>
          <cell r="BD644">
            <v>0</v>
          </cell>
          <cell r="BG644">
            <v>0</v>
          </cell>
          <cell r="BH644">
            <v>0</v>
          </cell>
          <cell r="BI644">
            <v>2813.45</v>
          </cell>
          <cell r="BJ644">
            <v>278.05648160337324</v>
          </cell>
          <cell r="BK644">
            <v>0</v>
          </cell>
          <cell r="BL644">
            <v>0</v>
          </cell>
          <cell r="BM644">
            <v>175027.27</v>
          </cell>
          <cell r="BN644">
            <v>17298.145295222461</v>
          </cell>
          <cell r="BO644">
            <v>0</v>
          </cell>
          <cell r="BP644">
            <v>0</v>
          </cell>
          <cell r="BY644">
            <v>1605</v>
          </cell>
          <cell r="CF644">
            <v>35.142999183101878</v>
          </cell>
          <cell r="CG644">
            <v>2142.25</v>
          </cell>
          <cell r="CX644">
            <v>0</v>
          </cell>
          <cell r="CY644">
            <v>0</v>
          </cell>
          <cell r="DB644">
            <v>0</v>
          </cell>
          <cell r="DC644">
            <v>0</v>
          </cell>
          <cell r="DJ644" t="str">
            <v>МОС</v>
          </cell>
          <cell r="DL644">
            <v>40073</v>
          </cell>
          <cell r="DM644">
            <v>123</v>
          </cell>
          <cell r="DO644" t="str">
            <v>тарифи на виробництво, транспортування, постачання теплової енергії</v>
          </cell>
        </row>
        <row r="645">
          <cell r="W645">
            <v>194.97</v>
          </cell>
          <cell r="AF645">
            <v>40093</v>
          </cell>
          <cell r="AG645">
            <v>432</v>
          </cell>
          <cell r="AH645">
            <v>193.39824945295405</v>
          </cell>
          <cell r="AM645">
            <v>297050</v>
          </cell>
          <cell r="AO645">
            <v>57915838.5</v>
          </cell>
          <cell r="AQ645">
            <v>57448950</v>
          </cell>
          <cell r="AU645">
            <v>0</v>
          </cell>
          <cell r="AW645">
            <v>0</v>
          </cell>
          <cell r="AY645">
            <v>25787900</v>
          </cell>
          <cell r="AZ645">
            <v>86.813331089042251</v>
          </cell>
          <cell r="BA645">
            <v>3967000</v>
          </cell>
          <cell r="BB645">
            <v>13.354654098636594</v>
          </cell>
          <cell r="BC645">
            <v>0</v>
          </cell>
          <cell r="BD645">
            <v>0</v>
          </cell>
          <cell r="BG645">
            <v>1546900</v>
          </cell>
          <cell r="BH645">
            <v>5.2075408180441007</v>
          </cell>
          <cell r="BI645">
            <v>6548900</v>
          </cell>
          <cell r="BJ645">
            <v>22.04645682545026</v>
          </cell>
          <cell r="BK645">
            <v>0</v>
          </cell>
          <cell r="BL645">
            <v>0</v>
          </cell>
          <cell r="BM645">
            <v>12154300</v>
          </cell>
          <cell r="BN645">
            <v>40.916680693485944</v>
          </cell>
          <cell r="BO645">
            <v>0</v>
          </cell>
          <cell r="BP645">
            <v>0</v>
          </cell>
          <cell r="BY645">
            <v>1829.59</v>
          </cell>
          <cell r="CF645">
            <v>35456.057856239342</v>
          </cell>
          <cell r="CG645">
            <v>727.32</v>
          </cell>
          <cell r="CJ645">
            <v>0</v>
          </cell>
          <cell r="CK645">
            <v>0</v>
          </cell>
          <cell r="CL645">
            <v>0</v>
          </cell>
          <cell r="CM645">
            <v>0</v>
          </cell>
          <cell r="CN645">
            <v>0</v>
          </cell>
          <cell r="CO645">
            <v>0</v>
          </cell>
          <cell r="CX645">
            <v>0</v>
          </cell>
          <cell r="CY645">
            <v>0</v>
          </cell>
          <cell r="DB645">
            <v>0</v>
          </cell>
          <cell r="DC645">
            <v>0</v>
          </cell>
          <cell r="DJ645" t="str">
            <v>НКРЕ</v>
          </cell>
          <cell r="DL645">
            <v>40526</v>
          </cell>
          <cell r="DM645">
            <v>1794</v>
          </cell>
          <cell r="DO645" t="str">
            <v>тариф на теплову енергію</v>
          </cell>
          <cell r="DT645">
            <v>243.71</v>
          </cell>
        </row>
        <row r="646">
          <cell r="W646">
            <v>413.77</v>
          </cell>
          <cell r="AF646">
            <v>40093</v>
          </cell>
          <cell r="AG646">
            <v>433</v>
          </cell>
          <cell r="AH646">
            <v>359.79936811666636</v>
          </cell>
          <cell r="AM646">
            <v>56023</v>
          </cell>
          <cell r="AO646">
            <v>23180636.709999997</v>
          </cell>
          <cell r="AQ646">
            <v>20157040</v>
          </cell>
          <cell r="AU646">
            <v>0</v>
          </cell>
          <cell r="AW646">
            <v>0</v>
          </cell>
          <cell r="AY646">
            <v>14217425</v>
          </cell>
          <cell r="AZ646">
            <v>253.77835888831373</v>
          </cell>
          <cell r="BA646">
            <v>807242.8</v>
          </cell>
          <cell r="BB646">
            <v>14.409131963657785</v>
          </cell>
          <cell r="BC646">
            <v>0</v>
          </cell>
          <cell r="BD646">
            <v>0</v>
          </cell>
          <cell r="BG646">
            <v>291758.11</v>
          </cell>
          <cell r="BH646">
            <v>5.2078273209217638</v>
          </cell>
          <cell r="BI646">
            <v>1235063.99</v>
          </cell>
          <cell r="BJ646">
            <v>22.045659639790799</v>
          </cell>
          <cell r="BK646">
            <v>0</v>
          </cell>
          <cell r="BL646">
            <v>0</v>
          </cell>
          <cell r="BM646">
            <v>2292176.91</v>
          </cell>
          <cell r="BN646">
            <v>40.914926191028684</v>
          </cell>
          <cell r="BO646">
            <v>0</v>
          </cell>
          <cell r="BP646">
            <v>0</v>
          </cell>
          <cell r="BY646">
            <v>1829.59</v>
          </cell>
          <cell r="CF646">
            <v>8887.8055117148178</v>
          </cell>
          <cell r="CG646">
            <v>2182.66</v>
          </cell>
          <cell r="CJ646">
            <v>0</v>
          </cell>
          <cell r="CK646">
            <v>0</v>
          </cell>
          <cell r="CL646">
            <v>0</v>
          </cell>
          <cell r="CM646">
            <v>0</v>
          </cell>
          <cell r="CN646">
            <v>0</v>
          </cell>
          <cell r="CO646">
            <v>0</v>
          </cell>
          <cell r="CX646">
            <v>0</v>
          </cell>
          <cell r="CY646">
            <v>0</v>
          </cell>
          <cell r="DB646">
            <v>0</v>
          </cell>
          <cell r="DC646">
            <v>0</v>
          </cell>
          <cell r="DJ646" t="str">
            <v>НКРКП</v>
          </cell>
          <cell r="DL646">
            <v>40816</v>
          </cell>
          <cell r="DM646">
            <v>60</v>
          </cell>
          <cell r="DT646">
            <v>596.23</v>
          </cell>
        </row>
        <row r="647">
          <cell r="W647">
            <v>463.41</v>
          </cell>
          <cell r="AF647">
            <v>40093</v>
          </cell>
          <cell r="AG647">
            <v>434</v>
          </cell>
          <cell r="AH647">
            <v>308.93702700826219</v>
          </cell>
          <cell r="AM647">
            <v>14403</v>
          </cell>
          <cell r="AO647">
            <v>6674494.2300000004</v>
          </cell>
          <cell r="AQ647">
            <v>4449620</v>
          </cell>
          <cell r="AU647">
            <v>0</v>
          </cell>
          <cell r="AW647">
            <v>0</v>
          </cell>
          <cell r="AY647">
            <v>2794845.92882</v>
          </cell>
          <cell r="AZ647">
            <v>194.0460965646046</v>
          </cell>
          <cell r="BA647">
            <v>333076.8</v>
          </cell>
          <cell r="BB647">
            <v>23.125515517600498</v>
          </cell>
          <cell r="BC647">
            <v>0</v>
          </cell>
          <cell r="BD647">
            <v>0</v>
          </cell>
          <cell r="BG647">
            <v>75000</v>
          </cell>
          <cell r="BH647">
            <v>5.2072484898979381</v>
          </cell>
          <cell r="BI647">
            <v>317500</v>
          </cell>
          <cell r="BJ647">
            <v>22.044018607234605</v>
          </cell>
          <cell r="BK647">
            <v>0</v>
          </cell>
          <cell r="BL647">
            <v>0</v>
          </cell>
          <cell r="BM647">
            <v>589200</v>
          </cell>
          <cell r="BN647">
            <v>40.908144136638199</v>
          </cell>
          <cell r="BO647">
            <v>0</v>
          </cell>
          <cell r="BP647">
            <v>0</v>
          </cell>
          <cell r="BY647">
            <v>1828.59</v>
          </cell>
          <cell r="CF647">
            <v>2260.0137367119901</v>
          </cell>
          <cell r="CG647">
            <v>2182.66</v>
          </cell>
          <cell r="CJ647">
            <v>0</v>
          </cell>
          <cell r="CK647">
            <v>0</v>
          </cell>
          <cell r="CL647">
            <v>0</v>
          </cell>
          <cell r="CM647">
            <v>0</v>
          </cell>
          <cell r="CN647">
            <v>0</v>
          </cell>
          <cell r="CO647">
            <v>0</v>
          </cell>
          <cell r="CX647">
            <v>0</v>
          </cell>
          <cell r="CY647">
            <v>0</v>
          </cell>
          <cell r="DB647">
            <v>0</v>
          </cell>
          <cell r="DC647">
            <v>0</v>
          </cell>
          <cell r="DJ647" t="str">
            <v>НКРКП</v>
          </cell>
          <cell r="DL647">
            <v>40816</v>
          </cell>
          <cell r="DM647">
            <v>60</v>
          </cell>
          <cell r="DT647">
            <v>602.91999999999996</v>
          </cell>
        </row>
        <row r="648">
          <cell r="W648">
            <v>184.16</v>
          </cell>
          <cell r="AF648">
            <v>39645</v>
          </cell>
          <cell r="AG648">
            <v>755</v>
          </cell>
          <cell r="AH648">
            <v>175.38512616201859</v>
          </cell>
          <cell r="AM648">
            <v>75300</v>
          </cell>
          <cell r="AO648">
            <v>13867248</v>
          </cell>
          <cell r="AQ648">
            <v>13206500</v>
          </cell>
          <cell r="AU648">
            <v>0</v>
          </cell>
          <cell r="AW648">
            <v>0</v>
          </cell>
          <cell r="AY648">
            <v>7940879.7600000007</v>
          </cell>
          <cell r="AZ648">
            <v>105.4565705179283</v>
          </cell>
          <cell r="BA648">
            <v>0</v>
          </cell>
          <cell r="BB648">
            <v>0</v>
          </cell>
          <cell r="BC648">
            <v>0</v>
          </cell>
          <cell r="BD648">
            <v>0</v>
          </cell>
          <cell r="BG648">
            <v>220954</v>
          </cell>
          <cell r="BH648">
            <v>2.9343160690571048</v>
          </cell>
          <cell r="BI648">
            <v>137667</v>
          </cell>
          <cell r="BJ648">
            <v>1.8282470119521912</v>
          </cell>
          <cell r="BK648">
            <v>0</v>
          </cell>
          <cell r="BL648">
            <v>0</v>
          </cell>
          <cell r="BM648">
            <v>2355833</v>
          </cell>
          <cell r="BN648">
            <v>31.285962815405046</v>
          </cell>
          <cell r="BO648">
            <v>0</v>
          </cell>
          <cell r="BP648">
            <v>0</v>
          </cell>
          <cell r="BY648">
            <v>3435.9</v>
          </cell>
          <cell r="CF648">
            <v>10918</v>
          </cell>
          <cell r="CG648">
            <v>727.32</v>
          </cell>
          <cell r="CJ648">
            <v>0</v>
          </cell>
          <cell r="CK648">
            <v>0</v>
          </cell>
          <cell r="CL648">
            <v>0</v>
          </cell>
          <cell r="CM648">
            <v>0</v>
          </cell>
          <cell r="CN648">
            <v>0</v>
          </cell>
          <cell r="CO648">
            <v>0</v>
          </cell>
          <cell r="CX648">
            <v>0</v>
          </cell>
          <cell r="CY648">
            <v>0</v>
          </cell>
          <cell r="DB648">
            <v>0</v>
          </cell>
          <cell r="DC648">
            <v>0</v>
          </cell>
          <cell r="DJ648" t="str">
            <v>НКРЕ</v>
          </cell>
          <cell r="DL648">
            <v>40526</v>
          </cell>
          <cell r="DM648">
            <v>1755</v>
          </cell>
          <cell r="DO648" t="str">
            <v>тариф на теплову енергію</v>
          </cell>
          <cell r="DT648">
            <v>230.2</v>
          </cell>
        </row>
        <row r="649">
          <cell r="W649">
            <v>431.57</v>
          </cell>
          <cell r="AF649">
            <v>39862</v>
          </cell>
          <cell r="AG649">
            <v>1362</v>
          </cell>
          <cell r="AH649">
            <v>385.33333333333331</v>
          </cell>
          <cell r="AM649">
            <v>4200</v>
          </cell>
          <cell r="AO649">
            <v>1812594</v>
          </cell>
          <cell r="AQ649">
            <v>1618400</v>
          </cell>
          <cell r="AU649">
            <v>0</v>
          </cell>
          <cell r="AW649">
            <v>0</v>
          </cell>
          <cell r="AY649">
            <v>1301631.1000000001</v>
          </cell>
          <cell r="AZ649">
            <v>309.91216666666668</v>
          </cell>
          <cell r="BA649">
            <v>0</v>
          </cell>
          <cell r="BB649">
            <v>0</v>
          </cell>
          <cell r="BC649">
            <v>0</v>
          </cell>
          <cell r="BD649">
            <v>0</v>
          </cell>
          <cell r="BG649">
            <v>17305</v>
          </cell>
          <cell r="BH649">
            <v>4.1202380952380953</v>
          </cell>
          <cell r="BI649">
            <v>10499</v>
          </cell>
          <cell r="BJ649">
            <v>2.4997619047619049</v>
          </cell>
          <cell r="BK649">
            <v>0</v>
          </cell>
          <cell r="BL649">
            <v>0</v>
          </cell>
          <cell r="BM649">
            <v>131401</v>
          </cell>
          <cell r="BN649">
            <v>31.285952380952381</v>
          </cell>
          <cell r="BO649">
            <v>0</v>
          </cell>
          <cell r="BP649">
            <v>0</v>
          </cell>
          <cell r="BY649">
            <v>3435.9</v>
          </cell>
          <cell r="CF649">
            <v>607.6</v>
          </cell>
          <cell r="CG649">
            <v>2142.25</v>
          </cell>
          <cell r="CJ649">
            <v>0</v>
          </cell>
          <cell r="CK649">
            <v>0</v>
          </cell>
          <cell r="CL649">
            <v>0</v>
          </cell>
          <cell r="CM649">
            <v>0</v>
          </cell>
          <cell r="CN649">
            <v>0</v>
          </cell>
          <cell r="CO649">
            <v>0</v>
          </cell>
          <cell r="CX649">
            <v>0</v>
          </cell>
          <cell r="CY649">
            <v>0</v>
          </cell>
          <cell r="DB649">
            <v>0</v>
          </cell>
          <cell r="DC649">
            <v>0</v>
          </cell>
          <cell r="DJ649" t="str">
            <v>НКРКП</v>
          </cell>
          <cell r="DL649">
            <v>40816</v>
          </cell>
          <cell r="DM649">
            <v>94</v>
          </cell>
          <cell r="DT649">
            <v>652.52</v>
          </cell>
        </row>
        <row r="650">
          <cell r="W650">
            <v>436.06</v>
          </cell>
          <cell r="AF650">
            <v>39862</v>
          </cell>
          <cell r="AG650">
            <v>1363</v>
          </cell>
          <cell r="AH650">
            <v>389.33718244803697</v>
          </cell>
          <cell r="AM650">
            <v>173200</v>
          </cell>
          <cell r="AO650">
            <v>75525592</v>
          </cell>
          <cell r="AQ650">
            <v>67433200</v>
          </cell>
          <cell r="AU650">
            <v>0</v>
          </cell>
          <cell r="AW650">
            <v>4168988</v>
          </cell>
          <cell r="AY650">
            <v>49893645.174999997</v>
          </cell>
          <cell r="AZ650">
            <v>288.06954489030022</v>
          </cell>
          <cell r="BA650">
            <v>0</v>
          </cell>
          <cell r="BB650">
            <v>0</v>
          </cell>
          <cell r="BC650">
            <v>0</v>
          </cell>
          <cell r="BD650">
            <v>0</v>
          </cell>
          <cell r="BG650">
            <v>713629</v>
          </cell>
          <cell r="BH650">
            <v>4.1202598152424939</v>
          </cell>
          <cell r="BI650">
            <v>432917</v>
          </cell>
          <cell r="BJ650">
            <v>2.4995207852193997</v>
          </cell>
          <cell r="BK650">
            <v>0</v>
          </cell>
          <cell r="BL650">
            <v>0</v>
          </cell>
          <cell r="BM650">
            <v>5418729</v>
          </cell>
          <cell r="BN650">
            <v>31.285964203233256</v>
          </cell>
          <cell r="BO650">
            <v>0</v>
          </cell>
          <cell r="BP650">
            <v>0</v>
          </cell>
          <cell r="BY650">
            <v>3435.9</v>
          </cell>
          <cell r="CF650">
            <v>23290.3</v>
          </cell>
          <cell r="CG650">
            <v>2142.25</v>
          </cell>
          <cell r="CJ650">
            <v>0</v>
          </cell>
          <cell r="CK650">
            <v>0</v>
          </cell>
          <cell r="CL650">
            <v>0</v>
          </cell>
          <cell r="CM650">
            <v>13360</v>
          </cell>
          <cell r="CN650">
            <v>312.05</v>
          </cell>
          <cell r="CO650">
            <v>587.72</v>
          </cell>
          <cell r="CX650">
            <v>0</v>
          </cell>
          <cell r="CY650">
            <v>0</v>
          </cell>
          <cell r="DB650">
            <v>0</v>
          </cell>
          <cell r="DC650">
            <v>0</v>
          </cell>
          <cell r="DJ650" t="str">
            <v>НКРКП</v>
          </cell>
          <cell r="DL650">
            <v>40816</v>
          </cell>
          <cell r="DM650">
            <v>94</v>
          </cell>
          <cell r="DT650">
            <v>652.52</v>
          </cell>
        </row>
        <row r="651">
          <cell r="W651">
            <v>487.5</v>
          </cell>
          <cell r="AF651">
            <v>39857</v>
          </cell>
          <cell r="AG651">
            <v>1346</v>
          </cell>
          <cell r="AH651">
            <v>446.41117915642565</v>
          </cell>
          <cell r="AM651">
            <v>33167.440000000002</v>
          </cell>
          <cell r="AO651">
            <v>16169127.000000002</v>
          </cell>
          <cell r="AQ651">
            <v>14806316</v>
          </cell>
          <cell r="AU651">
            <v>0</v>
          </cell>
          <cell r="AW651">
            <v>0</v>
          </cell>
          <cell r="AY651">
            <v>10302787.192499999</v>
          </cell>
          <cell r="AZ651">
            <v>310.62955695404884</v>
          </cell>
          <cell r="BA651">
            <v>0</v>
          </cell>
          <cell r="BB651">
            <v>0</v>
          </cell>
          <cell r="BC651">
            <v>0</v>
          </cell>
          <cell r="BD651">
            <v>0</v>
          </cell>
          <cell r="BG651">
            <v>0</v>
          </cell>
          <cell r="BH651">
            <v>0</v>
          </cell>
          <cell r="BI651">
            <v>480657</v>
          </cell>
          <cell r="BJ651">
            <v>14.491832954246695</v>
          </cell>
          <cell r="BK651">
            <v>0</v>
          </cell>
          <cell r="BL651">
            <v>0</v>
          </cell>
          <cell r="BM651">
            <v>1119300</v>
          </cell>
          <cell r="BN651">
            <v>33.74695182986688</v>
          </cell>
          <cell r="BO651">
            <v>0</v>
          </cell>
          <cell r="BP651">
            <v>0</v>
          </cell>
          <cell r="BY651">
            <v>995.92</v>
          </cell>
          <cell r="CF651">
            <v>4809.33</v>
          </cell>
          <cell r="CG651">
            <v>2142.25</v>
          </cell>
          <cell r="CJ651">
            <v>0</v>
          </cell>
          <cell r="CK651">
            <v>0</v>
          </cell>
          <cell r="CL651">
            <v>0</v>
          </cell>
          <cell r="CM651">
            <v>0</v>
          </cell>
          <cell r="CN651">
            <v>0</v>
          </cell>
          <cell r="CO651">
            <v>0</v>
          </cell>
          <cell r="CX651">
            <v>0</v>
          </cell>
          <cell r="CY651">
            <v>0</v>
          </cell>
          <cell r="DB651">
            <v>0</v>
          </cell>
          <cell r="DC651">
            <v>0</v>
          </cell>
          <cell r="DJ651" t="str">
            <v>НКРКП</v>
          </cell>
          <cell r="DL651">
            <v>40816</v>
          </cell>
          <cell r="DM651">
            <v>96</v>
          </cell>
          <cell r="DT651">
            <v>720.91</v>
          </cell>
        </row>
        <row r="652">
          <cell r="W652">
            <v>488.66</v>
          </cell>
          <cell r="AF652">
            <v>39857</v>
          </cell>
          <cell r="AG652">
            <v>1347</v>
          </cell>
          <cell r="AH652">
            <v>432.82665937147351</v>
          </cell>
          <cell r="AM652">
            <v>1754.58</v>
          </cell>
          <cell r="AO652">
            <v>857393.06279999996</v>
          </cell>
          <cell r="AQ652">
            <v>759429</v>
          </cell>
          <cell r="AU652">
            <v>0</v>
          </cell>
          <cell r="AW652">
            <v>0</v>
          </cell>
          <cell r="AY652">
            <v>589118.75</v>
          </cell>
          <cell r="AZ652">
            <v>335.76055238290644</v>
          </cell>
          <cell r="BA652">
            <v>0</v>
          </cell>
          <cell r="BB652">
            <v>0</v>
          </cell>
          <cell r="BC652">
            <v>0</v>
          </cell>
          <cell r="BD652">
            <v>0</v>
          </cell>
          <cell r="BG652">
            <v>0</v>
          </cell>
          <cell r="BH652">
            <v>0</v>
          </cell>
          <cell r="BI652">
            <v>19634</v>
          </cell>
          <cell r="BJ652">
            <v>11.190142370253851</v>
          </cell>
          <cell r="BK652">
            <v>0</v>
          </cell>
          <cell r="BL652">
            <v>0</v>
          </cell>
          <cell r="BM652">
            <v>59212</v>
          </cell>
          <cell r="BN652">
            <v>33.747107569902774</v>
          </cell>
          <cell r="BO652">
            <v>0</v>
          </cell>
          <cell r="BP652">
            <v>0</v>
          </cell>
          <cell r="BY652">
            <v>995.92</v>
          </cell>
          <cell r="CF652">
            <v>275</v>
          </cell>
          <cell r="CG652">
            <v>2142.25</v>
          </cell>
          <cell r="CJ652">
            <v>0</v>
          </cell>
          <cell r="CK652">
            <v>0</v>
          </cell>
          <cell r="CL652">
            <v>0</v>
          </cell>
          <cell r="CM652">
            <v>0</v>
          </cell>
          <cell r="CN652">
            <v>0</v>
          </cell>
          <cell r="CO652">
            <v>0</v>
          </cell>
          <cell r="CX652">
            <v>0</v>
          </cell>
          <cell r="CY652">
            <v>0</v>
          </cell>
          <cell r="DB652">
            <v>0</v>
          </cell>
          <cell r="DC652">
            <v>0</v>
          </cell>
          <cell r="DJ652" t="str">
            <v>НКРКП</v>
          </cell>
          <cell r="DL652">
            <v>40816</v>
          </cell>
          <cell r="DM652">
            <v>96</v>
          </cell>
          <cell r="DT652">
            <v>741.37</v>
          </cell>
        </row>
        <row r="653">
          <cell r="W653">
            <v>496.51</v>
          </cell>
          <cell r="AF653">
            <v>39694</v>
          </cell>
          <cell r="AG653">
            <v>909</v>
          </cell>
          <cell r="AH653">
            <v>451.37741935483871</v>
          </cell>
          <cell r="AM653">
            <v>620</v>
          </cell>
          <cell r="AO653">
            <v>307836.2</v>
          </cell>
          <cell r="AQ653">
            <v>279854</v>
          </cell>
          <cell r="AU653">
            <v>0</v>
          </cell>
          <cell r="AW653">
            <v>0</v>
          </cell>
          <cell r="AY653">
            <v>85823.760000000009</v>
          </cell>
          <cell r="AZ653">
            <v>138.42541935483874</v>
          </cell>
          <cell r="BA653">
            <v>0</v>
          </cell>
          <cell r="BB653">
            <v>0</v>
          </cell>
          <cell r="BC653">
            <v>0</v>
          </cell>
          <cell r="BD653">
            <v>0</v>
          </cell>
          <cell r="BG653">
            <v>0</v>
          </cell>
          <cell r="BH653">
            <v>0</v>
          </cell>
          <cell r="BI653">
            <v>23371</v>
          </cell>
          <cell r="BJ653">
            <v>37.695161290322581</v>
          </cell>
          <cell r="BK653">
            <v>0</v>
          </cell>
          <cell r="BL653">
            <v>0</v>
          </cell>
          <cell r="BM653">
            <v>49283</v>
          </cell>
          <cell r="BN653">
            <v>79.488709677419351</v>
          </cell>
          <cell r="BO653">
            <v>0</v>
          </cell>
          <cell r="BP653">
            <v>0</v>
          </cell>
          <cell r="BY653">
            <v>688.52</v>
          </cell>
          <cell r="CF653">
            <v>118</v>
          </cell>
          <cell r="CG653">
            <v>727.32</v>
          </cell>
          <cell r="CJ653">
            <v>0</v>
          </cell>
          <cell r="CK653">
            <v>0</v>
          </cell>
          <cell r="CL653">
            <v>0</v>
          </cell>
          <cell r="CM653">
            <v>0</v>
          </cell>
          <cell r="CN653">
            <v>0</v>
          </cell>
          <cell r="CO653">
            <v>0</v>
          </cell>
          <cell r="CX653">
            <v>0</v>
          </cell>
          <cell r="CY653">
            <v>0</v>
          </cell>
          <cell r="DB653">
            <v>0</v>
          </cell>
          <cell r="DC653">
            <v>0</v>
          </cell>
          <cell r="DJ653" t="str">
            <v>НКРЕ</v>
          </cell>
          <cell r="DL653">
            <v>40526</v>
          </cell>
          <cell r="DM653">
            <v>1752</v>
          </cell>
          <cell r="DO653" t="str">
            <v>на теплову енергію</v>
          </cell>
          <cell r="DT653">
            <v>293.8</v>
          </cell>
        </row>
        <row r="654">
          <cell r="W654">
            <v>628.38</v>
          </cell>
          <cell r="AF654">
            <v>39867</v>
          </cell>
          <cell r="AG654">
            <v>1415</v>
          </cell>
          <cell r="AH654">
            <v>587.27389179167369</v>
          </cell>
          <cell r="AM654">
            <v>5933</v>
          </cell>
          <cell r="AO654">
            <v>3728178.54</v>
          </cell>
          <cell r="AQ654">
            <v>3484296</v>
          </cell>
          <cell r="AU654">
            <v>0</v>
          </cell>
          <cell r="AW654">
            <v>0</v>
          </cell>
          <cell r="AY654">
            <v>2302918.75</v>
          </cell>
          <cell r="AZ654">
            <v>388.15418001011295</v>
          </cell>
          <cell r="BA654">
            <v>0</v>
          </cell>
          <cell r="BB654">
            <v>0</v>
          </cell>
          <cell r="BC654">
            <v>0</v>
          </cell>
          <cell r="BD654">
            <v>0</v>
          </cell>
          <cell r="BG654">
            <v>0</v>
          </cell>
          <cell r="BH654">
            <v>0</v>
          </cell>
          <cell r="BI654">
            <v>220397</v>
          </cell>
          <cell r="BJ654">
            <v>37.147648744311475</v>
          </cell>
          <cell r="BK654">
            <v>0</v>
          </cell>
          <cell r="BL654">
            <v>0</v>
          </cell>
          <cell r="BM654">
            <v>471603</v>
          </cell>
          <cell r="BN654">
            <v>79.48811730996124</v>
          </cell>
          <cell r="BO654">
            <v>0</v>
          </cell>
          <cell r="BP654">
            <v>0</v>
          </cell>
          <cell r="BY654">
            <v>688.52</v>
          </cell>
          <cell r="CF654">
            <v>1075</v>
          </cell>
          <cell r="CG654">
            <v>2142.25</v>
          </cell>
          <cell r="CJ654">
            <v>0</v>
          </cell>
          <cell r="CK654">
            <v>0</v>
          </cell>
          <cell r="CL654">
            <v>0</v>
          </cell>
          <cell r="CM654">
            <v>0</v>
          </cell>
          <cell r="CN654">
            <v>0</v>
          </cell>
          <cell r="CO654">
            <v>0</v>
          </cell>
          <cell r="CX654">
            <v>0</v>
          </cell>
          <cell r="CY654">
            <v>0</v>
          </cell>
          <cell r="DB654">
            <v>0</v>
          </cell>
          <cell r="DC654">
            <v>0</v>
          </cell>
          <cell r="DJ654" t="str">
            <v>НКРКП</v>
          </cell>
          <cell r="DL654">
            <v>40816</v>
          </cell>
          <cell r="DM654">
            <v>96</v>
          </cell>
          <cell r="DT654">
            <v>920.03</v>
          </cell>
        </row>
        <row r="655">
          <cell r="W655">
            <v>724.83</v>
          </cell>
          <cell r="AF655">
            <v>39867</v>
          </cell>
          <cell r="AG655">
            <v>1416</v>
          </cell>
          <cell r="AH655">
            <v>604.02654867256638</v>
          </cell>
          <cell r="AM655">
            <v>565</v>
          </cell>
          <cell r="AO655">
            <v>409528.95</v>
          </cell>
          <cell r="AQ655">
            <v>341275</v>
          </cell>
          <cell r="AU655">
            <v>0</v>
          </cell>
          <cell r="AW655">
            <v>0</v>
          </cell>
          <cell r="AY655">
            <v>220651.75</v>
          </cell>
          <cell r="AZ655">
            <v>390.53407079646018</v>
          </cell>
          <cell r="BA655">
            <v>0</v>
          </cell>
          <cell r="BB655">
            <v>0</v>
          </cell>
          <cell r="BC655">
            <v>0</v>
          </cell>
          <cell r="BD655">
            <v>0</v>
          </cell>
          <cell r="BG655">
            <v>0</v>
          </cell>
          <cell r="BH655">
            <v>0</v>
          </cell>
          <cell r="BI655">
            <v>22008</v>
          </cell>
          <cell r="BJ655">
            <v>38.952212389380534</v>
          </cell>
          <cell r="BK655">
            <v>0</v>
          </cell>
          <cell r="BL655">
            <v>0</v>
          </cell>
          <cell r="BM655">
            <v>44911</v>
          </cell>
          <cell r="BN655">
            <v>79.488495575221236</v>
          </cell>
          <cell r="BO655">
            <v>0</v>
          </cell>
          <cell r="BP655">
            <v>0</v>
          </cell>
          <cell r="BY655">
            <v>688.52</v>
          </cell>
          <cell r="CF655">
            <v>103</v>
          </cell>
          <cell r="CG655">
            <v>2142.25</v>
          </cell>
          <cell r="CJ655">
            <v>0</v>
          </cell>
          <cell r="CK655">
            <v>0</v>
          </cell>
          <cell r="CL655">
            <v>0</v>
          </cell>
          <cell r="CM655">
            <v>0</v>
          </cell>
          <cell r="CN655">
            <v>0</v>
          </cell>
          <cell r="CO655">
            <v>0</v>
          </cell>
          <cell r="CX655">
            <v>0</v>
          </cell>
          <cell r="CY655">
            <v>0</v>
          </cell>
          <cell r="DB655">
            <v>0</v>
          </cell>
          <cell r="DC655">
            <v>0</v>
          </cell>
          <cell r="DJ655" t="str">
            <v>НКРКП</v>
          </cell>
          <cell r="DL655">
            <v>40816</v>
          </cell>
          <cell r="DM655">
            <v>96</v>
          </cell>
          <cell r="DT655">
            <v>999.9</v>
          </cell>
        </row>
        <row r="656">
          <cell r="W656">
            <v>267.08999999999997</v>
          </cell>
          <cell r="AF656">
            <v>39682</v>
          </cell>
          <cell r="AG656">
            <v>832</v>
          </cell>
          <cell r="AH656">
            <v>267.09269162210336</v>
          </cell>
          <cell r="AM656">
            <v>1683</v>
          </cell>
          <cell r="AO656">
            <v>449512.47</v>
          </cell>
          <cell r="AQ656">
            <v>449517</v>
          </cell>
          <cell r="AU656">
            <v>0</v>
          </cell>
          <cell r="AW656">
            <v>0</v>
          </cell>
          <cell r="AY656">
            <v>216741.36000000002</v>
          </cell>
          <cell r="AZ656">
            <v>128.78274509803921</v>
          </cell>
          <cell r="BA656">
            <v>0</v>
          </cell>
          <cell r="BB656">
            <v>0</v>
          </cell>
          <cell r="BC656">
            <v>0</v>
          </cell>
          <cell r="BD656">
            <v>0</v>
          </cell>
          <cell r="BG656">
            <v>0</v>
          </cell>
          <cell r="BH656">
            <v>0</v>
          </cell>
          <cell r="BI656">
            <v>37734</v>
          </cell>
          <cell r="BJ656">
            <v>22.420677361853834</v>
          </cell>
          <cell r="BK656">
            <v>0</v>
          </cell>
          <cell r="BL656">
            <v>0</v>
          </cell>
          <cell r="BM656">
            <v>95955</v>
          </cell>
          <cell r="BN656">
            <v>57.014260249554368</v>
          </cell>
          <cell r="BO656">
            <v>0</v>
          </cell>
          <cell r="BP656">
            <v>0</v>
          </cell>
          <cell r="BY656">
            <v>913.52</v>
          </cell>
          <cell r="CF656">
            <v>298</v>
          </cell>
          <cell r="CG656">
            <v>727.32</v>
          </cell>
          <cell r="CJ656">
            <v>0</v>
          </cell>
          <cell r="CK656">
            <v>0</v>
          </cell>
          <cell r="CL656">
            <v>0</v>
          </cell>
          <cell r="CM656">
            <v>0</v>
          </cell>
          <cell r="CN656">
            <v>0</v>
          </cell>
          <cell r="CO656">
            <v>0</v>
          </cell>
          <cell r="CX656">
            <v>0</v>
          </cell>
          <cell r="CY656">
            <v>0</v>
          </cell>
          <cell r="DB656">
            <v>0</v>
          </cell>
          <cell r="DC656">
            <v>0</v>
          </cell>
          <cell r="DJ656" t="str">
            <v>НКРЕ</v>
          </cell>
          <cell r="DL656">
            <v>40526</v>
          </cell>
          <cell r="DM656">
            <v>1752</v>
          </cell>
          <cell r="DO656" t="str">
            <v>Тариф на теплову енергію</v>
          </cell>
          <cell r="DT656">
            <v>293.8</v>
          </cell>
        </row>
        <row r="657">
          <cell r="W657">
            <v>573.77</v>
          </cell>
          <cell r="AF657">
            <v>39883</v>
          </cell>
          <cell r="AG657">
            <v>1518</v>
          </cell>
          <cell r="AH657">
            <v>521.60805084745766</v>
          </cell>
          <cell r="AM657">
            <v>3304</v>
          </cell>
          <cell r="AO657">
            <v>1895736.0799999998</v>
          </cell>
          <cell r="AQ657">
            <v>1723393</v>
          </cell>
          <cell r="AU657">
            <v>0</v>
          </cell>
          <cell r="AW657">
            <v>0</v>
          </cell>
          <cell r="AY657">
            <v>1251074</v>
          </cell>
          <cell r="AZ657">
            <v>378.65435835351087</v>
          </cell>
          <cell r="BA657">
            <v>0</v>
          </cell>
          <cell r="BB657">
            <v>0</v>
          </cell>
          <cell r="BC657">
            <v>0</v>
          </cell>
          <cell r="BD657">
            <v>0</v>
          </cell>
          <cell r="BG657">
            <v>0</v>
          </cell>
          <cell r="BH657">
            <v>0</v>
          </cell>
          <cell r="BI657">
            <v>90014</v>
          </cell>
          <cell r="BJ657">
            <v>27.243946731234868</v>
          </cell>
          <cell r="BK657">
            <v>0</v>
          </cell>
          <cell r="BL657">
            <v>0</v>
          </cell>
          <cell r="BM657">
            <v>188376</v>
          </cell>
          <cell r="BN657">
            <v>57.014527845036319</v>
          </cell>
          <cell r="BO657">
            <v>0</v>
          </cell>
          <cell r="BP657">
            <v>0</v>
          </cell>
          <cell r="BY657">
            <v>913.52</v>
          </cell>
          <cell r="CF657">
            <v>584</v>
          </cell>
          <cell r="CG657">
            <v>2142.25</v>
          </cell>
          <cell r="CJ657">
            <v>0</v>
          </cell>
          <cell r="CK657">
            <v>0</v>
          </cell>
          <cell r="CL657">
            <v>0</v>
          </cell>
          <cell r="CM657">
            <v>0</v>
          </cell>
          <cell r="CN657">
            <v>0</v>
          </cell>
          <cell r="CO657">
            <v>0</v>
          </cell>
          <cell r="CX657">
            <v>0</v>
          </cell>
          <cell r="CY657">
            <v>0</v>
          </cell>
          <cell r="DB657">
            <v>0</v>
          </cell>
          <cell r="DC657">
            <v>0</v>
          </cell>
          <cell r="DJ657" t="str">
            <v>НКРКП</v>
          </cell>
          <cell r="DL657">
            <v>40816</v>
          </cell>
          <cell r="DM657">
            <v>96</v>
          </cell>
          <cell r="DT657">
            <v>858.32</v>
          </cell>
        </row>
        <row r="658">
          <cell r="W658">
            <v>610.64</v>
          </cell>
          <cell r="AF658">
            <v>39883</v>
          </cell>
          <cell r="AG658">
            <v>1518</v>
          </cell>
          <cell r="AH658">
            <v>524.58379373848982</v>
          </cell>
          <cell r="AM658">
            <v>543</v>
          </cell>
          <cell r="AO658">
            <v>331577.52</v>
          </cell>
          <cell r="AQ658">
            <v>284849</v>
          </cell>
          <cell r="AU658">
            <v>0</v>
          </cell>
          <cell r="AW658">
            <v>0</v>
          </cell>
          <cell r="AY658">
            <v>207798.25</v>
          </cell>
          <cell r="AZ658">
            <v>382.68554327808471</v>
          </cell>
          <cell r="BA658">
            <v>0</v>
          </cell>
          <cell r="BB658">
            <v>0</v>
          </cell>
          <cell r="BC658">
            <v>0</v>
          </cell>
          <cell r="BD658">
            <v>0</v>
          </cell>
          <cell r="BG658">
            <v>0</v>
          </cell>
          <cell r="BH658">
            <v>0</v>
          </cell>
          <cell r="BI658">
            <v>14918</v>
          </cell>
          <cell r="BJ658">
            <v>27.47329650092081</v>
          </cell>
          <cell r="BK658">
            <v>0</v>
          </cell>
          <cell r="BL658">
            <v>0</v>
          </cell>
          <cell r="BM658">
            <v>30959</v>
          </cell>
          <cell r="BN658">
            <v>57.014732965009209</v>
          </cell>
          <cell r="BO658">
            <v>0</v>
          </cell>
          <cell r="BP658">
            <v>0</v>
          </cell>
          <cell r="BY658">
            <v>913.52</v>
          </cell>
          <cell r="CF658">
            <v>97</v>
          </cell>
          <cell r="CG658">
            <v>2142.25</v>
          </cell>
          <cell r="CJ658">
            <v>0</v>
          </cell>
          <cell r="CK658">
            <v>0</v>
          </cell>
          <cell r="CL658">
            <v>0</v>
          </cell>
          <cell r="CM658">
            <v>0</v>
          </cell>
          <cell r="CN658">
            <v>0</v>
          </cell>
          <cell r="CO658">
            <v>0</v>
          </cell>
          <cell r="CX658">
            <v>0</v>
          </cell>
          <cell r="CY658">
            <v>0</v>
          </cell>
          <cell r="DB658">
            <v>0</v>
          </cell>
          <cell r="DC658">
            <v>0</v>
          </cell>
          <cell r="DJ658" t="str">
            <v>НКРКП</v>
          </cell>
          <cell r="DL658">
            <v>40816</v>
          </cell>
          <cell r="DM658">
            <v>96</v>
          </cell>
          <cell r="DT658">
            <v>897.24</v>
          </cell>
        </row>
        <row r="659">
          <cell r="W659">
            <v>705.02</v>
          </cell>
          <cell r="AF659">
            <v>39883</v>
          </cell>
          <cell r="AG659">
            <v>1522</v>
          </cell>
          <cell r="AH659">
            <v>629.482905982906</v>
          </cell>
          <cell r="AM659">
            <v>234</v>
          </cell>
          <cell r="AO659">
            <v>164974.68</v>
          </cell>
          <cell r="AQ659">
            <v>147299</v>
          </cell>
          <cell r="AU659">
            <v>0</v>
          </cell>
          <cell r="AW659">
            <v>0</v>
          </cell>
          <cell r="AY659">
            <v>87832.25</v>
          </cell>
          <cell r="AZ659">
            <v>375.35149572649573</v>
          </cell>
          <cell r="BA659">
            <v>0</v>
          </cell>
          <cell r="BB659">
            <v>0</v>
          </cell>
          <cell r="BC659">
            <v>0</v>
          </cell>
          <cell r="BD659">
            <v>0</v>
          </cell>
          <cell r="BG659">
            <v>0</v>
          </cell>
          <cell r="BH659">
            <v>0</v>
          </cell>
          <cell r="BI659">
            <v>6042</v>
          </cell>
          <cell r="BJ659">
            <v>25.820512820512821</v>
          </cell>
          <cell r="BK659">
            <v>0</v>
          </cell>
          <cell r="BL659">
            <v>0</v>
          </cell>
          <cell r="BM659">
            <v>39394</v>
          </cell>
          <cell r="BN659">
            <v>168.35042735042734</v>
          </cell>
          <cell r="BO659">
            <v>0</v>
          </cell>
          <cell r="BP659">
            <v>0</v>
          </cell>
          <cell r="BY659">
            <v>798.97</v>
          </cell>
          <cell r="CF659">
            <v>41</v>
          </cell>
          <cell r="CG659">
            <v>2142.25</v>
          </cell>
          <cell r="CJ659">
            <v>0</v>
          </cell>
          <cell r="CK659">
            <v>0</v>
          </cell>
          <cell r="CL659">
            <v>0</v>
          </cell>
          <cell r="CM659">
            <v>0</v>
          </cell>
          <cell r="CN659">
            <v>0</v>
          </cell>
          <cell r="CO659">
            <v>0</v>
          </cell>
          <cell r="CX659">
            <v>0</v>
          </cell>
          <cell r="CY659">
            <v>0</v>
          </cell>
          <cell r="DB659">
            <v>0</v>
          </cell>
          <cell r="DC659">
            <v>0</v>
          </cell>
          <cell r="DJ659" t="str">
            <v>НКРКП</v>
          </cell>
          <cell r="DL659">
            <v>40816</v>
          </cell>
          <cell r="DM659">
            <v>96</v>
          </cell>
          <cell r="DT659">
            <v>987.75</v>
          </cell>
        </row>
        <row r="660">
          <cell r="W660">
            <v>640.44000000000005</v>
          </cell>
          <cell r="AF660">
            <v>39883</v>
          </cell>
          <cell r="AG660">
            <v>1523</v>
          </cell>
          <cell r="AH660">
            <v>571.82058047493399</v>
          </cell>
          <cell r="AM660">
            <v>379</v>
          </cell>
          <cell r="AO660">
            <v>242726.76</v>
          </cell>
          <cell r="AQ660">
            <v>216720</v>
          </cell>
          <cell r="AU660">
            <v>0</v>
          </cell>
          <cell r="AW660">
            <v>0</v>
          </cell>
          <cell r="AY660">
            <v>143530.75</v>
          </cell>
          <cell r="AZ660">
            <v>378.7091029023747</v>
          </cell>
          <cell r="BA660">
            <v>0</v>
          </cell>
          <cell r="BB660">
            <v>0</v>
          </cell>
          <cell r="BC660">
            <v>0</v>
          </cell>
          <cell r="BD660">
            <v>0</v>
          </cell>
          <cell r="BG660">
            <v>0</v>
          </cell>
          <cell r="BH660">
            <v>0</v>
          </cell>
          <cell r="BI660">
            <v>11594</v>
          </cell>
          <cell r="BJ660">
            <v>30.591029023746703</v>
          </cell>
          <cell r="BK660">
            <v>0</v>
          </cell>
          <cell r="BL660">
            <v>0</v>
          </cell>
          <cell r="BM660">
            <v>45763</v>
          </cell>
          <cell r="BN660">
            <v>120.74670184696571</v>
          </cell>
          <cell r="BO660">
            <v>0</v>
          </cell>
          <cell r="BP660">
            <v>0</v>
          </cell>
          <cell r="BY660">
            <v>928.17</v>
          </cell>
          <cell r="CF660">
            <v>67</v>
          </cell>
          <cell r="CG660">
            <v>2142.25</v>
          </cell>
          <cell r="CJ660">
            <v>0</v>
          </cell>
          <cell r="CK660">
            <v>0</v>
          </cell>
          <cell r="CL660">
            <v>0</v>
          </cell>
          <cell r="CM660">
            <v>0</v>
          </cell>
          <cell r="CN660">
            <v>0</v>
          </cell>
          <cell r="CO660">
            <v>0</v>
          </cell>
          <cell r="CX660">
            <v>0</v>
          </cell>
          <cell r="CY660">
            <v>0</v>
          </cell>
          <cell r="DB660">
            <v>0</v>
          </cell>
          <cell r="DC660">
            <v>0</v>
          </cell>
          <cell r="DJ660" t="str">
            <v>НКРКП</v>
          </cell>
          <cell r="DL660">
            <v>40816</v>
          </cell>
          <cell r="DM660">
            <v>96</v>
          </cell>
          <cell r="DT660">
            <v>925.3</v>
          </cell>
        </row>
        <row r="661">
          <cell r="W661">
            <v>615.77</v>
          </cell>
          <cell r="AF661">
            <v>39883</v>
          </cell>
          <cell r="AG661">
            <v>1520</v>
          </cell>
          <cell r="AH661">
            <v>549.79115479115478</v>
          </cell>
          <cell r="AM661">
            <v>407</v>
          </cell>
          <cell r="AO661">
            <v>250618.38999999998</v>
          </cell>
          <cell r="AQ661">
            <v>223765</v>
          </cell>
          <cell r="AU661">
            <v>0</v>
          </cell>
          <cell r="AW661">
            <v>0</v>
          </cell>
          <cell r="AY661">
            <v>139246.25</v>
          </cell>
          <cell r="AZ661">
            <v>342.12837837837839</v>
          </cell>
          <cell r="BA661">
            <v>0</v>
          </cell>
          <cell r="BB661">
            <v>0</v>
          </cell>
          <cell r="BC661">
            <v>0</v>
          </cell>
          <cell r="BD661">
            <v>0</v>
          </cell>
          <cell r="BG661">
            <v>0</v>
          </cell>
          <cell r="BH661">
            <v>0</v>
          </cell>
          <cell r="BI661">
            <v>8383</v>
          </cell>
          <cell r="BJ661">
            <v>20.597051597051596</v>
          </cell>
          <cell r="BK661">
            <v>0</v>
          </cell>
          <cell r="BL661">
            <v>0</v>
          </cell>
          <cell r="BM661">
            <v>51631</v>
          </cell>
          <cell r="BN661">
            <v>126.85749385749386</v>
          </cell>
          <cell r="BO661">
            <v>0</v>
          </cell>
          <cell r="BP661">
            <v>0</v>
          </cell>
          <cell r="BY661">
            <v>1047.17</v>
          </cell>
          <cell r="CF661">
            <v>65</v>
          </cell>
          <cell r="CG661">
            <v>2142.25</v>
          </cell>
          <cell r="CJ661">
            <v>0</v>
          </cell>
          <cell r="CK661">
            <v>0</v>
          </cell>
          <cell r="CL661">
            <v>0</v>
          </cell>
          <cell r="CM661">
            <v>0</v>
          </cell>
          <cell r="CN661">
            <v>0</v>
          </cell>
          <cell r="CO661">
            <v>0</v>
          </cell>
          <cell r="CX661">
            <v>0</v>
          </cell>
          <cell r="CY661">
            <v>0</v>
          </cell>
          <cell r="DB661">
            <v>0</v>
          </cell>
          <cell r="DC661">
            <v>0</v>
          </cell>
          <cell r="DJ661" t="str">
            <v>НКРКП</v>
          </cell>
          <cell r="DL661">
            <v>40816</v>
          </cell>
          <cell r="DM661">
            <v>96</v>
          </cell>
          <cell r="DT661">
            <v>873.13</v>
          </cell>
        </row>
        <row r="662">
          <cell r="W662">
            <v>551.04999999999995</v>
          </cell>
          <cell r="AF662">
            <v>39883</v>
          </cell>
          <cell r="AG662">
            <v>1524</v>
          </cell>
          <cell r="AH662">
            <v>492.00908173562061</v>
          </cell>
          <cell r="AM662">
            <v>991</v>
          </cell>
          <cell r="AO662">
            <v>546090.54999999993</v>
          </cell>
          <cell r="AQ662">
            <v>487581</v>
          </cell>
          <cell r="AU662">
            <v>0</v>
          </cell>
          <cell r="AW662">
            <v>0</v>
          </cell>
          <cell r="AY662">
            <v>377036</v>
          </cell>
          <cell r="AZ662">
            <v>380.46014127144298</v>
          </cell>
          <cell r="BA662">
            <v>0</v>
          </cell>
          <cell r="BB662">
            <v>0</v>
          </cell>
          <cell r="BC662">
            <v>0</v>
          </cell>
          <cell r="BD662">
            <v>0</v>
          </cell>
          <cell r="BG662">
            <v>0</v>
          </cell>
          <cell r="BH662">
            <v>0</v>
          </cell>
          <cell r="BI662">
            <v>16440</v>
          </cell>
          <cell r="BJ662">
            <v>16.589303733602421</v>
          </cell>
          <cell r="BK662">
            <v>0</v>
          </cell>
          <cell r="BL662">
            <v>0</v>
          </cell>
          <cell r="BM662">
            <v>71504</v>
          </cell>
          <cell r="BN662">
            <v>72.153380423814326</v>
          </cell>
          <cell r="BO662">
            <v>0</v>
          </cell>
          <cell r="BP662">
            <v>0</v>
          </cell>
          <cell r="BY662">
            <v>1087.67</v>
          </cell>
          <cell r="CF662">
            <v>176</v>
          </cell>
          <cell r="CG662">
            <v>2142.25</v>
          </cell>
          <cell r="CJ662">
            <v>0</v>
          </cell>
          <cell r="CK662">
            <v>0</v>
          </cell>
          <cell r="CL662">
            <v>0</v>
          </cell>
          <cell r="CM662">
            <v>0</v>
          </cell>
          <cell r="CN662">
            <v>0</v>
          </cell>
          <cell r="CO662">
            <v>0</v>
          </cell>
          <cell r="CX662">
            <v>0</v>
          </cell>
          <cell r="CY662">
            <v>0</v>
          </cell>
          <cell r="DB662">
            <v>0</v>
          </cell>
          <cell r="DC662">
            <v>0</v>
          </cell>
          <cell r="DJ662" t="str">
            <v>НКРКП</v>
          </cell>
          <cell r="DL662">
            <v>40816</v>
          </cell>
          <cell r="DM662">
            <v>96</v>
          </cell>
          <cell r="DT662">
            <v>836.51</v>
          </cell>
        </row>
        <row r="663">
          <cell r="W663">
            <v>665.89</v>
          </cell>
          <cell r="AF663">
            <v>39891</v>
          </cell>
          <cell r="AG663">
            <v>1553</v>
          </cell>
          <cell r="AH663">
            <v>590.01044826423993</v>
          </cell>
          <cell r="AM663">
            <v>2967</v>
          </cell>
          <cell r="AO663">
            <v>1975695.63</v>
          </cell>
          <cell r="AQ663">
            <v>1750561</v>
          </cell>
          <cell r="AU663">
            <v>0</v>
          </cell>
          <cell r="AW663">
            <v>0</v>
          </cell>
          <cell r="AY663">
            <v>998288.5</v>
          </cell>
          <cell r="AZ663">
            <v>336.46393663633302</v>
          </cell>
          <cell r="BA663">
            <v>0</v>
          </cell>
          <cell r="BB663">
            <v>0</v>
          </cell>
          <cell r="BC663">
            <v>0</v>
          </cell>
          <cell r="BD663">
            <v>0</v>
          </cell>
          <cell r="BG663">
            <v>0</v>
          </cell>
          <cell r="BH663">
            <v>0</v>
          </cell>
          <cell r="BI663">
            <v>80340</v>
          </cell>
          <cell r="BJ663">
            <v>27.077856420626897</v>
          </cell>
          <cell r="BK663">
            <v>0</v>
          </cell>
          <cell r="BL663">
            <v>0</v>
          </cell>
          <cell r="BM663">
            <v>395054</v>
          </cell>
          <cell r="BN663">
            <v>133.14930906639702</v>
          </cell>
          <cell r="BO663">
            <v>0</v>
          </cell>
          <cell r="BP663">
            <v>0</v>
          </cell>
          <cell r="BY663">
            <v>1066.23</v>
          </cell>
          <cell r="CF663">
            <v>466</v>
          </cell>
          <cell r="CG663">
            <v>2142.25</v>
          </cell>
          <cell r="CJ663">
            <v>0</v>
          </cell>
          <cell r="CK663">
            <v>0</v>
          </cell>
          <cell r="CL663">
            <v>0</v>
          </cell>
          <cell r="CM663">
            <v>0</v>
          </cell>
          <cell r="CN663">
            <v>0</v>
          </cell>
          <cell r="CO663">
            <v>0</v>
          </cell>
          <cell r="CX663">
            <v>0</v>
          </cell>
          <cell r="CY663">
            <v>0</v>
          </cell>
          <cell r="DB663">
            <v>0</v>
          </cell>
          <cell r="DC663">
            <v>0</v>
          </cell>
          <cell r="DJ663" t="str">
            <v>НКРКП</v>
          </cell>
          <cell r="DL663">
            <v>40816</v>
          </cell>
          <cell r="DM663">
            <v>96</v>
          </cell>
          <cell r="DT663">
            <v>918.56</v>
          </cell>
        </row>
        <row r="664">
          <cell r="W664">
            <v>670.91</v>
          </cell>
          <cell r="AF664">
            <v>39891</v>
          </cell>
          <cell r="AG664">
            <v>1554</v>
          </cell>
          <cell r="AH664">
            <v>599.66666666666663</v>
          </cell>
          <cell r="AM664">
            <v>60</v>
          </cell>
          <cell r="AO664">
            <v>40254.6</v>
          </cell>
          <cell r="AQ664">
            <v>35980</v>
          </cell>
          <cell r="AU664">
            <v>0</v>
          </cell>
          <cell r="AW664">
            <v>0</v>
          </cell>
          <cell r="AY664">
            <v>21422.5</v>
          </cell>
          <cell r="AZ664">
            <v>357.04166666666669</v>
          </cell>
          <cell r="BA664">
            <v>0</v>
          </cell>
          <cell r="BB664">
            <v>0</v>
          </cell>
          <cell r="BC664">
            <v>0</v>
          </cell>
          <cell r="BD664">
            <v>0</v>
          </cell>
          <cell r="BG664">
            <v>0</v>
          </cell>
          <cell r="BH664">
            <v>0</v>
          </cell>
          <cell r="BI664">
            <v>1378</v>
          </cell>
          <cell r="BJ664">
            <v>22.966666666666665</v>
          </cell>
          <cell r="BK664">
            <v>0</v>
          </cell>
          <cell r="BL664">
            <v>0</v>
          </cell>
          <cell r="BM664">
            <v>7989</v>
          </cell>
          <cell r="BN664">
            <v>133.15</v>
          </cell>
          <cell r="BO664">
            <v>0</v>
          </cell>
          <cell r="BP664">
            <v>0</v>
          </cell>
          <cell r="BY664">
            <v>1066.23</v>
          </cell>
          <cell r="CF664">
            <v>10</v>
          </cell>
          <cell r="CG664">
            <v>2142.25</v>
          </cell>
          <cell r="CJ664">
            <v>0</v>
          </cell>
          <cell r="CK664">
            <v>0</v>
          </cell>
          <cell r="CL664">
            <v>0</v>
          </cell>
          <cell r="CM664">
            <v>0</v>
          </cell>
          <cell r="CN664">
            <v>0</v>
          </cell>
          <cell r="CO664">
            <v>0</v>
          </cell>
          <cell r="CX664">
            <v>0</v>
          </cell>
          <cell r="CY664">
            <v>0</v>
          </cell>
          <cell r="DB664">
            <v>0</v>
          </cell>
          <cell r="DC664">
            <v>0</v>
          </cell>
          <cell r="DJ664" t="str">
            <v>НКРКП</v>
          </cell>
          <cell r="DL664">
            <v>40816</v>
          </cell>
          <cell r="DM664">
            <v>96</v>
          </cell>
          <cell r="DT664">
            <v>932.35</v>
          </cell>
        </row>
        <row r="665">
          <cell r="W665">
            <v>771.66</v>
          </cell>
          <cell r="AF665">
            <v>39891</v>
          </cell>
          <cell r="AG665">
            <v>1555</v>
          </cell>
          <cell r="AH665">
            <v>662.09767929723353</v>
          </cell>
          <cell r="AM665">
            <v>7627</v>
          </cell>
          <cell r="AO665">
            <v>5885450.8199999994</v>
          </cell>
          <cell r="AQ665">
            <v>5049819</v>
          </cell>
          <cell r="AU665">
            <v>0</v>
          </cell>
          <cell r="AW665">
            <v>0</v>
          </cell>
          <cell r="AY665">
            <v>2874899.5</v>
          </cell>
          <cell r="AZ665">
            <v>376.93713124426381</v>
          </cell>
          <cell r="BA665">
            <v>0</v>
          </cell>
          <cell r="BB665">
            <v>0</v>
          </cell>
          <cell r="BC665">
            <v>0</v>
          </cell>
          <cell r="BD665">
            <v>0</v>
          </cell>
          <cell r="BG665">
            <v>0</v>
          </cell>
          <cell r="BH665">
            <v>0</v>
          </cell>
          <cell r="BI665">
            <v>255875</v>
          </cell>
          <cell r="BJ665">
            <v>33.548577422315461</v>
          </cell>
          <cell r="BK665">
            <v>0</v>
          </cell>
          <cell r="BL665">
            <v>0</v>
          </cell>
          <cell r="BM665">
            <v>1044062</v>
          </cell>
          <cell r="BN665">
            <v>136.89025829290676</v>
          </cell>
          <cell r="BO665">
            <v>0</v>
          </cell>
          <cell r="BP665">
            <v>0</v>
          </cell>
          <cell r="BY665">
            <v>1003.46</v>
          </cell>
          <cell r="CF665">
            <v>1342</v>
          </cell>
          <cell r="CG665">
            <v>2142.25</v>
          </cell>
          <cell r="CJ665">
            <v>0</v>
          </cell>
          <cell r="CK665">
            <v>0</v>
          </cell>
          <cell r="CL665">
            <v>0</v>
          </cell>
          <cell r="CM665">
            <v>0</v>
          </cell>
          <cell r="CN665">
            <v>0</v>
          </cell>
          <cell r="CO665">
            <v>0</v>
          </cell>
          <cell r="CX665">
            <v>0</v>
          </cell>
          <cell r="CY665">
            <v>0</v>
          </cell>
          <cell r="DB665">
            <v>0</v>
          </cell>
          <cell r="DC665">
            <v>0</v>
          </cell>
          <cell r="DJ665" t="str">
            <v>НКРКП</v>
          </cell>
          <cell r="DL665">
            <v>40904</v>
          </cell>
          <cell r="DM665">
            <v>236</v>
          </cell>
          <cell r="DT665">
            <v>999.9</v>
          </cell>
        </row>
        <row r="666">
          <cell r="W666">
            <v>767.3</v>
          </cell>
          <cell r="AF666">
            <v>39891</v>
          </cell>
          <cell r="AG666">
            <v>1556</v>
          </cell>
          <cell r="AH666">
            <v>655.53921568627447</v>
          </cell>
          <cell r="AM666">
            <v>204</v>
          </cell>
          <cell r="AO666">
            <v>156529.19999999998</v>
          </cell>
          <cell r="AQ666">
            <v>133730</v>
          </cell>
          <cell r="AU666">
            <v>0</v>
          </cell>
          <cell r="AW666">
            <v>0</v>
          </cell>
          <cell r="AY666">
            <v>72836.5</v>
          </cell>
          <cell r="AZ666">
            <v>357.04166666666669</v>
          </cell>
          <cell r="BA666">
            <v>0</v>
          </cell>
          <cell r="BB666">
            <v>0</v>
          </cell>
          <cell r="BC666">
            <v>0</v>
          </cell>
          <cell r="BD666">
            <v>0</v>
          </cell>
          <cell r="BG666">
            <v>0</v>
          </cell>
          <cell r="BH666">
            <v>0</v>
          </cell>
          <cell r="BI666">
            <v>9506</v>
          </cell>
          <cell r="BJ666">
            <v>46.598039215686278</v>
          </cell>
          <cell r="BK666">
            <v>0</v>
          </cell>
          <cell r="BL666">
            <v>0</v>
          </cell>
          <cell r="BM666">
            <v>27926</v>
          </cell>
          <cell r="BN666">
            <v>136.89215686274511</v>
          </cell>
          <cell r="BO666">
            <v>0</v>
          </cell>
          <cell r="BP666">
            <v>0</v>
          </cell>
          <cell r="BY666">
            <v>1003.46</v>
          </cell>
          <cell r="CF666">
            <v>34</v>
          </cell>
          <cell r="CG666">
            <v>2142.25</v>
          </cell>
          <cell r="CJ666">
            <v>0</v>
          </cell>
          <cell r="CK666">
            <v>0</v>
          </cell>
          <cell r="CL666">
            <v>0</v>
          </cell>
          <cell r="CM666">
            <v>0</v>
          </cell>
          <cell r="CN666">
            <v>0</v>
          </cell>
          <cell r="CO666">
            <v>0</v>
          </cell>
          <cell r="CX666">
            <v>0</v>
          </cell>
          <cell r="CY666">
            <v>0</v>
          </cell>
          <cell r="DB666">
            <v>0</v>
          </cell>
          <cell r="DC666">
            <v>0</v>
          </cell>
          <cell r="DJ666" t="str">
            <v>НКРКП</v>
          </cell>
          <cell r="DL666">
            <v>40904</v>
          </cell>
          <cell r="DM666">
            <v>236</v>
          </cell>
          <cell r="DT666">
            <v>999.9</v>
          </cell>
        </row>
        <row r="667">
          <cell r="W667">
            <v>441.3</v>
          </cell>
          <cell r="AF667">
            <v>39773</v>
          </cell>
          <cell r="AG667">
            <v>1093</v>
          </cell>
          <cell r="AH667">
            <v>401.18041154889136</v>
          </cell>
          <cell r="AM667">
            <v>250.76</v>
          </cell>
          <cell r="AO667">
            <v>110660.38799999999</v>
          </cell>
          <cell r="AQ667">
            <v>100600</v>
          </cell>
          <cell r="AU667">
            <v>0</v>
          </cell>
          <cell r="AW667">
            <v>0</v>
          </cell>
          <cell r="AY667">
            <v>32002.080000000002</v>
          </cell>
          <cell r="AZ667">
            <v>127.62035412346468</v>
          </cell>
          <cell r="BA667">
            <v>0</v>
          </cell>
          <cell r="BB667">
            <v>0</v>
          </cell>
          <cell r="BC667">
            <v>0</v>
          </cell>
          <cell r="BD667">
            <v>0</v>
          </cell>
          <cell r="BG667">
            <v>0</v>
          </cell>
          <cell r="BH667">
            <v>0</v>
          </cell>
          <cell r="BI667">
            <v>17558</v>
          </cell>
          <cell r="BJ667">
            <v>70.01914180890094</v>
          </cell>
          <cell r="BK667">
            <v>0</v>
          </cell>
          <cell r="BL667">
            <v>0</v>
          </cell>
          <cell r="BM667">
            <v>26717</v>
          </cell>
          <cell r="BN667">
            <v>106.54410591800925</v>
          </cell>
          <cell r="BO667">
            <v>0</v>
          </cell>
          <cell r="BP667">
            <v>0</v>
          </cell>
          <cell r="BY667">
            <v>928.68</v>
          </cell>
          <cell r="CF667">
            <v>44</v>
          </cell>
          <cell r="CG667">
            <v>727.32</v>
          </cell>
          <cell r="CJ667">
            <v>0</v>
          </cell>
          <cell r="CK667">
            <v>0</v>
          </cell>
          <cell r="CL667">
            <v>0</v>
          </cell>
          <cell r="CM667">
            <v>0</v>
          </cell>
          <cell r="CN667">
            <v>0</v>
          </cell>
          <cell r="CO667">
            <v>0</v>
          </cell>
          <cell r="CX667">
            <v>0</v>
          </cell>
          <cell r="CY667">
            <v>0</v>
          </cell>
          <cell r="DB667">
            <v>0</v>
          </cell>
          <cell r="DC667">
            <v>0</v>
          </cell>
          <cell r="DJ667" t="str">
            <v>НКРЕ</v>
          </cell>
          <cell r="DL667">
            <v>40526</v>
          </cell>
          <cell r="DM667">
            <v>1752</v>
          </cell>
          <cell r="DO667" t="str">
            <v>на теплову енергію</v>
          </cell>
          <cell r="DT667">
            <v>485.43</v>
          </cell>
        </row>
        <row r="668">
          <cell r="W668">
            <v>701.43</v>
          </cell>
          <cell r="AF668">
            <v>39882</v>
          </cell>
          <cell r="AG668">
            <v>1508</v>
          </cell>
          <cell r="AH668">
            <v>608.19018964433496</v>
          </cell>
          <cell r="AM668">
            <v>1573.4190000000001</v>
          </cell>
          <cell r="AO668">
            <v>1103643.28917</v>
          </cell>
          <cell r="AQ668">
            <v>956938</v>
          </cell>
          <cell r="AU668">
            <v>0</v>
          </cell>
          <cell r="AW668">
            <v>0</v>
          </cell>
          <cell r="AY668">
            <v>584834.25</v>
          </cell>
          <cell r="AZ668">
            <v>371.69644576555891</v>
          </cell>
          <cell r="BA668">
            <v>0</v>
          </cell>
          <cell r="BB668">
            <v>0</v>
          </cell>
          <cell r="BC668">
            <v>0</v>
          </cell>
          <cell r="BD668">
            <v>0</v>
          </cell>
          <cell r="BG668">
            <v>0</v>
          </cell>
          <cell r="BH668">
            <v>0</v>
          </cell>
          <cell r="BI668">
            <v>68305</v>
          </cell>
          <cell r="BJ668">
            <v>43.411831177836291</v>
          </cell>
          <cell r="BK668">
            <v>0</v>
          </cell>
          <cell r="BL668">
            <v>0</v>
          </cell>
          <cell r="BM668">
            <v>167640</v>
          </cell>
          <cell r="BN668">
            <v>106.54504617015556</v>
          </cell>
          <cell r="BO668">
            <v>0</v>
          </cell>
          <cell r="BP668">
            <v>0</v>
          </cell>
          <cell r="BY668">
            <v>928.68</v>
          </cell>
          <cell r="CF668">
            <v>273</v>
          </cell>
          <cell r="CG668">
            <v>2142.25</v>
          </cell>
          <cell r="CJ668">
            <v>0</v>
          </cell>
          <cell r="CK668">
            <v>0</v>
          </cell>
          <cell r="CL668">
            <v>0</v>
          </cell>
          <cell r="CM668">
            <v>0</v>
          </cell>
          <cell r="CN668">
            <v>0</v>
          </cell>
          <cell r="CO668">
            <v>0</v>
          </cell>
          <cell r="CX668">
            <v>0</v>
          </cell>
          <cell r="CY668">
            <v>0</v>
          </cell>
          <cell r="DB668">
            <v>0</v>
          </cell>
          <cell r="DC668">
            <v>0</v>
          </cell>
          <cell r="DJ668" t="str">
            <v>НКРКП</v>
          </cell>
          <cell r="DL668">
            <v>40816</v>
          </cell>
          <cell r="DM668">
            <v>96</v>
          </cell>
          <cell r="DT668">
            <v>981.03</v>
          </cell>
        </row>
        <row r="669">
          <cell r="W669">
            <v>829.12</v>
          </cell>
          <cell r="AF669">
            <v>39882</v>
          </cell>
          <cell r="AG669">
            <v>1509</v>
          </cell>
          <cell r="AH669">
            <v>675.54232476088089</v>
          </cell>
          <cell r="AM669">
            <v>181.39500000000001</v>
          </cell>
          <cell r="AO669">
            <v>150398.2224</v>
          </cell>
          <cell r="AQ669">
            <v>122540</v>
          </cell>
          <cell r="AU669">
            <v>0</v>
          </cell>
          <cell r="AW669">
            <v>0</v>
          </cell>
          <cell r="AY669">
            <v>68552</v>
          </cell>
          <cell r="AZ669">
            <v>377.91559855563821</v>
          </cell>
          <cell r="BA669">
            <v>0</v>
          </cell>
          <cell r="BB669">
            <v>0</v>
          </cell>
          <cell r="BC669">
            <v>0</v>
          </cell>
          <cell r="BD669">
            <v>0</v>
          </cell>
          <cell r="BG669">
            <v>0</v>
          </cell>
          <cell r="BH669">
            <v>0</v>
          </cell>
          <cell r="BI669">
            <v>16842</v>
          </cell>
          <cell r="BJ669">
            <v>92.847101629041589</v>
          </cell>
          <cell r="BK669">
            <v>0</v>
          </cell>
          <cell r="BL669">
            <v>0</v>
          </cell>
          <cell r="BM669">
            <v>19327</v>
          </cell>
          <cell r="BN669">
            <v>106.54648694837233</v>
          </cell>
          <cell r="BO669">
            <v>0</v>
          </cell>
          <cell r="BP669">
            <v>0</v>
          </cell>
          <cell r="BY669">
            <v>928.68</v>
          </cell>
          <cell r="CF669">
            <v>32</v>
          </cell>
          <cell r="CG669">
            <v>2142.25</v>
          </cell>
          <cell r="CJ669">
            <v>0</v>
          </cell>
          <cell r="CK669">
            <v>0</v>
          </cell>
          <cell r="CL669">
            <v>0</v>
          </cell>
          <cell r="CM669">
            <v>0</v>
          </cell>
          <cell r="CN669">
            <v>0</v>
          </cell>
          <cell r="CO669">
            <v>0</v>
          </cell>
          <cell r="CX669">
            <v>0</v>
          </cell>
          <cell r="CY669">
            <v>0</v>
          </cell>
          <cell r="DB669">
            <v>0</v>
          </cell>
          <cell r="DC669">
            <v>0</v>
          </cell>
          <cell r="DJ669" t="str">
            <v>НКРКП</v>
          </cell>
          <cell r="DL669">
            <v>40816</v>
          </cell>
          <cell r="DM669">
            <v>96</v>
          </cell>
          <cell r="DT669">
            <v>999.9</v>
          </cell>
        </row>
        <row r="670">
          <cell r="W670">
            <v>645.86</v>
          </cell>
          <cell r="AF670">
            <v>39877</v>
          </cell>
          <cell r="AG670">
            <v>1490</v>
          </cell>
          <cell r="AH670">
            <v>598.01878787878786</v>
          </cell>
          <cell r="AM670">
            <v>1650</v>
          </cell>
          <cell r="AO670">
            <v>1065669</v>
          </cell>
          <cell r="AQ670">
            <v>986731</v>
          </cell>
          <cell r="AU670">
            <v>0</v>
          </cell>
          <cell r="AW670">
            <v>0</v>
          </cell>
          <cell r="AY670">
            <v>608470</v>
          </cell>
          <cell r="AZ670">
            <v>368.76969696969695</v>
          </cell>
          <cell r="BA670">
            <v>0</v>
          </cell>
          <cell r="BB670">
            <v>0</v>
          </cell>
          <cell r="BC670">
            <v>0</v>
          </cell>
          <cell r="BD670">
            <v>0</v>
          </cell>
          <cell r="BG670">
            <v>0</v>
          </cell>
          <cell r="BH670">
            <v>0</v>
          </cell>
          <cell r="BI670">
            <v>49186</v>
          </cell>
          <cell r="BJ670">
            <v>29.809696969696969</v>
          </cell>
          <cell r="BK670">
            <v>0</v>
          </cell>
          <cell r="BL670">
            <v>0</v>
          </cell>
          <cell r="BM670">
            <v>150977</v>
          </cell>
          <cell r="BN670">
            <v>91.50121212121212</v>
          </cell>
          <cell r="BO670">
            <v>0</v>
          </cell>
          <cell r="BP670">
            <v>0</v>
          </cell>
          <cell r="BY670">
            <v>772.68</v>
          </cell>
          <cell r="CF670">
            <v>284</v>
          </cell>
          <cell r="CG670">
            <v>2142.5</v>
          </cell>
          <cell r="CJ670">
            <v>0</v>
          </cell>
          <cell r="CK670">
            <v>0</v>
          </cell>
          <cell r="CL670">
            <v>0</v>
          </cell>
          <cell r="CM670">
            <v>0</v>
          </cell>
          <cell r="CN670">
            <v>0</v>
          </cell>
          <cell r="CO670">
            <v>0</v>
          </cell>
          <cell r="CX670">
            <v>0</v>
          </cell>
          <cell r="CY670">
            <v>0</v>
          </cell>
          <cell r="DB670">
            <v>0</v>
          </cell>
          <cell r="DC670">
            <v>0</v>
          </cell>
          <cell r="DJ670" t="str">
            <v>НКРКП</v>
          </cell>
          <cell r="DL670">
            <v>40816</v>
          </cell>
          <cell r="DM670">
            <v>96</v>
          </cell>
          <cell r="DT670">
            <v>923.21</v>
          </cell>
        </row>
        <row r="671">
          <cell r="W671">
            <v>739.92</v>
          </cell>
          <cell r="AF671">
            <v>39877</v>
          </cell>
          <cell r="AG671">
            <v>1491</v>
          </cell>
          <cell r="AH671">
            <v>616.59726962457341</v>
          </cell>
          <cell r="AM671">
            <v>293</v>
          </cell>
          <cell r="AO671">
            <v>216796.56</v>
          </cell>
          <cell r="AQ671">
            <v>180663</v>
          </cell>
          <cell r="AU671">
            <v>0</v>
          </cell>
          <cell r="AW671">
            <v>0</v>
          </cell>
          <cell r="AY671">
            <v>104982.5</v>
          </cell>
          <cell r="AZ671">
            <v>358.30204778156997</v>
          </cell>
          <cell r="BA671">
            <v>0</v>
          </cell>
          <cell r="BB671">
            <v>0</v>
          </cell>
          <cell r="BC671">
            <v>0</v>
          </cell>
          <cell r="BD671">
            <v>0</v>
          </cell>
          <cell r="BG671">
            <v>0</v>
          </cell>
          <cell r="BH671">
            <v>0</v>
          </cell>
          <cell r="BI671">
            <v>18078</v>
          </cell>
          <cell r="BJ671">
            <v>61.69965870307167</v>
          </cell>
          <cell r="BK671">
            <v>0</v>
          </cell>
          <cell r="BL671">
            <v>0</v>
          </cell>
          <cell r="BM671">
            <v>26810</v>
          </cell>
          <cell r="BN671">
            <v>91.501706484641645</v>
          </cell>
          <cell r="BO671">
            <v>0</v>
          </cell>
          <cell r="BP671">
            <v>0</v>
          </cell>
          <cell r="BY671">
            <v>772.68</v>
          </cell>
          <cell r="CF671">
            <v>49</v>
          </cell>
          <cell r="CG671">
            <v>2142.5</v>
          </cell>
          <cell r="CJ671">
            <v>0</v>
          </cell>
          <cell r="CK671">
            <v>0</v>
          </cell>
          <cell r="CL671">
            <v>0</v>
          </cell>
          <cell r="CM671">
            <v>0</v>
          </cell>
          <cell r="CN671">
            <v>0</v>
          </cell>
          <cell r="CO671">
            <v>0</v>
          </cell>
          <cell r="CX671">
            <v>0</v>
          </cell>
          <cell r="CY671">
            <v>0</v>
          </cell>
          <cell r="DB671">
            <v>0</v>
          </cell>
          <cell r="DC671">
            <v>0</v>
          </cell>
          <cell r="DJ671" t="str">
            <v>НКРКП</v>
          </cell>
          <cell r="DL671">
            <v>40816</v>
          </cell>
          <cell r="DM671">
            <v>96</v>
          </cell>
          <cell r="DT671">
            <v>999.9</v>
          </cell>
        </row>
        <row r="672">
          <cell r="W672">
            <v>677.35</v>
          </cell>
          <cell r="AF672">
            <v>39877</v>
          </cell>
          <cell r="AG672">
            <v>1502</v>
          </cell>
          <cell r="AH672">
            <v>604.77072554907295</v>
          </cell>
          <cell r="AM672">
            <v>678.05200000000002</v>
          </cell>
          <cell r="AO672">
            <v>459278.52220000001</v>
          </cell>
          <cell r="AQ672">
            <v>410066</v>
          </cell>
          <cell r="AU672">
            <v>0</v>
          </cell>
          <cell r="AW672">
            <v>0</v>
          </cell>
          <cell r="AY672">
            <v>252785.5</v>
          </cell>
          <cell r="AZ672">
            <v>372.81137729849627</v>
          </cell>
          <cell r="BA672">
            <v>0</v>
          </cell>
          <cell r="BB672">
            <v>0</v>
          </cell>
          <cell r="BC672">
            <v>0</v>
          </cell>
          <cell r="BD672">
            <v>0</v>
          </cell>
          <cell r="BG672">
            <v>0</v>
          </cell>
          <cell r="BH672">
            <v>0</v>
          </cell>
          <cell r="BI672">
            <v>13532</v>
          </cell>
          <cell r="BJ672">
            <v>19.957171426380278</v>
          </cell>
          <cell r="BK672">
            <v>0</v>
          </cell>
          <cell r="BL672">
            <v>0</v>
          </cell>
          <cell r="BM672">
            <v>80100</v>
          </cell>
          <cell r="BN672">
            <v>118.13253260811855</v>
          </cell>
          <cell r="BO672">
            <v>0</v>
          </cell>
          <cell r="BP672">
            <v>0</v>
          </cell>
          <cell r="BY672">
            <v>696.24</v>
          </cell>
          <cell r="CF672">
            <v>118</v>
          </cell>
          <cell r="CG672">
            <v>2142.25</v>
          </cell>
          <cell r="CJ672">
            <v>0</v>
          </cell>
          <cell r="CK672">
            <v>0</v>
          </cell>
          <cell r="CL672">
            <v>0</v>
          </cell>
          <cell r="CM672">
            <v>0</v>
          </cell>
          <cell r="CN672">
            <v>0</v>
          </cell>
          <cell r="CO672">
            <v>0</v>
          </cell>
          <cell r="CX672">
            <v>0</v>
          </cell>
          <cell r="CY672">
            <v>0</v>
          </cell>
          <cell r="DB672">
            <v>0</v>
          </cell>
          <cell r="DC672">
            <v>0</v>
          </cell>
          <cell r="DJ672" t="str">
            <v>НКРКП</v>
          </cell>
          <cell r="DL672">
            <v>40816</v>
          </cell>
          <cell r="DM672">
            <v>96</v>
          </cell>
          <cell r="DT672">
            <v>958.52</v>
          </cell>
        </row>
        <row r="673">
          <cell r="W673">
            <v>564.21</v>
          </cell>
          <cell r="AF673">
            <v>39877</v>
          </cell>
          <cell r="AG673">
            <v>1497</v>
          </cell>
          <cell r="AH673">
            <v>503.75784737413085</v>
          </cell>
          <cell r="AM673">
            <v>562.29</v>
          </cell>
          <cell r="AO673">
            <v>317249.6409</v>
          </cell>
          <cell r="AQ673">
            <v>283258</v>
          </cell>
          <cell r="AU673">
            <v>0</v>
          </cell>
          <cell r="AW673">
            <v>0</v>
          </cell>
          <cell r="AY673">
            <v>187232.65000000002</v>
          </cell>
          <cell r="AZ673">
            <v>332.98235785804485</v>
          </cell>
          <cell r="BA673">
            <v>0</v>
          </cell>
          <cell r="BB673">
            <v>0</v>
          </cell>
          <cell r="BC673">
            <v>0</v>
          </cell>
          <cell r="BD673">
            <v>0</v>
          </cell>
          <cell r="BG673">
            <v>0</v>
          </cell>
          <cell r="BH673">
            <v>0</v>
          </cell>
          <cell r="BI673">
            <v>6374</v>
          </cell>
          <cell r="BJ673">
            <v>11.335787582919846</v>
          </cell>
          <cell r="BK673">
            <v>0</v>
          </cell>
          <cell r="BL673">
            <v>0</v>
          </cell>
          <cell r="BM673">
            <v>40161</v>
          </cell>
          <cell r="BN673">
            <v>71.423998292695941</v>
          </cell>
          <cell r="BO673">
            <v>0</v>
          </cell>
          <cell r="BP673">
            <v>0</v>
          </cell>
          <cell r="BY673">
            <v>814.53</v>
          </cell>
          <cell r="CF673">
            <v>87.4</v>
          </cell>
          <cell r="CG673">
            <v>2142.25</v>
          </cell>
          <cell r="CJ673">
            <v>0</v>
          </cell>
          <cell r="CK673">
            <v>0</v>
          </cell>
          <cell r="CL673">
            <v>0</v>
          </cell>
          <cell r="CM673">
            <v>0</v>
          </cell>
          <cell r="CN673">
            <v>0</v>
          </cell>
          <cell r="CO673">
            <v>0</v>
          </cell>
          <cell r="CX673">
            <v>0</v>
          </cell>
          <cell r="CY673">
            <v>0</v>
          </cell>
          <cell r="DB673">
            <v>0</v>
          </cell>
          <cell r="DC673">
            <v>0</v>
          </cell>
          <cell r="DJ673" t="str">
            <v>НКРКП</v>
          </cell>
          <cell r="DL673">
            <v>40816</v>
          </cell>
          <cell r="DM673">
            <v>96</v>
          </cell>
          <cell r="DT673">
            <v>814.41</v>
          </cell>
        </row>
        <row r="674">
          <cell r="W674">
            <v>729.97</v>
          </cell>
          <cell r="AF674">
            <v>39877</v>
          </cell>
          <cell r="AG674">
            <v>1499</v>
          </cell>
          <cell r="AH674">
            <v>651.75579192772841</v>
          </cell>
          <cell r="AM674">
            <v>144.12299999999999</v>
          </cell>
          <cell r="AO674">
            <v>105205.46631</v>
          </cell>
          <cell r="AQ674">
            <v>93933</v>
          </cell>
          <cell r="AU674">
            <v>0</v>
          </cell>
          <cell r="AW674">
            <v>0</v>
          </cell>
          <cell r="AY674">
            <v>46529.67</v>
          </cell>
          <cell r="AZ674">
            <v>322.84694323598592</v>
          </cell>
          <cell r="BA674">
            <v>0</v>
          </cell>
          <cell r="BB674">
            <v>0</v>
          </cell>
          <cell r="BC674">
            <v>0</v>
          </cell>
          <cell r="BD674">
            <v>0</v>
          </cell>
          <cell r="BG674">
            <v>0</v>
          </cell>
          <cell r="BH674">
            <v>0</v>
          </cell>
          <cell r="BI674">
            <v>21</v>
          </cell>
          <cell r="BJ674">
            <v>0.14570887367040652</v>
          </cell>
          <cell r="BK674">
            <v>0</v>
          </cell>
          <cell r="BL674">
            <v>0</v>
          </cell>
          <cell r="BM674">
            <v>22661</v>
          </cell>
          <cell r="BN674">
            <v>157.23375172595632</v>
          </cell>
          <cell r="BO674">
            <v>0</v>
          </cell>
          <cell r="BP674">
            <v>0</v>
          </cell>
          <cell r="BY674">
            <v>689.36</v>
          </cell>
          <cell r="CF674">
            <v>21.72</v>
          </cell>
          <cell r="CG674">
            <v>2142.25</v>
          </cell>
          <cell r="CJ674">
            <v>0</v>
          </cell>
          <cell r="CK674">
            <v>0</v>
          </cell>
          <cell r="CL674">
            <v>0</v>
          </cell>
          <cell r="CM674">
            <v>0</v>
          </cell>
          <cell r="CN674">
            <v>0</v>
          </cell>
          <cell r="CO674">
            <v>0</v>
          </cell>
          <cell r="CX674">
            <v>0</v>
          </cell>
          <cell r="CY674">
            <v>0</v>
          </cell>
          <cell r="DB674">
            <v>0</v>
          </cell>
          <cell r="DC674">
            <v>0</v>
          </cell>
          <cell r="DJ674" t="str">
            <v>НКРКП</v>
          </cell>
          <cell r="DL674">
            <v>40816</v>
          </cell>
          <cell r="DM674">
            <v>96</v>
          </cell>
          <cell r="DT674">
            <v>972.56</v>
          </cell>
        </row>
        <row r="675">
          <cell r="W675">
            <v>698.01</v>
          </cell>
          <cell r="AF675">
            <v>39877</v>
          </cell>
          <cell r="AG675">
            <v>1500</v>
          </cell>
          <cell r="AH675">
            <v>623.22495750863538</v>
          </cell>
          <cell r="AM675">
            <v>310.06299999999999</v>
          </cell>
          <cell r="AO675">
            <v>216427.07462999999</v>
          </cell>
          <cell r="AQ675">
            <v>193239</v>
          </cell>
          <cell r="AU675">
            <v>0</v>
          </cell>
          <cell r="AW675">
            <v>0</v>
          </cell>
          <cell r="AY675">
            <v>109254.75</v>
          </cell>
          <cell r="AZ675">
            <v>352.36306815066615</v>
          </cell>
          <cell r="BA675">
            <v>0</v>
          </cell>
          <cell r="BB675">
            <v>0</v>
          </cell>
          <cell r="BC675">
            <v>0</v>
          </cell>
          <cell r="BD675">
            <v>0</v>
          </cell>
          <cell r="BG675">
            <v>0</v>
          </cell>
          <cell r="BH675">
            <v>0</v>
          </cell>
          <cell r="BI675">
            <v>3506</v>
          </cell>
          <cell r="BJ675">
            <v>11.307379468043592</v>
          </cell>
          <cell r="BK675">
            <v>0</v>
          </cell>
          <cell r="BL675">
            <v>0</v>
          </cell>
          <cell r="BM675">
            <v>41521</v>
          </cell>
          <cell r="BN675">
            <v>133.91149540577237</v>
          </cell>
          <cell r="BO675">
            <v>0</v>
          </cell>
          <cell r="BP675">
            <v>0</v>
          </cell>
          <cell r="BY675">
            <v>631.58000000000004</v>
          </cell>
          <cell r="CF675">
            <v>51</v>
          </cell>
          <cell r="CG675">
            <v>2142.25</v>
          </cell>
          <cell r="CJ675">
            <v>0</v>
          </cell>
          <cell r="CK675">
            <v>0</v>
          </cell>
          <cell r="CL675">
            <v>0</v>
          </cell>
          <cell r="CM675">
            <v>0</v>
          </cell>
          <cell r="CN675">
            <v>0</v>
          </cell>
          <cell r="CO675">
            <v>0</v>
          </cell>
          <cell r="CX675">
            <v>0</v>
          </cell>
          <cell r="CY675">
            <v>0</v>
          </cell>
          <cell r="DB675">
            <v>0</v>
          </cell>
          <cell r="DC675">
            <v>0</v>
          </cell>
          <cell r="DJ675" t="str">
            <v>НКРКП</v>
          </cell>
          <cell r="DL675">
            <v>40816</v>
          </cell>
          <cell r="DM675">
            <v>96</v>
          </cell>
          <cell r="DT675">
            <v>964.28</v>
          </cell>
        </row>
        <row r="676">
          <cell r="W676">
            <v>573.69000000000005</v>
          </cell>
          <cell r="AF676">
            <v>39877</v>
          </cell>
          <cell r="AG676">
            <v>1496</v>
          </cell>
          <cell r="AH676">
            <v>512.22815533980588</v>
          </cell>
          <cell r="AM676">
            <v>412</v>
          </cell>
          <cell r="AO676">
            <v>236360.28000000003</v>
          </cell>
          <cell r="AQ676">
            <v>211038</v>
          </cell>
          <cell r="AU676">
            <v>0</v>
          </cell>
          <cell r="AW676">
            <v>0</v>
          </cell>
          <cell r="AY676">
            <v>134961.75</v>
          </cell>
          <cell r="AZ676">
            <v>327.57706310679612</v>
          </cell>
          <cell r="BA676">
            <v>0</v>
          </cell>
          <cell r="BB676">
            <v>0</v>
          </cell>
          <cell r="BC676">
            <v>0</v>
          </cell>
          <cell r="BD676">
            <v>0</v>
          </cell>
          <cell r="BG676">
            <v>0</v>
          </cell>
          <cell r="BH676">
            <v>0</v>
          </cell>
          <cell r="BI676">
            <v>5631</v>
          </cell>
          <cell r="BJ676">
            <v>13.66747572815534</v>
          </cell>
          <cell r="BK676">
            <v>0</v>
          </cell>
          <cell r="BL676">
            <v>0</v>
          </cell>
          <cell r="BM676">
            <v>37029</v>
          </cell>
          <cell r="BN676">
            <v>89.876213592233015</v>
          </cell>
          <cell r="BO676">
            <v>0</v>
          </cell>
          <cell r="BP676">
            <v>0</v>
          </cell>
          <cell r="BY676">
            <v>751</v>
          </cell>
          <cell r="CF676">
            <v>63</v>
          </cell>
          <cell r="CG676">
            <v>2142.25</v>
          </cell>
          <cell r="CJ676">
            <v>0</v>
          </cell>
          <cell r="CK676">
            <v>0</v>
          </cell>
          <cell r="CL676">
            <v>0</v>
          </cell>
          <cell r="CM676">
            <v>0</v>
          </cell>
          <cell r="CN676">
            <v>0</v>
          </cell>
          <cell r="CO676">
            <v>0</v>
          </cell>
          <cell r="CX676">
            <v>0</v>
          </cell>
          <cell r="CY676">
            <v>0</v>
          </cell>
          <cell r="DB676">
            <v>0</v>
          </cell>
          <cell r="DC676">
            <v>0</v>
          </cell>
          <cell r="DJ676" t="str">
            <v>НКРКП</v>
          </cell>
          <cell r="DL676">
            <v>40816</v>
          </cell>
          <cell r="DM676">
            <v>96</v>
          </cell>
          <cell r="DT676">
            <v>821.08</v>
          </cell>
        </row>
        <row r="677">
          <cell r="W677">
            <v>735.92</v>
          </cell>
          <cell r="AF677">
            <v>39877</v>
          </cell>
          <cell r="AG677">
            <v>1495</v>
          </cell>
          <cell r="AH677">
            <v>657.08117758507615</v>
          </cell>
          <cell r="AM677">
            <v>439.13600000000002</v>
          </cell>
          <cell r="AO677">
            <v>323168.96512000001</v>
          </cell>
          <cell r="AQ677">
            <v>288548</v>
          </cell>
          <cell r="AU677">
            <v>0</v>
          </cell>
          <cell r="AW677">
            <v>0</v>
          </cell>
          <cell r="AY677">
            <v>162811</v>
          </cell>
          <cell r="AZ677">
            <v>370.75302412009034</v>
          </cell>
          <cell r="BA677">
            <v>0</v>
          </cell>
          <cell r="BB677">
            <v>0</v>
          </cell>
          <cell r="BC677">
            <v>0</v>
          </cell>
          <cell r="BD677">
            <v>0</v>
          </cell>
          <cell r="BG677">
            <v>0</v>
          </cell>
          <cell r="BH677">
            <v>0</v>
          </cell>
          <cell r="BI677">
            <v>14649</v>
          </cell>
          <cell r="BJ677">
            <v>33.358686147343874</v>
          </cell>
          <cell r="BK677">
            <v>0</v>
          </cell>
          <cell r="BL677">
            <v>0</v>
          </cell>
          <cell r="BM677">
            <v>74027</v>
          </cell>
          <cell r="BN677">
            <v>168.57420024775922</v>
          </cell>
          <cell r="BO677">
            <v>0</v>
          </cell>
          <cell r="BP677">
            <v>0</v>
          </cell>
          <cell r="BY677">
            <v>750.69</v>
          </cell>
          <cell r="CF677">
            <v>76</v>
          </cell>
          <cell r="CG677">
            <v>2142.25</v>
          </cell>
          <cell r="CJ677">
            <v>0</v>
          </cell>
          <cell r="CK677">
            <v>0</v>
          </cell>
          <cell r="CL677">
            <v>0</v>
          </cell>
          <cell r="CM677">
            <v>0</v>
          </cell>
          <cell r="CN677">
            <v>0</v>
          </cell>
          <cell r="CO677">
            <v>0</v>
          </cell>
          <cell r="CX677">
            <v>0</v>
          </cell>
          <cell r="CY677">
            <v>0</v>
          </cell>
          <cell r="DB677">
            <v>0</v>
          </cell>
          <cell r="DC677">
            <v>0</v>
          </cell>
          <cell r="DJ677" t="str">
            <v>НКРКП</v>
          </cell>
          <cell r="DL677">
            <v>40816</v>
          </cell>
          <cell r="DM677">
            <v>96</v>
          </cell>
          <cell r="DT677">
            <v>999.9</v>
          </cell>
        </row>
        <row r="678">
          <cell r="W678">
            <v>524.70117609099998</v>
          </cell>
          <cell r="AF678">
            <v>39811</v>
          </cell>
          <cell r="AG678">
            <v>1268</v>
          </cell>
          <cell r="AH678">
            <v>437.25097470597711</v>
          </cell>
          <cell r="AM678">
            <v>31035</v>
          </cell>
          <cell r="AO678">
            <v>16284100.999984184</v>
          </cell>
          <cell r="AQ678">
            <v>13570084</v>
          </cell>
          <cell r="AU678">
            <v>0</v>
          </cell>
          <cell r="AW678">
            <v>0</v>
          </cell>
          <cell r="AY678">
            <v>8196947.9999940712</v>
          </cell>
          <cell r="AZ678">
            <v>264.11947800850879</v>
          </cell>
          <cell r="BA678">
            <v>0</v>
          </cell>
          <cell r="BB678">
            <v>0</v>
          </cell>
          <cell r="BC678">
            <v>0</v>
          </cell>
          <cell r="BD678">
            <v>0</v>
          </cell>
          <cell r="BG678">
            <v>0</v>
          </cell>
          <cell r="BH678">
            <v>0</v>
          </cell>
          <cell r="BI678">
            <v>790916</v>
          </cell>
          <cell r="BJ678">
            <v>25.484646367004995</v>
          </cell>
          <cell r="BK678">
            <v>0</v>
          </cell>
          <cell r="BL678">
            <v>0</v>
          </cell>
          <cell r="BM678">
            <v>3304537</v>
          </cell>
          <cell r="BN678">
            <v>106.47775092637345</v>
          </cell>
          <cell r="BO678">
            <v>0</v>
          </cell>
          <cell r="BP678">
            <v>0</v>
          </cell>
          <cell r="BY678">
            <v>1336.18</v>
          </cell>
          <cell r="CF678">
            <v>5346.1610706700003</v>
          </cell>
          <cell r="CG678">
            <v>1533.24</v>
          </cell>
          <cell r="CJ678">
            <v>0</v>
          </cell>
          <cell r="CK678">
            <v>0</v>
          </cell>
          <cell r="CL678">
            <v>0</v>
          </cell>
          <cell r="CM678">
            <v>0</v>
          </cell>
          <cell r="CN678">
            <v>0</v>
          </cell>
          <cell r="CO678">
            <v>0</v>
          </cell>
          <cell r="CX678">
            <v>0</v>
          </cell>
          <cell r="CY678">
            <v>0</v>
          </cell>
          <cell r="DB678">
            <v>0</v>
          </cell>
          <cell r="DC678">
            <v>0</v>
          </cell>
          <cell r="DJ678" t="str">
            <v>НКРКП</v>
          </cell>
          <cell r="DL678">
            <v>40816</v>
          </cell>
          <cell r="DM678">
            <v>100</v>
          </cell>
          <cell r="DT678">
            <v>906.84</v>
          </cell>
        </row>
        <row r="679">
          <cell r="W679">
            <v>701.57</v>
          </cell>
          <cell r="AF679">
            <v>39877</v>
          </cell>
          <cell r="AG679">
            <v>1492</v>
          </cell>
          <cell r="AH679">
            <v>626.40436964341222</v>
          </cell>
          <cell r="AM679">
            <v>180.15199999999999</v>
          </cell>
          <cell r="AO679">
            <v>126389.23864</v>
          </cell>
          <cell r="AQ679">
            <v>112848</v>
          </cell>
          <cell r="AU679">
            <v>0</v>
          </cell>
          <cell r="AW679">
            <v>0</v>
          </cell>
          <cell r="AY679">
            <v>64717.372500000005</v>
          </cell>
          <cell r="AZ679">
            <v>359.2376021359741</v>
          </cell>
          <cell r="BA679">
            <v>0</v>
          </cell>
          <cell r="BB679">
            <v>0</v>
          </cell>
          <cell r="BC679">
            <v>0</v>
          </cell>
          <cell r="BD679">
            <v>0</v>
          </cell>
          <cell r="BG679">
            <v>0</v>
          </cell>
          <cell r="BH679">
            <v>0</v>
          </cell>
          <cell r="BI679">
            <v>1675</v>
          </cell>
          <cell r="BJ679">
            <v>9.2977041609307705</v>
          </cell>
          <cell r="BK679">
            <v>0</v>
          </cell>
          <cell r="BL679">
            <v>0</v>
          </cell>
          <cell r="BM679">
            <v>19625</v>
          </cell>
          <cell r="BN679">
            <v>108.93578755717395</v>
          </cell>
          <cell r="BO679">
            <v>0</v>
          </cell>
          <cell r="BP679">
            <v>0</v>
          </cell>
          <cell r="BY679">
            <v>702.4</v>
          </cell>
          <cell r="CF679">
            <v>30.21</v>
          </cell>
          <cell r="CG679">
            <v>2142.25</v>
          </cell>
          <cell r="CJ679">
            <v>0</v>
          </cell>
          <cell r="CK679">
            <v>0</v>
          </cell>
          <cell r="CL679">
            <v>0</v>
          </cell>
          <cell r="CM679">
            <v>0</v>
          </cell>
          <cell r="CN679">
            <v>0</v>
          </cell>
          <cell r="CO679">
            <v>0</v>
          </cell>
          <cell r="CX679">
            <v>0</v>
          </cell>
          <cell r="CY679">
            <v>0</v>
          </cell>
          <cell r="DB679">
            <v>0</v>
          </cell>
          <cell r="DC679">
            <v>0</v>
          </cell>
          <cell r="DJ679" t="str">
            <v>НКРКП</v>
          </cell>
          <cell r="DL679">
            <v>40816</v>
          </cell>
          <cell r="DM679">
            <v>96</v>
          </cell>
          <cell r="DT679">
            <v>971.52</v>
          </cell>
        </row>
        <row r="680">
          <cell r="W680">
            <v>764.48</v>
          </cell>
          <cell r="AF680">
            <v>39877</v>
          </cell>
          <cell r="AG680">
            <v>1498</v>
          </cell>
          <cell r="AH680">
            <v>696.42531682482593</v>
          </cell>
          <cell r="AM680">
            <v>164.602</v>
          </cell>
          <cell r="AO680">
            <v>125834.93696000001</v>
          </cell>
          <cell r="AQ680">
            <v>114633</v>
          </cell>
          <cell r="AU680">
            <v>0</v>
          </cell>
          <cell r="AW680">
            <v>0</v>
          </cell>
          <cell r="AY680">
            <v>57204.75</v>
          </cell>
          <cell r="AZ680">
            <v>347.53374807110487</v>
          </cell>
          <cell r="BA680">
            <v>0</v>
          </cell>
          <cell r="BB680">
            <v>0</v>
          </cell>
          <cell r="BC680">
            <v>0</v>
          </cell>
          <cell r="BD680">
            <v>0</v>
          </cell>
          <cell r="BG680">
            <v>0</v>
          </cell>
          <cell r="BH680">
            <v>0</v>
          </cell>
          <cell r="BI680">
            <v>2256</v>
          </cell>
          <cell r="BJ680">
            <v>13.705787292985503</v>
          </cell>
          <cell r="BK680">
            <v>0</v>
          </cell>
          <cell r="BL680">
            <v>0</v>
          </cell>
          <cell r="BM680">
            <v>33705</v>
          </cell>
          <cell r="BN680">
            <v>204.76664925092041</v>
          </cell>
          <cell r="BO680">
            <v>0</v>
          </cell>
          <cell r="BP680">
            <v>0</v>
          </cell>
          <cell r="BY680">
            <v>638.58000000000004</v>
          </cell>
          <cell r="CF680">
            <v>26.7</v>
          </cell>
          <cell r="CG680">
            <v>2142.5</v>
          </cell>
          <cell r="CJ680">
            <v>0</v>
          </cell>
          <cell r="CK680">
            <v>0</v>
          </cell>
          <cell r="CL680">
            <v>0</v>
          </cell>
          <cell r="CM680">
            <v>0</v>
          </cell>
          <cell r="CN680">
            <v>0</v>
          </cell>
          <cell r="CO680">
            <v>0</v>
          </cell>
          <cell r="CX680">
            <v>0</v>
          </cell>
          <cell r="CY680">
            <v>0</v>
          </cell>
          <cell r="DB680">
            <v>0</v>
          </cell>
          <cell r="DC680">
            <v>0</v>
          </cell>
          <cell r="DJ680" t="str">
            <v>НКРКП</v>
          </cell>
          <cell r="DL680">
            <v>40816</v>
          </cell>
          <cell r="DM680">
            <v>96</v>
          </cell>
          <cell r="DT680">
            <v>999.9</v>
          </cell>
        </row>
        <row r="681">
          <cell r="W681">
            <v>695.44</v>
          </cell>
          <cell r="AF681">
            <v>39877</v>
          </cell>
          <cell r="AG681">
            <v>1493</v>
          </cell>
          <cell r="AH681">
            <v>620.93229166666663</v>
          </cell>
          <cell r="AM681">
            <v>192</v>
          </cell>
          <cell r="AO681">
            <v>133524.48000000001</v>
          </cell>
          <cell r="AQ681">
            <v>119219</v>
          </cell>
          <cell r="AU681">
            <v>0</v>
          </cell>
          <cell r="AW681">
            <v>0</v>
          </cell>
          <cell r="AY681">
            <v>64267.5</v>
          </cell>
          <cell r="AZ681">
            <v>334.7265625</v>
          </cell>
          <cell r="BA681">
            <v>0</v>
          </cell>
          <cell r="BB681">
            <v>0</v>
          </cell>
          <cell r="BC681">
            <v>0</v>
          </cell>
          <cell r="BD681">
            <v>0</v>
          </cell>
          <cell r="BG681">
            <v>0</v>
          </cell>
          <cell r="BH681">
            <v>0</v>
          </cell>
          <cell r="BI681">
            <v>128</v>
          </cell>
          <cell r="BJ681">
            <v>0.66666666666666663</v>
          </cell>
          <cell r="BK681">
            <v>0</v>
          </cell>
          <cell r="BL681">
            <v>0</v>
          </cell>
          <cell r="BM681">
            <v>25209</v>
          </cell>
          <cell r="BN681">
            <v>131.296875</v>
          </cell>
          <cell r="BO681">
            <v>0</v>
          </cell>
          <cell r="BP681">
            <v>0</v>
          </cell>
          <cell r="BY681">
            <v>766.92</v>
          </cell>
          <cell r="CF681">
            <v>30</v>
          </cell>
          <cell r="CG681">
            <v>2142.25</v>
          </cell>
          <cell r="CJ681">
            <v>0</v>
          </cell>
          <cell r="CK681">
            <v>0</v>
          </cell>
          <cell r="CL681">
            <v>0</v>
          </cell>
          <cell r="CM681">
            <v>0</v>
          </cell>
          <cell r="CN681">
            <v>0</v>
          </cell>
          <cell r="CO681">
            <v>0</v>
          </cell>
          <cell r="CX681">
            <v>0</v>
          </cell>
          <cell r="CY681">
            <v>0</v>
          </cell>
          <cell r="DB681">
            <v>0</v>
          </cell>
          <cell r="DC681">
            <v>0</v>
          </cell>
          <cell r="DJ681" t="str">
            <v>НКРКП</v>
          </cell>
          <cell r="DL681">
            <v>40816</v>
          </cell>
          <cell r="DM681">
            <v>96</v>
          </cell>
          <cell r="DT681">
            <v>946.71</v>
          </cell>
        </row>
        <row r="682">
          <cell r="W682">
            <v>523.23</v>
          </cell>
          <cell r="AF682">
            <v>39877</v>
          </cell>
          <cell r="AG682">
            <v>1494</v>
          </cell>
          <cell r="AH682">
            <v>467.17289719626166</v>
          </cell>
          <cell r="AM682">
            <v>428</v>
          </cell>
          <cell r="AO682">
            <v>223942.44</v>
          </cell>
          <cell r="AQ682">
            <v>199950</v>
          </cell>
          <cell r="AU682">
            <v>0</v>
          </cell>
          <cell r="AW682">
            <v>0</v>
          </cell>
          <cell r="AY682">
            <v>141388.5</v>
          </cell>
          <cell r="AZ682">
            <v>330.34696261682245</v>
          </cell>
          <cell r="BA682">
            <v>0</v>
          </cell>
          <cell r="BB682">
            <v>0</v>
          </cell>
          <cell r="BC682">
            <v>0</v>
          </cell>
          <cell r="BD682">
            <v>0</v>
          </cell>
          <cell r="BG682">
            <v>0</v>
          </cell>
          <cell r="BH682">
            <v>0</v>
          </cell>
          <cell r="BI682">
            <v>2473</v>
          </cell>
          <cell r="BJ682">
            <v>5.77803738317757</v>
          </cell>
          <cell r="BK682">
            <v>0</v>
          </cell>
          <cell r="BL682">
            <v>0</v>
          </cell>
          <cell r="BM682">
            <v>28206</v>
          </cell>
          <cell r="BN682">
            <v>65.901869158878512</v>
          </cell>
          <cell r="BO682">
            <v>0</v>
          </cell>
          <cell r="BP682">
            <v>0</v>
          </cell>
          <cell r="BY682">
            <v>858.08</v>
          </cell>
          <cell r="CF682">
            <v>66</v>
          </cell>
          <cell r="CG682">
            <v>2142.25</v>
          </cell>
          <cell r="CJ682">
            <v>0</v>
          </cell>
          <cell r="CK682">
            <v>0</v>
          </cell>
          <cell r="CL682">
            <v>0</v>
          </cell>
          <cell r="CM682">
            <v>0</v>
          </cell>
          <cell r="CN682">
            <v>0</v>
          </cell>
          <cell r="CO682">
            <v>0</v>
          </cell>
          <cell r="CX682">
            <v>0</v>
          </cell>
          <cell r="CY682">
            <v>0</v>
          </cell>
          <cell r="DB682">
            <v>0</v>
          </cell>
          <cell r="DC682">
            <v>0</v>
          </cell>
          <cell r="DJ682" t="str">
            <v>НКРКП</v>
          </cell>
          <cell r="DL682">
            <v>40816</v>
          </cell>
          <cell r="DM682">
            <v>96</v>
          </cell>
          <cell r="DT682">
            <v>770.18</v>
          </cell>
        </row>
        <row r="683">
          <cell r="W683">
            <v>398.17</v>
          </cell>
          <cell r="AF683">
            <v>39721</v>
          </cell>
          <cell r="AG683">
            <v>961</v>
          </cell>
          <cell r="AH683">
            <v>361.96670792079209</v>
          </cell>
          <cell r="AM683">
            <v>8080</v>
          </cell>
          <cell r="AO683">
            <v>3217213.6</v>
          </cell>
          <cell r="AQ683">
            <v>2924691</v>
          </cell>
          <cell r="AU683">
            <v>0</v>
          </cell>
          <cell r="AW683">
            <v>0</v>
          </cell>
          <cell r="AY683">
            <v>944788.68</v>
          </cell>
          <cell r="AZ683">
            <v>116.92929207920793</v>
          </cell>
          <cell r="BA683">
            <v>0</v>
          </cell>
          <cell r="BB683">
            <v>0</v>
          </cell>
          <cell r="BC683">
            <v>0</v>
          </cell>
          <cell r="BD683">
            <v>0</v>
          </cell>
          <cell r="BG683">
            <v>0</v>
          </cell>
          <cell r="BH683">
            <v>0</v>
          </cell>
          <cell r="BI683">
            <v>260117</v>
          </cell>
          <cell r="BJ683">
            <v>32.192698019801981</v>
          </cell>
          <cell r="BK683">
            <v>0</v>
          </cell>
          <cell r="BL683">
            <v>0</v>
          </cell>
          <cell r="BM683">
            <v>1219187</v>
          </cell>
          <cell r="BN683">
            <v>150.88948019801981</v>
          </cell>
          <cell r="BO683">
            <v>0</v>
          </cell>
          <cell r="BP683">
            <v>0</v>
          </cell>
          <cell r="BY683">
            <v>1243.3499999999999</v>
          </cell>
          <cell r="CF683">
            <v>1299</v>
          </cell>
          <cell r="CG683">
            <v>727.32</v>
          </cell>
          <cell r="CJ683">
            <v>0</v>
          </cell>
          <cell r="CK683">
            <v>0</v>
          </cell>
          <cell r="CL683">
            <v>0</v>
          </cell>
          <cell r="CM683">
            <v>0</v>
          </cell>
          <cell r="CN683">
            <v>0</v>
          </cell>
          <cell r="CO683">
            <v>0</v>
          </cell>
          <cell r="CX683">
            <v>0</v>
          </cell>
          <cell r="CY683">
            <v>0</v>
          </cell>
          <cell r="DB683">
            <v>0</v>
          </cell>
          <cell r="DC683">
            <v>0</v>
          </cell>
          <cell r="DJ683" t="str">
            <v>НКРЕ</v>
          </cell>
          <cell r="DL683">
            <v>40526</v>
          </cell>
          <cell r="DM683">
            <v>1752</v>
          </cell>
          <cell r="DO683" t="str">
            <v>Тариф на теплову енергію</v>
          </cell>
          <cell r="DT683">
            <v>437.99</v>
          </cell>
        </row>
        <row r="684">
          <cell r="W684">
            <v>660</v>
          </cell>
          <cell r="AF684">
            <v>39871</v>
          </cell>
          <cell r="AG684">
            <v>1428</v>
          </cell>
          <cell r="AH684">
            <v>600.00042964554245</v>
          </cell>
          <cell r="AM684">
            <v>4655</v>
          </cell>
          <cell r="AO684">
            <v>3072300</v>
          </cell>
          <cell r="AQ684">
            <v>2793002</v>
          </cell>
          <cell r="AU684">
            <v>0</v>
          </cell>
          <cell r="AW684">
            <v>0</v>
          </cell>
          <cell r="AY684">
            <v>1692377.5</v>
          </cell>
          <cell r="AZ684">
            <v>363.5612244897959</v>
          </cell>
          <cell r="BA684">
            <v>0</v>
          </cell>
          <cell r="BB684">
            <v>0</v>
          </cell>
          <cell r="BC684">
            <v>0</v>
          </cell>
          <cell r="BD684">
            <v>0</v>
          </cell>
          <cell r="BG684">
            <v>0</v>
          </cell>
          <cell r="BH684">
            <v>0</v>
          </cell>
          <cell r="BI684">
            <v>58993</v>
          </cell>
          <cell r="BJ684">
            <v>12.673039742212675</v>
          </cell>
          <cell r="BK684">
            <v>0</v>
          </cell>
          <cell r="BL684">
            <v>0</v>
          </cell>
          <cell r="BM684">
            <v>702404</v>
          </cell>
          <cell r="BN684">
            <v>150.89237379162191</v>
          </cell>
          <cell r="BO684">
            <v>0</v>
          </cell>
          <cell r="BP684">
            <v>0</v>
          </cell>
          <cell r="BY684">
            <v>1243.3499999999999</v>
          </cell>
          <cell r="CF684">
            <v>790</v>
          </cell>
          <cell r="CG684">
            <v>2142.25</v>
          </cell>
          <cell r="CJ684">
            <v>0</v>
          </cell>
          <cell r="CK684">
            <v>0</v>
          </cell>
          <cell r="CL684">
            <v>0</v>
          </cell>
          <cell r="CM684">
            <v>0</v>
          </cell>
          <cell r="CN684">
            <v>0</v>
          </cell>
          <cell r="CO684">
            <v>0</v>
          </cell>
          <cell r="CX684">
            <v>0</v>
          </cell>
          <cell r="CY684">
            <v>0</v>
          </cell>
          <cell r="DB684">
            <v>0</v>
          </cell>
          <cell r="DC684">
            <v>0</v>
          </cell>
          <cell r="DJ684" t="str">
            <v>НКРКП</v>
          </cell>
          <cell r="DL684">
            <v>40816</v>
          </cell>
          <cell r="DM684">
            <v>96</v>
          </cell>
          <cell r="DT684">
            <v>933.16</v>
          </cell>
        </row>
        <row r="685">
          <cell r="W685">
            <v>1168.8800000000001</v>
          </cell>
          <cell r="AF685">
            <v>39871</v>
          </cell>
          <cell r="AG685">
            <v>1429</v>
          </cell>
          <cell r="AH685">
            <v>601.89097744360902</v>
          </cell>
          <cell r="AM685">
            <v>266</v>
          </cell>
          <cell r="AO685">
            <v>310922.08</v>
          </cell>
          <cell r="AQ685">
            <v>160103</v>
          </cell>
          <cell r="AU685">
            <v>0</v>
          </cell>
          <cell r="AW685">
            <v>0</v>
          </cell>
          <cell r="AY685">
            <v>92116.75</v>
          </cell>
          <cell r="AZ685">
            <v>346.30357142857144</v>
          </cell>
          <cell r="BA685">
            <v>0</v>
          </cell>
          <cell r="BB685">
            <v>0</v>
          </cell>
          <cell r="BC685">
            <v>0</v>
          </cell>
          <cell r="BD685">
            <v>0</v>
          </cell>
          <cell r="BG685">
            <v>0</v>
          </cell>
          <cell r="BH685">
            <v>0</v>
          </cell>
          <cell r="BI685">
            <v>9309</v>
          </cell>
          <cell r="BJ685">
            <v>34.996240601503757</v>
          </cell>
          <cell r="BK685">
            <v>0</v>
          </cell>
          <cell r="BL685">
            <v>0</v>
          </cell>
          <cell r="BM685">
            <v>40137</v>
          </cell>
          <cell r="BN685">
            <v>150.89097744360902</v>
          </cell>
          <cell r="BO685">
            <v>0</v>
          </cell>
          <cell r="BP685">
            <v>0</v>
          </cell>
          <cell r="BY685">
            <v>1243.3499999999999</v>
          </cell>
          <cell r="CF685">
            <v>43</v>
          </cell>
          <cell r="CG685">
            <v>2142.25</v>
          </cell>
          <cell r="CJ685">
            <v>0</v>
          </cell>
          <cell r="CK685">
            <v>0</v>
          </cell>
          <cell r="CL685">
            <v>0</v>
          </cell>
          <cell r="CM685">
            <v>0</v>
          </cell>
          <cell r="CN685">
            <v>0</v>
          </cell>
          <cell r="CO685">
            <v>0</v>
          </cell>
          <cell r="CX685">
            <v>0</v>
          </cell>
          <cell r="CY685">
            <v>0</v>
          </cell>
          <cell r="DB685">
            <v>0</v>
          </cell>
          <cell r="DC685">
            <v>0</v>
          </cell>
          <cell r="DJ685" t="str">
            <v>НКРКП</v>
          </cell>
          <cell r="DL685">
            <v>40816</v>
          </cell>
          <cell r="DM685">
            <v>96</v>
          </cell>
          <cell r="DT685">
            <v>1168.8800000000001</v>
          </cell>
        </row>
        <row r="686">
          <cell r="W686">
            <v>604.39</v>
          </cell>
          <cell r="AF686">
            <v>39895</v>
          </cell>
          <cell r="AG686">
            <v>1577</v>
          </cell>
          <cell r="AH686">
            <v>538.88146399055495</v>
          </cell>
          <cell r="AM686">
            <v>4235</v>
          </cell>
          <cell r="AO686">
            <v>2559591.65</v>
          </cell>
          <cell r="AQ686">
            <v>2282163</v>
          </cell>
          <cell r="AU686">
            <v>0</v>
          </cell>
          <cell r="AW686">
            <v>0</v>
          </cell>
          <cell r="AY686">
            <v>1649532.5</v>
          </cell>
          <cell r="AZ686">
            <v>389.5</v>
          </cell>
          <cell r="BA686">
            <v>0</v>
          </cell>
          <cell r="BB686">
            <v>0</v>
          </cell>
          <cell r="BC686">
            <v>0</v>
          </cell>
          <cell r="BD686">
            <v>0</v>
          </cell>
          <cell r="BG686">
            <v>0</v>
          </cell>
          <cell r="BH686">
            <v>0</v>
          </cell>
          <cell r="BI686">
            <v>49184</v>
          </cell>
          <cell r="BJ686">
            <v>11.613695395513577</v>
          </cell>
          <cell r="BK686">
            <v>0</v>
          </cell>
          <cell r="BL686">
            <v>0</v>
          </cell>
          <cell r="BM686">
            <v>319292</v>
          </cell>
          <cell r="BN686">
            <v>75.393624557260921</v>
          </cell>
          <cell r="BO686">
            <v>0</v>
          </cell>
          <cell r="BP686">
            <v>0</v>
          </cell>
          <cell r="BY686">
            <v>1142.78</v>
          </cell>
          <cell r="CF686">
            <v>770</v>
          </cell>
          <cell r="CG686">
            <v>2142.25</v>
          </cell>
          <cell r="CJ686">
            <v>0</v>
          </cell>
          <cell r="CK686">
            <v>0</v>
          </cell>
          <cell r="CL686">
            <v>0</v>
          </cell>
          <cell r="CM686">
            <v>0</v>
          </cell>
          <cell r="CN686">
            <v>0</v>
          </cell>
          <cell r="CO686">
            <v>0</v>
          </cell>
          <cell r="CX686">
            <v>0</v>
          </cell>
          <cell r="CY686">
            <v>0</v>
          </cell>
          <cell r="DB686">
            <v>0</v>
          </cell>
          <cell r="DC686">
            <v>0</v>
          </cell>
          <cell r="DJ686" t="str">
            <v>НКРКП</v>
          </cell>
          <cell r="DL686">
            <v>40816</v>
          </cell>
          <cell r="DM686">
            <v>96</v>
          </cell>
          <cell r="DT686">
            <v>897.17</v>
          </cell>
        </row>
        <row r="687">
          <cell r="W687">
            <v>684.25</v>
          </cell>
          <cell r="AF687">
            <v>39871</v>
          </cell>
          <cell r="AG687">
            <v>1433</v>
          </cell>
          <cell r="AH687">
            <v>684.25250836120404</v>
          </cell>
          <cell r="AM687">
            <v>598</v>
          </cell>
          <cell r="AO687">
            <v>409181.5</v>
          </cell>
          <cell r="AQ687">
            <v>409183</v>
          </cell>
          <cell r="AU687">
            <v>0</v>
          </cell>
          <cell r="AW687">
            <v>0</v>
          </cell>
          <cell r="AY687">
            <v>218509.5</v>
          </cell>
          <cell r="AZ687">
            <v>365.40050167224081</v>
          </cell>
          <cell r="BA687">
            <v>0</v>
          </cell>
          <cell r="BB687">
            <v>0</v>
          </cell>
          <cell r="BC687">
            <v>0</v>
          </cell>
          <cell r="BD687">
            <v>0</v>
          </cell>
          <cell r="BG687">
            <v>0</v>
          </cell>
          <cell r="BH687">
            <v>0</v>
          </cell>
          <cell r="BI687">
            <v>34423</v>
          </cell>
          <cell r="BJ687">
            <v>57.563545150501675</v>
          </cell>
          <cell r="BK687">
            <v>0</v>
          </cell>
          <cell r="BL687">
            <v>0</v>
          </cell>
          <cell r="BM687">
            <v>100160</v>
          </cell>
          <cell r="BN687">
            <v>167.49163879598663</v>
          </cell>
          <cell r="BO687">
            <v>0</v>
          </cell>
          <cell r="BP687">
            <v>0</v>
          </cell>
          <cell r="BY687">
            <v>1218.8499999999999</v>
          </cell>
          <cell r="CF687">
            <v>102</v>
          </cell>
          <cell r="CG687">
            <v>2142.25</v>
          </cell>
          <cell r="CJ687">
            <v>0</v>
          </cell>
          <cell r="CK687">
            <v>0</v>
          </cell>
          <cell r="CL687">
            <v>0</v>
          </cell>
          <cell r="CM687">
            <v>0</v>
          </cell>
          <cell r="CN687">
            <v>0</v>
          </cell>
          <cell r="CO687">
            <v>0</v>
          </cell>
          <cell r="CX687">
            <v>0</v>
          </cell>
          <cell r="CY687">
            <v>0</v>
          </cell>
          <cell r="DB687">
            <v>0</v>
          </cell>
          <cell r="DC687">
            <v>0</v>
          </cell>
          <cell r="DJ687" t="str">
            <v>НКРКП</v>
          </cell>
          <cell r="DL687">
            <v>40816</v>
          </cell>
          <cell r="DM687">
            <v>96</v>
          </cell>
          <cell r="DT687">
            <v>958.32</v>
          </cell>
        </row>
        <row r="688">
          <cell r="W688">
            <v>943.08</v>
          </cell>
          <cell r="AF688">
            <v>39871</v>
          </cell>
          <cell r="AG688">
            <v>1431</v>
          </cell>
          <cell r="AH688">
            <v>857.61111111111109</v>
          </cell>
          <cell r="AM688">
            <v>234</v>
          </cell>
          <cell r="AO688">
            <v>220680.72</v>
          </cell>
          <cell r="AQ688">
            <v>200681</v>
          </cell>
          <cell r="AU688">
            <v>0</v>
          </cell>
          <cell r="AW688">
            <v>0</v>
          </cell>
          <cell r="AY688">
            <v>94259</v>
          </cell>
          <cell r="AZ688">
            <v>402.81623931623932</v>
          </cell>
          <cell r="BA688">
            <v>0</v>
          </cell>
          <cell r="BB688">
            <v>0</v>
          </cell>
          <cell r="BC688">
            <v>0</v>
          </cell>
          <cell r="BD688">
            <v>0</v>
          </cell>
          <cell r="BG688">
            <v>0</v>
          </cell>
          <cell r="BH688">
            <v>0</v>
          </cell>
          <cell r="BI688">
            <v>13982</v>
          </cell>
          <cell r="BJ688">
            <v>59.752136752136749</v>
          </cell>
          <cell r="BK688">
            <v>0</v>
          </cell>
          <cell r="BL688">
            <v>0</v>
          </cell>
          <cell r="BM688">
            <v>61747</v>
          </cell>
          <cell r="BN688">
            <v>263.87606837606836</v>
          </cell>
          <cell r="BO688">
            <v>0</v>
          </cell>
          <cell r="BP688">
            <v>0</v>
          </cell>
          <cell r="BY688">
            <v>751.4</v>
          </cell>
          <cell r="CF688">
            <v>44</v>
          </cell>
          <cell r="CG688">
            <v>2142.25</v>
          </cell>
          <cell r="CJ688">
            <v>0</v>
          </cell>
          <cell r="CK688">
            <v>0</v>
          </cell>
          <cell r="CL688">
            <v>0</v>
          </cell>
          <cell r="CM688">
            <v>0</v>
          </cell>
          <cell r="CN688">
            <v>0</v>
          </cell>
          <cell r="CO688">
            <v>0</v>
          </cell>
          <cell r="CX688">
            <v>0</v>
          </cell>
          <cell r="CY688">
            <v>0</v>
          </cell>
          <cell r="DB688">
            <v>0</v>
          </cell>
          <cell r="DC688">
            <v>0</v>
          </cell>
          <cell r="DJ688" t="str">
            <v>НКРКП</v>
          </cell>
          <cell r="DL688">
            <v>40816</v>
          </cell>
          <cell r="DM688">
            <v>96</v>
          </cell>
          <cell r="DT688">
            <v>999.9</v>
          </cell>
        </row>
        <row r="689">
          <cell r="W689">
            <v>794.26</v>
          </cell>
          <cell r="AF689">
            <v>39871</v>
          </cell>
          <cell r="AG689">
            <v>1435</v>
          </cell>
          <cell r="AH689">
            <v>697.4741784037559</v>
          </cell>
          <cell r="AM689">
            <v>852</v>
          </cell>
          <cell r="AO689">
            <v>676709.52</v>
          </cell>
          <cell r="AQ689">
            <v>594248</v>
          </cell>
          <cell r="AU689">
            <v>0</v>
          </cell>
          <cell r="AW689">
            <v>0</v>
          </cell>
          <cell r="AY689">
            <v>310626.25</v>
          </cell>
          <cell r="AZ689">
            <v>364.58480046948358</v>
          </cell>
          <cell r="BA689">
            <v>0</v>
          </cell>
          <cell r="BB689">
            <v>0</v>
          </cell>
          <cell r="BC689">
            <v>0</v>
          </cell>
          <cell r="BD689">
            <v>0</v>
          </cell>
          <cell r="BG689">
            <v>0</v>
          </cell>
          <cell r="BH689">
            <v>0</v>
          </cell>
          <cell r="BI689">
            <v>50053</v>
          </cell>
          <cell r="BJ689">
            <v>58.747652582159624</v>
          </cell>
          <cell r="BK689">
            <v>0</v>
          </cell>
          <cell r="BL689">
            <v>0</v>
          </cell>
          <cell r="BM689">
            <v>129139</v>
          </cell>
          <cell r="BN689">
            <v>151.57159624413146</v>
          </cell>
          <cell r="BO689">
            <v>0</v>
          </cell>
          <cell r="BP689">
            <v>0</v>
          </cell>
          <cell r="BY689">
            <v>1232.72</v>
          </cell>
          <cell r="CF689">
            <v>145</v>
          </cell>
          <cell r="CG689">
            <v>2142.25</v>
          </cell>
          <cell r="CJ689">
            <v>0</v>
          </cell>
          <cell r="CK689">
            <v>0</v>
          </cell>
          <cell r="CL689">
            <v>0</v>
          </cell>
          <cell r="CM689">
            <v>0</v>
          </cell>
          <cell r="CN689">
            <v>0</v>
          </cell>
          <cell r="CO689">
            <v>0</v>
          </cell>
          <cell r="CX689">
            <v>0</v>
          </cell>
          <cell r="CY689">
            <v>0</v>
          </cell>
          <cell r="DB689">
            <v>0</v>
          </cell>
          <cell r="DC689">
            <v>0</v>
          </cell>
          <cell r="DJ689" t="str">
            <v>НКРКП</v>
          </cell>
          <cell r="DL689">
            <v>40816</v>
          </cell>
          <cell r="DM689">
            <v>96</v>
          </cell>
          <cell r="DT689">
            <v>999.9</v>
          </cell>
        </row>
        <row r="690">
          <cell r="W690">
            <v>1310.18</v>
          </cell>
          <cell r="AF690">
            <v>39871</v>
          </cell>
          <cell r="AG690">
            <v>1430</v>
          </cell>
          <cell r="AH690">
            <v>1162.0320156308894</v>
          </cell>
          <cell r="AM690">
            <v>129.999</v>
          </cell>
          <cell r="AO690">
            <v>170322.08981999999</v>
          </cell>
          <cell r="AQ690">
            <v>151063</v>
          </cell>
          <cell r="AU690">
            <v>0</v>
          </cell>
          <cell r="AW690">
            <v>0</v>
          </cell>
          <cell r="AY690">
            <v>47129.5</v>
          </cell>
          <cell r="AZ690">
            <v>362.53740413387794</v>
          </cell>
          <cell r="BA690">
            <v>0</v>
          </cell>
          <cell r="BB690">
            <v>0</v>
          </cell>
          <cell r="BC690">
            <v>0</v>
          </cell>
          <cell r="BD690">
            <v>0</v>
          </cell>
          <cell r="BG690">
            <v>0</v>
          </cell>
          <cell r="BH690">
            <v>0</v>
          </cell>
          <cell r="BI690">
            <v>11794</v>
          </cell>
          <cell r="BJ690">
            <v>90.723774798267684</v>
          </cell>
          <cell r="BK690">
            <v>0</v>
          </cell>
          <cell r="BL690">
            <v>0</v>
          </cell>
          <cell r="BM690">
            <v>50287</v>
          </cell>
          <cell r="BN690">
            <v>386.82605250809621</v>
          </cell>
          <cell r="BO690">
            <v>0</v>
          </cell>
          <cell r="BP690">
            <v>0</v>
          </cell>
          <cell r="BY690">
            <v>1019.99</v>
          </cell>
          <cell r="CF690">
            <v>22</v>
          </cell>
          <cell r="CG690">
            <v>2142.25</v>
          </cell>
          <cell r="CJ690">
            <v>0</v>
          </cell>
          <cell r="CK690">
            <v>0</v>
          </cell>
          <cell r="CL690">
            <v>0</v>
          </cell>
          <cell r="CM690">
            <v>0</v>
          </cell>
          <cell r="CN690">
            <v>0</v>
          </cell>
          <cell r="CO690">
            <v>0</v>
          </cell>
          <cell r="CX690">
            <v>0</v>
          </cell>
          <cell r="CY690">
            <v>0</v>
          </cell>
          <cell r="DB690">
            <v>0</v>
          </cell>
          <cell r="DC690">
            <v>0</v>
          </cell>
          <cell r="DJ690" t="str">
            <v>НКРКП</v>
          </cell>
          <cell r="DL690">
            <v>40816</v>
          </cell>
          <cell r="DM690">
            <v>96</v>
          </cell>
          <cell r="DT690">
            <v>1336.34</v>
          </cell>
        </row>
        <row r="691">
          <cell r="W691">
            <v>287.98</v>
          </cell>
          <cell r="AF691">
            <v>39769</v>
          </cell>
          <cell r="AG691">
            <v>1071</v>
          </cell>
          <cell r="AH691">
            <v>261.80306778304822</v>
          </cell>
          <cell r="AM691">
            <v>3824.26</v>
          </cell>
          <cell r="AO691">
            <v>1101310.3948000001</v>
          </cell>
          <cell r="AQ691">
            <v>1001203</v>
          </cell>
          <cell r="AU691">
            <v>0</v>
          </cell>
          <cell r="AW691">
            <v>0</v>
          </cell>
          <cell r="AY691">
            <v>427664.16000000003</v>
          </cell>
          <cell r="AZ691">
            <v>111.82925847091987</v>
          </cell>
          <cell r="BA691">
            <v>0</v>
          </cell>
          <cell r="BB691">
            <v>0</v>
          </cell>
          <cell r="BC691">
            <v>0</v>
          </cell>
          <cell r="BD691">
            <v>0</v>
          </cell>
          <cell r="BG691">
            <v>0</v>
          </cell>
          <cell r="BH691">
            <v>0</v>
          </cell>
          <cell r="BI691">
            <v>65318</v>
          </cell>
          <cell r="BJ691">
            <v>17.079905654950238</v>
          </cell>
          <cell r="BK691">
            <v>0</v>
          </cell>
          <cell r="BL691">
            <v>0</v>
          </cell>
          <cell r="BM691">
            <v>364629</v>
          </cell>
          <cell r="BN691">
            <v>95.346289216737347</v>
          </cell>
          <cell r="BO691">
            <v>0</v>
          </cell>
          <cell r="BP691">
            <v>0</v>
          </cell>
          <cell r="BY691">
            <v>1478.46</v>
          </cell>
          <cell r="CF691">
            <v>588</v>
          </cell>
          <cell r="CG691">
            <v>727.32</v>
          </cell>
          <cell r="CJ691">
            <v>0</v>
          </cell>
          <cell r="CK691">
            <v>0</v>
          </cell>
          <cell r="CL691">
            <v>0</v>
          </cell>
          <cell r="CM691">
            <v>0</v>
          </cell>
          <cell r="CN691">
            <v>0</v>
          </cell>
          <cell r="CO691">
            <v>0</v>
          </cell>
          <cell r="CX691">
            <v>0</v>
          </cell>
          <cell r="CY691">
            <v>0</v>
          </cell>
          <cell r="DB691">
            <v>0</v>
          </cell>
          <cell r="DC691">
            <v>0</v>
          </cell>
          <cell r="DJ691" t="str">
            <v>НКРЕ</v>
          </cell>
          <cell r="DL691">
            <v>40526</v>
          </cell>
          <cell r="DM691">
            <v>1752</v>
          </cell>
          <cell r="DO691" t="str">
            <v>Тариф на теплову енергію</v>
          </cell>
          <cell r="DT691">
            <v>316.77999999999997</v>
          </cell>
        </row>
        <row r="692">
          <cell r="W692">
            <v>604.19000000000005</v>
          </cell>
          <cell r="AF692">
            <v>39875</v>
          </cell>
          <cell r="AG692">
            <v>1466</v>
          </cell>
          <cell r="AH692">
            <v>517.33813892529486</v>
          </cell>
          <cell r="AM692">
            <v>763</v>
          </cell>
          <cell r="AO692">
            <v>460996.97000000003</v>
          </cell>
          <cell r="AQ692">
            <v>394729</v>
          </cell>
          <cell r="AU692">
            <v>0</v>
          </cell>
          <cell r="AW692">
            <v>0</v>
          </cell>
          <cell r="AY692">
            <v>278492.5</v>
          </cell>
          <cell r="AZ692">
            <v>364.9967234600262</v>
          </cell>
          <cell r="BA692">
            <v>0</v>
          </cell>
          <cell r="BB692">
            <v>0</v>
          </cell>
          <cell r="BC692">
            <v>0</v>
          </cell>
          <cell r="BD692">
            <v>0</v>
          </cell>
          <cell r="BG692">
            <v>0</v>
          </cell>
          <cell r="BH692">
            <v>0</v>
          </cell>
          <cell r="BI692">
            <v>14193</v>
          </cell>
          <cell r="BJ692">
            <v>18.601572739187418</v>
          </cell>
          <cell r="BK692">
            <v>0</v>
          </cell>
          <cell r="BL692">
            <v>0</v>
          </cell>
          <cell r="BM692">
            <v>72749</v>
          </cell>
          <cell r="BN692">
            <v>95.346002621231975</v>
          </cell>
          <cell r="BO692">
            <v>0</v>
          </cell>
          <cell r="BP692">
            <v>0</v>
          </cell>
          <cell r="BY692">
            <v>1478.46</v>
          </cell>
          <cell r="CF692">
            <v>130</v>
          </cell>
          <cell r="CG692">
            <v>2142.25</v>
          </cell>
          <cell r="CJ692">
            <v>0</v>
          </cell>
          <cell r="CK692">
            <v>0</v>
          </cell>
          <cell r="CL692">
            <v>0</v>
          </cell>
          <cell r="CM692">
            <v>0</v>
          </cell>
          <cell r="CN692">
            <v>0</v>
          </cell>
          <cell r="CO692">
            <v>0</v>
          </cell>
          <cell r="CX692">
            <v>0</v>
          </cell>
          <cell r="CY692">
            <v>0</v>
          </cell>
          <cell r="DB692">
            <v>0</v>
          </cell>
          <cell r="DC692">
            <v>0</v>
          </cell>
          <cell r="DJ692" t="str">
            <v>НКРКП</v>
          </cell>
          <cell r="DL692">
            <v>40816</v>
          </cell>
          <cell r="DM692">
            <v>96</v>
          </cell>
          <cell r="DT692">
            <v>879.09</v>
          </cell>
        </row>
        <row r="693">
          <cell r="W693">
            <v>286.38</v>
          </cell>
          <cell r="AF693">
            <v>39764</v>
          </cell>
          <cell r="AG693">
            <v>1077</v>
          </cell>
          <cell r="AH693">
            <v>260.34977549479578</v>
          </cell>
          <cell r="AM693">
            <v>5258.23</v>
          </cell>
          <cell r="AO693">
            <v>1505851.9073999999</v>
          </cell>
          <cell r="AQ693">
            <v>1368979</v>
          </cell>
          <cell r="AU693">
            <v>0</v>
          </cell>
          <cell r="AW693">
            <v>0</v>
          </cell>
          <cell r="AY693">
            <v>636405</v>
          </cell>
          <cell r="AZ693">
            <v>121.03027064240248</v>
          </cell>
          <cell r="BA693">
            <v>0</v>
          </cell>
          <cell r="BB693">
            <v>0</v>
          </cell>
          <cell r="BC693">
            <v>0</v>
          </cell>
          <cell r="BD693">
            <v>0</v>
          </cell>
          <cell r="BG693">
            <v>0</v>
          </cell>
          <cell r="BH693">
            <v>0</v>
          </cell>
          <cell r="BI693">
            <v>100503</v>
          </cell>
          <cell r="BJ693">
            <v>19.113465938157898</v>
          </cell>
          <cell r="BK693">
            <v>0</v>
          </cell>
          <cell r="BL693">
            <v>0</v>
          </cell>
          <cell r="BM693">
            <v>428783</v>
          </cell>
          <cell r="BN693">
            <v>81.54512069650815</v>
          </cell>
          <cell r="BO693">
            <v>0</v>
          </cell>
          <cell r="BP693">
            <v>0</v>
          </cell>
          <cell r="BY693">
            <v>1789.9</v>
          </cell>
          <cell r="CF693">
            <v>875</v>
          </cell>
          <cell r="CG693">
            <v>727.32</v>
          </cell>
          <cell r="CJ693">
            <v>0</v>
          </cell>
          <cell r="CK693">
            <v>0</v>
          </cell>
          <cell r="CL693">
            <v>0</v>
          </cell>
          <cell r="CM693">
            <v>0</v>
          </cell>
          <cell r="CN693">
            <v>0</v>
          </cell>
          <cell r="CO693">
            <v>0</v>
          </cell>
          <cell r="CX693">
            <v>0</v>
          </cell>
          <cell r="CY693">
            <v>0</v>
          </cell>
          <cell r="DB693">
            <v>0</v>
          </cell>
          <cell r="DC693">
            <v>0</v>
          </cell>
          <cell r="DJ693" t="str">
            <v>НКРЕ</v>
          </cell>
          <cell r="DL693">
            <v>40526</v>
          </cell>
          <cell r="DM693">
            <v>1752</v>
          </cell>
          <cell r="DO693" t="str">
            <v>на теплову енергію</v>
          </cell>
          <cell r="DT693">
            <v>315.02</v>
          </cell>
        </row>
        <row r="694">
          <cell r="W694">
            <v>518.25</v>
          </cell>
          <cell r="AF694">
            <v>39863</v>
          </cell>
          <cell r="AG694">
            <v>1391</v>
          </cell>
          <cell r="AH694">
            <v>469.42194497760715</v>
          </cell>
          <cell r="AM694">
            <v>3126</v>
          </cell>
          <cell r="AO694">
            <v>1620049.5</v>
          </cell>
          <cell r="AQ694">
            <v>1467413</v>
          </cell>
          <cell r="AU694">
            <v>0</v>
          </cell>
          <cell r="AW694">
            <v>0</v>
          </cell>
          <cell r="AY694">
            <v>1036849</v>
          </cell>
          <cell r="AZ694">
            <v>331.68554062699934</v>
          </cell>
          <cell r="BA694">
            <v>0</v>
          </cell>
          <cell r="BB694">
            <v>0</v>
          </cell>
          <cell r="BC694">
            <v>0</v>
          </cell>
          <cell r="BD694">
            <v>0</v>
          </cell>
          <cell r="BG694">
            <v>0</v>
          </cell>
          <cell r="BH694">
            <v>0</v>
          </cell>
          <cell r="BI694">
            <v>54239</v>
          </cell>
          <cell r="BJ694">
            <v>17.350927703134996</v>
          </cell>
          <cell r="BK694">
            <v>0</v>
          </cell>
          <cell r="BL694">
            <v>0</v>
          </cell>
          <cell r="BM694">
            <v>254910</v>
          </cell>
          <cell r="BN694">
            <v>81.545105566218808</v>
          </cell>
          <cell r="BO694">
            <v>0</v>
          </cell>
          <cell r="BP694">
            <v>0</v>
          </cell>
          <cell r="BY694">
            <v>1789.9</v>
          </cell>
          <cell r="CF694">
            <v>484</v>
          </cell>
          <cell r="CG694">
            <v>2142.25</v>
          </cell>
          <cell r="CJ694">
            <v>0</v>
          </cell>
          <cell r="CK694">
            <v>0</v>
          </cell>
          <cell r="CL694">
            <v>0</v>
          </cell>
          <cell r="CM694">
            <v>0</v>
          </cell>
          <cell r="CN694">
            <v>0</v>
          </cell>
          <cell r="CO694">
            <v>0</v>
          </cell>
          <cell r="CX694">
            <v>0</v>
          </cell>
          <cell r="CY694">
            <v>0</v>
          </cell>
          <cell r="DB694">
            <v>0</v>
          </cell>
          <cell r="DC694">
            <v>0</v>
          </cell>
          <cell r="DJ694" t="str">
            <v>НКРКП</v>
          </cell>
          <cell r="DL694">
            <v>40816</v>
          </cell>
          <cell r="DM694">
            <v>96</v>
          </cell>
          <cell r="DT694">
            <v>767.62</v>
          </cell>
        </row>
        <row r="695">
          <cell r="W695">
            <v>557.79</v>
          </cell>
          <cell r="AF695">
            <v>39863</v>
          </cell>
          <cell r="AG695">
            <v>1392</v>
          </cell>
          <cell r="AH695">
            <v>497.57732201791606</v>
          </cell>
          <cell r="AM695">
            <v>4242</v>
          </cell>
          <cell r="AO695">
            <v>2366145.1799999997</v>
          </cell>
          <cell r="AQ695">
            <v>2110723</v>
          </cell>
          <cell r="AU695">
            <v>0</v>
          </cell>
          <cell r="AW695">
            <v>0</v>
          </cell>
          <cell r="AY695">
            <v>1495290.5</v>
          </cell>
          <cell r="AZ695">
            <v>352.49658180103722</v>
          </cell>
          <cell r="BA695">
            <v>0</v>
          </cell>
          <cell r="BB695">
            <v>0</v>
          </cell>
          <cell r="BC695">
            <v>0</v>
          </cell>
          <cell r="BD695">
            <v>0</v>
          </cell>
          <cell r="BG695">
            <v>0</v>
          </cell>
          <cell r="BH695">
            <v>0</v>
          </cell>
          <cell r="BI695">
            <v>104640</v>
          </cell>
          <cell r="BJ695">
            <v>24.667609618104667</v>
          </cell>
          <cell r="BK695">
            <v>0</v>
          </cell>
          <cell r="BL695">
            <v>0</v>
          </cell>
          <cell r="BM695">
            <v>345914</v>
          </cell>
          <cell r="BN695">
            <v>81.545025931164545</v>
          </cell>
          <cell r="BO695">
            <v>0</v>
          </cell>
          <cell r="BP695">
            <v>0</v>
          </cell>
          <cell r="BY695">
            <v>1789.9</v>
          </cell>
          <cell r="CF695">
            <v>698</v>
          </cell>
          <cell r="CG695">
            <v>2142.25</v>
          </cell>
          <cell r="CJ695">
            <v>0</v>
          </cell>
          <cell r="CK695">
            <v>0</v>
          </cell>
          <cell r="CL695">
            <v>0</v>
          </cell>
          <cell r="CM695">
            <v>0</v>
          </cell>
          <cell r="CN695">
            <v>0</v>
          </cell>
          <cell r="CO695">
            <v>0</v>
          </cell>
          <cell r="CX695">
            <v>0</v>
          </cell>
          <cell r="CY695">
            <v>0</v>
          </cell>
          <cell r="DB695">
            <v>0</v>
          </cell>
          <cell r="DC695">
            <v>0</v>
          </cell>
          <cell r="DJ695" t="str">
            <v>НКРКП</v>
          </cell>
          <cell r="DL695">
            <v>40816</v>
          </cell>
          <cell r="DM695">
            <v>96</v>
          </cell>
          <cell r="DT695">
            <v>822.79</v>
          </cell>
        </row>
        <row r="696">
          <cell r="W696">
            <v>672.19</v>
          </cell>
          <cell r="AF696">
            <v>39875</v>
          </cell>
          <cell r="AG696">
            <v>1464</v>
          </cell>
          <cell r="AH696">
            <v>579.14968814968813</v>
          </cell>
          <cell r="AM696">
            <v>481</v>
          </cell>
          <cell r="AO696">
            <v>323323.39</v>
          </cell>
          <cell r="AQ696">
            <v>278571</v>
          </cell>
          <cell r="AU696">
            <v>0</v>
          </cell>
          <cell r="AW696">
            <v>0</v>
          </cell>
          <cell r="AY696">
            <v>169237.75</v>
          </cell>
          <cell r="AZ696">
            <v>351.84563409563407</v>
          </cell>
          <cell r="BA696">
            <v>0</v>
          </cell>
          <cell r="BB696">
            <v>0</v>
          </cell>
          <cell r="BC696">
            <v>0</v>
          </cell>
          <cell r="BD696">
            <v>0</v>
          </cell>
          <cell r="BG696">
            <v>0</v>
          </cell>
          <cell r="BH696">
            <v>0</v>
          </cell>
          <cell r="BI696">
            <v>4505</v>
          </cell>
          <cell r="BJ696">
            <v>9.365904365904365</v>
          </cell>
          <cell r="BK696">
            <v>0</v>
          </cell>
          <cell r="BL696">
            <v>0</v>
          </cell>
          <cell r="BM696">
            <v>74656</v>
          </cell>
          <cell r="BN696">
            <v>155.20997920997922</v>
          </cell>
          <cell r="BO696">
            <v>0</v>
          </cell>
          <cell r="BP696">
            <v>0</v>
          </cell>
          <cell r="BY696">
            <v>948.15</v>
          </cell>
          <cell r="CF696">
            <v>79</v>
          </cell>
          <cell r="CG696">
            <v>2142.25</v>
          </cell>
          <cell r="CJ696">
            <v>0</v>
          </cell>
          <cell r="CK696">
            <v>0</v>
          </cell>
          <cell r="CL696">
            <v>0</v>
          </cell>
          <cell r="CM696">
            <v>0</v>
          </cell>
          <cell r="CN696">
            <v>0</v>
          </cell>
          <cell r="CO696">
            <v>0</v>
          </cell>
          <cell r="CX696">
            <v>0</v>
          </cell>
          <cell r="CY696">
            <v>0</v>
          </cell>
          <cell r="DB696">
            <v>0</v>
          </cell>
          <cell r="DC696">
            <v>0</v>
          </cell>
          <cell r="DJ696" t="str">
            <v>НКРКП</v>
          </cell>
          <cell r="DL696">
            <v>40816</v>
          </cell>
          <cell r="DM696">
            <v>96</v>
          </cell>
          <cell r="DT696">
            <v>937.97</v>
          </cell>
        </row>
        <row r="697">
          <cell r="W697">
            <v>743.94</v>
          </cell>
          <cell r="AF697">
            <v>39875</v>
          </cell>
          <cell r="AG697">
            <v>1465</v>
          </cell>
          <cell r="AH697">
            <v>638.90476190476193</v>
          </cell>
          <cell r="AM697">
            <v>21</v>
          </cell>
          <cell r="AO697">
            <v>15622.740000000002</v>
          </cell>
          <cell r="AQ697">
            <v>13417</v>
          </cell>
          <cell r="AU697">
            <v>0</v>
          </cell>
          <cell r="AW697">
            <v>0</v>
          </cell>
          <cell r="AY697">
            <v>8569</v>
          </cell>
          <cell r="AZ697">
            <v>408.04761904761904</v>
          </cell>
          <cell r="BA697">
            <v>0</v>
          </cell>
          <cell r="BB697">
            <v>0</v>
          </cell>
          <cell r="BC697">
            <v>0</v>
          </cell>
          <cell r="BD697">
            <v>0</v>
          </cell>
          <cell r="BG697">
            <v>0</v>
          </cell>
          <cell r="BH697">
            <v>0</v>
          </cell>
          <cell r="BI697">
            <v>1223</v>
          </cell>
          <cell r="BJ697">
            <v>58.238095238095241</v>
          </cell>
          <cell r="BK697">
            <v>0</v>
          </cell>
          <cell r="BL697">
            <v>0</v>
          </cell>
          <cell r="BM697">
            <v>3259</v>
          </cell>
          <cell r="BN697">
            <v>155.1904761904762</v>
          </cell>
          <cell r="BO697">
            <v>0</v>
          </cell>
          <cell r="BP697">
            <v>0</v>
          </cell>
          <cell r="BY697">
            <v>948.15</v>
          </cell>
          <cell r="CF697">
            <v>4</v>
          </cell>
          <cell r="CG697">
            <v>2142.25</v>
          </cell>
          <cell r="CJ697">
            <v>0</v>
          </cell>
          <cell r="CK697">
            <v>0</v>
          </cell>
          <cell r="CL697">
            <v>0</v>
          </cell>
          <cell r="CM697">
            <v>0</v>
          </cell>
          <cell r="CN697">
            <v>0</v>
          </cell>
          <cell r="CO697">
            <v>0</v>
          </cell>
          <cell r="CX697">
            <v>0</v>
          </cell>
          <cell r="CY697">
            <v>0</v>
          </cell>
          <cell r="DB697">
            <v>0</v>
          </cell>
          <cell r="DC697">
            <v>0</v>
          </cell>
          <cell r="DJ697" t="str">
            <v>НКРКП</v>
          </cell>
          <cell r="DL697">
            <v>40816</v>
          </cell>
          <cell r="DM697">
            <v>96</v>
          </cell>
          <cell r="DT697">
            <v>999.9</v>
          </cell>
        </row>
        <row r="698">
          <cell r="W698">
            <v>563.01</v>
          </cell>
          <cell r="AF698">
            <v>39875</v>
          </cell>
          <cell r="AG698">
            <v>1461</v>
          </cell>
          <cell r="AH698">
            <v>482.94444444444446</v>
          </cell>
          <cell r="AM698">
            <v>486</v>
          </cell>
          <cell r="AO698">
            <v>273622.86</v>
          </cell>
          <cell r="AQ698">
            <v>234711</v>
          </cell>
          <cell r="AU698">
            <v>0</v>
          </cell>
          <cell r="AW698">
            <v>0</v>
          </cell>
          <cell r="AY698">
            <v>162811</v>
          </cell>
          <cell r="AZ698">
            <v>335.00205761316874</v>
          </cell>
          <cell r="BA698">
            <v>0</v>
          </cell>
          <cell r="BB698">
            <v>0</v>
          </cell>
          <cell r="BC698">
            <v>0</v>
          </cell>
          <cell r="BD698">
            <v>0</v>
          </cell>
          <cell r="BG698">
            <v>0</v>
          </cell>
          <cell r="BH698">
            <v>0</v>
          </cell>
          <cell r="BI698">
            <v>7156</v>
          </cell>
          <cell r="BJ698">
            <v>14.724279835390947</v>
          </cell>
          <cell r="BK698">
            <v>0</v>
          </cell>
          <cell r="BL698">
            <v>0</v>
          </cell>
          <cell r="BM698">
            <v>47301</v>
          </cell>
          <cell r="BN698">
            <v>97.327160493827165</v>
          </cell>
          <cell r="BO698">
            <v>0</v>
          </cell>
          <cell r="BP698">
            <v>0</v>
          </cell>
          <cell r="BY698">
            <v>959.33</v>
          </cell>
          <cell r="CF698">
            <v>76</v>
          </cell>
          <cell r="CG698">
            <v>2142.25</v>
          </cell>
          <cell r="CJ698">
            <v>0</v>
          </cell>
          <cell r="CK698">
            <v>0</v>
          </cell>
          <cell r="CL698">
            <v>0</v>
          </cell>
          <cell r="CM698">
            <v>0</v>
          </cell>
          <cell r="CN698">
            <v>0</v>
          </cell>
          <cell r="CO698">
            <v>0</v>
          </cell>
          <cell r="CX698">
            <v>0</v>
          </cell>
          <cell r="CY698">
            <v>0</v>
          </cell>
          <cell r="DB698">
            <v>0</v>
          </cell>
          <cell r="DC698">
            <v>0</v>
          </cell>
          <cell r="DJ698" t="str">
            <v>НКРКП</v>
          </cell>
          <cell r="DL698">
            <v>40816</v>
          </cell>
          <cell r="DM698">
            <v>96</v>
          </cell>
          <cell r="DT698">
            <v>814.16</v>
          </cell>
        </row>
        <row r="699">
          <cell r="W699">
            <v>531.23</v>
          </cell>
          <cell r="AF699">
            <v>39875</v>
          </cell>
          <cell r="AG699">
            <v>1469</v>
          </cell>
          <cell r="AH699">
            <v>451.31829896907215</v>
          </cell>
          <cell r="AM699">
            <v>776</v>
          </cell>
          <cell r="AO699">
            <v>412234.48000000004</v>
          </cell>
          <cell r="AQ699">
            <v>350223</v>
          </cell>
          <cell r="AU699">
            <v>0</v>
          </cell>
          <cell r="AW699">
            <v>0</v>
          </cell>
          <cell r="AY699">
            <v>250643.25</v>
          </cell>
          <cell r="AZ699">
            <v>322.99387886597935</v>
          </cell>
          <cell r="BA699">
            <v>0</v>
          </cell>
          <cell r="BB699">
            <v>0</v>
          </cell>
          <cell r="BC699">
            <v>0</v>
          </cell>
          <cell r="BD699">
            <v>0</v>
          </cell>
          <cell r="BG699">
            <v>0</v>
          </cell>
          <cell r="BH699">
            <v>0</v>
          </cell>
          <cell r="BI699">
            <v>19543</v>
          </cell>
          <cell r="BJ699">
            <v>25.184278350515463</v>
          </cell>
          <cell r="BK699">
            <v>0</v>
          </cell>
          <cell r="BL699">
            <v>0</v>
          </cell>
          <cell r="BM699">
            <v>0</v>
          </cell>
          <cell r="BN699">
            <v>0</v>
          </cell>
          <cell r="BO699">
            <v>0</v>
          </cell>
          <cell r="BP699">
            <v>0</v>
          </cell>
          <cell r="BY699">
            <v>1237.58</v>
          </cell>
          <cell r="CF699">
            <v>117</v>
          </cell>
          <cell r="CG699">
            <v>2142.25</v>
          </cell>
          <cell r="CJ699">
            <v>0</v>
          </cell>
          <cell r="CK699">
            <v>0</v>
          </cell>
          <cell r="CL699">
            <v>0</v>
          </cell>
          <cell r="CM699">
            <v>0</v>
          </cell>
          <cell r="CN699">
            <v>0</v>
          </cell>
          <cell r="CO699">
            <v>0</v>
          </cell>
          <cell r="CX699">
            <v>0</v>
          </cell>
          <cell r="CY699">
            <v>0</v>
          </cell>
          <cell r="DB699">
            <v>0</v>
          </cell>
          <cell r="DC699">
            <v>0</v>
          </cell>
          <cell r="DJ699" t="str">
            <v>НКРКП</v>
          </cell>
          <cell r="DL699">
            <v>40816</v>
          </cell>
          <cell r="DM699">
            <v>96</v>
          </cell>
          <cell r="DT699">
            <v>774.32</v>
          </cell>
        </row>
        <row r="700">
          <cell r="W700">
            <v>193.6</v>
          </cell>
          <cell r="AF700">
            <v>39667</v>
          </cell>
          <cell r="AG700">
            <v>524</v>
          </cell>
          <cell r="AH700">
            <v>176.0024906600249</v>
          </cell>
          <cell r="AM700">
            <v>7227</v>
          </cell>
          <cell r="AO700">
            <v>1399147.2</v>
          </cell>
          <cell r="AQ700">
            <v>1271970</v>
          </cell>
          <cell r="AU700">
            <v>0</v>
          </cell>
          <cell r="AW700">
            <v>0</v>
          </cell>
          <cell r="AY700">
            <v>848636.99999999988</v>
          </cell>
          <cell r="AZ700">
            <v>117.42590286425902</v>
          </cell>
          <cell r="BA700">
            <v>0</v>
          </cell>
          <cell r="BB700">
            <v>0</v>
          </cell>
          <cell r="BC700">
            <v>0</v>
          </cell>
          <cell r="BD700">
            <v>0</v>
          </cell>
          <cell r="BG700">
            <v>101293</v>
          </cell>
          <cell r="BH700">
            <v>14.015912550159126</v>
          </cell>
          <cell r="BI700">
            <v>43707</v>
          </cell>
          <cell r="BJ700">
            <v>6.0477376504773765</v>
          </cell>
          <cell r="BK700">
            <v>0</v>
          </cell>
          <cell r="BL700">
            <v>0</v>
          </cell>
          <cell r="BM700">
            <v>163970</v>
          </cell>
          <cell r="BN700">
            <v>22.688529126885292</v>
          </cell>
          <cell r="BO700">
            <v>0</v>
          </cell>
          <cell r="BP700">
            <v>0</v>
          </cell>
          <cell r="BY700">
            <v>1064.52</v>
          </cell>
          <cell r="CF700">
            <v>1166.8000329978549</v>
          </cell>
          <cell r="CG700">
            <v>727.32</v>
          </cell>
          <cell r="CJ700">
            <v>0</v>
          </cell>
          <cell r="CK700">
            <v>0</v>
          </cell>
          <cell r="CL700">
            <v>0</v>
          </cell>
          <cell r="CM700">
            <v>0</v>
          </cell>
          <cell r="CN700">
            <v>0</v>
          </cell>
          <cell r="CO700">
            <v>0</v>
          </cell>
          <cell r="CX700">
            <v>0</v>
          </cell>
          <cell r="CY700">
            <v>0</v>
          </cell>
          <cell r="DB700">
            <v>0</v>
          </cell>
          <cell r="DC700">
            <v>0</v>
          </cell>
          <cell r="DJ700" t="str">
            <v>МОС</v>
          </cell>
          <cell r="DL700">
            <v>40618</v>
          </cell>
          <cell r="DM700" t="str">
            <v>№ 61</v>
          </cell>
          <cell r="DO700" t="str">
            <v>тариф на послуги з централізованого теплопостачання</v>
          </cell>
          <cell r="DT700">
            <v>245.84</v>
          </cell>
        </row>
        <row r="701">
          <cell r="W701">
            <v>470.53</v>
          </cell>
          <cell r="AF701">
            <v>39874</v>
          </cell>
          <cell r="AG701">
            <v>938</v>
          </cell>
          <cell r="AH701">
            <v>415.30013368983958</v>
          </cell>
          <cell r="AM701">
            <v>1496</v>
          </cell>
          <cell r="AO701">
            <v>703912.88</v>
          </cell>
          <cell r="AQ701">
            <v>621289</v>
          </cell>
          <cell r="AU701">
            <v>0</v>
          </cell>
          <cell r="AW701">
            <v>0</v>
          </cell>
          <cell r="AY701">
            <v>517439</v>
          </cell>
          <cell r="AZ701">
            <v>345.8816844919786</v>
          </cell>
          <cell r="BA701">
            <v>0</v>
          </cell>
          <cell r="BB701">
            <v>0</v>
          </cell>
          <cell r="BC701">
            <v>0</v>
          </cell>
          <cell r="BD701">
            <v>0</v>
          </cell>
          <cell r="BG701">
            <v>20992</v>
          </cell>
          <cell r="BH701">
            <v>14.032085561497325</v>
          </cell>
          <cell r="BI701">
            <v>16220</v>
          </cell>
          <cell r="BJ701">
            <v>10.842245989304812</v>
          </cell>
          <cell r="BK701">
            <v>0</v>
          </cell>
          <cell r="BL701">
            <v>0</v>
          </cell>
          <cell r="BM701">
            <v>38222</v>
          </cell>
          <cell r="BN701">
            <v>25.549465240641712</v>
          </cell>
          <cell r="BO701">
            <v>0</v>
          </cell>
          <cell r="BP701">
            <v>0</v>
          </cell>
          <cell r="BY701">
            <v>1198.5899999999999</v>
          </cell>
          <cell r="CF701">
            <v>241.53996965806979</v>
          </cell>
          <cell r="CG701">
            <v>2142.25</v>
          </cell>
          <cell r="CJ701">
            <v>0</v>
          </cell>
          <cell r="CK701">
            <v>0</v>
          </cell>
          <cell r="CL701">
            <v>0</v>
          </cell>
          <cell r="CM701">
            <v>0</v>
          </cell>
          <cell r="CN701">
            <v>0</v>
          </cell>
          <cell r="CO701">
            <v>0</v>
          </cell>
          <cell r="CX701">
            <v>0</v>
          </cell>
          <cell r="CY701">
            <v>0</v>
          </cell>
          <cell r="DB701">
            <v>0</v>
          </cell>
          <cell r="DC701">
            <v>0</v>
          </cell>
          <cell r="DJ701" t="str">
            <v>НКРКП</v>
          </cell>
          <cell r="DL701">
            <v>40942</v>
          </cell>
          <cell r="DM701" t="str">
            <v>№ 37</v>
          </cell>
          <cell r="DT701">
            <v>751.87</v>
          </cell>
        </row>
        <row r="702">
          <cell r="W702">
            <v>470.53</v>
          </cell>
          <cell r="AF702">
            <v>39874</v>
          </cell>
          <cell r="AG702">
            <v>938</v>
          </cell>
          <cell r="AH702">
            <v>415.30016926838442</v>
          </cell>
          <cell r="AM702">
            <v>5317</v>
          </cell>
          <cell r="AO702">
            <v>2501808.0099999998</v>
          </cell>
          <cell r="AQ702">
            <v>2208151</v>
          </cell>
          <cell r="AU702">
            <v>0</v>
          </cell>
          <cell r="AW702">
            <v>0</v>
          </cell>
          <cell r="AY702">
            <v>1839035.9</v>
          </cell>
          <cell r="AZ702">
            <v>345.87848410757942</v>
          </cell>
          <cell r="BA702">
            <v>0</v>
          </cell>
          <cell r="BB702">
            <v>0</v>
          </cell>
          <cell r="BC702">
            <v>0</v>
          </cell>
          <cell r="BD702">
            <v>0</v>
          </cell>
          <cell r="BG702">
            <v>74608</v>
          </cell>
          <cell r="BH702">
            <v>14.031972917058491</v>
          </cell>
          <cell r="BI702">
            <v>57650</v>
          </cell>
          <cell r="BJ702">
            <v>10.842580402482604</v>
          </cell>
          <cell r="BK702">
            <v>0</v>
          </cell>
          <cell r="BL702">
            <v>0</v>
          </cell>
          <cell r="BM702">
            <v>135848</v>
          </cell>
          <cell r="BN702">
            <v>25.549746097423359</v>
          </cell>
          <cell r="BO702">
            <v>0</v>
          </cell>
          <cell r="BP702">
            <v>0</v>
          </cell>
          <cell r="BY702">
            <v>1198.5899999999999</v>
          </cell>
          <cell r="CF702">
            <v>858.45998366203753</v>
          </cell>
          <cell r="CG702">
            <v>2142.25</v>
          </cell>
          <cell r="CJ702">
            <v>0</v>
          </cell>
          <cell r="CK702">
            <v>0</v>
          </cell>
          <cell r="CL702">
            <v>0</v>
          </cell>
          <cell r="CM702">
            <v>0</v>
          </cell>
          <cell r="CN702">
            <v>0</v>
          </cell>
          <cell r="CO702">
            <v>0</v>
          </cell>
          <cell r="CX702">
            <v>0</v>
          </cell>
          <cell r="CY702">
            <v>0</v>
          </cell>
          <cell r="DB702">
            <v>0</v>
          </cell>
          <cell r="DC702">
            <v>0</v>
          </cell>
          <cell r="DJ702" t="str">
            <v>НКРКП</v>
          </cell>
          <cell r="DL702">
            <v>40942</v>
          </cell>
          <cell r="DM702" t="str">
            <v>№ 37</v>
          </cell>
          <cell r="DT702">
            <v>751.87</v>
          </cell>
        </row>
        <row r="703">
          <cell r="W703">
            <v>215</v>
          </cell>
          <cell r="AF703">
            <v>39856</v>
          </cell>
          <cell r="AG703">
            <v>893</v>
          </cell>
          <cell r="AH703">
            <v>215</v>
          </cell>
          <cell r="AM703">
            <v>7205</v>
          </cell>
          <cell r="AO703">
            <v>1549075</v>
          </cell>
          <cell r="AQ703">
            <v>1549075</v>
          </cell>
          <cell r="AU703">
            <v>0</v>
          </cell>
          <cell r="AW703">
            <v>0</v>
          </cell>
          <cell r="AY703">
            <v>383372.37409999996</v>
          </cell>
          <cell r="AZ703">
            <v>53.209212227619702</v>
          </cell>
          <cell r="BA703">
            <v>222599</v>
          </cell>
          <cell r="BB703">
            <v>30.895072866065231</v>
          </cell>
          <cell r="BC703">
            <v>0</v>
          </cell>
          <cell r="BD703">
            <v>0</v>
          </cell>
          <cell r="BG703">
            <v>104152</v>
          </cell>
          <cell r="BH703">
            <v>14.455517002081887</v>
          </cell>
          <cell r="BI703">
            <v>0</v>
          </cell>
          <cell r="BJ703">
            <v>0</v>
          </cell>
          <cell r="BK703">
            <v>0</v>
          </cell>
          <cell r="BL703">
            <v>0</v>
          </cell>
          <cell r="BM703">
            <v>56720</v>
          </cell>
          <cell r="BN703">
            <v>7.8723108952116583</v>
          </cell>
          <cell r="BO703">
            <v>0</v>
          </cell>
          <cell r="BP703">
            <v>0</v>
          </cell>
          <cell r="BY703">
            <v>1629</v>
          </cell>
          <cell r="CF703">
            <v>527.11</v>
          </cell>
          <cell r="CG703">
            <v>727.31</v>
          </cell>
          <cell r="CJ703">
            <v>0</v>
          </cell>
          <cell r="CK703">
            <v>0</v>
          </cell>
          <cell r="CL703">
            <v>0</v>
          </cell>
          <cell r="CM703">
            <v>0</v>
          </cell>
          <cell r="CN703">
            <v>0</v>
          </cell>
          <cell r="CO703">
            <v>0</v>
          </cell>
          <cell r="CX703">
            <v>0</v>
          </cell>
          <cell r="CY703">
            <v>0</v>
          </cell>
          <cell r="DB703">
            <v>0</v>
          </cell>
          <cell r="DC703">
            <v>0</v>
          </cell>
          <cell r="DJ703" t="str">
            <v>МОС</v>
          </cell>
          <cell r="DL703">
            <v>39862</v>
          </cell>
          <cell r="DM703" t="str">
            <v>№71</v>
          </cell>
          <cell r="DO703" t="str">
            <v>Тариф на послуги з теплопостачання</v>
          </cell>
          <cell r="DT703">
            <v>215</v>
          </cell>
        </row>
        <row r="704">
          <cell r="W704">
            <v>585.67999999999995</v>
          </cell>
          <cell r="AF704">
            <v>39948</v>
          </cell>
          <cell r="AG704">
            <v>1012</v>
          </cell>
          <cell r="AH704">
            <v>557.79008925823325</v>
          </cell>
          <cell r="AM704">
            <v>8122.5</v>
          </cell>
          <cell r="AO704">
            <v>4757185.8</v>
          </cell>
          <cell r="AQ704">
            <v>4530650</v>
          </cell>
          <cell r="AU704">
            <v>0</v>
          </cell>
          <cell r="AW704">
            <v>0</v>
          </cell>
          <cell r="AY704">
            <v>2291158.7820000001</v>
          </cell>
          <cell r="AZ704">
            <v>282.07556565096957</v>
          </cell>
          <cell r="BA704">
            <v>57138.39</v>
          </cell>
          <cell r="BB704">
            <v>7.0345817174515233</v>
          </cell>
          <cell r="BC704">
            <v>0</v>
          </cell>
          <cell r="BD704">
            <v>0</v>
          </cell>
          <cell r="BG704">
            <v>22850</v>
          </cell>
          <cell r="BH704">
            <v>2.8131732840874113</v>
          </cell>
          <cell r="BI704">
            <v>90133</v>
          </cell>
          <cell r="BJ704">
            <v>11.096706678978148</v>
          </cell>
          <cell r="BK704">
            <v>0</v>
          </cell>
          <cell r="BL704">
            <v>0</v>
          </cell>
          <cell r="BM704">
            <v>826929</v>
          </cell>
          <cell r="BN704">
            <v>101.80720221606649</v>
          </cell>
          <cell r="BO704">
            <v>0</v>
          </cell>
          <cell r="BP704">
            <v>0</v>
          </cell>
          <cell r="BY704">
            <v>1641</v>
          </cell>
          <cell r="CF704">
            <v>1150.44</v>
          </cell>
          <cell r="CG704">
            <v>1991.55</v>
          </cell>
          <cell r="CJ704">
            <v>0</v>
          </cell>
          <cell r="CK704">
            <v>0</v>
          </cell>
          <cell r="CL704">
            <v>0</v>
          </cell>
          <cell r="CM704">
            <v>0</v>
          </cell>
          <cell r="CN704">
            <v>0</v>
          </cell>
          <cell r="CO704">
            <v>0</v>
          </cell>
          <cell r="CX704">
            <v>0</v>
          </cell>
          <cell r="CY704">
            <v>0</v>
          </cell>
          <cell r="DB704">
            <v>0</v>
          </cell>
          <cell r="DC704">
            <v>0</v>
          </cell>
          <cell r="DJ704" t="str">
            <v>МОС</v>
          </cell>
          <cell r="DL704">
            <v>40009</v>
          </cell>
          <cell r="DM704" t="str">
            <v>№267</v>
          </cell>
          <cell r="DT704">
            <v>585.67999999999995</v>
          </cell>
        </row>
        <row r="705">
          <cell r="W705">
            <v>613.57000000000005</v>
          </cell>
          <cell r="AF705">
            <v>39948</v>
          </cell>
          <cell r="AG705">
            <v>1012</v>
          </cell>
          <cell r="AH705">
            <v>557.7901774235022</v>
          </cell>
          <cell r="AM705">
            <v>1944.5</v>
          </cell>
          <cell r="AO705">
            <v>1193086.865</v>
          </cell>
          <cell r="AQ705">
            <v>1084623</v>
          </cell>
          <cell r="AU705">
            <v>0</v>
          </cell>
          <cell r="AW705">
            <v>0</v>
          </cell>
          <cell r="AY705">
            <v>548495.97198000003</v>
          </cell>
          <cell r="AZ705">
            <v>282.07558343018775</v>
          </cell>
          <cell r="BA705">
            <v>13678.75</v>
          </cell>
          <cell r="BB705">
            <v>7.0345847261506815</v>
          </cell>
          <cell r="BC705">
            <v>0</v>
          </cell>
          <cell r="BD705">
            <v>0</v>
          </cell>
          <cell r="BG705">
            <v>5470</v>
          </cell>
          <cell r="BH705">
            <v>2.8130624839290306</v>
          </cell>
          <cell r="BI705">
            <v>21577</v>
          </cell>
          <cell r="BJ705">
            <v>11.096425816405246</v>
          </cell>
          <cell r="BK705">
            <v>0</v>
          </cell>
          <cell r="BL705">
            <v>0</v>
          </cell>
          <cell r="BM705">
            <v>197964</v>
          </cell>
          <cell r="BN705">
            <v>101.80714836718951</v>
          </cell>
          <cell r="BO705">
            <v>0</v>
          </cell>
          <cell r="BP705">
            <v>0</v>
          </cell>
          <cell r="BY705">
            <v>1641</v>
          </cell>
          <cell r="CF705">
            <v>275.41160000000002</v>
          </cell>
          <cell r="CG705">
            <v>1991.55</v>
          </cell>
          <cell r="CJ705">
            <v>0</v>
          </cell>
          <cell r="CK705">
            <v>0</v>
          </cell>
          <cell r="CL705">
            <v>0</v>
          </cell>
          <cell r="CM705">
            <v>0</v>
          </cell>
          <cell r="CN705">
            <v>0</v>
          </cell>
          <cell r="CO705">
            <v>0</v>
          </cell>
          <cell r="CX705">
            <v>0</v>
          </cell>
          <cell r="CY705">
            <v>0</v>
          </cell>
          <cell r="DB705">
            <v>0</v>
          </cell>
          <cell r="DC705">
            <v>0</v>
          </cell>
          <cell r="DJ705" t="str">
            <v>МОС</v>
          </cell>
          <cell r="DL705">
            <v>40009</v>
          </cell>
          <cell r="DM705" t="str">
            <v>№267</v>
          </cell>
          <cell r="DT705">
            <v>613.57000000000005</v>
          </cell>
        </row>
        <row r="706">
          <cell r="W706">
            <v>385.24</v>
          </cell>
          <cell r="AF706">
            <v>40435</v>
          </cell>
          <cell r="AG706">
            <v>904</v>
          </cell>
          <cell r="AH706">
            <v>356.65817599664001</v>
          </cell>
          <cell r="AM706">
            <v>31238.21</v>
          </cell>
          <cell r="AO706">
            <v>12034208.020400001</v>
          </cell>
          <cell r="AQ706">
            <v>11141363</v>
          </cell>
          <cell r="AU706">
            <v>0</v>
          </cell>
          <cell r="AW706">
            <v>0</v>
          </cell>
          <cell r="AY706">
            <v>5434194.629999999</v>
          </cell>
          <cell r="AZ706">
            <v>173.95985973588111</v>
          </cell>
          <cell r="BA706">
            <v>0</v>
          </cell>
          <cell r="BB706">
            <v>0</v>
          </cell>
          <cell r="BC706">
            <v>0</v>
          </cell>
          <cell r="BD706">
            <v>0</v>
          </cell>
          <cell r="BG706">
            <v>0</v>
          </cell>
          <cell r="BH706">
            <v>0</v>
          </cell>
          <cell r="BI706">
            <v>805911</v>
          </cell>
          <cell r="BJ706">
            <v>25.798885403485027</v>
          </cell>
          <cell r="BK706">
            <v>0</v>
          </cell>
          <cell r="BL706">
            <v>0</v>
          </cell>
          <cell r="BM706">
            <v>3782576.0496148113</v>
          </cell>
          <cell r="BN706">
            <v>121.08811771272462</v>
          </cell>
          <cell r="BO706">
            <v>0</v>
          </cell>
          <cell r="BP706">
            <v>0</v>
          </cell>
          <cell r="BY706">
            <v>2231</v>
          </cell>
          <cell r="CF706">
            <v>4980.9299999999994</v>
          </cell>
          <cell r="CG706">
            <v>1091</v>
          </cell>
          <cell r="CJ706">
            <v>0</v>
          </cell>
          <cell r="CK706">
            <v>0</v>
          </cell>
          <cell r="CL706">
            <v>0</v>
          </cell>
          <cell r="CM706">
            <v>0</v>
          </cell>
          <cell r="CN706">
            <v>0</v>
          </cell>
          <cell r="CO706">
            <v>0</v>
          </cell>
          <cell r="CX706">
            <v>0</v>
          </cell>
          <cell r="CY706">
            <v>0</v>
          </cell>
          <cell r="DB706">
            <v>0</v>
          </cell>
          <cell r="DC706">
            <v>0</v>
          </cell>
          <cell r="DJ706" t="str">
            <v>МОС</v>
          </cell>
          <cell r="DL706">
            <v>40645</v>
          </cell>
          <cell r="DM706">
            <v>110</v>
          </cell>
          <cell r="DO706" t="str">
            <v>середньорічний одноставковий тариф на теплову енергію для населення</v>
          </cell>
          <cell r="DT706">
            <v>385.24</v>
          </cell>
        </row>
        <row r="707">
          <cell r="W707">
            <v>615</v>
          </cell>
          <cell r="AF707">
            <v>40435</v>
          </cell>
          <cell r="AG707">
            <v>905</v>
          </cell>
          <cell r="AH707">
            <v>572.01167960443991</v>
          </cell>
          <cell r="AM707">
            <v>4914.55</v>
          </cell>
          <cell r="AO707">
            <v>3022448.25</v>
          </cell>
          <cell r="AQ707">
            <v>2811180</v>
          </cell>
          <cell r="AU707">
            <v>0</v>
          </cell>
          <cell r="AW707">
            <v>0</v>
          </cell>
          <cell r="AY707">
            <v>1931588.6075000002</v>
          </cell>
          <cell r="AZ707">
            <v>393.03468425389917</v>
          </cell>
          <cell r="BA707">
            <v>0</v>
          </cell>
          <cell r="BB707">
            <v>0</v>
          </cell>
          <cell r="BC707">
            <v>0</v>
          </cell>
          <cell r="BD707">
            <v>0</v>
          </cell>
          <cell r="BG707">
            <v>0</v>
          </cell>
          <cell r="BH707">
            <v>0</v>
          </cell>
          <cell r="BI707">
            <v>126790</v>
          </cell>
          <cell r="BJ707">
            <v>25.798903256656253</v>
          </cell>
          <cell r="BK707">
            <v>0</v>
          </cell>
          <cell r="BL707">
            <v>0</v>
          </cell>
          <cell r="BM707">
            <v>595031.10089598899</v>
          </cell>
          <cell r="BN707">
            <v>121.0753987437281</v>
          </cell>
          <cell r="BO707">
            <v>0</v>
          </cell>
          <cell r="BP707">
            <v>0</v>
          </cell>
          <cell r="BY707">
            <v>2231</v>
          </cell>
          <cell r="CF707">
            <v>783.625</v>
          </cell>
          <cell r="CG707">
            <v>2464.94</v>
          </cell>
          <cell r="CJ707">
            <v>0</v>
          </cell>
          <cell r="CK707">
            <v>0</v>
          </cell>
          <cell r="CL707">
            <v>0</v>
          </cell>
          <cell r="CM707">
            <v>0</v>
          </cell>
          <cell r="CN707">
            <v>0</v>
          </cell>
          <cell r="CO707">
            <v>0</v>
          </cell>
          <cell r="CX707">
            <v>0</v>
          </cell>
          <cell r="CY707">
            <v>0</v>
          </cell>
          <cell r="DB707">
            <v>0</v>
          </cell>
          <cell r="DC707">
            <v>0</v>
          </cell>
          <cell r="DJ707" t="str">
            <v>МОС</v>
          </cell>
          <cell r="DL707">
            <v>40876</v>
          </cell>
          <cell r="DM707">
            <v>478</v>
          </cell>
          <cell r="DT707">
            <v>745</v>
          </cell>
        </row>
        <row r="708">
          <cell r="W708">
            <v>615</v>
          </cell>
          <cell r="AF708">
            <v>40435</v>
          </cell>
          <cell r="AG708">
            <v>906</v>
          </cell>
          <cell r="AH708">
            <v>572.01155550569365</v>
          </cell>
          <cell r="AM708">
            <v>2139.2399999999998</v>
          </cell>
          <cell r="AO708">
            <v>1315632.5999999999</v>
          </cell>
          <cell r="AQ708">
            <v>1223670</v>
          </cell>
          <cell r="AU708">
            <v>0</v>
          </cell>
          <cell r="AW708">
            <v>0</v>
          </cell>
          <cell r="AY708">
            <v>840796.21037400002</v>
          </cell>
          <cell r="AZ708">
            <v>393.03500793459364</v>
          </cell>
          <cell r="BA708">
            <v>0</v>
          </cell>
          <cell r="BB708">
            <v>0</v>
          </cell>
          <cell r="BC708">
            <v>0</v>
          </cell>
          <cell r="BD708">
            <v>0</v>
          </cell>
          <cell r="BG708">
            <v>0</v>
          </cell>
          <cell r="BH708">
            <v>0</v>
          </cell>
          <cell r="BI708">
            <v>55190</v>
          </cell>
          <cell r="BJ708">
            <v>25.798881845889198</v>
          </cell>
          <cell r="BK708">
            <v>0</v>
          </cell>
          <cell r="BL708">
            <v>0</v>
          </cell>
          <cell r="BM708">
            <v>262331.77789944835</v>
          </cell>
          <cell r="BN708">
            <v>122.62849324968137</v>
          </cell>
          <cell r="BO708">
            <v>0</v>
          </cell>
          <cell r="BP708">
            <v>0</v>
          </cell>
          <cell r="BY708">
            <v>2231</v>
          </cell>
          <cell r="CF708">
            <v>341.10210000000001</v>
          </cell>
          <cell r="CG708">
            <v>2464.94</v>
          </cell>
          <cell r="CJ708">
            <v>0</v>
          </cell>
          <cell r="CK708">
            <v>0</v>
          </cell>
          <cell r="CL708">
            <v>0</v>
          </cell>
          <cell r="CM708">
            <v>0</v>
          </cell>
          <cell r="CN708">
            <v>0</v>
          </cell>
          <cell r="CO708">
            <v>0</v>
          </cell>
          <cell r="CX708">
            <v>0</v>
          </cell>
          <cell r="CY708">
            <v>0</v>
          </cell>
          <cell r="DB708">
            <v>0</v>
          </cell>
          <cell r="DC708">
            <v>0</v>
          </cell>
          <cell r="DJ708" t="str">
            <v>МОС</v>
          </cell>
          <cell r="DL708">
            <v>40876</v>
          </cell>
          <cell r="DM708">
            <v>478</v>
          </cell>
          <cell r="DT708">
            <v>745</v>
          </cell>
        </row>
        <row r="709">
          <cell r="W709">
            <v>222.93</v>
          </cell>
          <cell r="AF709">
            <v>39885</v>
          </cell>
          <cell r="AG709">
            <v>40</v>
          </cell>
          <cell r="AH709">
            <v>212.31749216838045</v>
          </cell>
          <cell r="AM709">
            <v>12139.89</v>
          </cell>
          <cell r="AO709">
            <v>2706345.6776999999</v>
          </cell>
          <cell r="AQ709">
            <v>2577511</v>
          </cell>
          <cell r="AU709">
            <v>0</v>
          </cell>
          <cell r="AW709">
            <v>0</v>
          </cell>
          <cell r="AY709">
            <v>1489890</v>
          </cell>
          <cell r="AZ709">
            <v>122.72681218693086</v>
          </cell>
          <cell r="BA709">
            <v>0</v>
          </cell>
          <cell r="BB709">
            <v>0</v>
          </cell>
          <cell r="BC709">
            <v>0</v>
          </cell>
          <cell r="BD709">
            <v>0</v>
          </cell>
          <cell r="BG709">
            <v>0</v>
          </cell>
          <cell r="BH709">
            <v>0</v>
          </cell>
          <cell r="BI709">
            <v>261855</v>
          </cell>
          <cell r="BJ709">
            <v>21.56980005584894</v>
          </cell>
          <cell r="BK709">
            <v>0</v>
          </cell>
          <cell r="BL709">
            <v>0</v>
          </cell>
          <cell r="BM709">
            <v>639122</v>
          </cell>
          <cell r="BN709">
            <v>52.646440783236095</v>
          </cell>
          <cell r="BO709">
            <v>0</v>
          </cell>
          <cell r="BP709">
            <v>0</v>
          </cell>
          <cell r="BY709">
            <v>1436.35</v>
          </cell>
          <cell r="CF709">
            <v>2048.4655997360169</v>
          </cell>
          <cell r="CG709">
            <v>727.32</v>
          </cell>
          <cell r="CJ709">
            <v>0</v>
          </cell>
          <cell r="CK709">
            <v>0</v>
          </cell>
          <cell r="CL709">
            <v>0</v>
          </cell>
          <cell r="CM709">
            <v>0</v>
          </cell>
          <cell r="CN709">
            <v>0</v>
          </cell>
          <cell r="CO709">
            <v>0</v>
          </cell>
          <cell r="CX709">
            <v>0</v>
          </cell>
          <cell r="CY709">
            <v>0</v>
          </cell>
          <cell r="DB709">
            <v>0</v>
          </cell>
          <cell r="DC709">
            <v>0</v>
          </cell>
          <cell r="DJ709" t="str">
            <v>МОС (НКРЕ №1736 від 14.12.2010 - 245,22 грн/Гкал)</v>
          </cell>
          <cell r="DL709">
            <v>40759</v>
          </cell>
          <cell r="DM709">
            <v>151</v>
          </cell>
          <cell r="DO709" t="str">
            <v>тариф на теплову енергію</v>
          </cell>
          <cell r="DT709">
            <v>350.05</v>
          </cell>
        </row>
        <row r="710">
          <cell r="W710">
            <v>516.78</v>
          </cell>
          <cell r="AF710">
            <v>39885</v>
          </cell>
          <cell r="AG710">
            <v>40</v>
          </cell>
          <cell r="AH710">
            <v>478.49835317692953</v>
          </cell>
          <cell r="AM710">
            <v>4690.8500000000004</v>
          </cell>
          <cell r="AO710">
            <v>2424137.463</v>
          </cell>
          <cell r="AQ710">
            <v>2244564</v>
          </cell>
          <cell r="AU710">
            <v>0</v>
          </cell>
          <cell r="AW710">
            <v>0</v>
          </cell>
          <cell r="AY710">
            <v>1695651</v>
          </cell>
          <cell r="AZ710">
            <v>361.48054190605109</v>
          </cell>
          <cell r="BA710">
            <v>0</v>
          </cell>
          <cell r="BB710">
            <v>0</v>
          </cell>
          <cell r="BC710">
            <v>0</v>
          </cell>
          <cell r="BD710">
            <v>0</v>
          </cell>
          <cell r="BG710">
            <v>0</v>
          </cell>
          <cell r="BH710">
            <v>0</v>
          </cell>
          <cell r="BI710">
            <v>101181</v>
          </cell>
          <cell r="BJ710">
            <v>21.569864736668194</v>
          </cell>
          <cell r="BK710">
            <v>0</v>
          </cell>
          <cell r="BL710">
            <v>0</v>
          </cell>
          <cell r="BM710">
            <v>346534</v>
          </cell>
          <cell r="BN710">
            <v>73.874457720882134</v>
          </cell>
          <cell r="BO710">
            <v>0</v>
          </cell>
          <cell r="BP710">
            <v>0</v>
          </cell>
          <cell r="BY710">
            <v>1436.35</v>
          </cell>
          <cell r="CF710">
            <v>791.52806628544749</v>
          </cell>
          <cell r="CG710">
            <v>2142.25</v>
          </cell>
          <cell r="CJ710">
            <v>0</v>
          </cell>
          <cell r="CK710">
            <v>0</v>
          </cell>
          <cell r="CL710">
            <v>0</v>
          </cell>
          <cell r="CM710">
            <v>0</v>
          </cell>
          <cell r="CN710">
            <v>0</v>
          </cell>
          <cell r="CO710">
            <v>0</v>
          </cell>
          <cell r="CX710">
            <v>0</v>
          </cell>
          <cell r="CY710">
            <v>0</v>
          </cell>
          <cell r="DB710">
            <v>0</v>
          </cell>
          <cell r="DC710">
            <v>0</v>
          </cell>
          <cell r="DJ710" t="str">
            <v>НКРКП</v>
          </cell>
          <cell r="DL710">
            <v>40816</v>
          </cell>
          <cell r="DM710">
            <v>111</v>
          </cell>
          <cell r="DT710">
            <v>788.4</v>
          </cell>
        </row>
        <row r="711">
          <cell r="W711">
            <v>516.78</v>
          </cell>
          <cell r="AF711">
            <v>39885</v>
          </cell>
          <cell r="AG711">
            <v>40</v>
          </cell>
          <cell r="AH711">
            <v>478.50124312777956</v>
          </cell>
          <cell r="AM711">
            <v>1427.85</v>
          </cell>
          <cell r="AO711">
            <v>737884.32299999986</v>
          </cell>
          <cell r="AQ711">
            <v>683228</v>
          </cell>
          <cell r="AU711">
            <v>0</v>
          </cell>
          <cell r="AW711">
            <v>0</v>
          </cell>
          <cell r="AY711">
            <v>516140</v>
          </cell>
          <cell r="AZ711">
            <v>361.48054767657669</v>
          </cell>
          <cell r="BA711">
            <v>0</v>
          </cell>
          <cell r="BB711">
            <v>0</v>
          </cell>
          <cell r="BC711">
            <v>0</v>
          </cell>
          <cell r="BD711">
            <v>0</v>
          </cell>
          <cell r="BG711">
            <v>0</v>
          </cell>
          <cell r="BH711">
            <v>0</v>
          </cell>
          <cell r="BI711">
            <v>30798</v>
          </cell>
          <cell r="BJ711">
            <v>21.569492593759851</v>
          </cell>
          <cell r="BK711">
            <v>0</v>
          </cell>
          <cell r="BL711">
            <v>0</v>
          </cell>
          <cell r="BM711">
            <v>105481</v>
          </cell>
          <cell r="BN711">
            <v>73.874006373218478</v>
          </cell>
          <cell r="BO711">
            <v>0</v>
          </cell>
          <cell r="BP711">
            <v>0</v>
          </cell>
          <cell r="BY711">
            <v>1436.35</v>
          </cell>
          <cell r="CF711">
            <v>240.93359785272494</v>
          </cell>
          <cell r="CG711">
            <v>2142.25</v>
          </cell>
          <cell r="CJ711">
            <v>0</v>
          </cell>
          <cell r="CK711">
            <v>0</v>
          </cell>
          <cell r="CL711">
            <v>0</v>
          </cell>
          <cell r="CM711">
            <v>0</v>
          </cell>
          <cell r="CN711">
            <v>0</v>
          </cell>
          <cell r="CO711">
            <v>0</v>
          </cell>
          <cell r="CX711">
            <v>0</v>
          </cell>
          <cell r="CY711">
            <v>0</v>
          </cell>
          <cell r="DB711">
            <v>0</v>
          </cell>
          <cell r="DC711">
            <v>0</v>
          </cell>
          <cell r="DJ711" t="str">
            <v>НКРКП</v>
          </cell>
          <cell r="DL711">
            <v>40816</v>
          </cell>
          <cell r="DM711">
            <v>111</v>
          </cell>
          <cell r="DT711">
            <v>788.4</v>
          </cell>
        </row>
        <row r="712">
          <cell r="W712">
            <v>395.0625</v>
          </cell>
          <cell r="AF712">
            <v>40441</v>
          </cell>
          <cell r="AG712">
            <v>2309</v>
          </cell>
          <cell r="AH712">
            <v>395.06251650382887</v>
          </cell>
          <cell r="AM712">
            <v>15148</v>
          </cell>
          <cell r="AO712">
            <v>5984406.75</v>
          </cell>
          <cell r="AQ712">
            <v>5984407</v>
          </cell>
          <cell r="AU712">
            <v>0</v>
          </cell>
          <cell r="AW712">
            <v>0</v>
          </cell>
          <cell r="AY712">
            <v>2602775.5126799997</v>
          </cell>
          <cell r="AZ712">
            <v>171.82304678373382</v>
          </cell>
          <cell r="BA712">
            <v>0</v>
          </cell>
          <cell r="BB712">
            <v>0</v>
          </cell>
          <cell r="BC712">
            <v>0</v>
          </cell>
          <cell r="BD712">
            <v>0</v>
          </cell>
          <cell r="BG712">
            <v>0</v>
          </cell>
          <cell r="BH712">
            <v>0</v>
          </cell>
          <cell r="BI712">
            <v>218263</v>
          </cell>
          <cell r="BJ712">
            <v>14.408700818589914</v>
          </cell>
          <cell r="BK712">
            <v>0</v>
          </cell>
          <cell r="BL712">
            <v>0</v>
          </cell>
          <cell r="BM712">
            <v>2520018</v>
          </cell>
          <cell r="BN712">
            <v>166.35978346976498</v>
          </cell>
          <cell r="BO712">
            <v>0</v>
          </cell>
          <cell r="BP712">
            <v>0</v>
          </cell>
          <cell r="BY712">
            <v>2222.9699999999998</v>
          </cell>
          <cell r="CF712">
            <v>2385.67</v>
          </cell>
          <cell r="CG712">
            <v>1091.0039999999999</v>
          </cell>
          <cell r="CJ712">
            <v>0</v>
          </cell>
          <cell r="CK712">
            <v>0</v>
          </cell>
          <cell r="CL712">
            <v>0</v>
          </cell>
          <cell r="CM712">
            <v>0</v>
          </cell>
          <cell r="CN712">
            <v>0</v>
          </cell>
          <cell r="CO712">
            <v>0</v>
          </cell>
          <cell r="CX712">
            <v>0</v>
          </cell>
          <cell r="CY712">
            <v>0</v>
          </cell>
          <cell r="DB712">
            <v>0</v>
          </cell>
          <cell r="DC712">
            <v>0</v>
          </cell>
          <cell r="DJ712" t="str">
            <v>МОС</v>
          </cell>
          <cell r="DL712">
            <v>40760</v>
          </cell>
          <cell r="DM712" t="str">
            <v>ХVІІІ сісія VI скликання</v>
          </cell>
          <cell r="DO712" t="str">
            <v>тариф на послугу теплопостачання</v>
          </cell>
          <cell r="DT712">
            <v>395.0625</v>
          </cell>
        </row>
        <row r="713">
          <cell r="W713">
            <v>700.73599999999999</v>
          </cell>
          <cell r="AF713">
            <v>40441</v>
          </cell>
          <cell r="AG713">
            <v>2310</v>
          </cell>
          <cell r="AH713">
            <v>609.33566739606124</v>
          </cell>
          <cell r="AM713">
            <v>2285</v>
          </cell>
          <cell r="AO713">
            <v>1601181.76</v>
          </cell>
          <cell r="AQ713">
            <v>1392332</v>
          </cell>
          <cell r="AU713">
            <v>0</v>
          </cell>
          <cell r="AW713">
            <v>0</v>
          </cell>
          <cell r="AY713">
            <v>875917.8504</v>
          </cell>
          <cell r="AZ713">
            <v>383.33385137855578</v>
          </cell>
          <cell r="BA713">
            <v>0</v>
          </cell>
          <cell r="BB713">
            <v>0</v>
          </cell>
          <cell r="BC713">
            <v>0</v>
          </cell>
          <cell r="BD713">
            <v>0</v>
          </cell>
          <cell r="BG713">
            <v>0</v>
          </cell>
          <cell r="BH713">
            <v>0</v>
          </cell>
          <cell r="BI713">
            <v>32490</v>
          </cell>
          <cell r="BJ713">
            <v>14.218818380743983</v>
          </cell>
          <cell r="BK713">
            <v>0</v>
          </cell>
          <cell r="BL713">
            <v>0</v>
          </cell>
          <cell r="BM713">
            <v>379769</v>
          </cell>
          <cell r="BN713">
            <v>166.20087527352297</v>
          </cell>
          <cell r="BO713">
            <v>0</v>
          </cell>
          <cell r="BP713">
            <v>0</v>
          </cell>
          <cell r="BY713">
            <v>2222.9699999999998</v>
          </cell>
          <cell r="CF713">
            <v>355.35</v>
          </cell>
          <cell r="CG713">
            <v>2464.944</v>
          </cell>
          <cell r="CJ713">
            <v>0</v>
          </cell>
          <cell r="CK713">
            <v>0</v>
          </cell>
          <cell r="CL713">
            <v>0</v>
          </cell>
          <cell r="CM713">
            <v>0</v>
          </cell>
          <cell r="CN713">
            <v>0</v>
          </cell>
          <cell r="CO713">
            <v>0</v>
          </cell>
          <cell r="CX713">
            <v>0</v>
          </cell>
          <cell r="CY713">
            <v>0</v>
          </cell>
          <cell r="DB713">
            <v>0</v>
          </cell>
          <cell r="DC713">
            <v>0</v>
          </cell>
          <cell r="DJ713" t="str">
            <v>МОС</v>
          </cell>
          <cell r="DL713">
            <v>40760</v>
          </cell>
          <cell r="DM713" t="str">
            <v>ХVІІІ сісія VI скликання</v>
          </cell>
          <cell r="DT713">
            <v>700.73599999999999</v>
          </cell>
        </row>
        <row r="714">
          <cell r="W714">
            <v>700.74199999999996</v>
          </cell>
          <cell r="AF714">
            <v>40441</v>
          </cell>
          <cell r="AG714">
            <v>2311</v>
          </cell>
          <cell r="AH714">
            <v>604.19117647058829</v>
          </cell>
          <cell r="AM714">
            <v>272</v>
          </cell>
          <cell r="AO714">
            <v>190601.82399999999</v>
          </cell>
          <cell r="AQ714">
            <v>164340</v>
          </cell>
          <cell r="AU714">
            <v>0</v>
          </cell>
          <cell r="AW714">
            <v>0</v>
          </cell>
          <cell r="AY714">
            <v>104760.12</v>
          </cell>
          <cell r="AZ714">
            <v>385.14749999999998</v>
          </cell>
          <cell r="BA714">
            <v>0</v>
          </cell>
          <cell r="BB714">
            <v>0</v>
          </cell>
          <cell r="BC714">
            <v>0</v>
          </cell>
          <cell r="BD714">
            <v>0</v>
          </cell>
          <cell r="BG714">
            <v>0</v>
          </cell>
          <cell r="BH714">
            <v>0</v>
          </cell>
          <cell r="BI714">
            <v>3798</v>
          </cell>
          <cell r="BJ714">
            <v>13.963235294117647</v>
          </cell>
          <cell r="BK714">
            <v>0</v>
          </cell>
          <cell r="BL714">
            <v>0</v>
          </cell>
          <cell r="BM714">
            <v>44159</v>
          </cell>
          <cell r="BN714">
            <v>162.34926470588235</v>
          </cell>
          <cell r="BO714">
            <v>0</v>
          </cell>
          <cell r="BP714">
            <v>0</v>
          </cell>
          <cell r="BY714">
            <v>2222.9699999999998</v>
          </cell>
          <cell r="CF714">
            <v>42.5</v>
          </cell>
          <cell r="CG714">
            <v>2464.944</v>
          </cell>
          <cell r="CJ714">
            <v>0</v>
          </cell>
          <cell r="CK714">
            <v>0</v>
          </cell>
          <cell r="CL714">
            <v>0</v>
          </cell>
          <cell r="CM714">
            <v>0</v>
          </cell>
          <cell r="CN714">
            <v>0</v>
          </cell>
          <cell r="CO714">
            <v>0</v>
          </cell>
          <cell r="CX714">
            <v>0</v>
          </cell>
          <cell r="CY714">
            <v>0</v>
          </cell>
          <cell r="DB714">
            <v>0</v>
          </cell>
          <cell r="DC714">
            <v>0</v>
          </cell>
          <cell r="DJ714" t="str">
            <v>МОС</v>
          </cell>
          <cell r="DL714">
            <v>40760</v>
          </cell>
          <cell r="DM714" t="str">
            <v>ХVІІІ сісія VI скликання</v>
          </cell>
          <cell r="DT714">
            <v>700.73599999999999</v>
          </cell>
        </row>
        <row r="715">
          <cell r="W715">
            <v>775.03300000000002</v>
          </cell>
          <cell r="AF715">
            <v>40441</v>
          </cell>
          <cell r="AG715">
            <v>2312</v>
          </cell>
          <cell r="AH715">
            <v>775.03338632750399</v>
          </cell>
          <cell r="AM715">
            <v>629</v>
          </cell>
          <cell r="AO715">
            <v>487495.75699999998</v>
          </cell>
          <cell r="AQ715">
            <v>487496</v>
          </cell>
          <cell r="AU715">
            <v>0</v>
          </cell>
          <cell r="AW715">
            <v>0</v>
          </cell>
          <cell r="AY715">
            <v>116159.19587999998</v>
          </cell>
          <cell r="AZ715">
            <v>184.67280744038155</v>
          </cell>
          <cell r="BA715">
            <v>0</v>
          </cell>
          <cell r="BB715">
            <v>0</v>
          </cell>
          <cell r="BC715">
            <v>0</v>
          </cell>
          <cell r="BD715">
            <v>0</v>
          </cell>
          <cell r="BG715">
            <v>0</v>
          </cell>
          <cell r="BH715">
            <v>0</v>
          </cell>
          <cell r="BI715">
            <v>40662</v>
          </cell>
          <cell r="BJ715">
            <v>64.64546899841018</v>
          </cell>
          <cell r="BK715">
            <v>0</v>
          </cell>
          <cell r="BL715">
            <v>0</v>
          </cell>
          <cell r="BM715">
            <v>316085</v>
          </cell>
          <cell r="BN715">
            <v>502.51987281399045</v>
          </cell>
          <cell r="BO715">
            <v>0</v>
          </cell>
          <cell r="BP715">
            <v>0</v>
          </cell>
          <cell r="BY715">
            <v>1788.69</v>
          </cell>
          <cell r="CF715">
            <v>106.47</v>
          </cell>
          <cell r="CG715">
            <v>1091.0039999999999</v>
          </cell>
          <cell r="CJ715">
            <v>0</v>
          </cell>
          <cell r="CK715">
            <v>0</v>
          </cell>
          <cell r="CL715">
            <v>0</v>
          </cell>
          <cell r="CM715">
            <v>0</v>
          </cell>
          <cell r="CN715">
            <v>0</v>
          </cell>
          <cell r="CO715">
            <v>0</v>
          </cell>
          <cell r="CX715">
            <v>0</v>
          </cell>
          <cell r="CY715">
            <v>0</v>
          </cell>
          <cell r="DB715">
            <v>0</v>
          </cell>
          <cell r="DC715">
            <v>0</v>
          </cell>
          <cell r="DJ715" t="str">
            <v>МОС</v>
          </cell>
          <cell r="DL715">
            <v>40773</v>
          </cell>
          <cell r="DM715" t="str">
            <v>ХІ сісія VI скликання</v>
          </cell>
          <cell r="DO715" t="str">
            <v>тариф на виробництво теплової енергії та послуги з теплопостачання</v>
          </cell>
          <cell r="DT715">
            <v>775.03300000000002</v>
          </cell>
        </row>
        <row r="716">
          <cell r="W716">
            <v>1160.1415</v>
          </cell>
          <cell r="AF716">
            <v>40441</v>
          </cell>
          <cell r="AG716">
            <v>2313</v>
          </cell>
          <cell r="AH716">
            <v>1008.8187919463087</v>
          </cell>
          <cell r="AM716">
            <v>1639</v>
          </cell>
          <cell r="AO716">
            <v>1901471.9184999999</v>
          </cell>
          <cell r="AQ716">
            <v>1653454</v>
          </cell>
          <cell r="AU716">
            <v>0</v>
          </cell>
          <cell r="AW716">
            <v>0</v>
          </cell>
          <cell r="AY716">
            <v>684095.90831999993</v>
          </cell>
          <cell r="AZ716">
            <v>417.3861551677852</v>
          </cell>
          <cell r="BA716">
            <v>0</v>
          </cell>
          <cell r="BB716">
            <v>0</v>
          </cell>
          <cell r="BC716">
            <v>0</v>
          </cell>
          <cell r="BD716">
            <v>0</v>
          </cell>
          <cell r="BG716">
            <v>0</v>
          </cell>
          <cell r="BH716">
            <v>0</v>
          </cell>
          <cell r="BI716">
            <v>105982</v>
          </cell>
          <cell r="BJ716">
            <v>64.662599145820622</v>
          </cell>
          <cell r="BK716">
            <v>0</v>
          </cell>
          <cell r="BL716">
            <v>0</v>
          </cell>
          <cell r="BM716">
            <v>825268</v>
          </cell>
          <cell r="BN716">
            <v>503.51921903599754</v>
          </cell>
          <cell r="BO716">
            <v>0</v>
          </cell>
          <cell r="BP716">
            <v>0</v>
          </cell>
          <cell r="BY716">
            <v>1788.69</v>
          </cell>
          <cell r="CF716">
            <v>277.52999999999997</v>
          </cell>
          <cell r="CG716">
            <v>2464.944</v>
          </cell>
          <cell r="CJ716">
            <v>0</v>
          </cell>
          <cell r="CK716">
            <v>0</v>
          </cell>
          <cell r="CL716">
            <v>0</v>
          </cell>
          <cell r="CM716">
            <v>0</v>
          </cell>
          <cell r="CN716">
            <v>0</v>
          </cell>
          <cell r="CO716">
            <v>0</v>
          </cell>
          <cell r="CX716">
            <v>0</v>
          </cell>
          <cell r="CY716">
            <v>0</v>
          </cell>
          <cell r="DB716">
            <v>0</v>
          </cell>
          <cell r="DC716">
            <v>0</v>
          </cell>
          <cell r="DJ716" t="str">
            <v>МОС</v>
          </cell>
          <cell r="DL716">
            <v>40773</v>
          </cell>
          <cell r="DM716" t="str">
            <v>ХІ сісія VI скликання</v>
          </cell>
          <cell r="DT716">
            <v>1160.1415</v>
          </cell>
        </row>
        <row r="717">
          <cell r="W717">
            <v>1160.1415</v>
          </cell>
          <cell r="AF717">
            <v>40441</v>
          </cell>
          <cell r="AG717">
            <v>2314</v>
          </cell>
          <cell r="AH717">
            <v>999.3125</v>
          </cell>
          <cell r="AM717">
            <v>16</v>
          </cell>
          <cell r="AO717">
            <v>18562.263999999999</v>
          </cell>
          <cell r="AQ717">
            <v>15989</v>
          </cell>
          <cell r="AU717">
            <v>0</v>
          </cell>
          <cell r="AW717">
            <v>0</v>
          </cell>
          <cell r="AY717">
            <v>6556.7510400000001</v>
          </cell>
          <cell r="AZ717">
            <v>409.79694000000001</v>
          </cell>
          <cell r="BA717">
            <v>0</v>
          </cell>
          <cell r="BB717">
            <v>0</v>
          </cell>
          <cell r="BC717">
            <v>0</v>
          </cell>
          <cell r="BD717">
            <v>0</v>
          </cell>
          <cell r="BG717">
            <v>0</v>
          </cell>
          <cell r="BH717">
            <v>0</v>
          </cell>
          <cell r="BI717">
            <v>1014</v>
          </cell>
          <cell r="BJ717">
            <v>63.375</v>
          </cell>
          <cell r="BK717">
            <v>0</v>
          </cell>
          <cell r="BL717">
            <v>0</v>
          </cell>
          <cell r="BM717">
            <v>8046</v>
          </cell>
          <cell r="BN717">
            <v>502.875</v>
          </cell>
          <cell r="BO717">
            <v>0</v>
          </cell>
          <cell r="BP717">
            <v>0</v>
          </cell>
          <cell r="BY717">
            <v>1788.69</v>
          </cell>
          <cell r="CF717">
            <v>2.66</v>
          </cell>
          <cell r="CG717">
            <v>2464.944</v>
          </cell>
          <cell r="CJ717">
            <v>0</v>
          </cell>
          <cell r="CK717">
            <v>0</v>
          </cell>
          <cell r="CL717">
            <v>0</v>
          </cell>
          <cell r="CM717">
            <v>0</v>
          </cell>
          <cell r="CN717">
            <v>0</v>
          </cell>
          <cell r="CO717">
            <v>0</v>
          </cell>
          <cell r="CX717">
            <v>0</v>
          </cell>
          <cell r="CY717">
            <v>0</v>
          </cell>
          <cell r="DB717">
            <v>0</v>
          </cell>
          <cell r="DC717">
            <v>0</v>
          </cell>
          <cell r="DJ717" t="str">
            <v>МОС</v>
          </cell>
          <cell r="DL717">
            <v>40773</v>
          </cell>
          <cell r="DM717">
            <v>0</v>
          </cell>
          <cell r="DT717">
            <v>1160.1415</v>
          </cell>
        </row>
        <row r="718">
          <cell r="W718">
            <v>534.82830000000001</v>
          </cell>
          <cell r="AF718">
            <v>40441</v>
          </cell>
          <cell r="AG718">
            <v>2315</v>
          </cell>
          <cell r="AH718">
            <v>534.82838983050851</v>
          </cell>
          <cell r="AM718">
            <v>1888</v>
          </cell>
          <cell r="AO718">
            <v>1009755.8304</v>
          </cell>
          <cell r="AQ718">
            <v>1009756</v>
          </cell>
          <cell r="AU718">
            <v>0</v>
          </cell>
          <cell r="AW718">
            <v>0</v>
          </cell>
          <cell r="AY718">
            <v>359027.59631999995</v>
          </cell>
          <cell r="AZ718">
            <v>190.16292177966099</v>
          </cell>
          <cell r="BA718">
            <v>0</v>
          </cell>
          <cell r="BB718">
            <v>0</v>
          </cell>
          <cell r="BC718">
            <v>0</v>
          </cell>
          <cell r="BD718">
            <v>0</v>
          </cell>
          <cell r="BG718">
            <v>0</v>
          </cell>
          <cell r="BH718">
            <v>0</v>
          </cell>
          <cell r="BI718">
            <v>46588</v>
          </cell>
          <cell r="BJ718">
            <v>24.675847457627118</v>
          </cell>
          <cell r="BK718">
            <v>0</v>
          </cell>
          <cell r="BL718">
            <v>0</v>
          </cell>
          <cell r="BM718">
            <v>524206</v>
          </cell>
          <cell r="BN718">
            <v>277.65148305084745</v>
          </cell>
          <cell r="BO718">
            <v>0</v>
          </cell>
          <cell r="BP718">
            <v>0</v>
          </cell>
          <cell r="BY718">
            <v>1917.2</v>
          </cell>
          <cell r="CF718">
            <v>329.08</v>
          </cell>
          <cell r="CG718">
            <v>1091.0039999999999</v>
          </cell>
          <cell r="CJ718">
            <v>0</v>
          </cell>
          <cell r="CK718">
            <v>0</v>
          </cell>
          <cell r="CL718">
            <v>0</v>
          </cell>
          <cell r="CM718">
            <v>0</v>
          </cell>
          <cell r="CN718">
            <v>0</v>
          </cell>
          <cell r="CO718">
            <v>0</v>
          </cell>
          <cell r="CX718">
            <v>0</v>
          </cell>
          <cell r="CY718">
            <v>0</v>
          </cell>
          <cell r="DB718">
            <v>0</v>
          </cell>
          <cell r="DC718">
            <v>0</v>
          </cell>
          <cell r="DJ718" t="str">
            <v>МОС</v>
          </cell>
          <cell r="DL718">
            <v>40764</v>
          </cell>
          <cell r="DM718" t="str">
            <v>ХІV сесія VІ скликання</v>
          </cell>
          <cell r="DO718" t="str">
            <v>тариф на послуги з теплопостачання</v>
          </cell>
          <cell r="DT718">
            <v>534.82830000000001</v>
          </cell>
        </row>
        <row r="719">
          <cell r="W719">
            <v>890.24400000000003</v>
          </cell>
          <cell r="AF719">
            <v>40441</v>
          </cell>
          <cell r="AG719">
            <v>2316</v>
          </cell>
          <cell r="AH719">
            <v>774.12525252525256</v>
          </cell>
          <cell r="AM719">
            <v>495</v>
          </cell>
          <cell r="AO719">
            <v>440670.78</v>
          </cell>
          <cell r="AQ719">
            <v>383192</v>
          </cell>
          <cell r="AU719">
            <v>0</v>
          </cell>
          <cell r="AW719">
            <v>0</v>
          </cell>
          <cell r="AY719">
            <v>212502.82223999998</v>
          </cell>
          <cell r="AZ719">
            <v>429.29863078787872</v>
          </cell>
          <cell r="BA719">
            <v>0</v>
          </cell>
          <cell r="BB719">
            <v>0</v>
          </cell>
          <cell r="BC719">
            <v>0</v>
          </cell>
          <cell r="BD719">
            <v>0</v>
          </cell>
          <cell r="BG719">
            <v>0</v>
          </cell>
          <cell r="BH719">
            <v>0</v>
          </cell>
          <cell r="BI719">
            <v>12203</v>
          </cell>
          <cell r="BJ719">
            <v>24.652525252525251</v>
          </cell>
          <cell r="BK719">
            <v>0</v>
          </cell>
          <cell r="BL719">
            <v>0</v>
          </cell>
          <cell r="BM719">
            <v>137529</v>
          </cell>
          <cell r="BN719">
            <v>277.83636363636361</v>
          </cell>
          <cell r="BO719">
            <v>0</v>
          </cell>
          <cell r="BP719">
            <v>0</v>
          </cell>
          <cell r="BY719">
            <v>1917.2</v>
          </cell>
          <cell r="CF719">
            <v>86.21</v>
          </cell>
          <cell r="CG719">
            <v>2464.944</v>
          </cell>
          <cell r="CJ719">
            <v>0</v>
          </cell>
          <cell r="CK719">
            <v>0</v>
          </cell>
          <cell r="CL719">
            <v>0</v>
          </cell>
          <cell r="CM719">
            <v>0</v>
          </cell>
          <cell r="CN719">
            <v>0</v>
          </cell>
          <cell r="CO719">
            <v>0</v>
          </cell>
          <cell r="CX719">
            <v>0</v>
          </cell>
          <cell r="CY719">
            <v>0</v>
          </cell>
          <cell r="DB719">
            <v>0</v>
          </cell>
          <cell r="DC719">
            <v>0</v>
          </cell>
          <cell r="DJ719" t="str">
            <v>МОС</v>
          </cell>
          <cell r="DL719">
            <v>40764</v>
          </cell>
          <cell r="DM719" t="str">
            <v>ХІV сесія VІ скликання</v>
          </cell>
          <cell r="DT719">
            <v>890.24400000000003</v>
          </cell>
        </row>
        <row r="720">
          <cell r="W720">
            <v>890.24400000000003</v>
          </cell>
          <cell r="AF720">
            <v>40441</v>
          </cell>
          <cell r="AG720">
            <v>2317</v>
          </cell>
          <cell r="AH720">
            <v>781.22222222222217</v>
          </cell>
          <cell r="AM720">
            <v>9</v>
          </cell>
          <cell r="AO720">
            <v>8012.1959999999999</v>
          </cell>
          <cell r="AQ720">
            <v>7031</v>
          </cell>
          <cell r="AU720">
            <v>0</v>
          </cell>
          <cell r="AW720">
            <v>0</v>
          </cell>
          <cell r="AY720">
            <v>3771.3643200000001</v>
          </cell>
          <cell r="AZ720">
            <v>419.04048</v>
          </cell>
          <cell r="BA720">
            <v>0</v>
          </cell>
          <cell r="BB720">
            <v>0</v>
          </cell>
          <cell r="BC720">
            <v>0</v>
          </cell>
          <cell r="BD720">
            <v>0</v>
          </cell>
          <cell r="BG720">
            <v>0</v>
          </cell>
          <cell r="BH720">
            <v>0</v>
          </cell>
          <cell r="BI720">
            <v>215</v>
          </cell>
          <cell r="BJ720">
            <v>23.888888888888889</v>
          </cell>
          <cell r="BK720">
            <v>0</v>
          </cell>
          <cell r="BL720">
            <v>0</v>
          </cell>
          <cell r="BM720">
            <v>2658</v>
          </cell>
          <cell r="BN720">
            <v>295.33333333333331</v>
          </cell>
          <cell r="BO720">
            <v>0</v>
          </cell>
          <cell r="BP720">
            <v>0</v>
          </cell>
          <cell r="BY720">
            <v>1917.2</v>
          </cell>
          <cell r="CF720">
            <v>1.53</v>
          </cell>
          <cell r="CG720">
            <v>2464.944</v>
          </cell>
          <cell r="CJ720">
            <v>0</v>
          </cell>
          <cell r="CK720">
            <v>0</v>
          </cell>
          <cell r="CL720">
            <v>0</v>
          </cell>
          <cell r="CM720">
            <v>0</v>
          </cell>
          <cell r="CN720">
            <v>0</v>
          </cell>
          <cell r="CO720">
            <v>0</v>
          </cell>
          <cell r="CX720">
            <v>0</v>
          </cell>
          <cell r="CY720">
            <v>0</v>
          </cell>
          <cell r="DB720">
            <v>0</v>
          </cell>
          <cell r="DC720">
            <v>0</v>
          </cell>
          <cell r="DJ720" t="str">
            <v>МОС</v>
          </cell>
          <cell r="DL720">
            <v>40764</v>
          </cell>
          <cell r="DM720" t="str">
            <v>ХІV сесія VІ скликання</v>
          </cell>
          <cell r="DT720">
            <v>890.24400000000003</v>
          </cell>
        </row>
        <row r="721">
          <cell r="W721">
            <v>959.42840000000001</v>
          </cell>
          <cell r="AF721">
            <v>40441</v>
          </cell>
          <cell r="AG721">
            <v>2318</v>
          </cell>
          <cell r="AH721">
            <v>834.28577567683715</v>
          </cell>
          <cell r="AM721">
            <v>2327</v>
          </cell>
          <cell r="AO721">
            <v>2232589.8868</v>
          </cell>
          <cell r="AQ721">
            <v>1941383</v>
          </cell>
          <cell r="AU721">
            <v>0</v>
          </cell>
          <cell r="AW721">
            <v>0</v>
          </cell>
          <cell r="AY721">
            <v>990734.94192000001</v>
          </cell>
          <cell r="AZ721">
            <v>425.75631367425871</v>
          </cell>
          <cell r="BA721">
            <v>0</v>
          </cell>
          <cell r="BB721">
            <v>0</v>
          </cell>
          <cell r="BC721">
            <v>0</v>
          </cell>
          <cell r="BD721">
            <v>0</v>
          </cell>
          <cell r="BG721">
            <v>0</v>
          </cell>
          <cell r="BH721">
            <v>0</v>
          </cell>
          <cell r="BI721">
            <v>40437</v>
          </cell>
          <cell r="BJ721">
            <v>17.377309840996993</v>
          </cell>
          <cell r="BK721">
            <v>0</v>
          </cell>
          <cell r="BL721">
            <v>0</v>
          </cell>
          <cell r="BM721">
            <v>851350</v>
          </cell>
          <cell r="BN721">
            <v>365.85732703051139</v>
          </cell>
          <cell r="BO721">
            <v>0</v>
          </cell>
          <cell r="BP721">
            <v>0</v>
          </cell>
          <cell r="BY721">
            <v>1912.88</v>
          </cell>
          <cell r="CF721">
            <v>401.93</v>
          </cell>
          <cell r="CG721">
            <v>2464.944</v>
          </cell>
          <cell r="CJ721">
            <v>0</v>
          </cell>
          <cell r="CK721">
            <v>0</v>
          </cell>
          <cell r="CL721">
            <v>0</v>
          </cell>
          <cell r="CM721">
            <v>0</v>
          </cell>
          <cell r="CN721">
            <v>0</v>
          </cell>
          <cell r="CO721">
            <v>0</v>
          </cell>
          <cell r="CX721">
            <v>0</v>
          </cell>
          <cell r="CY721">
            <v>0</v>
          </cell>
          <cell r="DB721">
            <v>0</v>
          </cell>
          <cell r="DC721">
            <v>0</v>
          </cell>
          <cell r="DJ721" t="str">
            <v>МОС</v>
          </cell>
          <cell r="DL721">
            <v>40791</v>
          </cell>
          <cell r="DM721" t="str">
            <v>ХІ сесія VІ скликання</v>
          </cell>
          <cell r="DT721">
            <v>959.42840000000001</v>
          </cell>
        </row>
        <row r="722">
          <cell r="W722">
            <v>935</v>
          </cell>
          <cell r="AF722">
            <v>40441</v>
          </cell>
          <cell r="AG722">
            <v>2320</v>
          </cell>
          <cell r="AH722">
            <v>813.04421052631574</v>
          </cell>
          <cell r="AM722">
            <v>475</v>
          </cell>
          <cell r="AO722">
            <v>444125</v>
          </cell>
          <cell r="AQ722">
            <v>386196</v>
          </cell>
          <cell r="AU722">
            <v>0</v>
          </cell>
          <cell r="AW722">
            <v>0</v>
          </cell>
          <cell r="AY722">
            <v>193079.06352</v>
          </cell>
          <cell r="AZ722">
            <v>406.48223898947367</v>
          </cell>
          <cell r="BA722">
            <v>0</v>
          </cell>
          <cell r="BB722">
            <v>0</v>
          </cell>
          <cell r="BC722">
            <v>0</v>
          </cell>
          <cell r="BD722">
            <v>0</v>
          </cell>
          <cell r="BG722">
            <v>0</v>
          </cell>
          <cell r="BH722">
            <v>0</v>
          </cell>
          <cell r="BI722">
            <v>11507</v>
          </cell>
          <cell r="BJ722">
            <v>24.225263157894737</v>
          </cell>
          <cell r="BK722">
            <v>0</v>
          </cell>
          <cell r="BL722">
            <v>0</v>
          </cell>
          <cell r="BM722">
            <v>170585</v>
          </cell>
          <cell r="BN722">
            <v>359.12631578947367</v>
          </cell>
          <cell r="BO722">
            <v>0</v>
          </cell>
          <cell r="BP722">
            <v>0</v>
          </cell>
          <cell r="BY722">
            <v>1782.07</v>
          </cell>
          <cell r="CF722">
            <v>78.33</v>
          </cell>
          <cell r="CG722">
            <v>2464.944</v>
          </cell>
          <cell r="CJ722">
            <v>0</v>
          </cell>
          <cell r="CK722">
            <v>0</v>
          </cell>
          <cell r="CL722">
            <v>0</v>
          </cell>
          <cell r="CM722">
            <v>0</v>
          </cell>
          <cell r="CN722">
            <v>0</v>
          </cell>
          <cell r="CO722">
            <v>0</v>
          </cell>
          <cell r="CX722">
            <v>0</v>
          </cell>
          <cell r="CY722">
            <v>0</v>
          </cell>
          <cell r="DB722">
            <v>0</v>
          </cell>
          <cell r="DC722">
            <v>0</v>
          </cell>
          <cell r="DJ722" t="str">
            <v>МОС</v>
          </cell>
          <cell r="DL722">
            <v>40772</v>
          </cell>
          <cell r="DM722" t="str">
            <v>ХІV сесія VІ скликання</v>
          </cell>
          <cell r="DT722">
            <v>935</v>
          </cell>
        </row>
        <row r="723">
          <cell r="W723">
            <v>307.13333333333333</v>
          </cell>
          <cell r="AF723">
            <v>40043</v>
          </cell>
          <cell r="AG723">
            <v>728</v>
          </cell>
          <cell r="AH723">
            <v>307.13335945114443</v>
          </cell>
          <cell r="AM723">
            <v>11323.052</v>
          </cell>
          <cell r="AO723">
            <v>3477686.7042666664</v>
          </cell>
          <cell r="AQ723">
            <v>3477687</v>
          </cell>
          <cell r="AU723">
            <v>0</v>
          </cell>
          <cell r="AW723">
            <v>0</v>
          </cell>
          <cell r="AY723">
            <v>1311865.6299999999</v>
          </cell>
          <cell r="AZ723">
            <v>115.85795331506029</v>
          </cell>
          <cell r="BA723">
            <v>0</v>
          </cell>
          <cell r="BB723">
            <v>0</v>
          </cell>
          <cell r="BC723">
            <v>0</v>
          </cell>
          <cell r="BD723">
            <v>0</v>
          </cell>
          <cell r="BG723">
            <v>0</v>
          </cell>
          <cell r="BH723">
            <v>0</v>
          </cell>
          <cell r="BI723">
            <v>328355</v>
          </cell>
          <cell r="BJ723">
            <v>28.998807035417659</v>
          </cell>
          <cell r="BK723">
            <v>0</v>
          </cell>
          <cell r="BL723">
            <v>0</v>
          </cell>
          <cell r="BM723">
            <v>1510754.9390819394</v>
          </cell>
          <cell r="BN723">
            <v>133.42294454551117</v>
          </cell>
          <cell r="BO723">
            <v>0</v>
          </cell>
          <cell r="BP723">
            <v>0</v>
          </cell>
          <cell r="BY723">
            <v>1917.0410666666664</v>
          </cell>
          <cell r="CF723">
            <v>1803.6980008799426</v>
          </cell>
          <cell r="CG723">
            <v>727.32</v>
          </cell>
          <cell r="CJ723">
            <v>0</v>
          </cell>
          <cell r="CK723">
            <v>0</v>
          </cell>
          <cell r="CL723">
            <v>0</v>
          </cell>
          <cell r="CM723">
            <v>0</v>
          </cell>
          <cell r="CN723">
            <v>0</v>
          </cell>
          <cell r="CO723">
            <v>0</v>
          </cell>
          <cell r="CX723">
            <v>0</v>
          </cell>
          <cell r="CY723">
            <v>0</v>
          </cell>
          <cell r="DB723">
            <v>0</v>
          </cell>
          <cell r="DC723">
            <v>0</v>
          </cell>
          <cell r="DJ723" t="str">
            <v>МОС</v>
          </cell>
          <cell r="DL723">
            <v>40564</v>
          </cell>
          <cell r="DM723" t="str">
            <v>20/1</v>
          </cell>
          <cell r="DO723" t="str">
            <v>Тариф на оплату послуг теплопостачання</v>
          </cell>
          <cell r="DT723">
            <v>351.44</v>
          </cell>
        </row>
        <row r="724">
          <cell r="W724">
            <v>603.65</v>
          </cell>
          <cell r="AF724">
            <v>40043</v>
          </cell>
          <cell r="AG724">
            <v>729</v>
          </cell>
          <cell r="AH724">
            <v>524.91109123434705</v>
          </cell>
          <cell r="AM724">
            <v>5590</v>
          </cell>
          <cell r="AO724">
            <v>3374403.5</v>
          </cell>
          <cell r="AQ724">
            <v>2934253</v>
          </cell>
          <cell r="AU724">
            <v>0</v>
          </cell>
          <cell r="AW724">
            <v>0</v>
          </cell>
          <cell r="AY724">
            <v>1869888.62</v>
          </cell>
          <cell r="AZ724">
            <v>334.50601431127012</v>
          </cell>
          <cell r="BA724">
            <v>0</v>
          </cell>
          <cell r="BB724">
            <v>0</v>
          </cell>
          <cell r="BC724">
            <v>0</v>
          </cell>
          <cell r="BD724">
            <v>0</v>
          </cell>
          <cell r="BG724">
            <v>0</v>
          </cell>
          <cell r="BH724">
            <v>0</v>
          </cell>
          <cell r="BI724">
            <v>163392</v>
          </cell>
          <cell r="BJ724">
            <v>29.22933810375671</v>
          </cell>
          <cell r="BK724">
            <v>0</v>
          </cell>
          <cell r="BL724">
            <v>0</v>
          </cell>
          <cell r="BM724">
            <v>745891.45672242693</v>
          </cell>
          <cell r="BN724">
            <v>133.43317651563987</v>
          </cell>
          <cell r="BO724">
            <v>0</v>
          </cell>
          <cell r="BP724">
            <v>0</v>
          </cell>
          <cell r="BY724">
            <v>1917.0410666666664</v>
          </cell>
          <cell r="CF724">
            <v>856.70174007861976</v>
          </cell>
          <cell r="CG724">
            <v>2182.66</v>
          </cell>
          <cell r="CJ724">
            <v>0</v>
          </cell>
          <cell r="CK724">
            <v>0</v>
          </cell>
          <cell r="CL724">
            <v>0</v>
          </cell>
          <cell r="CM724">
            <v>0</v>
          </cell>
          <cell r="CN724">
            <v>0</v>
          </cell>
          <cell r="CO724">
            <v>0</v>
          </cell>
          <cell r="CX724">
            <v>0</v>
          </cell>
          <cell r="CY724">
            <v>0</v>
          </cell>
          <cell r="DB724">
            <v>0</v>
          </cell>
          <cell r="DC724">
            <v>0</v>
          </cell>
          <cell r="DJ724" t="str">
            <v>НКРКП</v>
          </cell>
          <cell r="DL724">
            <v>40942</v>
          </cell>
          <cell r="DM724">
            <v>43</v>
          </cell>
          <cell r="DT724">
            <v>870.69</v>
          </cell>
        </row>
        <row r="725">
          <cell r="W725">
            <v>821.73</v>
          </cell>
          <cell r="AF725">
            <v>40043</v>
          </cell>
          <cell r="AG725">
            <v>730</v>
          </cell>
          <cell r="AH725">
            <v>547.81689750692522</v>
          </cell>
          <cell r="AM725">
            <v>722</v>
          </cell>
          <cell r="AO725">
            <v>593289.06000000006</v>
          </cell>
          <cell r="AQ725">
            <v>395523.8</v>
          </cell>
          <cell r="AU725">
            <v>0</v>
          </cell>
          <cell r="AW725">
            <v>0</v>
          </cell>
          <cell r="AY725">
            <v>256899</v>
          </cell>
          <cell r="AZ725">
            <v>355.81578947368422</v>
          </cell>
          <cell r="BA725">
            <v>0</v>
          </cell>
          <cell r="BB725">
            <v>0</v>
          </cell>
          <cell r="BC725">
            <v>0</v>
          </cell>
          <cell r="BD725">
            <v>0</v>
          </cell>
          <cell r="BG725">
            <v>0</v>
          </cell>
          <cell r="BH725">
            <v>0</v>
          </cell>
          <cell r="BI725">
            <v>22094</v>
          </cell>
          <cell r="BJ725">
            <v>30.601108033240997</v>
          </cell>
          <cell r="BK725">
            <v>0</v>
          </cell>
          <cell r="BL725">
            <v>0</v>
          </cell>
          <cell r="BM725">
            <v>96396.5</v>
          </cell>
          <cell r="BN725">
            <v>133.51315789473685</v>
          </cell>
          <cell r="BO725">
            <v>0</v>
          </cell>
          <cell r="BP725">
            <v>0</v>
          </cell>
          <cell r="BY725">
            <v>1917.0410666666664</v>
          </cell>
          <cell r="CF725">
            <v>115.2344170524276</v>
          </cell>
          <cell r="CG725">
            <v>2229.36</v>
          </cell>
          <cell r="CJ725">
            <v>0</v>
          </cell>
          <cell r="CK725">
            <v>0</v>
          </cell>
          <cell r="CL725">
            <v>0</v>
          </cell>
          <cell r="CM725">
            <v>0</v>
          </cell>
          <cell r="CN725">
            <v>0</v>
          </cell>
          <cell r="CO725">
            <v>0</v>
          </cell>
          <cell r="CX725">
            <v>0</v>
          </cell>
          <cell r="CY725">
            <v>0</v>
          </cell>
          <cell r="DB725">
            <v>0</v>
          </cell>
          <cell r="DC725">
            <v>0</v>
          </cell>
          <cell r="DJ725" t="str">
            <v>НКРКП</v>
          </cell>
          <cell r="DL725">
            <v>40942</v>
          </cell>
          <cell r="DM725">
            <v>43</v>
          </cell>
          <cell r="DT725">
            <v>999.9</v>
          </cell>
        </row>
        <row r="726">
          <cell r="W726">
            <v>172.32</v>
          </cell>
          <cell r="AF726">
            <v>39721</v>
          </cell>
          <cell r="AG726">
            <v>322</v>
          </cell>
          <cell r="AH726">
            <v>171.06035062024458</v>
          </cell>
          <cell r="AM726">
            <v>24853.1</v>
          </cell>
          <cell r="AO726">
            <v>4282686.1919999998</v>
          </cell>
          <cell r="AQ726">
            <v>4251380</v>
          </cell>
          <cell r="AU726">
            <v>0</v>
          </cell>
          <cell r="AW726">
            <v>0</v>
          </cell>
          <cell r="AY726">
            <v>2519901.9648000002</v>
          </cell>
          <cell r="AZ726">
            <v>101.39185714458158</v>
          </cell>
          <cell r="BA726">
            <v>0</v>
          </cell>
          <cell r="BB726">
            <v>0</v>
          </cell>
          <cell r="BC726">
            <v>0</v>
          </cell>
          <cell r="BD726">
            <v>0</v>
          </cell>
          <cell r="BG726">
            <v>0</v>
          </cell>
          <cell r="BH726">
            <v>0</v>
          </cell>
          <cell r="BI726">
            <v>530900</v>
          </cell>
          <cell r="BJ726">
            <v>21.361520293243096</v>
          </cell>
          <cell r="BK726">
            <v>0</v>
          </cell>
          <cell r="BL726">
            <v>0</v>
          </cell>
          <cell r="BM726">
            <v>729638</v>
          </cell>
          <cell r="BN726">
            <v>29.358027771183476</v>
          </cell>
          <cell r="BO726">
            <v>0</v>
          </cell>
          <cell r="BP726">
            <v>0</v>
          </cell>
          <cell r="BY726">
            <v>761.34</v>
          </cell>
          <cell r="CF726">
            <v>3464.64</v>
          </cell>
          <cell r="CG726">
            <v>727.32</v>
          </cell>
          <cell r="CJ726">
            <v>0</v>
          </cell>
          <cell r="CK726">
            <v>0</v>
          </cell>
          <cell r="CL726">
            <v>0</v>
          </cell>
          <cell r="CM726">
            <v>0</v>
          </cell>
          <cell r="CN726">
            <v>0</v>
          </cell>
          <cell r="CO726">
            <v>0</v>
          </cell>
          <cell r="CX726">
            <v>0</v>
          </cell>
          <cell r="CY726">
            <v>0</v>
          </cell>
          <cell r="DB726">
            <v>0</v>
          </cell>
          <cell r="DC726">
            <v>0</v>
          </cell>
          <cell r="DJ726" t="str">
            <v>НКРЕ</v>
          </cell>
          <cell r="DL726">
            <v>40526</v>
          </cell>
          <cell r="DM726">
            <v>1763</v>
          </cell>
          <cell r="DO726" t="str">
            <v>тариф на теплову енергію</v>
          </cell>
          <cell r="DT726">
            <v>215.4</v>
          </cell>
        </row>
        <row r="727">
          <cell r="W727">
            <v>437.29</v>
          </cell>
          <cell r="AF727">
            <v>39974</v>
          </cell>
          <cell r="AG727">
            <v>156</v>
          </cell>
          <cell r="AH727">
            <v>380.25342882825413</v>
          </cell>
          <cell r="AM727">
            <v>3448.7</v>
          </cell>
          <cell r="AO727">
            <v>1508082.023</v>
          </cell>
          <cell r="AQ727">
            <v>1311380</v>
          </cell>
          <cell r="AU727">
            <v>0</v>
          </cell>
          <cell r="AW727">
            <v>0</v>
          </cell>
          <cell r="AY727">
            <v>1050779.669456</v>
          </cell>
          <cell r="AZ727">
            <v>304.68862744106474</v>
          </cell>
          <cell r="BA727">
            <v>0</v>
          </cell>
          <cell r="BB727">
            <v>0</v>
          </cell>
          <cell r="BC727">
            <v>0</v>
          </cell>
          <cell r="BD727">
            <v>0</v>
          </cell>
          <cell r="BG727">
            <v>0</v>
          </cell>
          <cell r="BH727">
            <v>0</v>
          </cell>
          <cell r="BI727">
            <v>80220</v>
          </cell>
          <cell r="BJ727">
            <v>23.260938904514745</v>
          </cell>
          <cell r="BK727">
            <v>0</v>
          </cell>
          <cell r="BL727">
            <v>0</v>
          </cell>
          <cell r="BM727">
            <v>101520</v>
          </cell>
          <cell r="BN727">
            <v>29.437179226955084</v>
          </cell>
          <cell r="BO727">
            <v>0</v>
          </cell>
          <cell r="BP727">
            <v>0</v>
          </cell>
          <cell r="BY727">
            <v>761.34</v>
          </cell>
          <cell r="CF727">
            <v>481.42160000000001</v>
          </cell>
          <cell r="CG727">
            <v>2182.66</v>
          </cell>
          <cell r="CJ727">
            <v>0</v>
          </cell>
          <cell r="CK727">
            <v>0</v>
          </cell>
          <cell r="CL727">
            <v>0</v>
          </cell>
          <cell r="CM727">
            <v>0</v>
          </cell>
          <cell r="CN727">
            <v>0</v>
          </cell>
          <cell r="CO727">
            <v>0</v>
          </cell>
          <cell r="CX727">
            <v>0</v>
          </cell>
          <cell r="CY727">
            <v>0</v>
          </cell>
          <cell r="DB727">
            <v>0</v>
          </cell>
          <cell r="DC727">
            <v>0</v>
          </cell>
          <cell r="DJ727" t="str">
            <v>НКРКП</v>
          </cell>
          <cell r="DL727">
            <v>40816</v>
          </cell>
          <cell r="DM727">
            <v>89</v>
          </cell>
          <cell r="DT727">
            <v>656.35</v>
          </cell>
        </row>
        <row r="728">
          <cell r="W728">
            <v>473.48</v>
          </cell>
          <cell r="AF728">
            <v>39974</v>
          </cell>
          <cell r="AG728">
            <v>155</v>
          </cell>
          <cell r="AH728">
            <v>378.79699248120301</v>
          </cell>
          <cell r="AM728">
            <v>199.5</v>
          </cell>
          <cell r="AO728">
            <v>94459.260000000009</v>
          </cell>
          <cell r="AQ728">
            <v>75570</v>
          </cell>
          <cell r="AU728">
            <v>0</v>
          </cell>
          <cell r="AW728">
            <v>0</v>
          </cell>
          <cell r="AY728">
            <v>60649.573419999993</v>
          </cell>
          <cell r="AZ728">
            <v>304.00788681704256</v>
          </cell>
          <cell r="BA728">
            <v>0</v>
          </cell>
          <cell r="BB728">
            <v>0</v>
          </cell>
          <cell r="BC728">
            <v>0</v>
          </cell>
          <cell r="BD728">
            <v>0</v>
          </cell>
          <cell r="BG728">
            <v>0</v>
          </cell>
          <cell r="BH728">
            <v>0</v>
          </cell>
          <cell r="BI728">
            <v>4580</v>
          </cell>
          <cell r="BJ728">
            <v>22.957393483709271</v>
          </cell>
          <cell r="BK728">
            <v>0</v>
          </cell>
          <cell r="BL728">
            <v>0</v>
          </cell>
          <cell r="BM728">
            <v>5860</v>
          </cell>
          <cell r="BN728">
            <v>29.373433583959901</v>
          </cell>
          <cell r="BO728">
            <v>0</v>
          </cell>
          <cell r="BP728">
            <v>0</v>
          </cell>
          <cell r="BY728">
            <v>761.34</v>
          </cell>
          <cell r="CF728">
            <v>27.786999999999999</v>
          </cell>
          <cell r="CG728">
            <v>2182.66</v>
          </cell>
          <cell r="CJ728">
            <v>0</v>
          </cell>
          <cell r="CK728">
            <v>0</v>
          </cell>
          <cell r="CL728">
            <v>0</v>
          </cell>
          <cell r="CM728">
            <v>0</v>
          </cell>
          <cell r="CN728">
            <v>0</v>
          </cell>
          <cell r="CO728">
            <v>0</v>
          </cell>
          <cell r="CX728">
            <v>0</v>
          </cell>
          <cell r="CY728">
            <v>0</v>
          </cell>
          <cell r="DB728">
            <v>0</v>
          </cell>
          <cell r="DC728">
            <v>0</v>
          </cell>
          <cell r="DJ728" t="str">
            <v>НКРКП</v>
          </cell>
          <cell r="DL728">
            <v>40816</v>
          </cell>
          <cell r="DM728">
            <v>89</v>
          </cell>
          <cell r="DT728">
            <v>692.08</v>
          </cell>
        </row>
        <row r="729">
          <cell r="W729">
            <v>251.91</v>
          </cell>
          <cell r="AF729" t="str">
            <v>25.12.2007</v>
          </cell>
          <cell r="AG729" t="str">
            <v>154; 173</v>
          </cell>
          <cell r="AH729">
            <v>251.91156945846896</v>
          </cell>
          <cell r="AM729">
            <v>69095</v>
          </cell>
          <cell r="AO729">
            <v>17405829.891732913</v>
          </cell>
          <cell r="AQ729">
            <v>17405829.891732913</v>
          </cell>
          <cell r="AU729">
            <v>14674311.1</v>
          </cell>
          <cell r="AW729">
            <v>0</v>
          </cell>
          <cell r="AY729">
            <v>0</v>
          </cell>
          <cell r="AZ729">
            <v>0</v>
          </cell>
          <cell r="BA729">
            <v>0</v>
          </cell>
          <cell r="BB729">
            <v>0</v>
          </cell>
          <cell r="BC729">
            <v>0</v>
          </cell>
          <cell r="BD729">
            <v>0</v>
          </cell>
          <cell r="BG729">
            <v>0</v>
          </cell>
          <cell r="BH729">
            <v>0</v>
          </cell>
          <cell r="BI729">
            <v>109848.9666136725</v>
          </cell>
          <cell r="BJ729">
            <v>1.589825119236884</v>
          </cell>
          <cell r="BK729">
            <v>0</v>
          </cell>
          <cell r="BL729">
            <v>0</v>
          </cell>
          <cell r="BM729">
            <v>1053874.0858505564</v>
          </cell>
          <cell r="BN729">
            <v>15.25253760547878</v>
          </cell>
          <cell r="BO729">
            <v>0</v>
          </cell>
          <cell r="BP729">
            <v>0</v>
          </cell>
          <cell r="BY729">
            <v>1264</v>
          </cell>
          <cell r="CF729">
            <v>0</v>
          </cell>
          <cell r="CG729">
            <v>0</v>
          </cell>
          <cell r="CJ729">
            <v>79420</v>
          </cell>
          <cell r="CK729">
            <v>184.76846008562075</v>
          </cell>
          <cell r="CL729">
            <v>214.51</v>
          </cell>
          <cell r="CM729">
            <v>0</v>
          </cell>
          <cell r="CN729">
            <v>0</v>
          </cell>
          <cell r="CO729">
            <v>0</v>
          </cell>
          <cell r="CX729">
            <v>0</v>
          </cell>
          <cell r="CY729">
            <v>0</v>
          </cell>
          <cell r="DB729">
            <v>0</v>
          </cell>
          <cell r="DC729">
            <v>0</v>
          </cell>
          <cell r="DJ729">
            <v>0</v>
          </cell>
          <cell r="DL729" t="str">
            <v>Рішення Новояворівської міськради від 03.09.2008, №619, Постанова НКРЕ від 04.07.2013 №869</v>
          </cell>
          <cell r="DM729" t="str">
            <v>869</v>
          </cell>
          <cell r="DO729" t="str">
            <v>тариф на теплову енергію</v>
          </cell>
          <cell r="DT729">
            <v>278.98</v>
          </cell>
        </row>
        <row r="730">
          <cell r="W730">
            <v>453.75</v>
          </cell>
          <cell r="AF730" t="str">
            <v>25.12.2007</v>
          </cell>
          <cell r="AG730" t="str">
            <v>154; 174</v>
          </cell>
          <cell r="AH730">
            <v>451.83829790129607</v>
          </cell>
          <cell r="AM730">
            <v>9159</v>
          </cell>
          <cell r="AO730">
            <v>4155896.25</v>
          </cell>
          <cell r="AQ730">
            <v>4138386.9704779708</v>
          </cell>
          <cell r="AU730">
            <v>3776315.7899999996</v>
          </cell>
          <cell r="AW730">
            <v>0</v>
          </cell>
          <cell r="AY730">
            <v>0</v>
          </cell>
          <cell r="AZ730">
            <v>0</v>
          </cell>
          <cell r="BA730">
            <v>0</v>
          </cell>
          <cell r="BB730">
            <v>0</v>
          </cell>
          <cell r="BC730">
            <v>0</v>
          </cell>
          <cell r="BD730">
            <v>0</v>
          </cell>
          <cell r="BG730">
            <v>0</v>
          </cell>
          <cell r="BH730">
            <v>0</v>
          </cell>
          <cell r="BI730">
            <v>14561.20826709062</v>
          </cell>
          <cell r="BJ730">
            <v>1.589825119236884</v>
          </cell>
          <cell r="BK730">
            <v>0</v>
          </cell>
          <cell r="BL730">
            <v>0</v>
          </cell>
          <cell r="BM730">
            <v>139697.99192858016</v>
          </cell>
          <cell r="BN730">
            <v>15.252537605478782</v>
          </cell>
          <cell r="BO730">
            <v>0</v>
          </cell>
          <cell r="BP730">
            <v>0</v>
          </cell>
          <cell r="BY730">
            <v>1264</v>
          </cell>
          <cell r="CF730">
            <v>0</v>
          </cell>
          <cell r="CG730">
            <v>0</v>
          </cell>
          <cell r="CJ730">
            <v>10526.888520710059</v>
          </cell>
          <cell r="CK730">
            <v>358.73048171552972</v>
          </cell>
          <cell r="CL730">
            <v>620.66</v>
          </cell>
          <cell r="CM730">
            <v>0</v>
          </cell>
          <cell r="CN730">
            <v>0</v>
          </cell>
          <cell r="CO730">
            <v>0</v>
          </cell>
          <cell r="CX730">
            <v>0</v>
          </cell>
          <cell r="CY730">
            <v>0</v>
          </cell>
          <cell r="DB730">
            <v>0</v>
          </cell>
          <cell r="DC730">
            <v>0</v>
          </cell>
          <cell r="DJ730" t="str">
            <v>МОС</v>
          </cell>
          <cell r="DL730" t="str">
            <v>Рішення Новояворівської міськради від 09.04.2008 №296, Постанова НКРЕ від 04.07.2013 №869</v>
          </cell>
          <cell r="DM730" t="str">
            <v>869</v>
          </cell>
          <cell r="DT730">
            <v>647.57000000000005</v>
          </cell>
        </row>
        <row r="731">
          <cell r="W731">
            <v>453.75</v>
          </cell>
          <cell r="AF731" t="str">
            <v>25.12.2007</v>
          </cell>
          <cell r="AG731" t="str">
            <v>154; 174</v>
          </cell>
          <cell r="AH731">
            <v>451.84129345538099</v>
          </cell>
          <cell r="AM731">
            <v>3516</v>
          </cell>
          <cell r="AO731">
            <v>1595385</v>
          </cell>
          <cell r="AQ731">
            <v>1588673.9877891196</v>
          </cell>
          <cell r="AU731">
            <v>1449680.4</v>
          </cell>
          <cell r="AW731">
            <v>0</v>
          </cell>
          <cell r="AY731">
            <v>0</v>
          </cell>
          <cell r="AZ731">
            <v>0</v>
          </cell>
          <cell r="BA731">
            <v>0</v>
          </cell>
          <cell r="BB731">
            <v>0</v>
          </cell>
          <cell r="BC731">
            <v>0</v>
          </cell>
          <cell r="BD731">
            <v>0</v>
          </cell>
          <cell r="BG731">
            <v>0</v>
          </cell>
          <cell r="BH731">
            <v>0</v>
          </cell>
          <cell r="BI731">
            <v>5589.8251192368843</v>
          </cell>
          <cell r="BJ731">
            <v>1.589825119236884</v>
          </cell>
          <cell r="BK731">
            <v>0</v>
          </cell>
          <cell r="BL731">
            <v>0</v>
          </cell>
          <cell r="BM731">
            <v>53627.922220863402</v>
          </cell>
          <cell r="BN731">
            <v>15.252537605478784</v>
          </cell>
          <cell r="BO731">
            <v>0</v>
          </cell>
          <cell r="BP731">
            <v>0</v>
          </cell>
          <cell r="BY731">
            <v>1264</v>
          </cell>
          <cell r="CF731">
            <v>0</v>
          </cell>
          <cell r="CG731">
            <v>0</v>
          </cell>
          <cell r="CJ731">
            <v>4041.1114792899407</v>
          </cell>
          <cell r="CK731">
            <v>358.73308802030914</v>
          </cell>
          <cell r="CL731">
            <v>620.66</v>
          </cell>
          <cell r="CM731">
            <v>0</v>
          </cell>
          <cell r="CN731">
            <v>0</v>
          </cell>
          <cell r="CO731">
            <v>0</v>
          </cell>
          <cell r="CX731">
            <v>0</v>
          </cell>
          <cell r="CY731">
            <v>0</v>
          </cell>
          <cell r="DB731">
            <v>0</v>
          </cell>
          <cell r="DC731">
            <v>0</v>
          </cell>
          <cell r="DJ731" t="str">
            <v>МОС</v>
          </cell>
          <cell r="DL731" t="str">
            <v>Рішення Новояворівської міськради від 09.04.2008 №296, Постанова НКРЕ від 04.07.2013 №869</v>
          </cell>
          <cell r="DM731" t="str">
            <v>869</v>
          </cell>
          <cell r="DT731">
            <v>647.57000000000005</v>
          </cell>
        </row>
        <row r="732">
          <cell r="W732">
            <v>199.85</v>
          </cell>
          <cell r="AF732">
            <v>39675</v>
          </cell>
          <cell r="AG732">
            <v>643</v>
          </cell>
          <cell r="AH732">
            <v>181.69275929549903</v>
          </cell>
          <cell r="AM732">
            <v>51100</v>
          </cell>
          <cell r="AO732">
            <v>10212335</v>
          </cell>
          <cell r="AQ732">
            <v>9284500</v>
          </cell>
          <cell r="AU732">
            <v>0</v>
          </cell>
          <cell r="AW732">
            <v>0</v>
          </cell>
          <cell r="AY732">
            <v>6121899.9999999991</v>
          </cell>
          <cell r="AZ732">
            <v>119.80234833659489</v>
          </cell>
          <cell r="BA732">
            <v>0</v>
          </cell>
          <cell r="BB732">
            <v>0</v>
          </cell>
          <cell r="BC732">
            <v>0</v>
          </cell>
          <cell r="BD732">
            <v>0</v>
          </cell>
          <cell r="BG732">
            <v>0</v>
          </cell>
          <cell r="BH732">
            <v>0</v>
          </cell>
          <cell r="BI732">
            <v>934200</v>
          </cell>
          <cell r="BJ732">
            <v>18.281800391389432</v>
          </cell>
          <cell r="BK732">
            <v>0</v>
          </cell>
          <cell r="BL732">
            <v>0</v>
          </cell>
          <cell r="BM732">
            <v>1690700</v>
          </cell>
          <cell r="BN732">
            <v>33.086105675146769</v>
          </cell>
          <cell r="BO732">
            <v>0</v>
          </cell>
          <cell r="BP732">
            <v>0</v>
          </cell>
          <cell r="BY732">
            <v>1585.65</v>
          </cell>
          <cell r="CF732">
            <v>8417.1001090308619</v>
          </cell>
          <cell r="CG732">
            <v>727.31700000000001</v>
          </cell>
          <cell r="CJ732">
            <v>0</v>
          </cell>
          <cell r="CK732">
            <v>0</v>
          </cell>
          <cell r="CL732">
            <v>0</v>
          </cell>
          <cell r="CM732">
            <v>0</v>
          </cell>
          <cell r="CN732">
            <v>0</v>
          </cell>
          <cell r="CO732">
            <v>0</v>
          </cell>
          <cell r="CX732">
            <v>0</v>
          </cell>
          <cell r="CY732">
            <v>0</v>
          </cell>
          <cell r="DB732">
            <v>0</v>
          </cell>
          <cell r="DC732">
            <v>0</v>
          </cell>
          <cell r="DJ732" t="str">
            <v>МОС</v>
          </cell>
          <cell r="DL732">
            <v>40436</v>
          </cell>
          <cell r="DM732">
            <v>257</v>
          </cell>
          <cell r="DO732" t="str">
            <v>тариф на теплову енергію</v>
          </cell>
          <cell r="DT732">
            <v>281.29000000000002</v>
          </cell>
        </row>
        <row r="733">
          <cell r="W733">
            <v>564.71</v>
          </cell>
          <cell r="AF733">
            <v>40434</v>
          </cell>
          <cell r="AG733">
            <v>1638</v>
          </cell>
          <cell r="AH733">
            <v>491.04618656943177</v>
          </cell>
          <cell r="AM733">
            <v>6582</v>
          </cell>
          <cell r="AO733">
            <v>3716921.22</v>
          </cell>
          <cell r="AQ733">
            <v>3232066</v>
          </cell>
          <cell r="AU733">
            <v>0</v>
          </cell>
          <cell r="AW733">
            <v>0</v>
          </cell>
          <cell r="AY733">
            <v>2620615</v>
          </cell>
          <cell r="AZ733">
            <v>398.14873898511092</v>
          </cell>
          <cell r="BA733">
            <v>0</v>
          </cell>
          <cell r="BB733">
            <v>0</v>
          </cell>
          <cell r="BC733">
            <v>0</v>
          </cell>
          <cell r="BD733">
            <v>0</v>
          </cell>
          <cell r="BG733">
            <v>0</v>
          </cell>
          <cell r="BH733">
            <v>0</v>
          </cell>
          <cell r="BI733">
            <v>190616</v>
          </cell>
          <cell r="BJ733">
            <v>28.96019446976603</v>
          </cell>
          <cell r="BK733">
            <v>0</v>
          </cell>
          <cell r="BL733">
            <v>0</v>
          </cell>
          <cell r="BM733">
            <v>345686</v>
          </cell>
          <cell r="BN733">
            <v>52.519902765116989</v>
          </cell>
          <cell r="BO733">
            <v>0</v>
          </cell>
          <cell r="BP733">
            <v>0</v>
          </cell>
          <cell r="BY733">
            <v>2683.33</v>
          </cell>
          <cell r="CF733">
            <v>1063.1556954733178</v>
          </cell>
          <cell r="CG733">
            <v>2464.94</v>
          </cell>
          <cell r="CJ733">
            <v>0</v>
          </cell>
          <cell r="CK733">
            <v>0</v>
          </cell>
          <cell r="CL733">
            <v>0</v>
          </cell>
          <cell r="CM733">
            <v>0</v>
          </cell>
          <cell r="CN733">
            <v>0</v>
          </cell>
          <cell r="CO733">
            <v>0</v>
          </cell>
          <cell r="CX733">
            <v>0</v>
          </cell>
          <cell r="CY733">
            <v>0</v>
          </cell>
          <cell r="DB733">
            <v>0</v>
          </cell>
          <cell r="DC733">
            <v>0</v>
          </cell>
          <cell r="DJ733" t="str">
            <v>НКРКП</v>
          </cell>
          <cell r="DL733">
            <v>40942</v>
          </cell>
          <cell r="DM733">
            <v>39</v>
          </cell>
          <cell r="DT733">
            <v>794.05</v>
          </cell>
        </row>
        <row r="734">
          <cell r="W734">
            <v>638.37</v>
          </cell>
          <cell r="AF734">
            <v>40434</v>
          </cell>
          <cell r="AG734">
            <v>1638</v>
          </cell>
          <cell r="AH734">
            <v>491.04634017904158</v>
          </cell>
          <cell r="AM734">
            <v>1899</v>
          </cell>
          <cell r="AO734">
            <v>1212264.6300000001</v>
          </cell>
          <cell r="AQ734">
            <v>932497</v>
          </cell>
          <cell r="AU734">
            <v>0</v>
          </cell>
          <cell r="AW734">
            <v>0</v>
          </cell>
          <cell r="AY734">
            <v>756085</v>
          </cell>
          <cell r="AZ734">
            <v>398.14902580305426</v>
          </cell>
          <cell r="BA734">
            <v>0</v>
          </cell>
          <cell r="BB734">
            <v>0</v>
          </cell>
          <cell r="BC734">
            <v>0</v>
          </cell>
          <cell r="BD734">
            <v>0</v>
          </cell>
          <cell r="BG734">
            <v>0</v>
          </cell>
          <cell r="BH734">
            <v>0</v>
          </cell>
          <cell r="BI734">
            <v>54995</v>
          </cell>
          <cell r="BJ734">
            <v>28.959978936282255</v>
          </cell>
          <cell r="BK734">
            <v>0</v>
          </cell>
          <cell r="BL734">
            <v>0</v>
          </cell>
          <cell r="BM734">
            <v>99735</v>
          </cell>
          <cell r="BN734">
            <v>52.519747235387044</v>
          </cell>
          <cell r="BO734">
            <v>0</v>
          </cell>
          <cell r="BP734">
            <v>0</v>
          </cell>
          <cell r="BY734">
            <v>2683.33</v>
          </cell>
          <cell r="CF734">
            <v>306.73566090858196</v>
          </cell>
          <cell r="CG734">
            <v>2464.94</v>
          </cell>
          <cell r="CJ734">
            <v>0</v>
          </cell>
          <cell r="CK734">
            <v>0</v>
          </cell>
          <cell r="CL734">
            <v>0</v>
          </cell>
          <cell r="CM734">
            <v>0</v>
          </cell>
          <cell r="CN734">
            <v>0</v>
          </cell>
          <cell r="CO734">
            <v>0</v>
          </cell>
          <cell r="CX734">
            <v>0</v>
          </cell>
          <cell r="CY734">
            <v>0</v>
          </cell>
          <cell r="DB734">
            <v>0</v>
          </cell>
          <cell r="DC734">
            <v>0</v>
          </cell>
          <cell r="DJ734" t="str">
            <v>НКРКП</v>
          </cell>
          <cell r="DL734">
            <v>40942</v>
          </cell>
          <cell r="DM734">
            <v>39</v>
          </cell>
          <cell r="DT734">
            <v>794.05</v>
          </cell>
        </row>
        <row r="735">
          <cell r="W735">
            <v>251.48333333333335</v>
          </cell>
          <cell r="AF735">
            <v>39430</v>
          </cell>
          <cell r="AG735">
            <v>0</v>
          </cell>
          <cell r="AH735">
            <v>249.12999999999997</v>
          </cell>
          <cell r="AM735">
            <v>79638</v>
          </cell>
          <cell r="AO735">
            <v>20027629.700000003</v>
          </cell>
          <cell r="AQ735">
            <v>19840214.939999998</v>
          </cell>
          <cell r="AU735">
            <v>17145265.02</v>
          </cell>
          <cell r="AW735">
            <v>0</v>
          </cell>
          <cell r="AY735">
            <v>0</v>
          </cell>
          <cell r="AZ735">
            <v>0</v>
          </cell>
          <cell r="BA735">
            <v>0</v>
          </cell>
          <cell r="BB735">
            <v>0</v>
          </cell>
          <cell r="BC735">
            <v>0</v>
          </cell>
          <cell r="BD735">
            <v>0</v>
          </cell>
          <cell r="BG735">
            <v>0</v>
          </cell>
          <cell r="BH735">
            <v>0</v>
          </cell>
          <cell r="BI735">
            <v>112289.57999999999</v>
          </cell>
          <cell r="BJ735">
            <v>1.41</v>
          </cell>
          <cell r="BK735">
            <v>0</v>
          </cell>
          <cell r="BL735">
            <v>0</v>
          </cell>
          <cell r="BM735">
            <v>1036886.76</v>
          </cell>
          <cell r="BN735">
            <v>13.02</v>
          </cell>
          <cell r="BO735">
            <v>0</v>
          </cell>
          <cell r="BP735">
            <v>0</v>
          </cell>
          <cell r="BY735">
            <v>927</v>
          </cell>
          <cell r="CF735">
            <v>0</v>
          </cell>
          <cell r="CG735">
            <v>0</v>
          </cell>
          <cell r="CJ735">
            <v>91538</v>
          </cell>
          <cell r="CK735">
            <v>187.30215888483471</v>
          </cell>
          <cell r="CL735">
            <v>192.77</v>
          </cell>
          <cell r="CM735">
            <v>0</v>
          </cell>
          <cell r="CN735">
            <v>0</v>
          </cell>
          <cell r="CO735">
            <v>0</v>
          </cell>
          <cell r="CX735">
            <v>0</v>
          </cell>
          <cell r="CY735">
            <v>0</v>
          </cell>
          <cell r="DB735">
            <v>0</v>
          </cell>
          <cell r="DC735">
            <v>0</v>
          </cell>
          <cell r="DJ735">
            <v>0</v>
          </cell>
          <cell r="DL735" t="str">
            <v>Рішення Новороздільської міської ради від 11.10.2006 №447 (постачання) та від 14.12.2007 №540 (транспортування), Постанова НКРЕ від 26.12.2012 №1754</v>
          </cell>
          <cell r="DM735" t="str">
            <v>1754</v>
          </cell>
          <cell r="DO735" t="str">
            <v>тариф на теплову енергію</v>
          </cell>
          <cell r="DT735">
            <v>244.2</v>
          </cell>
        </row>
        <row r="736">
          <cell r="W736">
            <v>469.41666700000002</v>
          </cell>
          <cell r="AF736">
            <v>39430</v>
          </cell>
          <cell r="AG736">
            <v>0</v>
          </cell>
          <cell r="AH736">
            <v>465.42</v>
          </cell>
          <cell r="AM736">
            <v>8127</v>
          </cell>
          <cell r="AO736">
            <v>3814949.2527090004</v>
          </cell>
          <cell r="AQ736">
            <v>3782468.3400000003</v>
          </cell>
          <cell r="AU736">
            <v>3507450.66</v>
          </cell>
          <cell r="AW736">
            <v>0</v>
          </cell>
          <cell r="AY736">
            <v>0</v>
          </cell>
          <cell r="AZ736">
            <v>0</v>
          </cell>
          <cell r="BA736">
            <v>0</v>
          </cell>
          <cell r="BB736">
            <v>0</v>
          </cell>
          <cell r="BC736">
            <v>0</v>
          </cell>
          <cell r="BD736">
            <v>0</v>
          </cell>
          <cell r="BG736">
            <v>0</v>
          </cell>
          <cell r="BH736">
            <v>0</v>
          </cell>
          <cell r="BI736">
            <v>11459.07</v>
          </cell>
          <cell r="BJ736">
            <v>1.41</v>
          </cell>
          <cell r="BK736">
            <v>0</v>
          </cell>
          <cell r="BL736">
            <v>0</v>
          </cell>
          <cell r="BM736">
            <v>105813.54000000001</v>
          </cell>
          <cell r="BN736">
            <v>13.020000000000001</v>
          </cell>
          <cell r="BO736">
            <v>0</v>
          </cell>
          <cell r="BP736">
            <v>0</v>
          </cell>
          <cell r="BY736">
            <v>927</v>
          </cell>
          <cell r="CF736">
            <v>0</v>
          </cell>
          <cell r="CG736">
            <v>0</v>
          </cell>
          <cell r="CJ736">
            <v>9341.5490654205605</v>
          </cell>
          <cell r="CK736">
            <v>375.4677768576376</v>
          </cell>
          <cell r="CL736">
            <v>626.94000000000005</v>
          </cell>
          <cell r="CM736">
            <v>0</v>
          </cell>
          <cell r="CN736">
            <v>0</v>
          </cell>
          <cell r="CO736">
            <v>0</v>
          </cell>
          <cell r="CX736">
            <v>0</v>
          </cell>
          <cell r="CY736">
            <v>0</v>
          </cell>
          <cell r="DB736">
            <v>0</v>
          </cell>
          <cell r="DC736">
            <v>0</v>
          </cell>
          <cell r="DJ736" t="str">
            <v>МОС</v>
          </cell>
          <cell r="DL736" t="str">
            <v>Рішення Новороздільської міської ради від 11.10.2006 №447 (постачання) та від 14.12.2007 №540 (транспортування), Постанова НКРЕ від 04.07.2013 №866</v>
          </cell>
          <cell r="DM736" t="str">
            <v>866</v>
          </cell>
          <cell r="DT736">
            <v>632.03</v>
          </cell>
        </row>
        <row r="737">
          <cell r="W737">
            <v>472.24166700000001</v>
          </cell>
          <cell r="AF737">
            <v>39430</v>
          </cell>
          <cell r="AG737">
            <v>0</v>
          </cell>
          <cell r="AH737">
            <v>465.42000000000007</v>
          </cell>
          <cell r="AM737">
            <v>3429</v>
          </cell>
          <cell r="AO737">
            <v>1619316.6761430001</v>
          </cell>
          <cell r="AQ737">
            <v>1595925.1800000002</v>
          </cell>
          <cell r="AU737">
            <v>1479887.82</v>
          </cell>
          <cell r="AW737">
            <v>0</v>
          </cell>
          <cell r="AY737">
            <v>0</v>
          </cell>
          <cell r="AZ737">
            <v>0</v>
          </cell>
          <cell r="BA737">
            <v>0</v>
          </cell>
          <cell r="BB737">
            <v>0</v>
          </cell>
          <cell r="BC737">
            <v>0</v>
          </cell>
          <cell r="BD737">
            <v>0</v>
          </cell>
          <cell r="BG737">
            <v>0</v>
          </cell>
          <cell r="BH737">
            <v>0</v>
          </cell>
          <cell r="BI737">
            <v>4834.8899999999994</v>
          </cell>
          <cell r="BJ737">
            <v>1.41</v>
          </cell>
          <cell r="BK737">
            <v>0</v>
          </cell>
          <cell r="BL737">
            <v>0</v>
          </cell>
          <cell r="BM737">
            <v>44645.580000000009</v>
          </cell>
          <cell r="BN737">
            <v>13.020000000000003</v>
          </cell>
          <cell r="BO737">
            <v>0</v>
          </cell>
          <cell r="BP737">
            <v>0</v>
          </cell>
          <cell r="BY737">
            <v>927</v>
          </cell>
          <cell r="CF737">
            <v>0</v>
          </cell>
          <cell r="CG737">
            <v>0</v>
          </cell>
          <cell r="CJ737">
            <v>3941.4509345794395</v>
          </cell>
          <cell r="CK737">
            <v>375.4677768576376</v>
          </cell>
          <cell r="CL737">
            <v>626.94000000000005</v>
          </cell>
          <cell r="CM737">
            <v>0</v>
          </cell>
          <cell r="CN737">
            <v>0</v>
          </cell>
          <cell r="CO737">
            <v>0</v>
          </cell>
          <cell r="CX737">
            <v>0</v>
          </cell>
          <cell r="CY737">
            <v>0</v>
          </cell>
          <cell r="DB737">
            <v>0</v>
          </cell>
          <cell r="DC737">
            <v>0</v>
          </cell>
          <cell r="DJ737" t="str">
            <v>МОС</v>
          </cell>
          <cell r="DL737" t="str">
            <v>Рішення Новороздільської міської ради від 11.10.2006 №447 (постачання) та від 14.12.2007 №540 (транспортування), Постанова НКРЕ від 04.07.2013 №866</v>
          </cell>
          <cell r="DM737" t="str">
            <v>866</v>
          </cell>
          <cell r="DT737">
            <v>634.85</v>
          </cell>
        </row>
        <row r="738">
          <cell r="W738">
            <v>210.04</v>
          </cell>
          <cell r="AF738">
            <v>39714</v>
          </cell>
          <cell r="AG738">
            <v>452</v>
          </cell>
          <cell r="AH738">
            <v>197.21888582533057</v>
          </cell>
          <cell r="AM738">
            <v>10873.34</v>
          </cell>
          <cell r="AO738">
            <v>2283836.3336</v>
          </cell>
          <cell r="AQ738">
            <v>2144428</v>
          </cell>
          <cell r="AU738">
            <v>0</v>
          </cell>
          <cell r="AW738">
            <v>0</v>
          </cell>
          <cell r="AY738">
            <v>1107460.48248</v>
          </cell>
          <cell r="AZ738">
            <v>101.85099357511123</v>
          </cell>
          <cell r="BA738">
            <v>0</v>
          </cell>
          <cell r="BB738">
            <v>0</v>
          </cell>
          <cell r="BC738">
            <v>0</v>
          </cell>
          <cell r="BD738">
            <v>0</v>
          </cell>
          <cell r="BG738">
            <v>0</v>
          </cell>
          <cell r="BH738">
            <v>0</v>
          </cell>
          <cell r="BI738">
            <v>92681</v>
          </cell>
          <cell r="BJ738">
            <v>8.5236918922796487</v>
          </cell>
          <cell r="BK738">
            <v>0</v>
          </cell>
          <cell r="BL738">
            <v>0</v>
          </cell>
          <cell r="BM738">
            <v>797001</v>
          </cell>
          <cell r="BN738">
            <v>73.298636849394939</v>
          </cell>
          <cell r="BO738">
            <v>0</v>
          </cell>
          <cell r="BP738">
            <v>0</v>
          </cell>
          <cell r="BY738">
            <v>2468</v>
          </cell>
          <cell r="CF738">
            <v>1631.1130000000001</v>
          </cell>
          <cell r="CG738">
            <v>678.96</v>
          </cell>
          <cell r="CJ738">
            <v>0</v>
          </cell>
          <cell r="CK738">
            <v>0</v>
          </cell>
          <cell r="CL738">
            <v>0</v>
          </cell>
          <cell r="CM738">
            <v>0</v>
          </cell>
          <cell r="CN738">
            <v>0</v>
          </cell>
          <cell r="CO738">
            <v>0</v>
          </cell>
          <cell r="CX738">
            <v>0</v>
          </cell>
          <cell r="CY738">
            <v>0</v>
          </cell>
          <cell r="DB738">
            <v>0</v>
          </cell>
          <cell r="DC738">
            <v>0</v>
          </cell>
          <cell r="DJ738" t="str">
            <v>МОС</v>
          </cell>
          <cell r="DL738">
            <v>40561</v>
          </cell>
          <cell r="DM738">
            <v>6</v>
          </cell>
          <cell r="DO738" t="str">
            <v>теплова енергія</v>
          </cell>
          <cell r="DT738">
            <v>262.55</v>
          </cell>
        </row>
        <row r="739">
          <cell r="W739">
            <v>754.76</v>
          </cell>
          <cell r="AF739">
            <v>40450</v>
          </cell>
          <cell r="AG739">
            <v>967</v>
          </cell>
          <cell r="AH739">
            <v>692.4405804852729</v>
          </cell>
          <cell r="AM739">
            <v>10769.61</v>
          </cell>
          <cell r="AO739">
            <v>8128470.8436000003</v>
          </cell>
          <cell r="AQ739">
            <v>7457315</v>
          </cell>
          <cell r="AU739">
            <v>0</v>
          </cell>
          <cell r="AW739">
            <v>0</v>
          </cell>
          <cell r="AY739">
            <v>3901309.8368000002</v>
          </cell>
          <cell r="AZ739">
            <v>362.25172840984959</v>
          </cell>
          <cell r="BA739">
            <v>0</v>
          </cell>
          <cell r="BB739">
            <v>0</v>
          </cell>
          <cell r="BC739">
            <v>0</v>
          </cell>
          <cell r="BD739">
            <v>0</v>
          </cell>
          <cell r="BG739">
            <v>0</v>
          </cell>
          <cell r="BH739">
            <v>0</v>
          </cell>
          <cell r="BI739">
            <v>149909</v>
          </cell>
          <cell r="BJ739">
            <v>13.919631258699246</v>
          </cell>
          <cell r="BK739">
            <v>0</v>
          </cell>
          <cell r="BL739">
            <v>0</v>
          </cell>
          <cell r="BM739">
            <v>2947264</v>
          </cell>
          <cell r="BN739">
            <v>273.66487737253249</v>
          </cell>
          <cell r="BO739">
            <v>0</v>
          </cell>
          <cell r="BP739">
            <v>0</v>
          </cell>
          <cell r="BY739">
            <v>3981</v>
          </cell>
          <cell r="CF739">
            <v>1582.72</v>
          </cell>
          <cell r="CG739">
            <v>2464.94</v>
          </cell>
          <cell r="CJ739">
            <v>0</v>
          </cell>
          <cell r="CK739">
            <v>0</v>
          </cell>
          <cell r="CL739">
            <v>0</v>
          </cell>
          <cell r="CM739">
            <v>0</v>
          </cell>
          <cell r="CN739">
            <v>0</v>
          </cell>
          <cell r="CO739">
            <v>0</v>
          </cell>
          <cell r="CX739">
            <v>0</v>
          </cell>
          <cell r="CY739">
            <v>0</v>
          </cell>
          <cell r="DB739">
            <v>0</v>
          </cell>
          <cell r="DC739">
            <v>0</v>
          </cell>
          <cell r="DJ739" t="str">
            <v>НКРКП</v>
          </cell>
          <cell r="DL739">
            <v>40942</v>
          </cell>
          <cell r="DM739">
            <v>44</v>
          </cell>
          <cell r="DT739">
            <v>969.34</v>
          </cell>
        </row>
        <row r="740">
          <cell r="W740">
            <v>816.74</v>
          </cell>
          <cell r="AF740">
            <v>40450</v>
          </cell>
          <cell r="AG740">
            <v>968</v>
          </cell>
          <cell r="AH740">
            <v>680.62486488946536</v>
          </cell>
          <cell r="AM740">
            <v>878.91</v>
          </cell>
          <cell r="AO740">
            <v>717840.9534</v>
          </cell>
          <cell r="AQ740">
            <v>598208</v>
          </cell>
          <cell r="AU740">
            <v>0</v>
          </cell>
          <cell r="AW740">
            <v>0</v>
          </cell>
          <cell r="AY740">
            <v>335544.88738000003</v>
          </cell>
          <cell r="AZ740">
            <v>381.77388740599156</v>
          </cell>
          <cell r="BA740">
            <v>0</v>
          </cell>
          <cell r="BB740">
            <v>0</v>
          </cell>
          <cell r="BC740">
            <v>0</v>
          </cell>
          <cell r="BD740">
            <v>0</v>
          </cell>
          <cell r="BG740">
            <v>0</v>
          </cell>
          <cell r="BH740">
            <v>0</v>
          </cell>
          <cell r="BI740">
            <v>17023</v>
          </cell>
          <cell r="BJ740">
            <v>19.368308472994961</v>
          </cell>
          <cell r="BK740">
            <v>0</v>
          </cell>
          <cell r="BL740">
            <v>0</v>
          </cell>
          <cell r="BM740">
            <v>210430</v>
          </cell>
          <cell r="BN740">
            <v>239.42155624580448</v>
          </cell>
          <cell r="BO740">
            <v>0</v>
          </cell>
          <cell r="BP740">
            <v>0</v>
          </cell>
          <cell r="BY740">
            <v>3981</v>
          </cell>
          <cell r="CF740">
            <v>136.12700000000001</v>
          </cell>
          <cell r="CG740">
            <v>2464.94</v>
          </cell>
          <cell r="CJ740">
            <v>0</v>
          </cell>
          <cell r="CK740">
            <v>0</v>
          </cell>
          <cell r="CL740">
            <v>0</v>
          </cell>
          <cell r="CM740">
            <v>0</v>
          </cell>
          <cell r="CN740">
            <v>0</v>
          </cell>
          <cell r="CO740">
            <v>0</v>
          </cell>
          <cell r="CX740">
            <v>0</v>
          </cell>
          <cell r="CY740">
            <v>0</v>
          </cell>
          <cell r="DB740">
            <v>0</v>
          </cell>
          <cell r="DC740">
            <v>0</v>
          </cell>
          <cell r="DJ740" t="str">
            <v>НКРКП</v>
          </cell>
          <cell r="DL740">
            <v>40942</v>
          </cell>
          <cell r="DM740">
            <v>44</v>
          </cell>
          <cell r="DT740">
            <v>999.9</v>
          </cell>
        </row>
        <row r="741">
          <cell r="W741">
            <v>338.77</v>
          </cell>
          <cell r="AF741">
            <v>39892</v>
          </cell>
          <cell r="AG741">
            <v>1560</v>
          </cell>
          <cell r="AH741">
            <v>397.68</v>
          </cell>
          <cell r="AM741">
            <v>551.70000000000005</v>
          </cell>
          <cell r="AO741">
            <v>186899.40900000001</v>
          </cell>
          <cell r="AQ741">
            <v>219400.05600000001</v>
          </cell>
          <cell r="AU741">
            <v>0</v>
          </cell>
          <cell r="AW741">
            <v>0</v>
          </cell>
          <cell r="AY741">
            <v>69859.525167</v>
          </cell>
          <cell r="AZ741">
            <v>126.62592924959216</v>
          </cell>
          <cell r="BA741">
            <v>0</v>
          </cell>
          <cell r="BB741">
            <v>0</v>
          </cell>
          <cell r="BC741">
            <v>0</v>
          </cell>
          <cell r="BD741">
            <v>0</v>
          </cell>
          <cell r="BG741">
            <v>0</v>
          </cell>
          <cell r="BH741">
            <v>0</v>
          </cell>
          <cell r="BI741">
            <v>20000</v>
          </cell>
          <cell r="BJ741">
            <v>36.251586006887798</v>
          </cell>
          <cell r="BK741">
            <v>0</v>
          </cell>
          <cell r="BL741">
            <v>0</v>
          </cell>
          <cell r="BM741">
            <v>80900</v>
          </cell>
          <cell r="BN741">
            <v>146.63766539786116</v>
          </cell>
          <cell r="BO741">
            <v>0</v>
          </cell>
          <cell r="BP741">
            <v>0</v>
          </cell>
          <cell r="BY741">
            <v>1870.83</v>
          </cell>
          <cell r="CF741">
            <v>96.051000000000002</v>
          </cell>
          <cell r="CG741">
            <v>727.31700000000001</v>
          </cell>
          <cell r="CJ741">
            <v>0</v>
          </cell>
          <cell r="CK741">
            <v>0</v>
          </cell>
          <cell r="CL741">
            <v>0</v>
          </cell>
          <cell r="CM741">
            <v>0</v>
          </cell>
          <cell r="CN741">
            <v>0</v>
          </cell>
          <cell r="CO741">
            <v>0</v>
          </cell>
          <cell r="CX741">
            <v>0</v>
          </cell>
          <cell r="CY741">
            <v>0</v>
          </cell>
          <cell r="DB741">
            <v>0</v>
          </cell>
          <cell r="DC741">
            <v>0</v>
          </cell>
          <cell r="DJ741" t="str">
            <v>НКРЕ</v>
          </cell>
          <cell r="DL741">
            <v>40526</v>
          </cell>
          <cell r="DM741">
            <v>1700</v>
          </cell>
          <cell r="DO741" t="str">
            <v>Тариф на теплову енергію</v>
          </cell>
          <cell r="DT741">
            <v>372.65</v>
          </cell>
        </row>
        <row r="742">
          <cell r="W742">
            <v>700.86</v>
          </cell>
          <cell r="AF742">
            <v>39892</v>
          </cell>
          <cell r="AG742">
            <v>1561</v>
          </cell>
          <cell r="AH742">
            <v>638.49</v>
          </cell>
          <cell r="AM742">
            <v>446.4</v>
          </cell>
          <cell r="AO742">
            <v>312863.90399999998</v>
          </cell>
          <cell r="AQ742">
            <v>285021.93599999999</v>
          </cell>
          <cell r="AU742">
            <v>0</v>
          </cell>
          <cell r="AW742">
            <v>0</v>
          </cell>
          <cell r="AY742">
            <v>166480.67424999998</v>
          </cell>
          <cell r="AZ742">
            <v>372.94057851702507</v>
          </cell>
          <cell r="BA742">
            <v>0</v>
          </cell>
          <cell r="BB742">
            <v>0</v>
          </cell>
          <cell r="BC742">
            <v>0</v>
          </cell>
          <cell r="BD742">
            <v>0</v>
          </cell>
          <cell r="BG742">
            <v>0</v>
          </cell>
          <cell r="BH742">
            <v>0</v>
          </cell>
          <cell r="BI742">
            <v>16200</v>
          </cell>
          <cell r="BJ742">
            <v>36.29032258064516</v>
          </cell>
          <cell r="BK742">
            <v>0</v>
          </cell>
          <cell r="BL742">
            <v>0</v>
          </cell>
          <cell r="BM742">
            <v>64700</v>
          </cell>
          <cell r="BN742">
            <v>144.93727598566309</v>
          </cell>
          <cell r="BO742">
            <v>0</v>
          </cell>
          <cell r="BP742">
            <v>0</v>
          </cell>
          <cell r="BY742">
            <v>1870.83</v>
          </cell>
          <cell r="CF742">
            <v>77.712999999999994</v>
          </cell>
          <cell r="CG742">
            <v>2142.25</v>
          </cell>
          <cell r="CJ742">
            <v>0</v>
          </cell>
          <cell r="CK742">
            <v>0</v>
          </cell>
          <cell r="CL742">
            <v>0</v>
          </cell>
          <cell r="CM742">
            <v>0</v>
          </cell>
          <cell r="CN742">
            <v>0</v>
          </cell>
          <cell r="CO742">
            <v>0</v>
          </cell>
          <cell r="CX742">
            <v>0</v>
          </cell>
          <cell r="CY742">
            <v>0</v>
          </cell>
          <cell r="DB742">
            <v>0</v>
          </cell>
          <cell r="DC742">
            <v>0</v>
          </cell>
          <cell r="DJ742" t="str">
            <v>НКРКП</v>
          </cell>
          <cell r="DL742">
            <v>40816</v>
          </cell>
          <cell r="DM742">
            <v>99</v>
          </cell>
          <cell r="DT742">
            <v>970.02</v>
          </cell>
        </row>
        <row r="743">
          <cell r="W743">
            <v>689.51</v>
          </cell>
          <cell r="AF743">
            <v>39892</v>
          </cell>
          <cell r="AG743">
            <v>1562</v>
          </cell>
          <cell r="AH743">
            <v>571.20000000000005</v>
          </cell>
          <cell r="AM743">
            <v>2.5</v>
          </cell>
          <cell r="AO743">
            <v>1723.7750000000001</v>
          </cell>
          <cell r="AQ743">
            <v>1428</v>
          </cell>
          <cell r="AU743">
            <v>0</v>
          </cell>
          <cell r="AW743">
            <v>0</v>
          </cell>
          <cell r="AY743">
            <v>914.74074999999993</v>
          </cell>
          <cell r="AZ743">
            <v>365.8963</v>
          </cell>
          <cell r="BA743">
            <v>0</v>
          </cell>
          <cell r="BB743">
            <v>0</v>
          </cell>
          <cell r="BC743">
            <v>0</v>
          </cell>
          <cell r="BD743">
            <v>0</v>
          </cell>
          <cell r="BG743">
            <v>0</v>
          </cell>
          <cell r="BH743">
            <v>0</v>
          </cell>
          <cell r="BI743">
            <v>100</v>
          </cell>
          <cell r="BJ743">
            <v>40</v>
          </cell>
          <cell r="BK743">
            <v>0</v>
          </cell>
          <cell r="BL743">
            <v>0</v>
          </cell>
          <cell r="BM743">
            <v>300</v>
          </cell>
          <cell r="BN743">
            <v>120</v>
          </cell>
          <cell r="BO743">
            <v>0</v>
          </cell>
          <cell r="BP743">
            <v>0</v>
          </cell>
          <cell r="BY743">
            <v>1870.83</v>
          </cell>
          <cell r="CF743">
            <v>0.42699999999999999</v>
          </cell>
          <cell r="CG743">
            <v>2142.25</v>
          </cell>
          <cell r="CJ743">
            <v>0</v>
          </cell>
          <cell r="CK743">
            <v>0</v>
          </cell>
          <cell r="CL743">
            <v>0</v>
          </cell>
          <cell r="CM743">
            <v>0</v>
          </cell>
          <cell r="CN743">
            <v>0</v>
          </cell>
          <cell r="CO743">
            <v>0</v>
          </cell>
          <cell r="CX743">
            <v>0</v>
          </cell>
          <cell r="CY743">
            <v>0</v>
          </cell>
          <cell r="DB743">
            <v>0</v>
          </cell>
          <cell r="DC743">
            <v>0</v>
          </cell>
          <cell r="DJ743" t="str">
            <v>НКРКП</v>
          </cell>
          <cell r="DL743">
            <v>40816</v>
          </cell>
          <cell r="DM743">
            <v>99</v>
          </cell>
          <cell r="DT743">
            <v>970.02</v>
          </cell>
        </row>
        <row r="744">
          <cell r="W744">
            <v>821.62</v>
          </cell>
          <cell r="AF744">
            <v>39892</v>
          </cell>
          <cell r="AG744">
            <v>0</v>
          </cell>
          <cell r="AH744">
            <v>831.40000000000009</v>
          </cell>
          <cell r="AM744">
            <v>186.1</v>
          </cell>
          <cell r="AO744">
            <v>152903.48199999999</v>
          </cell>
          <cell r="AQ744">
            <v>154723.54</v>
          </cell>
          <cell r="AU744">
            <v>0</v>
          </cell>
          <cell r="AW744">
            <v>0</v>
          </cell>
          <cell r="AY744">
            <v>59963.719749999997</v>
          </cell>
          <cell r="AZ744">
            <v>322.21235760343899</v>
          </cell>
          <cell r="BA744">
            <v>0</v>
          </cell>
          <cell r="BB744">
            <v>0</v>
          </cell>
          <cell r="BC744">
            <v>0</v>
          </cell>
          <cell r="BD744">
            <v>0</v>
          </cell>
          <cell r="BG744">
            <v>0</v>
          </cell>
          <cell r="BH744">
            <v>0</v>
          </cell>
          <cell r="BI744">
            <v>4500</v>
          </cell>
          <cell r="BJ744">
            <v>24.180548092423429</v>
          </cell>
          <cell r="BK744">
            <v>0</v>
          </cell>
          <cell r="BL744">
            <v>0</v>
          </cell>
          <cell r="BM744">
            <v>71000</v>
          </cell>
          <cell r="BN744">
            <v>381.51531434712524</v>
          </cell>
          <cell r="BO744">
            <v>0</v>
          </cell>
          <cell r="BP744">
            <v>0</v>
          </cell>
          <cell r="BY744">
            <v>1870.83</v>
          </cell>
          <cell r="CF744">
            <v>27.991</v>
          </cell>
          <cell r="CG744">
            <v>2142.25</v>
          </cell>
          <cell r="CJ744">
            <v>0</v>
          </cell>
          <cell r="CK744">
            <v>0</v>
          </cell>
          <cell r="CL744">
            <v>0</v>
          </cell>
          <cell r="CM744">
            <v>0</v>
          </cell>
          <cell r="CN744">
            <v>0</v>
          </cell>
          <cell r="CO744">
            <v>0</v>
          </cell>
          <cell r="CX744">
            <v>0</v>
          </cell>
          <cell r="CY744">
            <v>0</v>
          </cell>
          <cell r="DB744">
            <v>0</v>
          </cell>
          <cell r="DC744">
            <v>0</v>
          </cell>
          <cell r="DJ744" t="str">
            <v>НКРЕ</v>
          </cell>
          <cell r="DL744">
            <v>40816</v>
          </cell>
          <cell r="DM744">
            <v>99</v>
          </cell>
          <cell r="DT744">
            <v>999.9</v>
          </cell>
        </row>
        <row r="745">
          <cell r="W745">
            <v>778.95</v>
          </cell>
          <cell r="AF745">
            <v>39892</v>
          </cell>
          <cell r="AG745">
            <v>1564</v>
          </cell>
          <cell r="AH745">
            <v>792.73</v>
          </cell>
          <cell r="AM745">
            <v>204.6</v>
          </cell>
          <cell r="AO745">
            <v>159373.17000000001</v>
          </cell>
          <cell r="AQ745">
            <v>162192.55799999999</v>
          </cell>
          <cell r="AU745">
            <v>0</v>
          </cell>
          <cell r="AW745">
            <v>0</v>
          </cell>
          <cell r="AY745">
            <v>65185.566500000001</v>
          </cell>
          <cell r="AZ745">
            <v>318.60003176930599</v>
          </cell>
          <cell r="BA745">
            <v>0</v>
          </cell>
          <cell r="BB745">
            <v>0</v>
          </cell>
          <cell r="BC745">
            <v>0</v>
          </cell>
          <cell r="BD745">
            <v>0</v>
          </cell>
          <cell r="BG745">
            <v>0</v>
          </cell>
          <cell r="BH745">
            <v>0</v>
          </cell>
          <cell r="BI745">
            <v>2700</v>
          </cell>
          <cell r="BJ745">
            <v>13.196480938416423</v>
          </cell>
          <cell r="BK745">
            <v>0</v>
          </cell>
          <cell r="BL745">
            <v>0</v>
          </cell>
          <cell r="BM745">
            <v>73100</v>
          </cell>
          <cell r="BN745">
            <v>357.28250244379279</v>
          </cell>
          <cell r="BO745">
            <v>0</v>
          </cell>
          <cell r="BP745">
            <v>0</v>
          </cell>
          <cell r="BY745">
            <v>1870.83</v>
          </cell>
          <cell r="CF745">
            <v>30.385999999999999</v>
          </cell>
          <cell r="CG745">
            <v>2145.25</v>
          </cell>
          <cell r="CJ745">
            <v>0</v>
          </cell>
          <cell r="CK745">
            <v>0</v>
          </cell>
          <cell r="CL745">
            <v>0</v>
          </cell>
          <cell r="CM745">
            <v>0</v>
          </cell>
          <cell r="CN745">
            <v>0</v>
          </cell>
          <cell r="CO745">
            <v>0</v>
          </cell>
          <cell r="CX745">
            <v>0</v>
          </cell>
          <cell r="CY745">
            <v>0</v>
          </cell>
          <cell r="DB745">
            <v>0</v>
          </cell>
          <cell r="DC745">
            <v>0</v>
          </cell>
          <cell r="DJ745" t="str">
            <v>НКРЕ</v>
          </cell>
          <cell r="DL745">
            <v>40816</v>
          </cell>
          <cell r="DM745">
            <v>99</v>
          </cell>
          <cell r="DT745">
            <v>999.9</v>
          </cell>
        </row>
        <row r="746">
          <cell r="W746">
            <v>798.82</v>
          </cell>
          <cell r="AF746">
            <v>39892</v>
          </cell>
          <cell r="AG746">
            <v>1565</v>
          </cell>
          <cell r="AH746">
            <v>764.63</v>
          </cell>
          <cell r="AM746">
            <v>210</v>
          </cell>
          <cell r="AO746">
            <v>167752.20000000001</v>
          </cell>
          <cell r="AQ746">
            <v>160572.29999999999</v>
          </cell>
          <cell r="AU746">
            <v>0</v>
          </cell>
          <cell r="AW746">
            <v>0</v>
          </cell>
          <cell r="AY746">
            <v>70482.167250000013</v>
          </cell>
          <cell r="AZ746">
            <v>335.62936785714294</v>
          </cell>
          <cell r="BA746">
            <v>0</v>
          </cell>
          <cell r="BB746">
            <v>0</v>
          </cell>
          <cell r="BC746">
            <v>0</v>
          </cell>
          <cell r="BD746">
            <v>0</v>
          </cell>
          <cell r="BG746">
            <v>0</v>
          </cell>
          <cell r="BH746">
            <v>0</v>
          </cell>
          <cell r="BI746">
            <v>9100</v>
          </cell>
          <cell r="BJ746">
            <v>43.333333333333336</v>
          </cell>
          <cell r="BK746">
            <v>0</v>
          </cell>
          <cell r="BL746">
            <v>0</v>
          </cell>
          <cell r="BM746">
            <v>72600</v>
          </cell>
          <cell r="BN746">
            <v>345.71428571428572</v>
          </cell>
          <cell r="BO746">
            <v>0</v>
          </cell>
          <cell r="BP746">
            <v>0</v>
          </cell>
          <cell r="BY746">
            <v>1870.83</v>
          </cell>
          <cell r="CF746">
            <v>32.901000000000003</v>
          </cell>
          <cell r="CG746">
            <v>2142.25</v>
          </cell>
          <cell r="CJ746">
            <v>0</v>
          </cell>
          <cell r="CK746">
            <v>0</v>
          </cell>
          <cell r="CL746">
            <v>0</v>
          </cell>
          <cell r="CM746">
            <v>0</v>
          </cell>
          <cell r="CN746">
            <v>0</v>
          </cell>
          <cell r="CO746">
            <v>0</v>
          </cell>
          <cell r="CX746">
            <v>0</v>
          </cell>
          <cell r="CY746">
            <v>0</v>
          </cell>
          <cell r="DB746">
            <v>0</v>
          </cell>
          <cell r="DC746">
            <v>0</v>
          </cell>
          <cell r="DJ746" t="str">
            <v>НКРЕ</v>
          </cell>
          <cell r="DL746">
            <v>40816</v>
          </cell>
          <cell r="DM746">
            <v>99</v>
          </cell>
          <cell r="DT746">
            <v>999.9</v>
          </cell>
        </row>
        <row r="747">
          <cell r="W747">
            <v>261.1583333333333</v>
          </cell>
          <cell r="AF747">
            <v>39892</v>
          </cell>
          <cell r="AG747">
            <v>1557</v>
          </cell>
          <cell r="AH747">
            <v>278.67445476985</v>
          </cell>
          <cell r="AM747">
            <v>7892.7219999999998</v>
          </cell>
          <cell r="AO747">
            <v>2061250.122983333</v>
          </cell>
          <cell r="AQ747">
            <v>2199500</v>
          </cell>
          <cell r="AU747">
            <v>0</v>
          </cell>
          <cell r="AW747">
            <v>0</v>
          </cell>
          <cell r="AY747">
            <v>915230.98402199999</v>
          </cell>
          <cell r="AZ747">
            <v>115.95885222132492</v>
          </cell>
          <cell r="BA747">
            <v>0</v>
          </cell>
          <cell r="BB747">
            <v>0</v>
          </cell>
          <cell r="BC747">
            <v>0</v>
          </cell>
          <cell r="BD747">
            <v>0</v>
          </cell>
          <cell r="BG747">
            <v>0</v>
          </cell>
          <cell r="BH747">
            <v>0</v>
          </cell>
          <cell r="BI747">
            <v>136100</v>
          </cell>
          <cell r="BJ747">
            <v>17.243734164208494</v>
          </cell>
          <cell r="BK747">
            <v>0</v>
          </cell>
          <cell r="BL747">
            <v>0</v>
          </cell>
          <cell r="BM747">
            <v>820800</v>
          </cell>
          <cell r="BN747">
            <v>103.99454079340435</v>
          </cell>
          <cell r="BO747">
            <v>0</v>
          </cell>
          <cell r="BP747">
            <v>0</v>
          </cell>
          <cell r="BY747">
            <v>1870.83</v>
          </cell>
          <cell r="CF747">
            <v>1258.366</v>
          </cell>
          <cell r="CG747">
            <v>727.31700000000001</v>
          </cell>
          <cell r="CJ747">
            <v>0</v>
          </cell>
          <cell r="CK747">
            <v>0</v>
          </cell>
          <cell r="CL747">
            <v>0</v>
          </cell>
          <cell r="CM747">
            <v>0</v>
          </cell>
          <cell r="CN747">
            <v>0</v>
          </cell>
          <cell r="CO747">
            <v>0</v>
          </cell>
          <cell r="CX747">
            <v>0</v>
          </cell>
          <cell r="CY747">
            <v>0</v>
          </cell>
          <cell r="DB747">
            <v>0</v>
          </cell>
          <cell r="DC747">
            <v>0</v>
          </cell>
          <cell r="DJ747" t="str">
            <v>НКРЕ</v>
          </cell>
          <cell r="DL747">
            <v>40526</v>
          </cell>
          <cell r="DM747">
            <v>1700</v>
          </cell>
          <cell r="DO747" t="str">
            <v>Тариф на теплову енергію</v>
          </cell>
          <cell r="DT747">
            <v>287.27999999999997</v>
          </cell>
        </row>
        <row r="748">
          <cell r="W748">
            <v>604.85833333333335</v>
          </cell>
          <cell r="AF748">
            <v>39892</v>
          </cell>
          <cell r="AG748">
            <v>1558</v>
          </cell>
          <cell r="AH748">
            <v>504.50289963555434</v>
          </cell>
          <cell r="AM748">
            <v>3502.8539999999998</v>
          </cell>
          <cell r="AO748">
            <v>2118730.4323499999</v>
          </cell>
          <cell r="AQ748">
            <v>1767200</v>
          </cell>
          <cell r="AU748">
            <v>0</v>
          </cell>
          <cell r="AW748">
            <v>0</v>
          </cell>
          <cell r="AY748">
            <v>1205684.007</v>
          </cell>
          <cell r="AZ748">
            <v>344.2004739563796</v>
          </cell>
          <cell r="BA748">
            <v>0</v>
          </cell>
          <cell r="BB748">
            <v>0</v>
          </cell>
          <cell r="BC748">
            <v>0</v>
          </cell>
          <cell r="BD748">
            <v>0</v>
          </cell>
          <cell r="BG748">
            <v>0</v>
          </cell>
          <cell r="BH748">
            <v>0</v>
          </cell>
          <cell r="BI748">
            <v>60400</v>
          </cell>
          <cell r="BJ748">
            <v>17.243082355130987</v>
          </cell>
          <cell r="BK748">
            <v>0</v>
          </cell>
          <cell r="BL748">
            <v>0</v>
          </cell>
          <cell r="BM748">
            <v>391900</v>
          </cell>
          <cell r="BN748">
            <v>111.88019826118931</v>
          </cell>
          <cell r="BO748">
            <v>0</v>
          </cell>
          <cell r="BP748">
            <v>0</v>
          </cell>
          <cell r="BY748">
            <v>1870.83</v>
          </cell>
          <cell r="CF748">
            <v>562.81200000000001</v>
          </cell>
          <cell r="CG748">
            <v>2142.25</v>
          </cell>
          <cell r="CJ748">
            <v>0</v>
          </cell>
          <cell r="CK748">
            <v>0</v>
          </cell>
          <cell r="CL748">
            <v>0</v>
          </cell>
          <cell r="CM748">
            <v>0</v>
          </cell>
          <cell r="CN748">
            <v>0</v>
          </cell>
          <cell r="CO748">
            <v>0</v>
          </cell>
          <cell r="CX748">
            <v>0</v>
          </cell>
          <cell r="CY748">
            <v>0</v>
          </cell>
          <cell r="DB748">
            <v>0</v>
          </cell>
          <cell r="DC748">
            <v>0</v>
          </cell>
          <cell r="DJ748" t="str">
            <v>НКРЕ</v>
          </cell>
          <cell r="DL748">
            <v>40816</v>
          </cell>
          <cell r="DM748">
            <v>99</v>
          </cell>
          <cell r="DT748">
            <v>863.49</v>
          </cell>
        </row>
        <row r="749">
          <cell r="W749">
            <v>605.82000000000005</v>
          </cell>
          <cell r="AF749">
            <v>39892</v>
          </cell>
          <cell r="AG749">
            <v>1559</v>
          </cell>
          <cell r="AH749">
            <v>506.02466666863893</v>
          </cell>
          <cell r="AM749">
            <v>676.05399999999997</v>
          </cell>
          <cell r="AO749">
            <v>409567.03428000002</v>
          </cell>
          <cell r="AQ749">
            <v>342100</v>
          </cell>
          <cell r="AU749">
            <v>0</v>
          </cell>
          <cell r="AW749">
            <v>0</v>
          </cell>
          <cell r="AY749">
            <v>233344.58124999999</v>
          </cell>
          <cell r="AZ749">
            <v>345.15672009928198</v>
          </cell>
          <cell r="BA749">
            <v>0</v>
          </cell>
          <cell r="BB749">
            <v>0</v>
          </cell>
          <cell r="BC749">
            <v>0</v>
          </cell>
          <cell r="BD749">
            <v>0</v>
          </cell>
          <cell r="BG749">
            <v>0</v>
          </cell>
          <cell r="BH749">
            <v>0</v>
          </cell>
          <cell r="BI749">
            <v>11600</v>
          </cell>
          <cell r="BJ749">
            <v>17.15839267277466</v>
          </cell>
          <cell r="BK749">
            <v>0</v>
          </cell>
          <cell r="BL749">
            <v>0</v>
          </cell>
          <cell r="BM749">
            <v>75500</v>
          </cell>
          <cell r="BN749">
            <v>111.67746955124886</v>
          </cell>
          <cell r="BO749">
            <v>0</v>
          </cell>
          <cell r="BP749">
            <v>0</v>
          </cell>
          <cell r="BY749">
            <v>1870.83</v>
          </cell>
          <cell r="CF749">
            <v>108.925</v>
          </cell>
          <cell r="CG749">
            <v>2142.25</v>
          </cell>
          <cell r="CJ749">
            <v>0</v>
          </cell>
          <cell r="CK749">
            <v>0</v>
          </cell>
          <cell r="CL749">
            <v>0</v>
          </cell>
          <cell r="CM749">
            <v>0</v>
          </cell>
          <cell r="CN749">
            <v>0</v>
          </cell>
          <cell r="CO749">
            <v>0</v>
          </cell>
          <cell r="CX749">
            <v>0</v>
          </cell>
          <cell r="CY749">
            <v>0</v>
          </cell>
          <cell r="DB749">
            <v>0</v>
          </cell>
          <cell r="DC749">
            <v>0</v>
          </cell>
          <cell r="DJ749" t="str">
            <v>НКРЕ</v>
          </cell>
          <cell r="DL749">
            <v>40816</v>
          </cell>
          <cell r="DM749">
            <v>99</v>
          </cell>
          <cell r="DT749">
            <v>865.19</v>
          </cell>
        </row>
        <row r="750">
          <cell r="W750">
            <v>720.03</v>
          </cell>
          <cell r="AF750">
            <v>39892</v>
          </cell>
          <cell r="AG750">
            <v>1566</v>
          </cell>
          <cell r="AH750">
            <v>715.49</v>
          </cell>
          <cell r="AM750">
            <v>250.7</v>
          </cell>
          <cell r="AO750">
            <v>180511.52099999998</v>
          </cell>
          <cell r="AQ750">
            <v>179373.34299999999</v>
          </cell>
          <cell r="AU750">
            <v>0</v>
          </cell>
          <cell r="AW750">
            <v>0</v>
          </cell>
          <cell r="AY750">
            <v>84820.246500000008</v>
          </cell>
          <cell r="AZ750">
            <v>338.33365177502998</v>
          </cell>
          <cell r="BA750">
            <v>0</v>
          </cell>
          <cell r="BB750">
            <v>0</v>
          </cell>
          <cell r="BC750">
            <v>0</v>
          </cell>
          <cell r="BD750">
            <v>0</v>
          </cell>
          <cell r="BG750">
            <v>0</v>
          </cell>
          <cell r="BH750">
            <v>0</v>
          </cell>
          <cell r="BI750">
            <v>1300</v>
          </cell>
          <cell r="BJ750">
            <v>5.1854806541683285</v>
          </cell>
          <cell r="BK750">
            <v>0</v>
          </cell>
          <cell r="BL750">
            <v>0</v>
          </cell>
          <cell r="BM750">
            <v>74400</v>
          </cell>
          <cell r="BN750">
            <v>296.76904666932592</v>
          </cell>
          <cell r="BO750">
            <v>0</v>
          </cell>
          <cell r="BP750">
            <v>0</v>
          </cell>
          <cell r="BY750">
            <v>1870.83</v>
          </cell>
          <cell r="CF750">
            <v>39.594000000000001</v>
          </cell>
          <cell r="CG750">
            <v>2142.25</v>
          </cell>
          <cell r="CJ750">
            <v>0</v>
          </cell>
          <cell r="CK750">
            <v>0</v>
          </cell>
          <cell r="CL750">
            <v>0</v>
          </cell>
          <cell r="CM750">
            <v>0</v>
          </cell>
          <cell r="CN750">
            <v>0</v>
          </cell>
          <cell r="CO750">
            <v>0</v>
          </cell>
          <cell r="CX750">
            <v>0</v>
          </cell>
          <cell r="CY750">
            <v>0</v>
          </cell>
          <cell r="DB750">
            <v>0</v>
          </cell>
          <cell r="DC750">
            <v>0</v>
          </cell>
          <cell r="DJ750" t="str">
            <v>НКРЕ</v>
          </cell>
          <cell r="DL750">
            <v>40816</v>
          </cell>
          <cell r="DM750">
            <v>99</v>
          </cell>
          <cell r="DT750">
            <v>974.12</v>
          </cell>
        </row>
        <row r="751">
          <cell r="W751">
            <v>1204.76</v>
          </cell>
          <cell r="AF751">
            <v>40422</v>
          </cell>
          <cell r="AG751">
            <v>2211</v>
          </cell>
          <cell r="AH751">
            <v>1047.6199999999999</v>
          </cell>
          <cell r="AM751">
            <v>235.2</v>
          </cell>
          <cell r="AO751">
            <v>283359.55199999997</v>
          </cell>
          <cell r="AQ751">
            <v>246400.22399999996</v>
          </cell>
          <cell r="AU751">
            <v>0</v>
          </cell>
          <cell r="AW751">
            <v>0</v>
          </cell>
          <cell r="AY751">
            <v>87968.778720000002</v>
          </cell>
          <cell r="AZ751">
            <v>374.01691632653063</v>
          </cell>
          <cell r="BA751">
            <v>0</v>
          </cell>
          <cell r="BB751">
            <v>0</v>
          </cell>
          <cell r="BC751">
            <v>0</v>
          </cell>
          <cell r="BD751">
            <v>0</v>
          </cell>
          <cell r="BG751">
            <v>0</v>
          </cell>
          <cell r="BH751">
            <v>0</v>
          </cell>
          <cell r="BI751">
            <v>1500</v>
          </cell>
          <cell r="BJ751">
            <v>6.3775510204081636</v>
          </cell>
          <cell r="BK751">
            <v>0</v>
          </cell>
          <cell r="BL751">
            <v>0</v>
          </cell>
          <cell r="BM751">
            <v>97800</v>
          </cell>
          <cell r="BN751">
            <v>415.81632653061229</v>
          </cell>
          <cell r="BO751">
            <v>0</v>
          </cell>
          <cell r="BP751">
            <v>0</v>
          </cell>
          <cell r="BY751">
            <v>2531.5300000000002</v>
          </cell>
          <cell r="CF751">
            <v>35.688000000000002</v>
          </cell>
          <cell r="CG751">
            <v>2464.94</v>
          </cell>
          <cell r="CJ751">
            <v>0</v>
          </cell>
          <cell r="CK751">
            <v>0</v>
          </cell>
          <cell r="CL751">
            <v>0</v>
          </cell>
          <cell r="CM751">
            <v>0</v>
          </cell>
          <cell r="CN751">
            <v>0</v>
          </cell>
          <cell r="CO751">
            <v>0</v>
          </cell>
          <cell r="CX751">
            <v>0</v>
          </cell>
          <cell r="CY751">
            <v>0</v>
          </cell>
          <cell r="DB751">
            <v>0</v>
          </cell>
          <cell r="DC751">
            <v>0</v>
          </cell>
          <cell r="DJ751" t="str">
            <v>МОС</v>
          </cell>
          <cell r="DL751">
            <v>40458</v>
          </cell>
          <cell r="DM751">
            <v>0</v>
          </cell>
          <cell r="DT751">
            <v>1204.76</v>
          </cell>
        </row>
        <row r="752">
          <cell r="W752">
            <v>1451.47</v>
          </cell>
          <cell r="AF752">
            <v>40422</v>
          </cell>
          <cell r="AG752">
            <v>2212</v>
          </cell>
          <cell r="AH752">
            <v>1262.1199999999999</v>
          </cell>
          <cell r="AM752">
            <v>177.4</v>
          </cell>
          <cell r="AO752">
            <v>257490.77800000002</v>
          </cell>
          <cell r="AQ752">
            <v>223900.08799999999</v>
          </cell>
          <cell r="AU752">
            <v>0</v>
          </cell>
          <cell r="AW752">
            <v>0</v>
          </cell>
          <cell r="AY752">
            <v>73615.433099999995</v>
          </cell>
          <cell r="AZ752">
            <v>414.96861950394583</v>
          </cell>
          <cell r="BA752">
            <v>0</v>
          </cell>
          <cell r="BB752">
            <v>0</v>
          </cell>
          <cell r="BC752">
            <v>0</v>
          </cell>
          <cell r="BD752">
            <v>0</v>
          </cell>
          <cell r="BG752">
            <v>0</v>
          </cell>
          <cell r="BH752">
            <v>0</v>
          </cell>
          <cell r="BI752">
            <v>1500</v>
          </cell>
          <cell r="BJ752">
            <v>8.4554678692220975</v>
          </cell>
          <cell r="BK752">
            <v>0</v>
          </cell>
          <cell r="BL752">
            <v>0</v>
          </cell>
          <cell r="BM752">
            <v>90900</v>
          </cell>
          <cell r="BN752">
            <v>512.40135287485907</v>
          </cell>
          <cell r="BO752">
            <v>0</v>
          </cell>
          <cell r="BP752">
            <v>0</v>
          </cell>
          <cell r="BY752">
            <v>2531.5300000000002</v>
          </cell>
          <cell r="CF752">
            <v>29.864999999999998</v>
          </cell>
          <cell r="CG752">
            <v>2464.94</v>
          </cell>
          <cell r="CJ752">
            <v>0</v>
          </cell>
          <cell r="CK752">
            <v>0</v>
          </cell>
          <cell r="CL752">
            <v>0</v>
          </cell>
          <cell r="CM752">
            <v>0</v>
          </cell>
          <cell r="CN752">
            <v>0</v>
          </cell>
          <cell r="CO752">
            <v>0</v>
          </cell>
          <cell r="CX752">
            <v>0</v>
          </cell>
          <cell r="CY752">
            <v>0</v>
          </cell>
          <cell r="DB752">
            <v>0</v>
          </cell>
          <cell r="DC752">
            <v>0</v>
          </cell>
          <cell r="DJ752" t="str">
            <v>МОС</v>
          </cell>
          <cell r="DL752">
            <v>40458</v>
          </cell>
          <cell r="DM752">
            <v>0</v>
          </cell>
          <cell r="DT752">
            <v>1451.47</v>
          </cell>
        </row>
        <row r="753">
          <cell r="W753">
            <v>304.7</v>
          </cell>
          <cell r="AF753">
            <v>40455</v>
          </cell>
          <cell r="AG753">
            <v>2404</v>
          </cell>
          <cell r="AH753">
            <v>297.91181921870543</v>
          </cell>
          <cell r="AM753">
            <v>14028</v>
          </cell>
          <cell r="AO753">
            <v>4274331.5999999996</v>
          </cell>
          <cell r="AQ753">
            <v>4179107</v>
          </cell>
          <cell r="AU753">
            <v>0</v>
          </cell>
          <cell r="AW753">
            <v>0</v>
          </cell>
          <cell r="AY753">
            <v>2413182.9</v>
          </cell>
          <cell r="AZ753">
            <v>172.02615483319076</v>
          </cell>
          <cell r="BA753">
            <v>0</v>
          </cell>
          <cell r="BB753">
            <v>0</v>
          </cell>
          <cell r="BC753">
            <v>0</v>
          </cell>
          <cell r="BD753">
            <v>0</v>
          </cell>
          <cell r="BG753">
            <v>0</v>
          </cell>
          <cell r="BH753">
            <v>0</v>
          </cell>
          <cell r="BI753">
            <v>206015</v>
          </cell>
          <cell r="BJ753">
            <v>14.685985172512119</v>
          </cell>
          <cell r="BK753">
            <v>0</v>
          </cell>
          <cell r="BL753">
            <v>0</v>
          </cell>
          <cell r="BM753">
            <v>1277415</v>
          </cell>
          <cell r="BN753">
            <v>91.061804961505558</v>
          </cell>
          <cell r="BO753">
            <v>0</v>
          </cell>
          <cell r="BP753">
            <v>0</v>
          </cell>
          <cell r="BY753">
            <v>2791</v>
          </cell>
          <cell r="CF753">
            <v>2211.9</v>
          </cell>
          <cell r="CG753">
            <v>1091</v>
          </cell>
          <cell r="CJ753">
            <v>0</v>
          </cell>
          <cell r="CK753">
            <v>297.91000000000003</v>
          </cell>
          <cell r="CL753">
            <v>0</v>
          </cell>
          <cell r="CM753">
            <v>0</v>
          </cell>
          <cell r="CN753">
            <v>0</v>
          </cell>
          <cell r="CO753">
            <v>0</v>
          </cell>
          <cell r="CX753">
            <v>0</v>
          </cell>
          <cell r="CY753">
            <v>0</v>
          </cell>
          <cell r="DB753">
            <v>0</v>
          </cell>
          <cell r="DC753">
            <v>0</v>
          </cell>
          <cell r="DJ753" t="str">
            <v>МОС</v>
          </cell>
          <cell r="DL753">
            <v>40521</v>
          </cell>
          <cell r="DM753">
            <v>1</v>
          </cell>
          <cell r="DO753" t="str">
            <v>тариф на послугу теплопостачання</v>
          </cell>
          <cell r="DT753">
            <v>304.7</v>
          </cell>
        </row>
        <row r="754">
          <cell r="W754">
            <v>930.51</v>
          </cell>
          <cell r="AF754">
            <v>40765</v>
          </cell>
          <cell r="AG754">
            <v>2643</v>
          </cell>
          <cell r="AH754">
            <v>809.14292980671416</v>
          </cell>
          <cell r="AM754">
            <v>7864</v>
          </cell>
          <cell r="AO754">
            <v>7317530.6399999997</v>
          </cell>
          <cell r="AQ754">
            <v>6363100</v>
          </cell>
          <cell r="AU754">
            <v>0</v>
          </cell>
          <cell r="AW754">
            <v>0</v>
          </cell>
          <cell r="AY754">
            <v>4163800</v>
          </cell>
          <cell r="AZ754">
            <v>529.47609359104786</v>
          </cell>
          <cell r="BA754">
            <v>0</v>
          </cell>
          <cell r="BB754">
            <v>0</v>
          </cell>
          <cell r="BC754">
            <v>0</v>
          </cell>
          <cell r="BD754">
            <v>0</v>
          </cell>
          <cell r="BG754">
            <v>0</v>
          </cell>
          <cell r="BH754">
            <v>0</v>
          </cell>
          <cell r="BI754">
            <v>155100</v>
          </cell>
          <cell r="BJ754">
            <v>19.722787385554426</v>
          </cell>
          <cell r="BK754">
            <v>0</v>
          </cell>
          <cell r="BL754">
            <v>0</v>
          </cell>
          <cell r="BM754">
            <v>1734105</v>
          </cell>
          <cell r="BN754">
            <v>220.51182604272634</v>
          </cell>
          <cell r="BO754">
            <v>0</v>
          </cell>
          <cell r="BP754">
            <v>0</v>
          </cell>
          <cell r="BY754">
            <v>2791</v>
          </cell>
          <cell r="CF754">
            <v>1235.9267075693758</v>
          </cell>
          <cell r="CG754">
            <v>3368.97</v>
          </cell>
          <cell r="CJ754">
            <v>0</v>
          </cell>
          <cell r="CK754">
            <v>809.14</v>
          </cell>
          <cell r="CL754">
            <v>0</v>
          </cell>
          <cell r="CM754">
            <v>0</v>
          </cell>
          <cell r="CN754">
            <v>0</v>
          </cell>
          <cell r="CO754">
            <v>0</v>
          </cell>
          <cell r="CX754">
            <v>0</v>
          </cell>
          <cell r="CY754">
            <v>0</v>
          </cell>
          <cell r="DB754">
            <v>0</v>
          </cell>
          <cell r="DC754">
            <v>0</v>
          </cell>
          <cell r="DJ754" t="str">
            <v>МОС</v>
          </cell>
          <cell r="DL754">
            <v>40829</v>
          </cell>
          <cell r="DM754">
            <v>3</v>
          </cell>
          <cell r="DT754">
            <v>930.51</v>
          </cell>
        </row>
        <row r="755">
          <cell r="W755">
            <v>993.52</v>
          </cell>
          <cell r="AF755">
            <v>40765</v>
          </cell>
          <cell r="AG755">
            <v>2644</v>
          </cell>
          <cell r="AH755">
            <v>662.40126382306482</v>
          </cell>
          <cell r="AM755">
            <v>633</v>
          </cell>
          <cell r="AO755">
            <v>628898.16</v>
          </cell>
          <cell r="AQ755">
            <v>419300</v>
          </cell>
          <cell r="AU755">
            <v>0</v>
          </cell>
          <cell r="AW755">
            <v>0</v>
          </cell>
          <cell r="AY755">
            <v>337300</v>
          </cell>
          <cell r="AZ755">
            <v>532.85939968404421</v>
          </cell>
          <cell r="BA755">
            <v>0</v>
          </cell>
          <cell r="BB755">
            <v>0</v>
          </cell>
          <cell r="BC755">
            <v>0</v>
          </cell>
          <cell r="BD755">
            <v>0</v>
          </cell>
          <cell r="BG755">
            <v>0</v>
          </cell>
          <cell r="BH755">
            <v>0</v>
          </cell>
          <cell r="BI755">
            <v>11300</v>
          </cell>
          <cell r="BJ755">
            <v>17.851500789889414</v>
          </cell>
          <cell r="BK755">
            <v>0</v>
          </cell>
          <cell r="BL755">
            <v>0</v>
          </cell>
          <cell r="BM755">
            <v>57800</v>
          </cell>
          <cell r="BN755">
            <v>91.31121642969984</v>
          </cell>
          <cell r="BO755">
            <v>0</v>
          </cell>
          <cell r="BP755">
            <v>0</v>
          </cell>
          <cell r="BY755">
            <v>2791</v>
          </cell>
          <cell r="CF755">
            <v>100.1196211304939</v>
          </cell>
          <cell r="CG755">
            <v>3368.97</v>
          </cell>
          <cell r="CJ755">
            <v>0</v>
          </cell>
          <cell r="CK755">
            <v>662.4</v>
          </cell>
          <cell r="CL755">
            <v>0</v>
          </cell>
          <cell r="CM755">
            <v>0</v>
          </cell>
          <cell r="CN755">
            <v>0</v>
          </cell>
          <cell r="CO755">
            <v>0</v>
          </cell>
          <cell r="CX755">
            <v>0</v>
          </cell>
          <cell r="CY755">
            <v>0</v>
          </cell>
          <cell r="DB755">
            <v>0</v>
          </cell>
          <cell r="DC755">
            <v>0</v>
          </cell>
          <cell r="DJ755" t="str">
            <v>МОС</v>
          </cell>
          <cell r="DL755">
            <v>40829</v>
          </cell>
          <cell r="DM755">
            <v>3</v>
          </cell>
          <cell r="DT755">
            <v>993.52</v>
          </cell>
        </row>
        <row r="756">
          <cell r="W756">
            <v>930.52</v>
          </cell>
          <cell r="AF756">
            <v>40765</v>
          </cell>
          <cell r="AG756">
            <v>2646</v>
          </cell>
          <cell r="AH756">
            <v>809.13705583756348</v>
          </cell>
          <cell r="AM756">
            <v>1576</v>
          </cell>
          <cell r="AO756">
            <v>1466499.52</v>
          </cell>
          <cell r="AQ756">
            <v>1275200</v>
          </cell>
          <cell r="AU756">
            <v>0</v>
          </cell>
          <cell r="AW756">
            <v>0</v>
          </cell>
          <cell r="AY756">
            <v>834493.86899999995</v>
          </cell>
          <cell r="AZ756">
            <v>529.50118591370551</v>
          </cell>
          <cell r="BA756">
            <v>0</v>
          </cell>
          <cell r="BB756">
            <v>0</v>
          </cell>
          <cell r="BC756">
            <v>0</v>
          </cell>
          <cell r="BD756">
            <v>0</v>
          </cell>
          <cell r="BG756">
            <v>0</v>
          </cell>
          <cell r="BH756">
            <v>0</v>
          </cell>
          <cell r="BI756">
            <v>31000</v>
          </cell>
          <cell r="BJ756">
            <v>19.670050761421319</v>
          </cell>
          <cell r="BK756">
            <v>0</v>
          </cell>
          <cell r="BL756">
            <v>0</v>
          </cell>
          <cell r="BM756">
            <v>346807</v>
          </cell>
          <cell r="BN756">
            <v>220.05520304568529</v>
          </cell>
          <cell r="BO756">
            <v>0</v>
          </cell>
          <cell r="BP756">
            <v>0</v>
          </cell>
          <cell r="BY756">
            <v>2791</v>
          </cell>
          <cell r="CF756">
            <v>247.7</v>
          </cell>
          <cell r="CG756">
            <v>3368.97</v>
          </cell>
          <cell r="CJ756">
            <v>0</v>
          </cell>
          <cell r="CK756">
            <v>809.14</v>
          </cell>
          <cell r="CL756">
            <v>0</v>
          </cell>
          <cell r="CM756">
            <v>0</v>
          </cell>
          <cell r="CN756">
            <v>0</v>
          </cell>
          <cell r="CO756">
            <v>0</v>
          </cell>
          <cell r="CX756">
            <v>0</v>
          </cell>
          <cell r="CY756">
            <v>0</v>
          </cell>
          <cell r="DB756">
            <v>0</v>
          </cell>
          <cell r="DC756">
            <v>0</v>
          </cell>
          <cell r="DJ756" t="str">
            <v>ОДА</v>
          </cell>
          <cell r="DL756">
            <v>40828</v>
          </cell>
          <cell r="DM756">
            <v>50</v>
          </cell>
          <cell r="DT756">
            <v>930.52</v>
          </cell>
        </row>
        <row r="757">
          <cell r="W757">
            <v>336.92</v>
          </cell>
          <cell r="AF757">
            <v>40455</v>
          </cell>
          <cell r="AG757">
            <v>2407</v>
          </cell>
          <cell r="AH757">
            <v>300.83966244725741</v>
          </cell>
          <cell r="AM757">
            <v>474</v>
          </cell>
          <cell r="AO757">
            <v>159700.08000000002</v>
          </cell>
          <cell r="AQ757">
            <v>142598</v>
          </cell>
          <cell r="AU757">
            <v>0</v>
          </cell>
          <cell r="AW757">
            <v>0</v>
          </cell>
          <cell r="AY757">
            <v>82370.5</v>
          </cell>
          <cell r="AZ757">
            <v>173.77742616033754</v>
          </cell>
          <cell r="BA757">
            <v>0</v>
          </cell>
          <cell r="BB757">
            <v>0</v>
          </cell>
          <cell r="BC757">
            <v>0</v>
          </cell>
          <cell r="BD757">
            <v>0</v>
          </cell>
          <cell r="BG757">
            <v>0</v>
          </cell>
          <cell r="BH757">
            <v>0</v>
          </cell>
          <cell r="BI757">
            <v>7012</v>
          </cell>
          <cell r="BJ757">
            <v>14.793248945147679</v>
          </cell>
          <cell r="BK757">
            <v>0</v>
          </cell>
          <cell r="BL757">
            <v>0</v>
          </cell>
          <cell r="BM757">
            <v>43495</v>
          </cell>
          <cell r="BN757">
            <v>91.761603375527429</v>
          </cell>
          <cell r="BO757">
            <v>0</v>
          </cell>
          <cell r="BP757">
            <v>0</v>
          </cell>
          <cell r="BY757">
            <v>2791</v>
          </cell>
          <cell r="CF757">
            <v>75.5</v>
          </cell>
          <cell r="CG757">
            <v>1091</v>
          </cell>
          <cell r="CJ757">
            <v>0</v>
          </cell>
          <cell r="CK757">
            <v>300.83999999999997</v>
          </cell>
          <cell r="CL757">
            <v>0</v>
          </cell>
          <cell r="CM757">
            <v>0</v>
          </cell>
          <cell r="CN757">
            <v>0</v>
          </cell>
          <cell r="CO757">
            <v>0</v>
          </cell>
          <cell r="CX757">
            <v>0</v>
          </cell>
          <cell r="CY757">
            <v>0</v>
          </cell>
          <cell r="DB757">
            <v>0</v>
          </cell>
          <cell r="DC757">
            <v>0</v>
          </cell>
          <cell r="DJ757" t="str">
            <v>МОС</v>
          </cell>
          <cell r="DL757">
            <v>40458</v>
          </cell>
          <cell r="DM757" t="str">
            <v>б/н</v>
          </cell>
          <cell r="DO757" t="str">
            <v>тариф на послуги теплопостачання</v>
          </cell>
          <cell r="DT757">
            <v>336.92</v>
          </cell>
        </row>
        <row r="758">
          <cell r="W758">
            <v>936.86</v>
          </cell>
          <cell r="AF758">
            <v>40765</v>
          </cell>
          <cell r="AG758">
            <v>2645</v>
          </cell>
          <cell r="AH758">
            <v>814.66113416320889</v>
          </cell>
          <cell r="AM758">
            <v>1446</v>
          </cell>
          <cell r="AO758">
            <v>1354699.56</v>
          </cell>
          <cell r="AQ758">
            <v>1178000</v>
          </cell>
          <cell r="AU758">
            <v>0</v>
          </cell>
          <cell r="AW758">
            <v>0</v>
          </cell>
          <cell r="AY758">
            <v>765766.88099999994</v>
          </cell>
          <cell r="AZ758">
            <v>529.57598962655595</v>
          </cell>
          <cell r="BA758">
            <v>0</v>
          </cell>
          <cell r="BB758">
            <v>0</v>
          </cell>
          <cell r="BC758">
            <v>0</v>
          </cell>
          <cell r="BD758">
            <v>0</v>
          </cell>
          <cell r="BG758">
            <v>0</v>
          </cell>
          <cell r="BH758">
            <v>0</v>
          </cell>
          <cell r="BI758">
            <v>28500</v>
          </cell>
          <cell r="BJ758">
            <v>19.709543568464731</v>
          </cell>
          <cell r="BK758">
            <v>0</v>
          </cell>
          <cell r="BL758">
            <v>0</v>
          </cell>
          <cell r="BM758">
            <v>321885</v>
          </cell>
          <cell r="BN758">
            <v>222.60373443983403</v>
          </cell>
          <cell r="BO758">
            <v>0</v>
          </cell>
          <cell r="BP758">
            <v>0</v>
          </cell>
          <cell r="BY758">
            <v>2791</v>
          </cell>
          <cell r="CF758">
            <v>227.3</v>
          </cell>
          <cell r="CG758">
            <v>3368.97</v>
          </cell>
          <cell r="CJ758">
            <v>0</v>
          </cell>
          <cell r="CK758">
            <v>814.66</v>
          </cell>
          <cell r="CL758">
            <v>0</v>
          </cell>
          <cell r="CM758">
            <v>0</v>
          </cell>
          <cell r="CN758">
            <v>0</v>
          </cell>
          <cell r="CO758">
            <v>0</v>
          </cell>
          <cell r="CX758">
            <v>0</v>
          </cell>
          <cell r="CY758">
            <v>0</v>
          </cell>
          <cell r="DB758">
            <v>0</v>
          </cell>
          <cell r="DC758">
            <v>0</v>
          </cell>
          <cell r="DJ758" t="str">
            <v>МОС</v>
          </cell>
          <cell r="DL758">
            <v>40830</v>
          </cell>
          <cell r="DM758" t="str">
            <v xml:space="preserve"> б/н</v>
          </cell>
          <cell r="DT758">
            <v>936.86</v>
          </cell>
        </row>
        <row r="759">
          <cell r="W759">
            <v>929.97</v>
          </cell>
          <cell r="AF759">
            <v>40765</v>
          </cell>
          <cell r="AG759">
            <v>2647</v>
          </cell>
          <cell r="AH759">
            <v>808.60534124629078</v>
          </cell>
          <cell r="AM759">
            <v>337</v>
          </cell>
          <cell r="AO759">
            <v>313399.89</v>
          </cell>
          <cell r="AQ759">
            <v>272500</v>
          </cell>
          <cell r="AU759">
            <v>0</v>
          </cell>
          <cell r="AW759">
            <v>0</v>
          </cell>
          <cell r="AY759">
            <v>178555.41</v>
          </cell>
          <cell r="AZ759">
            <v>529.83801186943617</v>
          </cell>
          <cell r="BA759">
            <v>0</v>
          </cell>
          <cell r="BB759">
            <v>0</v>
          </cell>
          <cell r="BC759">
            <v>0</v>
          </cell>
          <cell r="BD759">
            <v>0</v>
          </cell>
          <cell r="BG759">
            <v>0</v>
          </cell>
          <cell r="BH759">
            <v>0</v>
          </cell>
          <cell r="BI759">
            <v>6300</v>
          </cell>
          <cell r="BJ759">
            <v>18.694362017804153</v>
          </cell>
          <cell r="BK759">
            <v>0</v>
          </cell>
          <cell r="BL759">
            <v>0</v>
          </cell>
          <cell r="BM759">
            <v>74300</v>
          </cell>
          <cell r="BN759">
            <v>220.47477744807122</v>
          </cell>
          <cell r="BO759">
            <v>0</v>
          </cell>
          <cell r="BP759">
            <v>0</v>
          </cell>
          <cell r="BY759">
            <v>2791</v>
          </cell>
          <cell r="CF759">
            <v>53</v>
          </cell>
          <cell r="CG759">
            <v>3368.97</v>
          </cell>
          <cell r="CJ759">
            <v>0</v>
          </cell>
          <cell r="CK759">
            <v>808.61</v>
          </cell>
          <cell r="CL759">
            <v>0</v>
          </cell>
          <cell r="CM759">
            <v>0</v>
          </cell>
          <cell r="CN759">
            <v>0</v>
          </cell>
          <cell r="CO759">
            <v>0</v>
          </cell>
          <cell r="CX759">
            <v>0</v>
          </cell>
          <cell r="CY759">
            <v>0</v>
          </cell>
          <cell r="DB759">
            <v>0</v>
          </cell>
          <cell r="DC759">
            <v>0</v>
          </cell>
          <cell r="DJ759" t="str">
            <v>МОС</v>
          </cell>
          <cell r="DL759">
            <v>40827</v>
          </cell>
          <cell r="DM759" t="str">
            <v>б/н</v>
          </cell>
          <cell r="DT759">
            <v>929.97</v>
          </cell>
        </row>
        <row r="760">
          <cell r="W760">
            <v>336.95</v>
          </cell>
          <cell r="AF760">
            <v>40429</v>
          </cell>
          <cell r="AG760" t="str">
            <v>900(к)</v>
          </cell>
          <cell r="AH760">
            <v>311.99064074874008</v>
          </cell>
          <cell r="AM760">
            <v>27780</v>
          </cell>
          <cell r="AO760">
            <v>9360471</v>
          </cell>
          <cell r="AQ760">
            <v>8667100</v>
          </cell>
          <cell r="AU760">
            <v>0</v>
          </cell>
          <cell r="AW760">
            <v>0</v>
          </cell>
          <cell r="AY760">
            <v>4879100</v>
          </cell>
          <cell r="AZ760">
            <v>175.63354931605471</v>
          </cell>
          <cell r="BA760">
            <v>0</v>
          </cell>
          <cell r="BB760">
            <v>0</v>
          </cell>
          <cell r="BC760">
            <v>0</v>
          </cell>
          <cell r="BD760">
            <v>0</v>
          </cell>
          <cell r="BG760">
            <v>0</v>
          </cell>
          <cell r="BH760">
            <v>0</v>
          </cell>
          <cell r="BI760">
            <v>552800</v>
          </cell>
          <cell r="BJ760">
            <v>19.89920806335493</v>
          </cell>
          <cell r="BK760">
            <v>0</v>
          </cell>
          <cell r="BL760">
            <v>0</v>
          </cell>
          <cell r="BM760">
            <v>2346800</v>
          </cell>
          <cell r="BN760">
            <v>84.478041756659465</v>
          </cell>
          <cell r="BO760">
            <v>0</v>
          </cell>
          <cell r="BP760">
            <v>0</v>
          </cell>
          <cell r="BY760">
            <v>1655</v>
          </cell>
          <cell r="CF760">
            <v>4472.1356553620535</v>
          </cell>
          <cell r="CG760">
            <v>1091</v>
          </cell>
          <cell r="CJ760">
            <v>0</v>
          </cell>
          <cell r="CK760">
            <v>0</v>
          </cell>
          <cell r="CL760">
            <v>0</v>
          </cell>
          <cell r="CM760">
            <v>0</v>
          </cell>
          <cell r="CN760">
            <v>0</v>
          </cell>
          <cell r="CO760">
            <v>0</v>
          </cell>
          <cell r="CX760">
            <v>0</v>
          </cell>
          <cell r="CY760">
            <v>0</v>
          </cell>
          <cell r="DB760">
            <v>0</v>
          </cell>
          <cell r="DC760">
            <v>0</v>
          </cell>
          <cell r="DJ760" t="str">
            <v>МОС</v>
          </cell>
          <cell r="DL760">
            <v>40451</v>
          </cell>
          <cell r="DM760" t="str">
            <v>591-14</v>
          </cell>
          <cell r="DO760" t="str">
            <v>на послуги з виробництва, транспортування та постачання теплової енергії</v>
          </cell>
          <cell r="DT760">
            <v>336.95</v>
          </cell>
        </row>
        <row r="761">
          <cell r="W761">
            <v>640.99</v>
          </cell>
          <cell r="AF761">
            <v>40429</v>
          </cell>
          <cell r="AG761" t="str">
            <v>901(к)</v>
          </cell>
          <cell r="AH761">
            <v>552.57575757575762</v>
          </cell>
          <cell r="AM761">
            <v>13200</v>
          </cell>
          <cell r="AO761">
            <v>8461068</v>
          </cell>
          <cell r="AQ761">
            <v>7294000</v>
          </cell>
          <cell r="AU761">
            <v>0</v>
          </cell>
          <cell r="AW761">
            <v>0</v>
          </cell>
          <cell r="AY761">
            <v>5246410</v>
          </cell>
          <cell r="AZ761">
            <v>397.45530303030301</v>
          </cell>
          <cell r="BA761">
            <v>0</v>
          </cell>
          <cell r="BB761">
            <v>0</v>
          </cell>
          <cell r="BC761">
            <v>0</v>
          </cell>
          <cell r="BD761">
            <v>0</v>
          </cell>
          <cell r="BG761">
            <v>0</v>
          </cell>
          <cell r="BH761">
            <v>0</v>
          </cell>
          <cell r="BI761">
            <v>254800</v>
          </cell>
          <cell r="BJ761">
            <v>19.303030303030305</v>
          </cell>
          <cell r="BK761">
            <v>0</v>
          </cell>
          <cell r="BL761">
            <v>0</v>
          </cell>
          <cell r="BM761">
            <v>1332800</v>
          </cell>
          <cell r="BN761">
            <v>100.96969696969697</v>
          </cell>
          <cell r="BO761">
            <v>0</v>
          </cell>
          <cell r="BP761">
            <v>0</v>
          </cell>
          <cell r="BY761">
            <v>1655</v>
          </cell>
          <cell r="CF761">
            <v>2128.4128619763565</v>
          </cell>
          <cell r="CG761">
            <v>2464.94</v>
          </cell>
          <cell r="CJ761">
            <v>0</v>
          </cell>
          <cell r="CK761">
            <v>0</v>
          </cell>
          <cell r="CL761">
            <v>0</v>
          </cell>
          <cell r="CM761">
            <v>0</v>
          </cell>
          <cell r="CN761">
            <v>0</v>
          </cell>
          <cell r="CO761">
            <v>0</v>
          </cell>
          <cell r="CX761">
            <v>0</v>
          </cell>
          <cell r="CY761">
            <v>0</v>
          </cell>
          <cell r="DB761">
            <v>0</v>
          </cell>
          <cell r="DC761">
            <v>0</v>
          </cell>
          <cell r="DJ761" t="str">
            <v>НКРКП</v>
          </cell>
          <cell r="DL761">
            <v>40816</v>
          </cell>
          <cell r="DM761">
            <v>51</v>
          </cell>
          <cell r="DT761">
            <v>848.42</v>
          </cell>
        </row>
        <row r="762">
          <cell r="W762">
            <v>732.95</v>
          </cell>
          <cell r="AF762">
            <v>40429</v>
          </cell>
          <cell r="AG762" t="str">
            <v>902(к)</v>
          </cell>
          <cell r="AH762">
            <v>563.80952380952385</v>
          </cell>
          <cell r="AM762">
            <v>2100</v>
          </cell>
          <cell r="AO762">
            <v>1539195</v>
          </cell>
          <cell r="AQ762">
            <v>1184000</v>
          </cell>
          <cell r="AU762">
            <v>0</v>
          </cell>
          <cell r="AW762">
            <v>0</v>
          </cell>
          <cell r="AY762">
            <v>846051</v>
          </cell>
          <cell r="AZ762">
            <v>402.88142857142856</v>
          </cell>
          <cell r="BA762">
            <v>0</v>
          </cell>
          <cell r="BB762">
            <v>0</v>
          </cell>
          <cell r="BC762">
            <v>0</v>
          </cell>
          <cell r="BD762">
            <v>0</v>
          </cell>
          <cell r="BG762">
            <v>0</v>
          </cell>
          <cell r="BH762">
            <v>0</v>
          </cell>
          <cell r="BI762">
            <v>40300</v>
          </cell>
          <cell r="BJ762">
            <v>19.19047619047619</v>
          </cell>
          <cell r="BK762">
            <v>0</v>
          </cell>
          <cell r="BL762">
            <v>0</v>
          </cell>
          <cell r="BM762">
            <v>221300</v>
          </cell>
          <cell r="BN762">
            <v>105.38095238095238</v>
          </cell>
          <cell r="BO762">
            <v>0</v>
          </cell>
          <cell r="BP762">
            <v>0</v>
          </cell>
          <cell r="BY762">
            <v>1655</v>
          </cell>
          <cell r="CF762">
            <v>343.23391238731978</v>
          </cell>
          <cell r="CG762">
            <v>2464.94</v>
          </cell>
          <cell r="CJ762">
            <v>0</v>
          </cell>
          <cell r="CK762">
            <v>0</v>
          </cell>
          <cell r="CL762">
            <v>0</v>
          </cell>
          <cell r="CM762">
            <v>0</v>
          </cell>
          <cell r="CN762">
            <v>0</v>
          </cell>
          <cell r="CO762">
            <v>0</v>
          </cell>
          <cell r="CX762">
            <v>0</v>
          </cell>
          <cell r="CY762">
            <v>0</v>
          </cell>
          <cell r="DB762">
            <v>0</v>
          </cell>
          <cell r="DC762">
            <v>0</v>
          </cell>
          <cell r="DJ762" t="str">
            <v>НКРКП</v>
          </cell>
          <cell r="DL762">
            <v>40816</v>
          </cell>
          <cell r="DM762">
            <v>51</v>
          </cell>
          <cell r="DT762">
            <v>943.38</v>
          </cell>
        </row>
        <row r="763">
          <cell r="W763">
            <v>516.35833333333335</v>
          </cell>
          <cell r="AF763">
            <v>40452</v>
          </cell>
          <cell r="AG763" t="str">
            <v>№97</v>
          </cell>
          <cell r="AH763">
            <v>461.03647798742139</v>
          </cell>
          <cell r="AM763">
            <v>3975</v>
          </cell>
          <cell r="AO763">
            <v>2052524.375</v>
          </cell>
          <cell r="AQ763">
            <v>1832620</v>
          </cell>
          <cell r="AU763">
            <v>0</v>
          </cell>
          <cell r="AW763">
            <v>0</v>
          </cell>
          <cell r="AY763">
            <v>1492300</v>
          </cell>
          <cell r="AZ763">
            <v>375.42138364779873</v>
          </cell>
          <cell r="BA763">
            <v>0</v>
          </cell>
          <cell r="BB763">
            <v>0</v>
          </cell>
          <cell r="BC763">
            <v>0</v>
          </cell>
          <cell r="BD763">
            <v>0</v>
          </cell>
          <cell r="BG763">
            <v>0</v>
          </cell>
          <cell r="BH763">
            <v>0</v>
          </cell>
          <cell r="BI763">
            <v>57340</v>
          </cell>
          <cell r="BJ763">
            <v>14.425157232704402</v>
          </cell>
          <cell r="BK763">
            <v>0</v>
          </cell>
          <cell r="BL763">
            <v>0</v>
          </cell>
          <cell r="BM763">
            <v>241050</v>
          </cell>
          <cell r="BN763">
            <v>60.641509433962263</v>
          </cell>
          <cell r="BO763">
            <v>0</v>
          </cell>
          <cell r="BP763">
            <v>0</v>
          </cell>
          <cell r="BY763">
            <v>1695</v>
          </cell>
          <cell r="CF763">
            <v>605.41027367806112</v>
          </cell>
          <cell r="CG763">
            <v>2464.94</v>
          </cell>
          <cell r="CJ763">
            <v>0</v>
          </cell>
          <cell r="CK763">
            <v>0</v>
          </cell>
          <cell r="CL763">
            <v>0</v>
          </cell>
          <cell r="CM763">
            <v>0</v>
          </cell>
          <cell r="CN763">
            <v>0</v>
          </cell>
          <cell r="CO763">
            <v>0</v>
          </cell>
          <cell r="CX763">
            <v>0</v>
          </cell>
          <cell r="CY763">
            <v>0</v>
          </cell>
          <cell r="DB763">
            <v>0</v>
          </cell>
          <cell r="DC763">
            <v>0</v>
          </cell>
          <cell r="DJ763" t="str">
            <v>МОС</v>
          </cell>
          <cell r="DL763">
            <v>40906</v>
          </cell>
          <cell r="DM763" t="str">
            <v>№479</v>
          </cell>
          <cell r="DT763">
            <v>788.77</v>
          </cell>
        </row>
        <row r="764">
          <cell r="W764">
            <v>516.05000000000007</v>
          </cell>
          <cell r="AF764">
            <v>40452</v>
          </cell>
          <cell r="AG764" t="str">
            <v>№97</v>
          </cell>
          <cell r="AH764">
            <v>460.76023391812868</v>
          </cell>
          <cell r="AM764">
            <v>855</v>
          </cell>
          <cell r="AO764">
            <v>441222.75000000006</v>
          </cell>
          <cell r="AQ764">
            <v>393950</v>
          </cell>
          <cell r="AU764">
            <v>0</v>
          </cell>
          <cell r="AW764">
            <v>0</v>
          </cell>
          <cell r="AY764">
            <v>320700</v>
          </cell>
          <cell r="AZ764">
            <v>375.08771929824559</v>
          </cell>
          <cell r="BA764">
            <v>0</v>
          </cell>
          <cell r="BB764">
            <v>0</v>
          </cell>
          <cell r="BC764">
            <v>0</v>
          </cell>
          <cell r="BD764">
            <v>0</v>
          </cell>
          <cell r="BG764">
            <v>0</v>
          </cell>
          <cell r="BH764">
            <v>0</v>
          </cell>
          <cell r="BI764">
            <v>12340</v>
          </cell>
          <cell r="BJ764">
            <v>14.432748538011696</v>
          </cell>
          <cell r="BK764">
            <v>0</v>
          </cell>
          <cell r="BL764">
            <v>0</v>
          </cell>
          <cell r="BM764">
            <v>51849</v>
          </cell>
          <cell r="BN764">
            <v>60.642105263157895</v>
          </cell>
          <cell r="BO764">
            <v>0</v>
          </cell>
          <cell r="BP764">
            <v>0</v>
          </cell>
          <cell r="BY764">
            <v>1695</v>
          </cell>
          <cell r="CF764">
            <v>130.10458672422047</v>
          </cell>
          <cell r="CG764">
            <v>2464.94</v>
          </cell>
          <cell r="CJ764">
            <v>0</v>
          </cell>
          <cell r="CK764">
            <v>0</v>
          </cell>
          <cell r="CL764">
            <v>0</v>
          </cell>
          <cell r="CM764">
            <v>0</v>
          </cell>
          <cell r="CN764">
            <v>0</v>
          </cell>
          <cell r="CO764">
            <v>0</v>
          </cell>
          <cell r="CX764">
            <v>0</v>
          </cell>
          <cell r="CY764">
            <v>0</v>
          </cell>
          <cell r="DB764">
            <v>0</v>
          </cell>
          <cell r="DC764">
            <v>0</v>
          </cell>
          <cell r="DJ764" t="str">
            <v>МОС</v>
          </cell>
          <cell r="DL764">
            <v>40906</v>
          </cell>
          <cell r="DM764" t="str">
            <v>№479</v>
          </cell>
          <cell r="DT764">
            <v>788.87</v>
          </cell>
        </row>
        <row r="765">
          <cell r="W765">
            <v>190.44642144485107</v>
          </cell>
          <cell r="AF765">
            <v>39786</v>
          </cell>
          <cell r="AG765" t="str">
            <v>№ 1149</v>
          </cell>
          <cell r="AH765">
            <v>190.44642144485107</v>
          </cell>
          <cell r="AM765">
            <v>21148.2</v>
          </cell>
          <cell r="AO765">
            <v>4027599.0099999993</v>
          </cell>
          <cell r="AQ765">
            <v>4027599.01</v>
          </cell>
          <cell r="AU765">
            <v>0</v>
          </cell>
          <cell r="AW765">
            <v>0</v>
          </cell>
          <cell r="AY765">
            <v>2332980.0556656001</v>
          </cell>
          <cell r="AZ765">
            <v>110.31577418719324</v>
          </cell>
          <cell r="BA765">
            <v>0</v>
          </cell>
          <cell r="BB765">
            <v>0</v>
          </cell>
          <cell r="BC765">
            <v>0</v>
          </cell>
          <cell r="BD765">
            <v>0</v>
          </cell>
          <cell r="BG765">
            <v>0</v>
          </cell>
          <cell r="BH765">
            <v>0</v>
          </cell>
          <cell r="BI765">
            <v>396906.28</v>
          </cell>
          <cell r="BJ765">
            <v>18.767851637491606</v>
          </cell>
          <cell r="BK765">
            <v>0</v>
          </cell>
          <cell r="BL765">
            <v>0</v>
          </cell>
          <cell r="BM765">
            <v>737321.05999999994</v>
          </cell>
          <cell r="BN765">
            <v>34.864483029288543</v>
          </cell>
          <cell r="BO765">
            <v>50735.519999999997</v>
          </cell>
          <cell r="BP765">
            <v>2.3990467273810534</v>
          </cell>
          <cell r="BY765">
            <v>923.34</v>
          </cell>
          <cell r="CF765">
            <v>3207.6390799999999</v>
          </cell>
          <cell r="CG765">
            <v>727.32</v>
          </cell>
          <cell r="CJ765">
            <v>0</v>
          </cell>
          <cell r="CK765">
            <v>0</v>
          </cell>
          <cell r="CL765">
            <v>0</v>
          </cell>
          <cell r="CM765">
            <v>0</v>
          </cell>
          <cell r="CN765">
            <v>0</v>
          </cell>
          <cell r="CO765">
            <v>0</v>
          </cell>
          <cell r="CX765">
            <v>0</v>
          </cell>
          <cell r="CY765">
            <v>0</v>
          </cell>
          <cell r="DB765">
            <v>0</v>
          </cell>
          <cell r="DC765">
            <v>0</v>
          </cell>
          <cell r="DJ765" t="str">
            <v>МОС</v>
          </cell>
          <cell r="DL765">
            <v>39812</v>
          </cell>
          <cell r="DM765" t="str">
            <v>№ 866</v>
          </cell>
          <cell r="DO765" t="str">
            <v>Тариф на теплову енергію</v>
          </cell>
          <cell r="DT765">
            <v>190.45</v>
          </cell>
        </row>
        <row r="766">
          <cell r="W766">
            <v>320.61452070081464</v>
          </cell>
          <cell r="AF766">
            <v>39786</v>
          </cell>
          <cell r="AG766" t="str">
            <v>№ 1150</v>
          </cell>
          <cell r="AH766">
            <v>320.61452070081464</v>
          </cell>
          <cell r="AM766">
            <v>26883</v>
          </cell>
          <cell r="AO766">
            <v>8619080.1600000001</v>
          </cell>
          <cell r="AQ766">
            <v>8619080.1600000001</v>
          </cell>
          <cell r="AU766">
            <v>0</v>
          </cell>
          <cell r="AW766">
            <v>0</v>
          </cell>
          <cell r="AY766">
            <v>6465167.5829202002</v>
          </cell>
          <cell r="AZ766">
            <v>240.49278662798795</v>
          </cell>
          <cell r="BA766">
            <v>0</v>
          </cell>
          <cell r="BB766">
            <v>0</v>
          </cell>
          <cell r="BC766">
            <v>0</v>
          </cell>
          <cell r="BD766">
            <v>0</v>
          </cell>
          <cell r="BG766">
            <v>0</v>
          </cell>
          <cell r="BH766">
            <v>0</v>
          </cell>
          <cell r="BI766">
            <v>504296.54</v>
          </cell>
          <cell r="BJ766">
            <v>18.758938362533943</v>
          </cell>
          <cell r="BK766">
            <v>0</v>
          </cell>
          <cell r="BL766">
            <v>0</v>
          </cell>
          <cell r="BM766">
            <v>937261.9</v>
          </cell>
          <cell r="BN766">
            <v>34.864483130602984</v>
          </cell>
          <cell r="BO766">
            <v>64493.57</v>
          </cell>
          <cell r="BP766">
            <v>2.3990466093813936</v>
          </cell>
          <cell r="BY766">
            <v>923.34</v>
          </cell>
          <cell r="CF766">
            <v>4075.5245300000001</v>
          </cell>
          <cell r="CG766">
            <v>1586.34</v>
          </cell>
          <cell r="CJ766">
            <v>0</v>
          </cell>
          <cell r="CK766">
            <v>0</v>
          </cell>
          <cell r="CL766">
            <v>0</v>
          </cell>
          <cell r="CM766">
            <v>0</v>
          </cell>
          <cell r="CN766">
            <v>0</v>
          </cell>
          <cell r="CO766">
            <v>0</v>
          </cell>
          <cell r="CX766">
            <v>0</v>
          </cell>
          <cell r="CY766">
            <v>0</v>
          </cell>
          <cell r="DB766">
            <v>0</v>
          </cell>
          <cell r="DC766">
            <v>0</v>
          </cell>
          <cell r="DJ766" t="str">
            <v>МОС</v>
          </cell>
          <cell r="DL766">
            <v>39812</v>
          </cell>
          <cell r="DM766" t="str">
            <v>№ 866</v>
          </cell>
          <cell r="DT766">
            <v>320.61</v>
          </cell>
        </row>
        <row r="767">
          <cell r="W767">
            <v>320.73355263157896</v>
          </cell>
          <cell r="AF767">
            <v>39786</v>
          </cell>
          <cell r="AG767" t="str">
            <v>№ 1151</v>
          </cell>
          <cell r="AH767">
            <v>320.73355263157896</v>
          </cell>
          <cell r="AM767">
            <v>15.2</v>
          </cell>
          <cell r="AO767">
            <v>4875.1499999999996</v>
          </cell>
          <cell r="AQ767">
            <v>4875.1499999999996</v>
          </cell>
          <cell r="AU767">
            <v>0</v>
          </cell>
          <cell r="AW767">
            <v>0</v>
          </cell>
          <cell r="AY767">
            <v>3657.1799628000003</v>
          </cell>
          <cell r="AZ767">
            <v>240.60394492105266</v>
          </cell>
          <cell r="BA767">
            <v>0</v>
          </cell>
          <cell r="BB767">
            <v>0</v>
          </cell>
          <cell r="BC767">
            <v>0</v>
          </cell>
          <cell r="BD767">
            <v>0</v>
          </cell>
          <cell r="BG767">
            <v>0</v>
          </cell>
          <cell r="BH767">
            <v>0</v>
          </cell>
          <cell r="BI767">
            <v>285.26</v>
          </cell>
          <cell r="BJ767">
            <v>18.767105263157895</v>
          </cell>
          <cell r="BK767">
            <v>0</v>
          </cell>
          <cell r="BL767">
            <v>0</v>
          </cell>
          <cell r="BM767">
            <v>529.93999999999994</v>
          </cell>
          <cell r="BN767">
            <v>34.864473684210523</v>
          </cell>
          <cell r="BO767">
            <v>36.46</v>
          </cell>
          <cell r="BP767">
            <v>2.3986842105263158</v>
          </cell>
          <cell r="BY767">
            <v>923.34</v>
          </cell>
          <cell r="CF767">
            <v>2.3054200000000002</v>
          </cell>
          <cell r="CG767">
            <v>1586.34</v>
          </cell>
          <cell r="CJ767">
            <v>0</v>
          </cell>
          <cell r="CK767">
            <v>0</v>
          </cell>
          <cell r="CL767">
            <v>0</v>
          </cell>
          <cell r="CM767">
            <v>0</v>
          </cell>
          <cell r="CN767">
            <v>0</v>
          </cell>
          <cell r="CO767">
            <v>0</v>
          </cell>
          <cell r="CX767">
            <v>0</v>
          </cell>
          <cell r="CY767">
            <v>0</v>
          </cell>
          <cell r="DB767">
            <v>0</v>
          </cell>
          <cell r="DC767">
            <v>0</v>
          </cell>
          <cell r="DJ767" t="str">
            <v>МОС</v>
          </cell>
          <cell r="DL767">
            <v>39812</v>
          </cell>
          <cell r="DM767" t="str">
            <v>№ 866</v>
          </cell>
          <cell r="DT767">
            <v>320.73</v>
          </cell>
        </row>
        <row r="768">
          <cell r="W768">
            <v>125.47</v>
          </cell>
          <cell r="AF768">
            <v>40276</v>
          </cell>
          <cell r="AG768">
            <v>9</v>
          </cell>
          <cell r="AH768">
            <v>168.37</v>
          </cell>
          <cell r="AM768">
            <v>8900</v>
          </cell>
          <cell r="AO768">
            <v>1116683</v>
          </cell>
          <cell r="AQ768">
            <v>1498493</v>
          </cell>
          <cell r="AU768">
            <v>0</v>
          </cell>
          <cell r="AW768">
            <v>0</v>
          </cell>
          <cell r="AY768">
            <v>828562.94400000013</v>
          </cell>
          <cell r="AZ768">
            <v>93.09696000000001</v>
          </cell>
          <cell r="BA768">
            <v>0</v>
          </cell>
          <cell r="BB768">
            <v>0</v>
          </cell>
          <cell r="BC768">
            <v>0</v>
          </cell>
          <cell r="BD768">
            <v>0</v>
          </cell>
          <cell r="BG768">
            <v>0</v>
          </cell>
          <cell r="BH768">
            <v>0</v>
          </cell>
          <cell r="BI768">
            <v>138039</v>
          </cell>
          <cell r="BJ768">
            <v>15.51</v>
          </cell>
          <cell r="BK768">
            <v>0</v>
          </cell>
          <cell r="BL768">
            <v>0</v>
          </cell>
          <cell r="BM768">
            <v>344341</v>
          </cell>
          <cell r="BN768">
            <v>38.69</v>
          </cell>
          <cell r="BO768">
            <v>0</v>
          </cell>
          <cell r="BP768">
            <v>0</v>
          </cell>
          <cell r="BY768">
            <v>2219.98</v>
          </cell>
          <cell r="CF768">
            <v>1139.2</v>
          </cell>
          <cell r="CG768">
            <v>727.32</v>
          </cell>
          <cell r="CJ768">
            <v>0</v>
          </cell>
          <cell r="CK768">
            <v>0</v>
          </cell>
          <cell r="CL768">
            <v>0</v>
          </cell>
          <cell r="CM768">
            <v>0</v>
          </cell>
          <cell r="CN768">
            <v>0</v>
          </cell>
          <cell r="CO768">
            <v>0</v>
          </cell>
          <cell r="CX768">
            <v>0</v>
          </cell>
          <cell r="CY768">
            <v>0</v>
          </cell>
          <cell r="DB768">
            <v>0</v>
          </cell>
          <cell r="DC768">
            <v>0</v>
          </cell>
          <cell r="DJ768" t="str">
            <v>МОС</v>
          </cell>
          <cell r="DL768">
            <v>40694</v>
          </cell>
          <cell r="DM768">
            <v>857</v>
          </cell>
          <cell r="DO768" t="str">
            <v>тариф на теплову енергію</v>
          </cell>
          <cell r="DT768">
            <v>169.38</v>
          </cell>
        </row>
        <row r="769">
          <cell r="W769">
            <v>360.51</v>
          </cell>
          <cell r="AF769">
            <v>40023</v>
          </cell>
          <cell r="AG769">
            <v>209</v>
          </cell>
          <cell r="AH769">
            <v>360.51</v>
          </cell>
          <cell r="AM769">
            <v>650</v>
          </cell>
          <cell r="AO769">
            <v>234331.5</v>
          </cell>
          <cell r="AQ769">
            <v>234331.5</v>
          </cell>
          <cell r="AU769">
            <v>0</v>
          </cell>
          <cell r="AW769">
            <v>0</v>
          </cell>
          <cell r="AY769">
            <v>185403.712</v>
          </cell>
          <cell r="AZ769">
            <v>285.23647999999997</v>
          </cell>
          <cell r="BA769">
            <v>0</v>
          </cell>
          <cell r="BB769">
            <v>0</v>
          </cell>
          <cell r="BC769">
            <v>0</v>
          </cell>
          <cell r="BD769">
            <v>0</v>
          </cell>
          <cell r="BG769">
            <v>0</v>
          </cell>
          <cell r="BH769">
            <v>0</v>
          </cell>
          <cell r="BI769">
            <v>10082</v>
          </cell>
          <cell r="BJ769">
            <v>15.510769230769231</v>
          </cell>
          <cell r="BK769">
            <v>0</v>
          </cell>
          <cell r="BL769">
            <v>0</v>
          </cell>
          <cell r="BM769">
            <v>25149</v>
          </cell>
          <cell r="BN769">
            <v>38.690769230769227</v>
          </cell>
          <cell r="BO769">
            <v>0</v>
          </cell>
          <cell r="BP769">
            <v>0</v>
          </cell>
          <cell r="BY769">
            <v>2219.98</v>
          </cell>
          <cell r="CF769">
            <v>83.2</v>
          </cell>
          <cell r="CG769">
            <v>2228.41</v>
          </cell>
          <cell r="CJ769">
            <v>0</v>
          </cell>
          <cell r="CK769">
            <v>0</v>
          </cell>
          <cell r="CL769">
            <v>0</v>
          </cell>
          <cell r="CM769">
            <v>0</v>
          </cell>
          <cell r="CN769">
            <v>0</v>
          </cell>
          <cell r="CO769">
            <v>0</v>
          </cell>
          <cell r="CX769">
            <v>0</v>
          </cell>
          <cell r="CY769">
            <v>0</v>
          </cell>
          <cell r="DB769">
            <v>0</v>
          </cell>
          <cell r="DC769">
            <v>0</v>
          </cell>
          <cell r="DJ769" t="str">
            <v>НКРЕ</v>
          </cell>
          <cell r="DL769">
            <v>40942</v>
          </cell>
          <cell r="DM769">
            <v>51</v>
          </cell>
          <cell r="DT769">
            <v>572.53</v>
          </cell>
        </row>
        <row r="770">
          <cell r="W770">
            <v>360.51</v>
          </cell>
          <cell r="AF770">
            <v>40023</v>
          </cell>
          <cell r="AG770">
            <v>209</v>
          </cell>
          <cell r="AH770">
            <v>360.51005747126436</v>
          </cell>
          <cell r="AM770">
            <v>6960</v>
          </cell>
          <cell r="AO770">
            <v>2509149.6</v>
          </cell>
          <cell r="AQ770">
            <v>2509150</v>
          </cell>
          <cell r="AU770">
            <v>0</v>
          </cell>
          <cell r="AW770">
            <v>0</v>
          </cell>
          <cell r="AY770">
            <v>1985245.9007999999</v>
          </cell>
          <cell r="AZ770">
            <v>285.23647999999997</v>
          </cell>
          <cell r="BA770">
            <v>0</v>
          </cell>
          <cell r="BB770">
            <v>0</v>
          </cell>
          <cell r="BC770">
            <v>0</v>
          </cell>
          <cell r="BD770">
            <v>0</v>
          </cell>
          <cell r="BG770">
            <v>0</v>
          </cell>
          <cell r="BH770">
            <v>0</v>
          </cell>
          <cell r="BI770">
            <v>107950</v>
          </cell>
          <cell r="BJ770">
            <v>15.510057471264368</v>
          </cell>
          <cell r="BK770">
            <v>0</v>
          </cell>
          <cell r="BL770">
            <v>0</v>
          </cell>
          <cell r="BM770">
            <v>269282</v>
          </cell>
          <cell r="BN770">
            <v>38.689942528735635</v>
          </cell>
          <cell r="BO770">
            <v>0</v>
          </cell>
          <cell r="BP770">
            <v>0</v>
          </cell>
          <cell r="BY770">
            <v>2219.98</v>
          </cell>
          <cell r="CF770">
            <v>890.88</v>
          </cell>
          <cell r="CG770">
            <v>2228.41</v>
          </cell>
          <cell r="CJ770">
            <v>0</v>
          </cell>
          <cell r="CK770">
            <v>0</v>
          </cell>
          <cell r="CL770">
            <v>0</v>
          </cell>
          <cell r="CM770">
            <v>0</v>
          </cell>
          <cell r="CN770">
            <v>0</v>
          </cell>
          <cell r="CO770">
            <v>0</v>
          </cell>
          <cell r="CX770">
            <v>0</v>
          </cell>
          <cell r="CY770">
            <v>0</v>
          </cell>
          <cell r="DB770">
            <v>0</v>
          </cell>
          <cell r="DC770">
            <v>0</v>
          </cell>
          <cell r="DJ770" t="str">
            <v>НКРЕ</v>
          </cell>
          <cell r="DL770">
            <v>40942</v>
          </cell>
          <cell r="DM770">
            <v>51</v>
          </cell>
          <cell r="DT770">
            <v>572.53</v>
          </cell>
        </row>
        <row r="771">
          <cell r="W771">
            <v>511.14800000000002</v>
          </cell>
          <cell r="AF771">
            <v>39959</v>
          </cell>
          <cell r="AG771" t="str">
            <v xml:space="preserve">6/1/3-248 6/1/1-106(від 17.02.2009) </v>
          </cell>
          <cell r="AH771">
            <v>508.54493709233475</v>
          </cell>
          <cell r="AM771">
            <v>2646</v>
          </cell>
          <cell r="AO771">
            <v>1352497.608</v>
          </cell>
          <cell r="AQ771">
            <v>1345609.9035463177</v>
          </cell>
          <cell r="AU771">
            <v>1316082.3070495534</v>
          </cell>
          <cell r="AW771">
            <v>0</v>
          </cell>
          <cell r="AY771">
            <v>0</v>
          </cell>
          <cell r="AZ771">
            <v>0</v>
          </cell>
          <cell r="BA771">
            <v>0</v>
          </cell>
          <cell r="BB771">
            <v>0</v>
          </cell>
          <cell r="BC771">
            <v>0</v>
          </cell>
          <cell r="BD771">
            <v>0</v>
          </cell>
          <cell r="BG771">
            <v>0</v>
          </cell>
          <cell r="BH771">
            <v>0</v>
          </cell>
          <cell r="BI771">
            <v>0</v>
          </cell>
          <cell r="BJ771">
            <v>0</v>
          </cell>
          <cell r="BK771">
            <v>0</v>
          </cell>
          <cell r="BL771">
            <v>0</v>
          </cell>
          <cell r="BM771">
            <v>10233</v>
          </cell>
          <cell r="BN771">
            <v>3.8673469387755102</v>
          </cell>
          <cell r="BO771">
            <v>0</v>
          </cell>
          <cell r="BP771">
            <v>0</v>
          </cell>
          <cell r="BY771">
            <v>1838.1</v>
          </cell>
          <cell r="CF771">
            <v>0</v>
          </cell>
          <cell r="CG771">
            <v>0</v>
          </cell>
          <cell r="CJ771">
            <v>3289.7945864235435</v>
          </cell>
          <cell r="CK771">
            <v>400.04999475675919</v>
          </cell>
          <cell r="CL771">
            <v>819.54</v>
          </cell>
          <cell r="CM771">
            <v>0</v>
          </cell>
          <cell r="CN771">
            <v>0</v>
          </cell>
          <cell r="CO771">
            <v>0</v>
          </cell>
          <cell r="CX771">
            <v>0</v>
          </cell>
          <cell r="CY771">
            <v>0</v>
          </cell>
          <cell r="DB771">
            <v>0</v>
          </cell>
          <cell r="DC771">
            <v>0</v>
          </cell>
          <cell r="DJ771" t="str">
            <v>МОС</v>
          </cell>
          <cell r="DL771">
            <v>41144</v>
          </cell>
          <cell r="DM771" t="str">
            <v>Рішення №688</v>
          </cell>
          <cell r="DT771">
            <v>869.41</v>
          </cell>
        </row>
        <row r="772">
          <cell r="W772">
            <v>560.72</v>
          </cell>
          <cell r="AF772">
            <v>39959</v>
          </cell>
          <cell r="AG772" t="str">
            <v xml:space="preserve">6/1/3-248 6/1/1-106(від 17.02.2009) </v>
          </cell>
          <cell r="AH772">
            <v>508.54021847550541</v>
          </cell>
          <cell r="AM772">
            <v>103199</v>
          </cell>
          <cell r="AO772">
            <v>57865743.280000001</v>
          </cell>
          <cell r="AQ772">
            <v>52480842.006453685</v>
          </cell>
          <cell r="AU772">
            <v>51329696.902950443</v>
          </cell>
          <cell r="AW772">
            <v>0</v>
          </cell>
          <cell r="AY772">
            <v>0</v>
          </cell>
          <cell r="AZ772">
            <v>0</v>
          </cell>
          <cell r="BA772">
            <v>0</v>
          </cell>
          <cell r="BB772">
            <v>0</v>
          </cell>
          <cell r="BC772">
            <v>0</v>
          </cell>
          <cell r="BD772">
            <v>0</v>
          </cell>
          <cell r="BG772">
            <v>0</v>
          </cell>
          <cell r="BH772">
            <v>0</v>
          </cell>
          <cell r="BI772">
            <v>0</v>
          </cell>
          <cell r="BJ772">
            <v>0</v>
          </cell>
          <cell r="BK772">
            <v>0</v>
          </cell>
          <cell r="BL772">
            <v>0</v>
          </cell>
          <cell r="BM772">
            <v>399106</v>
          </cell>
          <cell r="BN772">
            <v>3.8673436758108122</v>
          </cell>
          <cell r="BO772">
            <v>0</v>
          </cell>
          <cell r="BP772">
            <v>0</v>
          </cell>
          <cell r="BY772">
            <v>1838.1</v>
          </cell>
          <cell r="CF772">
            <v>0</v>
          </cell>
          <cell r="CG772">
            <v>0</v>
          </cell>
          <cell r="CJ772">
            <v>128308.20541357646</v>
          </cell>
          <cell r="CK772">
            <v>400.04999475675919</v>
          </cell>
          <cell r="CL772">
            <v>819.54</v>
          </cell>
          <cell r="CM772">
            <v>0</v>
          </cell>
          <cell r="CN772">
            <v>0</v>
          </cell>
          <cell r="CO772">
            <v>0</v>
          </cell>
          <cell r="CX772">
            <v>0</v>
          </cell>
          <cell r="CY772">
            <v>0</v>
          </cell>
          <cell r="DB772">
            <v>0</v>
          </cell>
          <cell r="DC772">
            <v>0</v>
          </cell>
          <cell r="DJ772" t="str">
            <v>МОС</v>
          </cell>
          <cell r="DL772">
            <v>41144</v>
          </cell>
          <cell r="DM772" t="str">
            <v>Рішення №688</v>
          </cell>
          <cell r="DT772">
            <v>958.41</v>
          </cell>
        </row>
        <row r="773">
          <cell r="W773">
            <v>490.5</v>
          </cell>
          <cell r="AF773">
            <v>40099</v>
          </cell>
          <cell r="AG773">
            <v>458</v>
          </cell>
          <cell r="AH773">
            <v>438.12105263157895</v>
          </cell>
          <cell r="AM773">
            <v>380</v>
          </cell>
          <cell r="AO773">
            <v>186390</v>
          </cell>
          <cell r="AQ773">
            <v>166486</v>
          </cell>
          <cell r="AU773">
            <v>0</v>
          </cell>
          <cell r="AW773">
            <v>0</v>
          </cell>
          <cell r="AY773">
            <v>139782.6</v>
          </cell>
          <cell r="AZ773">
            <v>367.84894736842108</v>
          </cell>
          <cell r="BA773">
            <v>0</v>
          </cell>
          <cell r="BB773">
            <v>0</v>
          </cell>
          <cell r="BC773">
            <v>0</v>
          </cell>
          <cell r="BD773">
            <v>0</v>
          </cell>
          <cell r="BG773">
            <v>3420</v>
          </cell>
          <cell r="BH773">
            <v>9</v>
          </cell>
          <cell r="BI773">
            <v>0</v>
          </cell>
          <cell r="BJ773">
            <v>0</v>
          </cell>
          <cell r="BK773">
            <v>0</v>
          </cell>
          <cell r="BL773">
            <v>0</v>
          </cell>
          <cell r="BM773">
            <v>8307</v>
          </cell>
          <cell r="BN773">
            <v>21.860526315789475</v>
          </cell>
          <cell r="BO773">
            <v>5464</v>
          </cell>
          <cell r="BP773">
            <v>14.378947368421052</v>
          </cell>
          <cell r="BY773">
            <v>1527.88</v>
          </cell>
          <cell r="CF773">
            <v>63.2</v>
          </cell>
          <cell r="CG773">
            <v>2211.75</v>
          </cell>
          <cell r="CJ773">
            <v>0</v>
          </cell>
          <cell r="CK773">
            <v>0</v>
          </cell>
          <cell r="CL773">
            <v>0</v>
          </cell>
          <cell r="CM773">
            <v>0</v>
          </cell>
          <cell r="CN773">
            <v>0</v>
          </cell>
          <cell r="CO773">
            <v>0</v>
          </cell>
          <cell r="CX773">
            <v>0</v>
          </cell>
          <cell r="CY773">
            <v>0</v>
          </cell>
          <cell r="DB773">
            <v>0</v>
          </cell>
          <cell r="DC773">
            <v>0</v>
          </cell>
          <cell r="DJ773" t="str">
            <v>МОС</v>
          </cell>
          <cell r="DL773">
            <v>40638</v>
          </cell>
          <cell r="DM773" t="str">
            <v>№206</v>
          </cell>
          <cell r="DT773">
            <v>490.5</v>
          </cell>
        </row>
        <row r="774">
          <cell r="W774">
            <v>490.5</v>
          </cell>
          <cell r="AF774">
            <v>40099</v>
          </cell>
          <cell r="AG774">
            <v>458</v>
          </cell>
          <cell r="AH774">
            <v>438.11999069388708</v>
          </cell>
          <cell r="AM774">
            <v>34386</v>
          </cell>
          <cell r="AO774">
            <v>16866333</v>
          </cell>
          <cell r="AQ774">
            <v>15065194</v>
          </cell>
          <cell r="AU774">
            <v>0</v>
          </cell>
          <cell r="AW774">
            <v>0</v>
          </cell>
          <cell r="AY774">
            <v>12648843.4275</v>
          </cell>
          <cell r="AZ774">
            <v>367.84864268888504</v>
          </cell>
          <cell r="BA774">
            <v>0</v>
          </cell>
          <cell r="BB774">
            <v>0</v>
          </cell>
          <cell r="BC774">
            <v>0</v>
          </cell>
          <cell r="BD774">
            <v>0</v>
          </cell>
          <cell r="BG774">
            <v>309474</v>
          </cell>
          <cell r="BH774">
            <v>9</v>
          </cell>
          <cell r="BI774">
            <v>0</v>
          </cell>
          <cell r="BJ774">
            <v>0</v>
          </cell>
          <cell r="BK774">
            <v>0</v>
          </cell>
          <cell r="BL774">
            <v>0</v>
          </cell>
          <cell r="BM774">
            <v>751680</v>
          </cell>
          <cell r="BN774">
            <v>21.860059326470076</v>
          </cell>
          <cell r="BO774">
            <v>494471</v>
          </cell>
          <cell r="BP774">
            <v>14.380009306112953</v>
          </cell>
          <cell r="BY774">
            <v>1527.88</v>
          </cell>
          <cell r="CF774">
            <v>5718.93</v>
          </cell>
          <cell r="CG774">
            <v>2211.75</v>
          </cell>
          <cell r="CJ774">
            <v>0</v>
          </cell>
          <cell r="CK774">
            <v>0</v>
          </cell>
          <cell r="CL774">
            <v>0</v>
          </cell>
          <cell r="CM774">
            <v>0</v>
          </cell>
          <cell r="CN774">
            <v>0</v>
          </cell>
          <cell r="CO774">
            <v>0</v>
          </cell>
          <cell r="CX774">
            <v>0</v>
          </cell>
          <cell r="CY774">
            <v>0</v>
          </cell>
          <cell r="DB774">
            <v>0</v>
          </cell>
          <cell r="DC774">
            <v>0</v>
          </cell>
          <cell r="DJ774" t="str">
            <v>МОС</v>
          </cell>
          <cell r="DL774">
            <v>40638</v>
          </cell>
          <cell r="DM774" t="str">
            <v>№206</v>
          </cell>
          <cell r="DT774">
            <v>490.5</v>
          </cell>
        </row>
        <row r="775">
          <cell r="W775">
            <v>325.61669999999998</v>
          </cell>
          <cell r="AF775">
            <v>40451</v>
          </cell>
          <cell r="AG775">
            <v>481</v>
          </cell>
          <cell r="AH775">
            <v>312.3258158389998</v>
          </cell>
          <cell r="AM775">
            <v>35016.1</v>
          </cell>
          <cell r="AO775">
            <v>11401826.928869998</v>
          </cell>
          <cell r="AQ775">
            <v>10936432</v>
          </cell>
          <cell r="AU775">
            <v>0</v>
          </cell>
          <cell r="AW775">
            <v>0</v>
          </cell>
          <cell r="AY775">
            <v>5087223.8999999994</v>
          </cell>
          <cell r="AZ775">
            <v>145.28242437050383</v>
          </cell>
          <cell r="BA775">
            <v>749273</v>
          </cell>
          <cell r="BB775">
            <v>21.397956939807688</v>
          </cell>
          <cell r="BC775">
            <v>0</v>
          </cell>
          <cell r="BD775">
            <v>0</v>
          </cell>
          <cell r="BG775">
            <v>0</v>
          </cell>
          <cell r="BH775">
            <v>0</v>
          </cell>
          <cell r="BI775">
            <v>442657</v>
          </cell>
          <cell r="BJ775">
            <v>12.641527754375845</v>
          </cell>
          <cell r="BK775">
            <v>0</v>
          </cell>
          <cell r="BL775">
            <v>0</v>
          </cell>
          <cell r="BM775">
            <v>4147409</v>
          </cell>
          <cell r="BN775">
            <v>118.44291625852108</v>
          </cell>
          <cell r="BO775">
            <v>0</v>
          </cell>
          <cell r="BP775">
            <v>0</v>
          </cell>
          <cell r="BY775">
            <v>1591.04</v>
          </cell>
          <cell r="CF775">
            <v>4662.8999999999996</v>
          </cell>
          <cell r="CG775">
            <v>1091</v>
          </cell>
          <cell r="CJ775">
            <v>0</v>
          </cell>
          <cell r="CK775">
            <v>0</v>
          </cell>
          <cell r="CL775">
            <v>0</v>
          </cell>
          <cell r="CM775">
            <v>0</v>
          </cell>
          <cell r="CN775">
            <v>0</v>
          </cell>
          <cell r="CO775">
            <v>0</v>
          </cell>
          <cell r="CX775">
            <v>0</v>
          </cell>
          <cell r="CY775">
            <v>0</v>
          </cell>
          <cell r="DB775">
            <v>0</v>
          </cell>
          <cell r="DC775">
            <v>0</v>
          </cell>
          <cell r="DJ775" t="str">
            <v>МОС</v>
          </cell>
          <cell r="DL775">
            <v>40508</v>
          </cell>
          <cell r="DM775">
            <v>3258</v>
          </cell>
          <cell r="DO775" t="str">
            <v>Тарифи на послуги  теплопостачання та гарячого водопостачання</v>
          </cell>
          <cell r="DT775">
            <v>326.62</v>
          </cell>
        </row>
        <row r="776">
          <cell r="W776">
            <v>459.63</v>
          </cell>
          <cell r="AF776">
            <v>40490</v>
          </cell>
          <cell r="AG776">
            <v>568</v>
          </cell>
          <cell r="AH776">
            <v>447.33405585152684</v>
          </cell>
          <cell r="AM776">
            <v>1148.76</v>
          </cell>
          <cell r="AO776">
            <v>528004.5588</v>
          </cell>
          <cell r="AQ776">
            <v>513879.47</v>
          </cell>
          <cell r="AU776">
            <v>0</v>
          </cell>
          <cell r="AW776">
            <v>0</v>
          </cell>
          <cell r="AY776">
            <v>386956.35168000002</v>
          </cell>
          <cell r="AZ776">
            <v>336.84699300114909</v>
          </cell>
          <cell r="BA776">
            <v>0</v>
          </cell>
          <cell r="BB776">
            <v>0</v>
          </cell>
          <cell r="BC776">
            <v>0</v>
          </cell>
          <cell r="BD776">
            <v>0</v>
          </cell>
          <cell r="BG776">
            <v>0</v>
          </cell>
          <cell r="BH776">
            <v>0</v>
          </cell>
          <cell r="BI776">
            <v>8844.6</v>
          </cell>
          <cell r="BJ776">
            <v>7.6992583307218219</v>
          </cell>
          <cell r="BK776">
            <v>0</v>
          </cell>
          <cell r="BL776">
            <v>0</v>
          </cell>
          <cell r="BM776">
            <v>101063</v>
          </cell>
          <cell r="BN776">
            <v>87.975730352728164</v>
          </cell>
          <cell r="BO776">
            <v>0</v>
          </cell>
          <cell r="BP776">
            <v>0</v>
          </cell>
          <cell r="BY776">
            <v>2116.19</v>
          </cell>
          <cell r="CF776">
            <v>154.84200000000001</v>
          </cell>
          <cell r="CG776">
            <v>2499.04</v>
          </cell>
          <cell r="CJ776">
            <v>0</v>
          </cell>
          <cell r="CK776">
            <v>0</v>
          </cell>
          <cell r="CL776">
            <v>0</v>
          </cell>
          <cell r="CM776">
            <v>0</v>
          </cell>
          <cell r="CN776">
            <v>0</v>
          </cell>
          <cell r="CO776">
            <v>0</v>
          </cell>
          <cell r="CX776">
            <v>0</v>
          </cell>
          <cell r="CY776">
            <v>0</v>
          </cell>
          <cell r="DB776">
            <v>0</v>
          </cell>
          <cell r="DC776">
            <v>0</v>
          </cell>
          <cell r="DJ776" t="str">
            <v>МОС</v>
          </cell>
          <cell r="DL776">
            <v>40508</v>
          </cell>
          <cell r="DM776">
            <v>3258</v>
          </cell>
          <cell r="DT776">
            <v>459.63</v>
          </cell>
        </row>
        <row r="777">
          <cell r="W777">
            <v>432.35</v>
          </cell>
          <cell r="AF777">
            <v>40451</v>
          </cell>
          <cell r="AG777">
            <v>482</v>
          </cell>
          <cell r="AH777">
            <v>430.20834116241139</v>
          </cell>
          <cell r="AM777">
            <v>2661.02</v>
          </cell>
          <cell r="AO777">
            <v>1150491.997</v>
          </cell>
          <cell r="AQ777">
            <v>1144793</v>
          </cell>
          <cell r="AU777">
            <v>0</v>
          </cell>
          <cell r="AW777">
            <v>0</v>
          </cell>
          <cell r="AY777">
            <v>403222.68999999994</v>
          </cell>
          <cell r="AZ777">
            <v>151.52937219562421</v>
          </cell>
          <cell r="BA777">
            <v>0</v>
          </cell>
          <cell r="BB777">
            <v>0</v>
          </cell>
          <cell r="BC777">
            <v>0</v>
          </cell>
          <cell r="BD777">
            <v>0</v>
          </cell>
          <cell r="BG777">
            <v>0</v>
          </cell>
          <cell r="BH777">
            <v>0</v>
          </cell>
          <cell r="BI777">
            <v>19197</v>
          </cell>
          <cell r="BJ777">
            <v>7.2141509646676836</v>
          </cell>
          <cell r="BK777">
            <v>0</v>
          </cell>
          <cell r="BL777">
            <v>0</v>
          </cell>
          <cell r="BM777">
            <v>636589</v>
          </cell>
          <cell r="BN777">
            <v>239.22743910229912</v>
          </cell>
          <cell r="BO777">
            <v>0</v>
          </cell>
          <cell r="BP777">
            <v>0</v>
          </cell>
          <cell r="BY777">
            <v>1593.09</v>
          </cell>
          <cell r="CF777">
            <v>369.59</v>
          </cell>
          <cell r="CG777">
            <v>1091</v>
          </cell>
          <cell r="CJ777">
            <v>0</v>
          </cell>
          <cell r="CK777">
            <v>0</v>
          </cell>
          <cell r="CL777">
            <v>0</v>
          </cell>
          <cell r="CM777">
            <v>0</v>
          </cell>
          <cell r="CN777">
            <v>0</v>
          </cell>
          <cell r="CO777">
            <v>0</v>
          </cell>
          <cell r="CX777">
            <v>0</v>
          </cell>
          <cell r="CY777">
            <v>0</v>
          </cell>
          <cell r="DB777">
            <v>0</v>
          </cell>
          <cell r="DC777">
            <v>0</v>
          </cell>
          <cell r="DJ777" t="str">
            <v>МОС</v>
          </cell>
          <cell r="DL777">
            <v>40508</v>
          </cell>
          <cell r="DM777">
            <v>696</v>
          </cell>
          <cell r="DO777" t="str">
            <v>Тарифи на послуги  теплопостачання та гарячого водопостачання</v>
          </cell>
          <cell r="DT777">
            <v>432.35</v>
          </cell>
        </row>
        <row r="778">
          <cell r="W778">
            <v>658.26</v>
          </cell>
          <cell r="AF778">
            <v>40490</v>
          </cell>
          <cell r="AG778">
            <v>567</v>
          </cell>
          <cell r="AH778">
            <v>626.48183801822609</v>
          </cell>
          <cell r="AM778">
            <v>779.1</v>
          </cell>
          <cell r="AO778">
            <v>512850.36599999998</v>
          </cell>
          <cell r="AQ778">
            <v>488092</v>
          </cell>
          <cell r="AU778">
            <v>0</v>
          </cell>
          <cell r="AW778">
            <v>0</v>
          </cell>
          <cell r="AY778">
            <v>270421.11839999998</v>
          </cell>
          <cell r="AZ778">
            <v>347.09423488640738</v>
          </cell>
          <cell r="BA778">
            <v>0</v>
          </cell>
          <cell r="BB778">
            <v>0</v>
          </cell>
          <cell r="BC778">
            <v>0</v>
          </cell>
          <cell r="BD778">
            <v>0</v>
          </cell>
          <cell r="BG778">
            <v>0</v>
          </cell>
          <cell r="BH778">
            <v>0</v>
          </cell>
          <cell r="BI778">
            <v>11275.6</v>
          </cell>
          <cell r="BJ778">
            <v>14.472596585804133</v>
          </cell>
          <cell r="BK778">
            <v>0</v>
          </cell>
          <cell r="BL778">
            <v>0</v>
          </cell>
          <cell r="BM778">
            <v>190584</v>
          </cell>
          <cell r="BN778">
            <v>244.62071621101271</v>
          </cell>
          <cell r="BO778">
            <v>0</v>
          </cell>
          <cell r="BP778">
            <v>0</v>
          </cell>
          <cell r="BY778">
            <v>1980.16</v>
          </cell>
          <cell r="CF778">
            <v>108.21</v>
          </cell>
          <cell r="CG778">
            <v>2499.04</v>
          </cell>
          <cell r="CJ778">
            <v>0</v>
          </cell>
          <cell r="CK778">
            <v>0</v>
          </cell>
          <cell r="CL778">
            <v>0</v>
          </cell>
          <cell r="CM778">
            <v>0</v>
          </cell>
          <cell r="CN778">
            <v>0</v>
          </cell>
          <cell r="CO778">
            <v>0</v>
          </cell>
          <cell r="CX778">
            <v>0</v>
          </cell>
          <cell r="CY778">
            <v>0</v>
          </cell>
          <cell r="DB778">
            <v>0</v>
          </cell>
          <cell r="DC778">
            <v>0</v>
          </cell>
          <cell r="DJ778" t="str">
            <v>МОС</v>
          </cell>
          <cell r="DL778">
            <v>40557</v>
          </cell>
          <cell r="DM778">
            <v>22</v>
          </cell>
          <cell r="DT778">
            <v>658.26</v>
          </cell>
        </row>
        <row r="779">
          <cell r="W779">
            <v>396.31734999999998</v>
          </cell>
          <cell r="AF779">
            <v>40431</v>
          </cell>
          <cell r="AG779">
            <v>440</v>
          </cell>
          <cell r="AH779">
            <v>379.27594222781147</v>
          </cell>
          <cell r="AM779">
            <v>44609.7</v>
          </cell>
          <cell r="AO779">
            <v>17679598.088294998</v>
          </cell>
          <cell r="AQ779">
            <v>16919386</v>
          </cell>
          <cell r="AU779">
            <v>0</v>
          </cell>
          <cell r="AW779">
            <v>2220779.9999999995</v>
          </cell>
          <cell r="AY779">
            <v>8603298.6999999993</v>
          </cell>
          <cell r="AZ779">
            <v>192.85712972739111</v>
          </cell>
          <cell r="BA779">
            <v>0</v>
          </cell>
          <cell r="BB779">
            <v>0</v>
          </cell>
          <cell r="BC779">
            <v>0</v>
          </cell>
          <cell r="BD779">
            <v>0</v>
          </cell>
          <cell r="BG779">
            <v>0</v>
          </cell>
          <cell r="BH779">
            <v>0</v>
          </cell>
          <cell r="BI779">
            <v>244600</v>
          </cell>
          <cell r="BJ779">
            <v>5.483112417254544</v>
          </cell>
          <cell r="BK779">
            <v>0</v>
          </cell>
          <cell r="BL779">
            <v>0</v>
          </cell>
          <cell r="BM779">
            <v>4376840</v>
          </cell>
          <cell r="BN779">
            <v>98.114087294915691</v>
          </cell>
          <cell r="BO779">
            <v>0</v>
          </cell>
          <cell r="BP779">
            <v>0</v>
          </cell>
          <cell r="BY779">
            <v>0</v>
          </cell>
          <cell r="CF779">
            <v>7885.7</v>
          </cell>
          <cell r="CG779">
            <v>1091</v>
          </cell>
          <cell r="CJ779">
            <v>0</v>
          </cell>
          <cell r="CK779">
            <v>0</v>
          </cell>
          <cell r="CL779">
            <v>0</v>
          </cell>
          <cell r="CM779">
            <v>38608.83171070931</v>
          </cell>
          <cell r="CN779">
            <v>57.52</v>
          </cell>
          <cell r="CO779">
            <v>57.52</v>
          </cell>
          <cell r="CX779">
            <v>0</v>
          </cell>
          <cell r="CY779">
            <v>0</v>
          </cell>
          <cell r="DB779">
            <v>0</v>
          </cell>
          <cell r="DC779">
            <v>0</v>
          </cell>
          <cell r="DJ779" t="str">
            <v>МОС</v>
          </cell>
          <cell r="DL779">
            <v>40837</v>
          </cell>
          <cell r="DM779">
            <v>234</v>
          </cell>
          <cell r="DO779" t="str">
            <v>Тариф на послуги централізованого опалення</v>
          </cell>
          <cell r="DT779">
            <v>437.38</v>
          </cell>
        </row>
        <row r="780">
          <cell r="W780">
            <v>804.39745182482432</v>
          </cell>
          <cell r="AF780">
            <v>40431</v>
          </cell>
          <cell r="AG780">
            <v>441</v>
          </cell>
          <cell r="AH780">
            <v>628.04020354732222</v>
          </cell>
          <cell r="AM780">
            <v>11859.65</v>
          </cell>
          <cell r="AO780">
            <v>9539872.2395342775</v>
          </cell>
          <cell r="AQ780">
            <v>7448337</v>
          </cell>
          <cell r="AU780">
            <v>0</v>
          </cell>
          <cell r="AW780">
            <v>621823.35381932568</v>
          </cell>
          <cell r="AY780">
            <v>5193638.4397599995</v>
          </cell>
          <cell r="AZ780">
            <v>437.92510232258115</v>
          </cell>
          <cell r="BA780">
            <v>0</v>
          </cell>
          <cell r="BB780">
            <v>0</v>
          </cell>
          <cell r="BC780">
            <v>0</v>
          </cell>
          <cell r="BD780">
            <v>0</v>
          </cell>
          <cell r="BG780">
            <v>0</v>
          </cell>
          <cell r="BH780">
            <v>0</v>
          </cell>
          <cell r="BI780">
            <v>65074.5</v>
          </cell>
          <cell r="BJ780">
            <v>5.4870506296560189</v>
          </cell>
          <cell r="BK780">
            <v>0</v>
          </cell>
          <cell r="BL780">
            <v>0</v>
          </cell>
          <cell r="BM780">
            <v>1163597</v>
          </cell>
          <cell r="BN780">
            <v>98.113940967903773</v>
          </cell>
          <cell r="BO780">
            <v>0</v>
          </cell>
          <cell r="BP780">
            <v>0</v>
          </cell>
          <cell r="BY780">
            <v>0</v>
          </cell>
          <cell r="CF780">
            <v>2107.0039999999999</v>
          </cell>
          <cell r="CG780">
            <v>2464.94</v>
          </cell>
          <cell r="CJ780">
            <v>0</v>
          </cell>
          <cell r="CK780">
            <v>0</v>
          </cell>
          <cell r="CL780">
            <v>0</v>
          </cell>
          <cell r="CM780">
            <v>10810.559002422213</v>
          </cell>
          <cell r="CN780">
            <v>57.52</v>
          </cell>
          <cell r="CO780">
            <v>57.52</v>
          </cell>
          <cell r="CX780">
            <v>0</v>
          </cell>
          <cell r="CY780">
            <v>0</v>
          </cell>
          <cell r="DB780">
            <v>0</v>
          </cell>
          <cell r="DC780">
            <v>0</v>
          </cell>
          <cell r="DJ780" t="str">
            <v>МОС</v>
          </cell>
          <cell r="DL780">
            <v>40837</v>
          </cell>
          <cell r="DM780">
            <v>234</v>
          </cell>
          <cell r="DT780">
            <v>984.57</v>
          </cell>
        </row>
        <row r="781">
          <cell r="W781">
            <v>804.39499999999998</v>
          </cell>
          <cell r="AF781">
            <v>40431</v>
          </cell>
          <cell r="AG781">
            <v>441</v>
          </cell>
          <cell r="AH781">
            <v>628.03832348381434</v>
          </cell>
          <cell r="AM781">
            <v>715.38800000000003</v>
          </cell>
          <cell r="AO781">
            <v>575454.53026000003</v>
          </cell>
          <cell r="AQ781">
            <v>449291.08016043901</v>
          </cell>
          <cell r="AU781">
            <v>0</v>
          </cell>
          <cell r="AW781">
            <v>37509.646180674346</v>
          </cell>
          <cell r="AY781">
            <v>313290.39476231113</v>
          </cell>
          <cell r="AZ781">
            <v>437.93073795242736</v>
          </cell>
          <cell r="BA781">
            <v>0</v>
          </cell>
          <cell r="BB781">
            <v>0</v>
          </cell>
          <cell r="BC781">
            <v>0</v>
          </cell>
          <cell r="BD781">
            <v>0</v>
          </cell>
          <cell r="BG781">
            <v>0</v>
          </cell>
          <cell r="BH781">
            <v>0</v>
          </cell>
          <cell r="BI781">
            <v>3925.42998769016</v>
          </cell>
          <cell r="BJ781">
            <v>5.4871342372113592</v>
          </cell>
          <cell r="BK781">
            <v>0</v>
          </cell>
          <cell r="BL781">
            <v>0</v>
          </cell>
          <cell r="BM781">
            <v>70187</v>
          </cell>
          <cell r="BN781">
            <v>98.110396036835951</v>
          </cell>
          <cell r="BO781">
            <v>0</v>
          </cell>
          <cell r="BP781">
            <v>0</v>
          </cell>
          <cell r="BY781">
            <v>0</v>
          </cell>
          <cell r="CF781">
            <v>127.09858851019138</v>
          </cell>
          <cell r="CG781">
            <v>2464.94</v>
          </cell>
          <cell r="CJ781">
            <v>0</v>
          </cell>
          <cell r="CK781">
            <v>0</v>
          </cell>
          <cell r="CL781">
            <v>0</v>
          </cell>
          <cell r="CM781">
            <v>652.11485015080575</v>
          </cell>
          <cell r="CN781">
            <v>57.52</v>
          </cell>
          <cell r="CO781">
            <v>57.52</v>
          </cell>
          <cell r="CX781">
            <v>0</v>
          </cell>
          <cell r="CY781">
            <v>0</v>
          </cell>
          <cell r="DB781">
            <v>0</v>
          </cell>
          <cell r="DC781">
            <v>0</v>
          </cell>
          <cell r="DJ781" t="str">
            <v>МОС</v>
          </cell>
          <cell r="DL781">
            <v>40837</v>
          </cell>
          <cell r="DM781">
            <v>234</v>
          </cell>
          <cell r="DT781">
            <v>984.57</v>
          </cell>
        </row>
        <row r="782">
          <cell r="W782">
            <v>331.67</v>
          </cell>
          <cell r="AF782">
            <v>39826</v>
          </cell>
          <cell r="AG782">
            <v>11</v>
          </cell>
          <cell r="AH782">
            <v>331.67062314540061</v>
          </cell>
          <cell r="AM782">
            <v>674</v>
          </cell>
          <cell r="AO782">
            <v>223545.58000000002</v>
          </cell>
          <cell r="AQ782">
            <v>223546</v>
          </cell>
          <cell r="AU782">
            <v>0</v>
          </cell>
          <cell r="AW782">
            <v>0</v>
          </cell>
          <cell r="AY782">
            <v>90354.963600000003</v>
          </cell>
          <cell r="AZ782">
            <v>134.05780949554895</v>
          </cell>
          <cell r="BA782">
            <v>0</v>
          </cell>
          <cell r="BB782">
            <v>0</v>
          </cell>
          <cell r="BC782">
            <v>0</v>
          </cell>
          <cell r="BD782">
            <v>0</v>
          </cell>
          <cell r="BG782">
            <v>0</v>
          </cell>
          <cell r="BH782">
            <v>0</v>
          </cell>
          <cell r="BI782">
            <v>26007.5</v>
          </cell>
          <cell r="BJ782">
            <v>38.586795252225521</v>
          </cell>
          <cell r="BK782">
            <v>0</v>
          </cell>
          <cell r="BL782">
            <v>0</v>
          </cell>
          <cell r="BM782">
            <v>70302</v>
          </cell>
          <cell r="BN782">
            <v>104.30563798219585</v>
          </cell>
          <cell r="BO782">
            <v>0</v>
          </cell>
          <cell r="BP782">
            <v>0</v>
          </cell>
          <cell r="BY782">
            <v>2191.59</v>
          </cell>
          <cell r="CF782">
            <v>124.23</v>
          </cell>
          <cell r="CG782">
            <v>727.32</v>
          </cell>
          <cell r="CJ782">
            <v>0</v>
          </cell>
          <cell r="CK782">
            <v>0</v>
          </cell>
          <cell r="CL782">
            <v>0</v>
          </cell>
          <cell r="CM782">
            <v>0</v>
          </cell>
          <cell r="CN782">
            <v>0</v>
          </cell>
          <cell r="CO782">
            <v>0</v>
          </cell>
          <cell r="CX782">
            <v>0</v>
          </cell>
          <cell r="CY782">
            <v>0</v>
          </cell>
          <cell r="DB782">
            <v>0</v>
          </cell>
          <cell r="DC782">
            <v>0</v>
          </cell>
          <cell r="DJ782" t="str">
            <v>МОС</v>
          </cell>
          <cell r="DL782">
            <v>39834</v>
          </cell>
          <cell r="DM782">
            <v>5</v>
          </cell>
          <cell r="DO782" t="str">
            <v>Тариф</v>
          </cell>
          <cell r="DT782">
            <v>331.67</v>
          </cell>
        </row>
        <row r="783">
          <cell r="W783">
            <v>671.92</v>
          </cell>
          <cell r="AF783">
            <v>40098</v>
          </cell>
          <cell r="AG783">
            <v>453</v>
          </cell>
          <cell r="AH783">
            <v>559.92999999999995</v>
          </cell>
          <cell r="AM783">
            <v>246</v>
          </cell>
          <cell r="AO783">
            <v>165292.31999999998</v>
          </cell>
          <cell r="AQ783">
            <v>137742.78</v>
          </cell>
          <cell r="AU783">
            <v>0</v>
          </cell>
          <cell r="AW783">
            <v>0</v>
          </cell>
          <cell r="AY783">
            <v>89137.814741000009</v>
          </cell>
          <cell r="AZ783">
            <v>362.34884041056915</v>
          </cell>
          <cell r="BA783">
            <v>0</v>
          </cell>
          <cell r="BB783">
            <v>0</v>
          </cell>
          <cell r="BC783">
            <v>0</v>
          </cell>
          <cell r="BD783">
            <v>0</v>
          </cell>
          <cell r="BG783">
            <v>0</v>
          </cell>
          <cell r="BH783">
            <v>0</v>
          </cell>
          <cell r="BI783">
            <v>9490</v>
          </cell>
          <cell r="BJ783">
            <v>38.577235772357724</v>
          </cell>
          <cell r="BK783">
            <v>0</v>
          </cell>
          <cell r="BL783">
            <v>0</v>
          </cell>
          <cell r="BM783">
            <v>25655</v>
          </cell>
          <cell r="BN783">
            <v>104.28861788617886</v>
          </cell>
          <cell r="BO783">
            <v>0</v>
          </cell>
          <cell r="BP783">
            <v>0</v>
          </cell>
          <cell r="BY783">
            <v>2191.59</v>
          </cell>
          <cell r="CF783">
            <v>41.2849</v>
          </cell>
          <cell r="CG783">
            <v>2159.09</v>
          </cell>
          <cell r="CJ783">
            <v>0</v>
          </cell>
          <cell r="CK783">
            <v>0</v>
          </cell>
          <cell r="CL783">
            <v>0</v>
          </cell>
          <cell r="CM783">
            <v>0</v>
          </cell>
          <cell r="CN783">
            <v>0</v>
          </cell>
          <cell r="CO783">
            <v>0</v>
          </cell>
          <cell r="CX783">
            <v>0</v>
          </cell>
          <cell r="CY783">
            <v>0</v>
          </cell>
          <cell r="DB783">
            <v>0</v>
          </cell>
          <cell r="DC783">
            <v>0</v>
          </cell>
          <cell r="DJ783" t="str">
            <v>НКРКП</v>
          </cell>
          <cell r="DL783">
            <v>40942</v>
          </cell>
          <cell r="DM783">
            <v>34</v>
          </cell>
          <cell r="DT783">
            <v>961.53</v>
          </cell>
        </row>
        <row r="784">
          <cell r="W784">
            <v>671.92</v>
          </cell>
          <cell r="AF784">
            <v>40098</v>
          </cell>
          <cell r="AG784">
            <v>453</v>
          </cell>
          <cell r="AH784">
            <v>559.93473570658034</v>
          </cell>
          <cell r="AM784">
            <v>1854</v>
          </cell>
          <cell r="AO784">
            <v>1245739.68</v>
          </cell>
          <cell r="AQ784">
            <v>1038119</v>
          </cell>
          <cell r="AU784">
            <v>0</v>
          </cell>
          <cell r="AW784">
            <v>0</v>
          </cell>
          <cell r="AY784">
            <v>671802.58077200002</v>
          </cell>
          <cell r="AZ784">
            <v>362.35306406256746</v>
          </cell>
          <cell r="BA784">
            <v>0</v>
          </cell>
          <cell r="BB784">
            <v>0</v>
          </cell>
          <cell r="BC784">
            <v>0</v>
          </cell>
          <cell r="BD784">
            <v>0</v>
          </cell>
          <cell r="BG784">
            <v>0</v>
          </cell>
          <cell r="BH784">
            <v>0</v>
          </cell>
          <cell r="BI784">
            <v>71532</v>
          </cell>
          <cell r="BJ784">
            <v>38.582524271844662</v>
          </cell>
          <cell r="BK784">
            <v>0</v>
          </cell>
          <cell r="BL784">
            <v>0</v>
          </cell>
          <cell r="BM784">
            <v>193354</v>
          </cell>
          <cell r="BN784">
            <v>104.29018338727077</v>
          </cell>
          <cell r="BO784">
            <v>0</v>
          </cell>
          <cell r="BP784">
            <v>0</v>
          </cell>
          <cell r="BY784">
            <v>2191.59</v>
          </cell>
          <cell r="CF784">
            <v>311.1508</v>
          </cell>
          <cell r="CG784">
            <v>2159.09</v>
          </cell>
          <cell r="CJ784">
            <v>0</v>
          </cell>
          <cell r="CK784">
            <v>0</v>
          </cell>
          <cell r="CL784">
            <v>0</v>
          </cell>
          <cell r="CM784">
            <v>0</v>
          </cell>
          <cell r="CN784">
            <v>0</v>
          </cell>
          <cell r="CO784">
            <v>0</v>
          </cell>
          <cell r="CX784">
            <v>0</v>
          </cell>
          <cell r="CY784">
            <v>0</v>
          </cell>
          <cell r="DB784">
            <v>0</v>
          </cell>
          <cell r="DC784">
            <v>0</v>
          </cell>
          <cell r="DJ784" t="str">
            <v>НКРКП</v>
          </cell>
          <cell r="DL784">
            <v>40942</v>
          </cell>
          <cell r="DM784">
            <v>34</v>
          </cell>
          <cell r="DT784">
            <v>961.53</v>
          </cell>
        </row>
        <row r="785">
          <cell r="W785">
            <v>201.01</v>
          </cell>
          <cell r="AF785">
            <v>39675</v>
          </cell>
          <cell r="AG785">
            <v>560</v>
          </cell>
          <cell r="AH785">
            <v>197.46048790309047</v>
          </cell>
          <cell r="AM785">
            <v>14900.5</v>
          </cell>
          <cell r="AO785">
            <v>2995149.5049999999</v>
          </cell>
          <cell r="AQ785">
            <v>2942259.9999999995</v>
          </cell>
          <cell r="AU785">
            <v>0</v>
          </cell>
          <cell r="AW785">
            <v>0</v>
          </cell>
          <cell r="AY785">
            <v>1624460</v>
          </cell>
          <cell r="AZ785">
            <v>109.02050266769571</v>
          </cell>
          <cell r="BA785">
            <v>116240</v>
          </cell>
          <cell r="BB785">
            <v>7.8010805006543409</v>
          </cell>
          <cell r="BC785">
            <v>0</v>
          </cell>
          <cell r="BD785">
            <v>0</v>
          </cell>
          <cell r="BG785">
            <v>0</v>
          </cell>
          <cell r="BH785">
            <v>0</v>
          </cell>
          <cell r="BI785">
            <v>337330</v>
          </cell>
          <cell r="BJ785">
            <v>22.63883762289856</v>
          </cell>
          <cell r="BK785">
            <v>0</v>
          </cell>
          <cell r="BL785">
            <v>0</v>
          </cell>
          <cell r="BM785">
            <v>726280</v>
          </cell>
          <cell r="BN785">
            <v>48.741988523875037</v>
          </cell>
          <cell r="BO785">
            <v>0</v>
          </cell>
          <cell r="BP785">
            <v>0</v>
          </cell>
          <cell r="BY785">
            <v>1626</v>
          </cell>
          <cell r="CF785">
            <v>2233.4873233239837</v>
          </cell>
          <cell r="CG785">
            <v>727.32</v>
          </cell>
          <cell r="CJ785">
            <v>0</v>
          </cell>
          <cell r="CK785">
            <v>0</v>
          </cell>
          <cell r="CL785">
            <v>0</v>
          </cell>
          <cell r="CM785">
            <v>0</v>
          </cell>
          <cell r="CN785">
            <v>0</v>
          </cell>
          <cell r="CO785">
            <v>0</v>
          </cell>
          <cell r="CX785">
            <v>0</v>
          </cell>
          <cell r="CY785">
            <v>0</v>
          </cell>
          <cell r="DB785">
            <v>0</v>
          </cell>
          <cell r="DC785">
            <v>0</v>
          </cell>
          <cell r="DJ785" t="str">
            <v>НКРЕ</v>
          </cell>
          <cell r="DL785">
            <v>40526</v>
          </cell>
          <cell r="DM785">
            <v>1830</v>
          </cell>
          <cell r="DO785" t="str">
            <v>Тариф на теплову енергію</v>
          </cell>
          <cell r="DT785">
            <v>221.11</v>
          </cell>
        </row>
        <row r="786">
          <cell r="W786">
            <v>438.96</v>
          </cell>
          <cell r="AF786">
            <v>39871</v>
          </cell>
          <cell r="AG786">
            <v>933</v>
          </cell>
          <cell r="AH786">
            <v>391.93018867924519</v>
          </cell>
          <cell r="AM786">
            <v>10700</v>
          </cell>
          <cell r="AO786">
            <v>4696872</v>
          </cell>
          <cell r="AQ786">
            <v>4193653.0188679234</v>
          </cell>
          <cell r="AU786">
            <v>0</v>
          </cell>
          <cell r="AW786">
            <v>0</v>
          </cell>
          <cell r="AY786">
            <v>3247296.5660377359</v>
          </cell>
          <cell r="AZ786">
            <v>303.4856603773585</v>
          </cell>
          <cell r="BA786">
            <v>83476.15094339622</v>
          </cell>
          <cell r="BB786">
            <v>7.8015094339622637</v>
          </cell>
          <cell r="BC786">
            <v>0</v>
          </cell>
          <cell r="BD786">
            <v>0</v>
          </cell>
          <cell r="BG786">
            <v>0</v>
          </cell>
          <cell r="BH786">
            <v>0</v>
          </cell>
          <cell r="BI786">
            <v>242252.03773584907</v>
          </cell>
          <cell r="BJ786">
            <v>22.640377358490568</v>
          </cell>
          <cell r="BK786">
            <v>0</v>
          </cell>
          <cell r="BL786">
            <v>0</v>
          </cell>
          <cell r="BM786">
            <v>521562.41509433958</v>
          </cell>
          <cell r="BN786">
            <v>48.744150943396221</v>
          </cell>
          <cell r="BO786">
            <v>0</v>
          </cell>
          <cell r="BP786">
            <v>0</v>
          </cell>
          <cell r="BY786">
            <v>1626</v>
          </cell>
          <cell r="CF786">
            <v>1515.8345506069488</v>
          </cell>
          <cell r="CG786">
            <v>2142.25</v>
          </cell>
          <cell r="CJ786">
            <v>0</v>
          </cell>
          <cell r="CK786">
            <v>0</v>
          </cell>
          <cell r="CL786">
            <v>0</v>
          </cell>
          <cell r="CM786">
            <v>0</v>
          </cell>
          <cell r="CN786">
            <v>0</v>
          </cell>
          <cell r="CO786">
            <v>0</v>
          </cell>
          <cell r="CX786">
            <v>0</v>
          </cell>
          <cell r="CY786">
            <v>0</v>
          </cell>
          <cell r="DB786">
            <v>0</v>
          </cell>
          <cell r="DC786">
            <v>0</v>
          </cell>
          <cell r="DJ786" t="str">
            <v>НКРКП</v>
          </cell>
          <cell r="DL786">
            <v>40942</v>
          </cell>
          <cell r="DM786">
            <v>33</v>
          </cell>
          <cell r="DT786">
            <v>689.09</v>
          </cell>
        </row>
        <row r="787">
          <cell r="W787">
            <v>438.96</v>
          </cell>
          <cell r="AF787">
            <v>39871</v>
          </cell>
          <cell r="AG787">
            <v>933</v>
          </cell>
          <cell r="AH787">
            <v>391.9301886792453</v>
          </cell>
          <cell r="AM787">
            <v>15800</v>
          </cell>
          <cell r="AO787">
            <v>6935568</v>
          </cell>
          <cell r="AQ787">
            <v>6192496.9811320761</v>
          </cell>
          <cell r="AU787">
            <v>0</v>
          </cell>
          <cell r="AW787">
            <v>0</v>
          </cell>
          <cell r="AY787">
            <v>4795073.4339622641</v>
          </cell>
          <cell r="AZ787">
            <v>303.4856603773585</v>
          </cell>
          <cell r="BA787">
            <v>123263.84905660379</v>
          </cell>
          <cell r="BB787">
            <v>7.8015094339622655</v>
          </cell>
          <cell r="BC787">
            <v>0</v>
          </cell>
          <cell r="BD787">
            <v>0</v>
          </cell>
          <cell r="BG787">
            <v>0</v>
          </cell>
          <cell r="BH787">
            <v>0</v>
          </cell>
          <cell r="BI787">
            <v>357717.96226415096</v>
          </cell>
          <cell r="BJ787">
            <v>22.640377358490568</v>
          </cell>
          <cell r="BK787">
            <v>0</v>
          </cell>
          <cell r="BL787">
            <v>0</v>
          </cell>
          <cell r="BM787">
            <v>770157.58490566048</v>
          </cell>
          <cell r="BN787">
            <v>48.744150943396235</v>
          </cell>
          <cell r="BO787">
            <v>0</v>
          </cell>
          <cell r="BP787">
            <v>0</v>
          </cell>
          <cell r="BY787">
            <v>1626</v>
          </cell>
          <cell r="CF787">
            <v>2238.3351308027841</v>
          </cell>
          <cell r="CG787">
            <v>2142.25</v>
          </cell>
          <cell r="CJ787">
            <v>0</v>
          </cell>
          <cell r="CK787">
            <v>0</v>
          </cell>
          <cell r="CL787">
            <v>0</v>
          </cell>
          <cell r="CM787">
            <v>0</v>
          </cell>
          <cell r="CN787">
            <v>0</v>
          </cell>
          <cell r="CO787">
            <v>0</v>
          </cell>
          <cell r="CX787">
            <v>0</v>
          </cell>
          <cell r="CY787">
            <v>0</v>
          </cell>
          <cell r="DB787">
            <v>0</v>
          </cell>
          <cell r="DC787">
            <v>0</v>
          </cell>
          <cell r="DJ787" t="str">
            <v>НКРКП</v>
          </cell>
          <cell r="DL787">
            <v>40942</v>
          </cell>
          <cell r="DM787">
            <v>33</v>
          </cell>
          <cell r="DT787">
            <v>689.09</v>
          </cell>
        </row>
        <row r="788">
          <cell r="W788">
            <v>226.88</v>
          </cell>
          <cell r="AF788">
            <v>39930</v>
          </cell>
          <cell r="AG788">
            <v>997</v>
          </cell>
          <cell r="AH788">
            <v>208.15</v>
          </cell>
          <cell r="AM788">
            <v>2914.0091280326687</v>
          </cell>
          <cell r="AO788">
            <v>661130.39096805186</v>
          </cell>
          <cell r="AQ788">
            <v>606551</v>
          </cell>
          <cell r="AU788">
            <v>0</v>
          </cell>
          <cell r="AW788">
            <v>0</v>
          </cell>
          <cell r="AY788">
            <v>290782.53600000002</v>
          </cell>
          <cell r="AZ788">
            <v>99.78779174117264</v>
          </cell>
          <cell r="BA788">
            <v>0</v>
          </cell>
          <cell r="BB788">
            <v>0</v>
          </cell>
          <cell r="BC788">
            <v>0</v>
          </cell>
          <cell r="BD788">
            <v>0</v>
          </cell>
          <cell r="BG788">
            <v>0</v>
          </cell>
          <cell r="BH788">
            <v>0</v>
          </cell>
          <cell r="BI788">
            <v>71027.64</v>
          </cell>
          <cell r="BJ788">
            <v>24.374542727651921</v>
          </cell>
          <cell r="BK788">
            <v>0</v>
          </cell>
          <cell r="BL788">
            <v>0</v>
          </cell>
          <cell r="BM788">
            <v>50299.03</v>
          </cell>
          <cell r="BN788">
            <v>17.261109279351611</v>
          </cell>
          <cell r="BO788">
            <v>0</v>
          </cell>
          <cell r="BP788">
            <v>0</v>
          </cell>
          <cell r="BY788">
            <v>2293.33</v>
          </cell>
          <cell r="CF788">
            <v>399.8</v>
          </cell>
          <cell r="CG788">
            <v>727.32</v>
          </cell>
          <cell r="CJ788">
            <v>0</v>
          </cell>
          <cell r="CK788">
            <v>0</v>
          </cell>
          <cell r="CL788">
            <v>0</v>
          </cell>
          <cell r="CM788">
            <v>0</v>
          </cell>
          <cell r="CN788">
            <v>0</v>
          </cell>
          <cell r="CO788">
            <v>0</v>
          </cell>
          <cell r="CX788">
            <v>0</v>
          </cell>
          <cell r="CY788">
            <v>0</v>
          </cell>
          <cell r="DB788">
            <v>0</v>
          </cell>
          <cell r="DC788">
            <v>0</v>
          </cell>
          <cell r="DJ788" t="str">
            <v>МОС</v>
          </cell>
          <cell r="DL788">
            <v>40100</v>
          </cell>
          <cell r="DM788">
            <v>455</v>
          </cell>
          <cell r="DO788" t="str">
            <v>Тариф на послуги з теплопостачання</v>
          </cell>
          <cell r="DT788">
            <v>226.88</v>
          </cell>
        </row>
        <row r="789">
          <cell r="W789">
            <v>462.56</v>
          </cell>
          <cell r="AF789">
            <v>39930</v>
          </cell>
          <cell r="AG789">
            <v>998</v>
          </cell>
          <cell r="AH789">
            <v>402.23192105242015</v>
          </cell>
          <cell r="AM789">
            <v>255.8</v>
          </cell>
          <cell r="AO789">
            <v>118322.84800000001</v>
          </cell>
          <cell r="AQ789">
            <v>102890.92540520908</v>
          </cell>
          <cell r="AU789">
            <v>0</v>
          </cell>
          <cell r="AW789">
            <v>0</v>
          </cell>
          <cell r="AY789">
            <v>75171.753405337658</v>
          </cell>
          <cell r="AZ789">
            <v>293.86924708888841</v>
          </cell>
          <cell r="BA789">
            <v>0</v>
          </cell>
          <cell r="BB789">
            <v>0</v>
          </cell>
          <cell r="BC789">
            <v>0</v>
          </cell>
          <cell r="BD789">
            <v>0</v>
          </cell>
          <cell r="BG789">
            <v>0</v>
          </cell>
          <cell r="BH789">
            <v>0</v>
          </cell>
          <cell r="BI789">
            <v>6235.03</v>
          </cell>
          <cell r="BJ789">
            <v>24.374628616106332</v>
          </cell>
          <cell r="BK789">
            <v>0</v>
          </cell>
          <cell r="BL789">
            <v>0</v>
          </cell>
          <cell r="BM789">
            <v>4415.3999999999996</v>
          </cell>
          <cell r="BN789">
            <v>17.261141516810007</v>
          </cell>
          <cell r="BO789">
            <v>0</v>
          </cell>
          <cell r="BP789">
            <v>0</v>
          </cell>
          <cell r="BY789">
            <v>2293.33</v>
          </cell>
          <cell r="CF789">
            <v>35.090093782395918</v>
          </cell>
          <cell r="CG789">
            <v>2142.25</v>
          </cell>
          <cell r="CJ789">
            <v>0</v>
          </cell>
          <cell r="CK789">
            <v>0</v>
          </cell>
          <cell r="CL789">
            <v>0</v>
          </cell>
          <cell r="CM789">
            <v>0</v>
          </cell>
          <cell r="CN789">
            <v>0</v>
          </cell>
          <cell r="CO789">
            <v>0</v>
          </cell>
          <cell r="CX789">
            <v>0</v>
          </cell>
          <cell r="CY789">
            <v>0</v>
          </cell>
          <cell r="DB789">
            <v>0</v>
          </cell>
          <cell r="DC789">
            <v>0</v>
          </cell>
          <cell r="DJ789" t="str">
            <v>НКРКП</v>
          </cell>
          <cell r="DL789">
            <v>40942</v>
          </cell>
          <cell r="DM789">
            <v>36</v>
          </cell>
          <cell r="DT789">
            <v>701.66</v>
          </cell>
        </row>
        <row r="790">
          <cell r="W790">
            <v>603.34</v>
          </cell>
          <cell r="AF790">
            <v>39930</v>
          </cell>
          <cell r="AG790">
            <v>998</v>
          </cell>
          <cell r="AH790">
            <v>402.23192105242009</v>
          </cell>
          <cell r="AM790">
            <v>12187.9</v>
          </cell>
          <cell r="AO790">
            <v>7353447.5860000001</v>
          </cell>
          <cell r="AQ790">
            <v>4902362.4305947907</v>
          </cell>
          <cell r="AU790">
            <v>0</v>
          </cell>
          <cell r="AW790">
            <v>0</v>
          </cell>
          <cell r="AY790">
            <v>3581648.9965946623</v>
          </cell>
          <cell r="AZ790">
            <v>293.86924708888836</v>
          </cell>
          <cell r="BA790">
            <v>0</v>
          </cell>
          <cell r="BB790">
            <v>0</v>
          </cell>
          <cell r="BC790">
            <v>0</v>
          </cell>
          <cell r="BD790">
            <v>0</v>
          </cell>
          <cell r="BG790">
            <v>0</v>
          </cell>
          <cell r="BH790">
            <v>0</v>
          </cell>
          <cell r="BI790">
            <v>297075.42</v>
          </cell>
          <cell r="BJ790">
            <v>24.374619089424758</v>
          </cell>
          <cell r="BK790">
            <v>0</v>
          </cell>
          <cell r="BL790">
            <v>0</v>
          </cell>
          <cell r="BM790">
            <v>210377.4</v>
          </cell>
          <cell r="BN790">
            <v>17.26116886420138</v>
          </cell>
          <cell r="BO790">
            <v>0</v>
          </cell>
          <cell r="BP790">
            <v>0</v>
          </cell>
          <cell r="BY790">
            <v>2293.33</v>
          </cell>
          <cell r="CF790">
            <v>1671.909906217604</v>
          </cell>
          <cell r="CG790">
            <v>2142.25</v>
          </cell>
          <cell r="CJ790">
            <v>0</v>
          </cell>
          <cell r="CK790">
            <v>0</v>
          </cell>
          <cell r="CL790">
            <v>0</v>
          </cell>
          <cell r="CM790">
            <v>0</v>
          </cell>
          <cell r="CN790">
            <v>0</v>
          </cell>
          <cell r="CO790">
            <v>0</v>
          </cell>
          <cell r="CX790">
            <v>0</v>
          </cell>
          <cell r="CY790">
            <v>0</v>
          </cell>
          <cell r="DB790">
            <v>0</v>
          </cell>
          <cell r="DC790">
            <v>0</v>
          </cell>
          <cell r="DJ790" t="str">
            <v>НКРКП</v>
          </cell>
          <cell r="DL790">
            <v>40942</v>
          </cell>
          <cell r="DM790">
            <v>36</v>
          </cell>
          <cell r="DT790">
            <v>737.46</v>
          </cell>
        </row>
        <row r="791">
          <cell r="W791">
            <v>201.38</v>
          </cell>
          <cell r="AF791">
            <v>40079</v>
          </cell>
          <cell r="AG791" t="str">
            <v>калькуляція</v>
          </cell>
          <cell r="AH791">
            <v>201.37621281323291</v>
          </cell>
          <cell r="AM791">
            <v>810.1</v>
          </cell>
          <cell r="AO791">
            <v>163137.93799999999</v>
          </cell>
          <cell r="AQ791">
            <v>163134.87</v>
          </cell>
          <cell r="AU791">
            <v>0</v>
          </cell>
          <cell r="AW791">
            <v>0</v>
          </cell>
          <cell r="AY791">
            <v>85224.76</v>
          </cell>
          <cell r="AZ791">
            <v>105.20276509072953</v>
          </cell>
          <cell r="BA791">
            <v>0</v>
          </cell>
          <cell r="BB791">
            <v>0</v>
          </cell>
          <cell r="BC791">
            <v>0</v>
          </cell>
          <cell r="BD791">
            <v>0</v>
          </cell>
          <cell r="BG791">
            <v>0</v>
          </cell>
          <cell r="BH791">
            <v>0</v>
          </cell>
          <cell r="BI791">
            <v>8552.7199999999993</v>
          </cell>
          <cell r="BJ791">
            <v>10.557610171583754</v>
          </cell>
          <cell r="BK791">
            <v>0</v>
          </cell>
          <cell r="BL791">
            <v>0</v>
          </cell>
          <cell r="BM791">
            <v>38463.79</v>
          </cell>
          <cell r="BN791">
            <v>47.480298728552029</v>
          </cell>
          <cell r="BO791">
            <v>0</v>
          </cell>
          <cell r="BP791">
            <v>0</v>
          </cell>
          <cell r="BY791">
            <v>3268.5</v>
          </cell>
          <cell r="CF791">
            <v>117.17642853214539</v>
          </cell>
          <cell r="CG791">
            <v>727.32</v>
          </cell>
          <cell r="CJ791">
            <v>0</v>
          </cell>
          <cell r="CK791">
            <v>0</v>
          </cell>
          <cell r="CL791">
            <v>0</v>
          </cell>
          <cell r="CM791">
            <v>0</v>
          </cell>
          <cell r="CN791">
            <v>0</v>
          </cell>
          <cell r="CO791">
            <v>0</v>
          </cell>
          <cell r="CX791">
            <v>0</v>
          </cell>
          <cell r="CY791">
            <v>0</v>
          </cell>
          <cell r="DB791">
            <v>0</v>
          </cell>
          <cell r="DC791">
            <v>0</v>
          </cell>
          <cell r="DJ791" t="str">
            <v>НКРЕ</v>
          </cell>
          <cell r="DL791">
            <v>40526</v>
          </cell>
          <cell r="DM791">
            <v>1828</v>
          </cell>
          <cell r="DO791" t="str">
            <v>Тариф на теплову енергію</v>
          </cell>
          <cell r="DT791">
            <v>221.51</v>
          </cell>
        </row>
        <row r="792">
          <cell r="W792">
            <v>450.2</v>
          </cell>
          <cell r="AF792">
            <v>40079</v>
          </cell>
          <cell r="AG792" t="str">
            <v>калькуляція</v>
          </cell>
          <cell r="AH792">
            <v>409.26979116670924</v>
          </cell>
          <cell r="AM792">
            <v>9792.5</v>
          </cell>
          <cell r="AO792">
            <v>4408583.5</v>
          </cell>
          <cell r="AQ792">
            <v>4007774.43</v>
          </cell>
          <cell r="AU792">
            <v>0</v>
          </cell>
          <cell r="AW792">
            <v>0</v>
          </cell>
          <cell r="AY792">
            <v>3065947.58</v>
          </cell>
          <cell r="AZ792">
            <v>313.09140464641308</v>
          </cell>
          <cell r="BA792">
            <v>0</v>
          </cell>
          <cell r="BB792">
            <v>0</v>
          </cell>
          <cell r="BC792">
            <v>0</v>
          </cell>
          <cell r="BD792">
            <v>0</v>
          </cell>
          <cell r="BG792">
            <v>0</v>
          </cell>
          <cell r="BH792">
            <v>0</v>
          </cell>
          <cell r="BI792">
            <v>103385.38</v>
          </cell>
          <cell r="BJ792">
            <v>10.557608373755425</v>
          </cell>
          <cell r="BK792">
            <v>0</v>
          </cell>
          <cell r="BL792">
            <v>0</v>
          </cell>
          <cell r="BM792">
            <v>464950.89</v>
          </cell>
          <cell r="BN792">
            <v>47.48030533571611</v>
          </cell>
          <cell r="BO792">
            <v>0</v>
          </cell>
          <cell r="BP792">
            <v>0</v>
          </cell>
          <cell r="BY792">
            <v>3268.5</v>
          </cell>
          <cell r="CF792">
            <v>1404.6840002565677</v>
          </cell>
          <cell r="CG792">
            <v>2182.66</v>
          </cell>
          <cell r="CJ792">
            <v>0</v>
          </cell>
          <cell r="CK792">
            <v>0</v>
          </cell>
          <cell r="CL792">
            <v>0</v>
          </cell>
          <cell r="CM792">
            <v>0</v>
          </cell>
          <cell r="CN792">
            <v>0</v>
          </cell>
          <cell r="CO792">
            <v>0</v>
          </cell>
          <cell r="CX792">
            <v>0</v>
          </cell>
          <cell r="CY792">
            <v>0</v>
          </cell>
          <cell r="DB792">
            <v>0</v>
          </cell>
          <cell r="DC792">
            <v>0</v>
          </cell>
          <cell r="DJ792" t="str">
            <v>НКРКП</v>
          </cell>
          <cell r="DL792">
            <v>40816</v>
          </cell>
          <cell r="DM792">
            <v>26</v>
          </cell>
          <cell r="DT792">
            <v>675.3</v>
          </cell>
        </row>
        <row r="793">
          <cell r="W793">
            <v>240.05</v>
          </cell>
          <cell r="AF793">
            <v>39862</v>
          </cell>
          <cell r="AG793">
            <v>915</v>
          </cell>
          <cell r="AH793">
            <v>240.0503488455729</v>
          </cell>
          <cell r="AM793">
            <v>1390.3</v>
          </cell>
          <cell r="AO793">
            <v>333741.51500000001</v>
          </cell>
          <cell r="AQ793">
            <v>333742</v>
          </cell>
          <cell r="AU793">
            <v>0</v>
          </cell>
          <cell r="AW793">
            <v>0</v>
          </cell>
          <cell r="AY793">
            <v>158338</v>
          </cell>
          <cell r="AZ793">
            <v>113.88765014745019</v>
          </cell>
          <cell r="BA793">
            <v>0</v>
          </cell>
          <cell r="BB793">
            <v>0</v>
          </cell>
          <cell r="BC793">
            <v>0</v>
          </cell>
          <cell r="BD793">
            <v>0</v>
          </cell>
          <cell r="BG793">
            <v>0</v>
          </cell>
          <cell r="BH793">
            <v>0</v>
          </cell>
          <cell r="BI793">
            <v>49793</v>
          </cell>
          <cell r="BJ793">
            <v>35.814572394447239</v>
          </cell>
          <cell r="BK793">
            <v>0</v>
          </cell>
          <cell r="BL793">
            <v>0</v>
          </cell>
          <cell r="BM793">
            <v>111100</v>
          </cell>
          <cell r="BN793">
            <v>79.910810616413727</v>
          </cell>
          <cell r="BO793">
            <v>0</v>
          </cell>
          <cell r="BP793">
            <v>0</v>
          </cell>
          <cell r="BY793">
            <v>1744</v>
          </cell>
          <cell r="CF793">
            <v>217.70149742134447</v>
          </cell>
          <cell r="CG793">
            <v>727.31700000000001</v>
          </cell>
          <cell r="CJ793">
            <v>0</v>
          </cell>
          <cell r="CK793">
            <v>0</v>
          </cell>
          <cell r="CL793">
            <v>0</v>
          </cell>
          <cell r="CM793">
            <v>0</v>
          </cell>
          <cell r="CN793">
            <v>0</v>
          </cell>
          <cell r="CO793">
            <v>0</v>
          </cell>
          <cell r="CX793">
            <v>0</v>
          </cell>
          <cell r="CY793">
            <v>0</v>
          </cell>
          <cell r="DB793">
            <v>0</v>
          </cell>
          <cell r="DC793">
            <v>0</v>
          </cell>
          <cell r="DJ793" t="str">
            <v>НКРЕ</v>
          </cell>
          <cell r="DL793">
            <v>40526</v>
          </cell>
          <cell r="DM793">
            <v>1829</v>
          </cell>
          <cell r="DO793" t="str">
            <v>тариф на теплову енергію</v>
          </cell>
          <cell r="DT793">
            <v>264.06</v>
          </cell>
        </row>
        <row r="794">
          <cell r="W794">
            <v>461.69</v>
          </cell>
          <cell r="AF794">
            <v>39862</v>
          </cell>
          <cell r="AG794">
            <v>916</v>
          </cell>
          <cell r="AH794">
            <v>461.69</v>
          </cell>
          <cell r="AM794">
            <v>2971.4</v>
          </cell>
          <cell r="AO794">
            <v>1371865.666</v>
          </cell>
          <cell r="AQ794">
            <v>1371865.666</v>
          </cell>
          <cell r="AU794">
            <v>0</v>
          </cell>
          <cell r="AW794">
            <v>0</v>
          </cell>
          <cell r="AY794">
            <v>997000</v>
          </cell>
          <cell r="AZ794">
            <v>335.53207242377329</v>
          </cell>
          <cell r="BA794">
            <v>0</v>
          </cell>
          <cell r="BB794">
            <v>0</v>
          </cell>
          <cell r="BC794">
            <v>0</v>
          </cell>
          <cell r="BD794">
            <v>0</v>
          </cell>
          <cell r="BG794">
            <v>0</v>
          </cell>
          <cell r="BH794">
            <v>0</v>
          </cell>
          <cell r="BI794">
            <v>106400</v>
          </cell>
          <cell r="BJ794">
            <v>35.80803661573669</v>
          </cell>
          <cell r="BK794">
            <v>0</v>
          </cell>
          <cell r="BL794">
            <v>0</v>
          </cell>
          <cell r="BM794">
            <v>237650</v>
          </cell>
          <cell r="BN794">
            <v>79.979134414753986</v>
          </cell>
          <cell r="BO794">
            <v>0</v>
          </cell>
          <cell r="BP794">
            <v>0</v>
          </cell>
          <cell r="BY794">
            <v>1744</v>
          </cell>
          <cell r="CF794">
            <v>465.39852958338196</v>
          </cell>
          <cell r="CG794">
            <v>2142.25</v>
          </cell>
          <cell r="CJ794">
            <v>0</v>
          </cell>
          <cell r="CK794">
            <v>0</v>
          </cell>
          <cell r="CL794">
            <v>0</v>
          </cell>
          <cell r="CM794">
            <v>0</v>
          </cell>
          <cell r="CN794">
            <v>0</v>
          </cell>
          <cell r="CO794">
            <v>0</v>
          </cell>
          <cell r="CX794">
            <v>0</v>
          </cell>
          <cell r="CY794">
            <v>0</v>
          </cell>
          <cell r="DB794">
            <v>0</v>
          </cell>
          <cell r="DC794">
            <v>0</v>
          </cell>
          <cell r="DJ794" t="str">
            <v>НКРКП</v>
          </cell>
          <cell r="DL794">
            <v>40816</v>
          </cell>
          <cell r="DM794">
            <v>28</v>
          </cell>
          <cell r="DT794">
            <v>713.81</v>
          </cell>
        </row>
        <row r="795">
          <cell r="W795">
            <v>181.07</v>
          </cell>
          <cell r="AF795">
            <v>39895</v>
          </cell>
          <cell r="AG795">
            <v>961</v>
          </cell>
          <cell r="AH795">
            <v>172.45</v>
          </cell>
          <cell r="AM795">
            <v>2267.9899999999998</v>
          </cell>
          <cell r="AO795">
            <v>410664.94929999992</v>
          </cell>
          <cell r="AQ795">
            <v>391114.87549999997</v>
          </cell>
          <cell r="AU795">
            <v>0</v>
          </cell>
          <cell r="AW795">
            <v>0</v>
          </cell>
          <cell r="AY795">
            <v>263400</v>
          </cell>
          <cell r="AZ795">
            <v>116.13807821022139</v>
          </cell>
          <cell r="BA795">
            <v>0</v>
          </cell>
          <cell r="BB795">
            <v>0</v>
          </cell>
          <cell r="BC795">
            <v>0</v>
          </cell>
          <cell r="BD795">
            <v>0</v>
          </cell>
          <cell r="BG795">
            <v>0</v>
          </cell>
          <cell r="BH795">
            <v>0</v>
          </cell>
          <cell r="BI795">
            <v>25380</v>
          </cell>
          <cell r="BJ795">
            <v>11.190525531417688</v>
          </cell>
          <cell r="BK795">
            <v>0</v>
          </cell>
          <cell r="BL795">
            <v>0</v>
          </cell>
          <cell r="BM795">
            <v>35600</v>
          </cell>
          <cell r="BN795">
            <v>15.696718239498413</v>
          </cell>
          <cell r="BO795">
            <v>0</v>
          </cell>
          <cell r="BP795">
            <v>0</v>
          </cell>
          <cell r="BY795">
            <v>1493</v>
          </cell>
          <cell r="CF795">
            <v>362.15146015508992</v>
          </cell>
          <cell r="CG795">
            <v>727.32</v>
          </cell>
          <cell r="CJ795">
            <v>0</v>
          </cell>
          <cell r="CK795">
            <v>0</v>
          </cell>
          <cell r="CL795">
            <v>0</v>
          </cell>
          <cell r="CM795">
            <v>0</v>
          </cell>
          <cell r="CN795">
            <v>0</v>
          </cell>
          <cell r="CO795">
            <v>0</v>
          </cell>
          <cell r="CX795">
            <v>0</v>
          </cell>
          <cell r="CY795">
            <v>0</v>
          </cell>
          <cell r="DB795">
            <v>0</v>
          </cell>
          <cell r="DC795">
            <v>0</v>
          </cell>
          <cell r="DJ795" t="str">
            <v>МОС</v>
          </cell>
          <cell r="DL795">
            <v>39904</v>
          </cell>
          <cell r="DM795">
            <v>58</v>
          </cell>
          <cell r="DO795" t="str">
            <v>Тариф на послуги з теплопостачання</v>
          </cell>
          <cell r="DT795">
            <v>181.07</v>
          </cell>
        </row>
        <row r="796">
          <cell r="W796">
            <v>518.08000000000004</v>
          </cell>
          <cell r="AF796">
            <v>39895</v>
          </cell>
          <cell r="AG796">
            <v>962</v>
          </cell>
          <cell r="AH796">
            <v>398.53</v>
          </cell>
          <cell r="AM796">
            <v>499.58597847088055</v>
          </cell>
          <cell r="AO796">
            <v>258825.50372619383</v>
          </cell>
          <cell r="AQ796">
            <v>199100</v>
          </cell>
          <cell r="AU796">
            <v>0</v>
          </cell>
          <cell r="AW796">
            <v>0</v>
          </cell>
          <cell r="AY796">
            <v>170970</v>
          </cell>
          <cell r="AZ796">
            <v>342.22337569060767</v>
          </cell>
          <cell r="BA796">
            <v>0</v>
          </cell>
          <cell r="BB796">
            <v>0</v>
          </cell>
          <cell r="BC796">
            <v>0</v>
          </cell>
          <cell r="BD796">
            <v>0</v>
          </cell>
          <cell r="BG796">
            <v>0</v>
          </cell>
          <cell r="BH796">
            <v>0</v>
          </cell>
          <cell r="BI796">
            <v>5590</v>
          </cell>
          <cell r="BJ796">
            <v>11.189265193370165</v>
          </cell>
          <cell r="BK796">
            <v>0</v>
          </cell>
          <cell r="BL796">
            <v>0</v>
          </cell>
          <cell r="BM796">
            <v>7840</v>
          </cell>
          <cell r="BN796">
            <v>15.69299447513812</v>
          </cell>
          <cell r="BO796">
            <v>0</v>
          </cell>
          <cell r="BP796">
            <v>0</v>
          </cell>
          <cell r="BY796">
            <v>1493</v>
          </cell>
          <cell r="CF796">
            <v>79.808612440191382</v>
          </cell>
          <cell r="CG796">
            <v>2142.25</v>
          </cell>
          <cell r="CJ796">
            <v>0</v>
          </cell>
          <cell r="CK796">
            <v>0</v>
          </cell>
          <cell r="CL796">
            <v>0</v>
          </cell>
          <cell r="CM796">
            <v>0</v>
          </cell>
          <cell r="CN796">
            <v>0</v>
          </cell>
          <cell r="CO796">
            <v>0</v>
          </cell>
          <cell r="CX796">
            <v>0</v>
          </cell>
          <cell r="CY796">
            <v>0</v>
          </cell>
          <cell r="DB796">
            <v>0</v>
          </cell>
          <cell r="DC796">
            <v>0</v>
          </cell>
          <cell r="DJ796" t="str">
            <v>НКРКП</v>
          </cell>
          <cell r="DL796">
            <v>40942</v>
          </cell>
          <cell r="DM796">
            <v>35</v>
          </cell>
          <cell r="DT796">
            <v>778.44</v>
          </cell>
        </row>
        <row r="797">
          <cell r="W797">
            <v>677.5</v>
          </cell>
          <cell r="AF797">
            <v>39895</v>
          </cell>
          <cell r="AG797">
            <v>962</v>
          </cell>
          <cell r="AH797">
            <v>398.53</v>
          </cell>
          <cell r="AM797">
            <v>1539.1563997691517</v>
          </cell>
          <cell r="AO797">
            <v>1042778.4608436002</v>
          </cell>
          <cell r="AQ797">
            <v>613400</v>
          </cell>
          <cell r="AU797">
            <v>0</v>
          </cell>
          <cell r="AW797">
            <v>0</v>
          </cell>
          <cell r="AY797">
            <v>526730</v>
          </cell>
          <cell r="AZ797">
            <v>342.21993299641343</v>
          </cell>
          <cell r="BA797">
            <v>0</v>
          </cell>
          <cell r="BB797">
            <v>0</v>
          </cell>
          <cell r="BC797">
            <v>0</v>
          </cell>
          <cell r="BD797">
            <v>0</v>
          </cell>
          <cell r="BG797">
            <v>0</v>
          </cell>
          <cell r="BH797">
            <v>0</v>
          </cell>
          <cell r="BI797">
            <v>17230</v>
          </cell>
          <cell r="BJ797">
            <v>11.194443919139223</v>
          </cell>
          <cell r="BK797">
            <v>0</v>
          </cell>
          <cell r="BL797">
            <v>0</v>
          </cell>
          <cell r="BM797">
            <v>24160</v>
          </cell>
          <cell r="BN797">
            <v>15.696910335833062</v>
          </cell>
          <cell r="BO797">
            <v>0</v>
          </cell>
          <cell r="BP797">
            <v>0</v>
          </cell>
          <cell r="BY797">
            <v>1493</v>
          </cell>
          <cell r="CF797">
            <v>245.8769984829035</v>
          </cell>
          <cell r="CG797">
            <v>2142.25</v>
          </cell>
          <cell r="CJ797">
            <v>0</v>
          </cell>
          <cell r="CK797">
            <v>0</v>
          </cell>
          <cell r="CL797">
            <v>0</v>
          </cell>
          <cell r="CM797">
            <v>0</v>
          </cell>
          <cell r="CN797">
            <v>0</v>
          </cell>
          <cell r="CO797">
            <v>0</v>
          </cell>
          <cell r="CX797">
            <v>0</v>
          </cell>
          <cell r="CY797">
            <v>0</v>
          </cell>
          <cell r="DB797">
            <v>0</v>
          </cell>
          <cell r="DC797">
            <v>0</v>
          </cell>
          <cell r="DJ797" t="str">
            <v>НКРКП</v>
          </cell>
          <cell r="DL797">
            <v>40942</v>
          </cell>
          <cell r="DM797">
            <v>35</v>
          </cell>
          <cell r="DT797">
            <v>778.44</v>
          </cell>
        </row>
        <row r="798">
          <cell r="W798">
            <v>443.86</v>
          </cell>
          <cell r="AF798">
            <v>40091</v>
          </cell>
          <cell r="AG798">
            <v>104</v>
          </cell>
          <cell r="AH798">
            <v>443.86209003870442</v>
          </cell>
          <cell r="AM798">
            <v>4909</v>
          </cell>
          <cell r="AO798">
            <v>2178908.7400000002</v>
          </cell>
          <cell r="AQ798">
            <v>2178919</v>
          </cell>
          <cell r="AU798">
            <v>0</v>
          </cell>
          <cell r="AW798">
            <v>0</v>
          </cell>
          <cell r="AY798">
            <v>575819.24400000006</v>
          </cell>
          <cell r="AZ798">
            <v>117.29868486453454</v>
          </cell>
          <cell r="BA798">
            <v>0</v>
          </cell>
          <cell r="BB798">
            <v>0</v>
          </cell>
          <cell r="BC798">
            <v>0</v>
          </cell>
          <cell r="BD798">
            <v>0</v>
          </cell>
          <cell r="BG798">
            <v>0</v>
          </cell>
          <cell r="BH798">
            <v>0</v>
          </cell>
          <cell r="BI798">
            <v>163519</v>
          </cell>
          <cell r="BJ798">
            <v>33.310042778569972</v>
          </cell>
          <cell r="BK798">
            <v>0</v>
          </cell>
          <cell r="BL798">
            <v>0</v>
          </cell>
          <cell r="BM798">
            <v>929615</v>
          </cell>
          <cell r="BN798">
            <v>189.36952536158077</v>
          </cell>
          <cell r="BO798">
            <v>0</v>
          </cell>
          <cell r="BP798">
            <v>0</v>
          </cell>
          <cell r="BY798">
            <v>1855.73</v>
          </cell>
          <cell r="CF798">
            <v>791.7</v>
          </cell>
          <cell r="CG798">
            <v>727.32</v>
          </cell>
          <cell r="CJ798">
            <v>0</v>
          </cell>
          <cell r="CK798">
            <v>0</v>
          </cell>
          <cell r="CL798">
            <v>0</v>
          </cell>
          <cell r="CM798">
            <v>0</v>
          </cell>
          <cell r="CN798">
            <v>0</v>
          </cell>
          <cell r="CO798">
            <v>0</v>
          </cell>
          <cell r="CX798">
            <v>0</v>
          </cell>
          <cell r="CY798">
            <v>0</v>
          </cell>
          <cell r="DB798">
            <v>0</v>
          </cell>
          <cell r="DC798">
            <v>0</v>
          </cell>
          <cell r="DJ798" t="str">
            <v>НКРЕ</v>
          </cell>
          <cell r="DL798">
            <v>40526</v>
          </cell>
          <cell r="DM798" t="str">
            <v>№1802</v>
          </cell>
          <cell r="DO798" t="str">
            <v>на теплову енергію від основної котельні</v>
          </cell>
          <cell r="DT798">
            <v>488.25</v>
          </cell>
        </row>
        <row r="799">
          <cell r="W799">
            <v>772.86</v>
          </cell>
          <cell r="AF799">
            <v>40091</v>
          </cell>
          <cell r="AG799">
            <v>105</v>
          </cell>
          <cell r="AH799">
            <v>672.05120852109792</v>
          </cell>
          <cell r="AM799">
            <v>2441</v>
          </cell>
          <cell r="AO799">
            <v>1886551.26</v>
          </cell>
          <cell r="AQ799">
            <v>1640477</v>
          </cell>
          <cell r="AU799">
            <v>0</v>
          </cell>
          <cell r="AW799">
            <v>0</v>
          </cell>
          <cell r="AY799">
            <v>843317</v>
          </cell>
          <cell r="AZ799">
            <v>345.48013109381401</v>
          </cell>
          <cell r="BA799">
            <v>0</v>
          </cell>
          <cell r="BB799">
            <v>0</v>
          </cell>
          <cell r="BC799">
            <v>0</v>
          </cell>
          <cell r="BD799">
            <v>0</v>
          </cell>
          <cell r="BG799">
            <v>0</v>
          </cell>
          <cell r="BH799">
            <v>0</v>
          </cell>
          <cell r="BI799">
            <v>81310</v>
          </cell>
          <cell r="BJ799">
            <v>33.310118803768944</v>
          </cell>
          <cell r="BK799">
            <v>0</v>
          </cell>
          <cell r="BL799">
            <v>0</v>
          </cell>
          <cell r="BM799">
            <v>462251</v>
          </cell>
          <cell r="BN799">
            <v>189.36952068824252</v>
          </cell>
          <cell r="BO799">
            <v>0</v>
          </cell>
          <cell r="BP799">
            <v>0</v>
          </cell>
          <cell r="BY799">
            <v>1855.73</v>
          </cell>
          <cell r="CF799">
            <v>393.65947018321856</v>
          </cell>
          <cell r="CG799">
            <v>2142.25</v>
          </cell>
          <cell r="CJ799">
            <v>0</v>
          </cell>
          <cell r="CK799">
            <v>0</v>
          </cell>
          <cell r="CL799">
            <v>0</v>
          </cell>
          <cell r="CM799">
            <v>0</v>
          </cell>
          <cell r="CN799">
            <v>0</v>
          </cell>
          <cell r="CO799">
            <v>0</v>
          </cell>
          <cell r="CX799">
            <v>0</v>
          </cell>
          <cell r="CY799">
            <v>0</v>
          </cell>
          <cell r="DB799">
            <v>0</v>
          </cell>
          <cell r="DC799">
            <v>0</v>
          </cell>
          <cell r="DJ799" t="str">
            <v>НКРКП</v>
          </cell>
          <cell r="DL799">
            <v>40816</v>
          </cell>
          <cell r="DM799" t="str">
            <v>№129</v>
          </cell>
          <cell r="DO799" t="str">
            <v>на теплову енергію від основної котельні</v>
          </cell>
          <cell r="DT799">
            <v>999.9</v>
          </cell>
        </row>
        <row r="800">
          <cell r="W800">
            <v>772.86</v>
          </cell>
          <cell r="AF800">
            <v>40091</v>
          </cell>
          <cell r="AG800">
            <v>105</v>
          </cell>
          <cell r="AH800">
            <v>672.05000180901277</v>
          </cell>
          <cell r="AM800">
            <v>72.000595000000004</v>
          </cell>
          <cell r="AO800">
            <v>55646.379851700003</v>
          </cell>
          <cell r="AQ800">
            <v>48388</v>
          </cell>
          <cell r="AU800">
            <v>0</v>
          </cell>
          <cell r="AW800">
            <v>0</v>
          </cell>
          <cell r="AY800">
            <v>24875</v>
          </cell>
          <cell r="AZ800">
            <v>345.48325607586992</v>
          </cell>
          <cell r="BA800">
            <v>0</v>
          </cell>
          <cell r="BB800">
            <v>0</v>
          </cell>
          <cell r="BC800">
            <v>0</v>
          </cell>
          <cell r="BD800">
            <v>0</v>
          </cell>
          <cell r="BG800">
            <v>0</v>
          </cell>
          <cell r="BH800">
            <v>0</v>
          </cell>
          <cell r="BI800">
            <v>2398</v>
          </cell>
          <cell r="BJ800">
            <v>33.305280324419542</v>
          </cell>
          <cell r="BK800">
            <v>0</v>
          </cell>
          <cell r="BL800">
            <v>0</v>
          </cell>
          <cell r="BM800">
            <v>13635</v>
          </cell>
          <cell r="BN800">
            <v>189.37343503897432</v>
          </cell>
          <cell r="BO800">
            <v>0</v>
          </cell>
          <cell r="BP800">
            <v>0</v>
          </cell>
          <cell r="BY800">
            <v>1855.73</v>
          </cell>
          <cell r="CF800">
            <v>11.611623293266426</v>
          </cell>
          <cell r="CG800">
            <v>2142.25</v>
          </cell>
          <cell r="CJ800">
            <v>0</v>
          </cell>
          <cell r="CK800">
            <v>0</v>
          </cell>
          <cell r="CL800">
            <v>0</v>
          </cell>
          <cell r="CM800">
            <v>0</v>
          </cell>
          <cell r="CN800">
            <v>0</v>
          </cell>
          <cell r="CO800">
            <v>0</v>
          </cell>
          <cell r="CX800">
            <v>0</v>
          </cell>
          <cell r="CY800">
            <v>0</v>
          </cell>
          <cell r="DB800">
            <v>0</v>
          </cell>
          <cell r="DC800">
            <v>0</v>
          </cell>
          <cell r="DJ800" t="str">
            <v>НКРКП</v>
          </cell>
          <cell r="DL800">
            <v>40816</v>
          </cell>
          <cell r="DM800" t="str">
            <v>№129</v>
          </cell>
          <cell r="DO800" t="str">
            <v>на теплову енергію від основної котельні</v>
          </cell>
          <cell r="DT800">
            <v>999.9</v>
          </cell>
        </row>
        <row r="801">
          <cell r="W801">
            <v>119.45</v>
          </cell>
          <cell r="AF801">
            <v>39063</v>
          </cell>
          <cell r="AG801" t="str">
            <v>КАЛЬКУЛЯЦІЯ</v>
          </cell>
          <cell r="AH801">
            <v>119.44688259924889</v>
          </cell>
          <cell r="AM801">
            <v>69497</v>
          </cell>
          <cell r="AO801">
            <v>8301416.6500000004</v>
          </cell>
          <cell r="AQ801">
            <v>8301200</v>
          </cell>
          <cell r="AU801">
            <v>0</v>
          </cell>
          <cell r="AW801">
            <v>0</v>
          </cell>
          <cell r="AY801">
            <v>0</v>
          </cell>
          <cell r="AZ801">
            <v>0</v>
          </cell>
          <cell r="BA801">
            <v>5790838</v>
          </cell>
          <cell r="BB801">
            <v>83.325006834827406</v>
          </cell>
          <cell r="BC801">
            <v>0</v>
          </cell>
          <cell r="BD801">
            <v>0</v>
          </cell>
          <cell r="BG801">
            <v>0</v>
          </cell>
          <cell r="BH801">
            <v>0</v>
          </cell>
          <cell r="BI801">
            <v>777200</v>
          </cell>
          <cell r="BJ801">
            <v>11.183216541721226</v>
          </cell>
          <cell r="BK801">
            <v>0</v>
          </cell>
          <cell r="BL801">
            <v>0</v>
          </cell>
          <cell r="BM801">
            <v>986400</v>
          </cell>
          <cell r="BN801">
            <v>14.193418420939034</v>
          </cell>
          <cell r="BO801">
            <v>0</v>
          </cell>
          <cell r="BP801">
            <v>0</v>
          </cell>
          <cell r="BY801">
            <v>1089.5999999999999</v>
          </cell>
          <cell r="CF801">
            <v>0</v>
          </cell>
          <cell r="CG801">
            <v>0</v>
          </cell>
          <cell r="CJ801">
            <v>0</v>
          </cell>
          <cell r="CK801">
            <v>0</v>
          </cell>
          <cell r="CL801">
            <v>0</v>
          </cell>
          <cell r="CM801">
            <v>0</v>
          </cell>
          <cell r="CN801">
            <v>0</v>
          </cell>
          <cell r="CO801">
            <v>0</v>
          </cell>
          <cell r="CX801">
            <v>0</v>
          </cell>
          <cell r="CY801">
            <v>0</v>
          </cell>
          <cell r="DB801">
            <v>0</v>
          </cell>
          <cell r="DC801">
            <v>0</v>
          </cell>
          <cell r="DJ801" t="str">
            <v>МОС</v>
          </cell>
          <cell r="DL801">
            <v>39063</v>
          </cell>
          <cell r="DM801">
            <v>545</v>
          </cell>
          <cell r="DO801" t="str">
            <v>Тариф на послуги з теплопостачання</v>
          </cell>
          <cell r="DT801">
            <v>119.45</v>
          </cell>
        </row>
        <row r="802">
          <cell r="W802">
            <v>222.2</v>
          </cell>
          <cell r="AF802">
            <v>38266</v>
          </cell>
          <cell r="AG802" t="str">
            <v>КАЛЬКУЛЯЦІЯ</v>
          </cell>
          <cell r="AH802">
            <v>222.20260347129505</v>
          </cell>
          <cell r="AM802">
            <v>2996</v>
          </cell>
          <cell r="AO802">
            <v>665711.19999999995</v>
          </cell>
          <cell r="AQ802">
            <v>665719</v>
          </cell>
          <cell r="AU802">
            <v>0</v>
          </cell>
          <cell r="AW802">
            <v>0</v>
          </cell>
          <cell r="AY802">
            <v>0</v>
          </cell>
          <cell r="AZ802">
            <v>0</v>
          </cell>
          <cell r="BA802">
            <v>293633.016</v>
          </cell>
          <cell r="BB802">
            <v>98.008349799732983</v>
          </cell>
          <cell r="BC802">
            <v>0</v>
          </cell>
          <cell r="BD802">
            <v>0</v>
          </cell>
          <cell r="BG802">
            <v>0</v>
          </cell>
          <cell r="BH802">
            <v>0</v>
          </cell>
          <cell r="BI802">
            <v>27671.631000000001</v>
          </cell>
          <cell r="BJ802">
            <v>9.2361919225634175</v>
          </cell>
          <cell r="BK802">
            <v>0</v>
          </cell>
          <cell r="BL802">
            <v>0</v>
          </cell>
          <cell r="BM802">
            <v>237800</v>
          </cell>
          <cell r="BN802">
            <v>79.372496662216292</v>
          </cell>
          <cell r="BO802">
            <v>0</v>
          </cell>
          <cell r="BP802">
            <v>0</v>
          </cell>
          <cell r="BY802">
            <v>943</v>
          </cell>
          <cell r="CF802">
            <v>0</v>
          </cell>
          <cell r="CG802">
            <v>0</v>
          </cell>
          <cell r="CJ802">
            <v>0</v>
          </cell>
          <cell r="CK802">
            <v>0</v>
          </cell>
          <cell r="CL802">
            <v>0</v>
          </cell>
          <cell r="CM802">
            <v>0</v>
          </cell>
          <cell r="CN802">
            <v>0</v>
          </cell>
          <cell r="CO802">
            <v>0</v>
          </cell>
          <cell r="CX802">
            <v>0</v>
          </cell>
          <cell r="CY802">
            <v>0</v>
          </cell>
          <cell r="DB802">
            <v>0</v>
          </cell>
          <cell r="DC802">
            <v>0</v>
          </cell>
          <cell r="DJ802" t="str">
            <v>НКРКП</v>
          </cell>
          <cell r="DL802">
            <v>40984</v>
          </cell>
          <cell r="DM802">
            <v>130</v>
          </cell>
          <cell r="DT802">
            <v>421.2</v>
          </cell>
        </row>
        <row r="803">
          <cell r="W803">
            <v>222.2</v>
          </cell>
          <cell r="AF803">
            <v>38266</v>
          </cell>
          <cell r="AG803" t="str">
            <v>КАЛЬКУЛЯЦІЯ</v>
          </cell>
          <cell r="AH803">
            <v>222.20243270037366</v>
          </cell>
          <cell r="AM803">
            <v>26226</v>
          </cell>
          <cell r="AO803">
            <v>5827417.1999999993</v>
          </cell>
          <cell r="AQ803">
            <v>5827481</v>
          </cell>
          <cell r="AU803">
            <v>0</v>
          </cell>
          <cell r="AW803">
            <v>0</v>
          </cell>
          <cell r="AY803">
            <v>0</v>
          </cell>
          <cell r="AZ803">
            <v>0</v>
          </cell>
          <cell r="BA803">
            <v>2570366.9840000002</v>
          </cell>
          <cell r="BB803">
            <v>98.00834988179669</v>
          </cell>
          <cell r="BC803">
            <v>0</v>
          </cell>
          <cell r="BD803">
            <v>0</v>
          </cell>
          <cell r="BG803">
            <v>0</v>
          </cell>
          <cell r="BH803">
            <v>0</v>
          </cell>
          <cell r="BI803">
            <v>242228.36900000001</v>
          </cell>
          <cell r="BJ803">
            <v>9.2361919087928008</v>
          </cell>
          <cell r="BK803">
            <v>0</v>
          </cell>
          <cell r="BL803">
            <v>0</v>
          </cell>
          <cell r="BM803">
            <v>2081600</v>
          </cell>
          <cell r="BN803">
            <v>79.371615953633793</v>
          </cell>
          <cell r="BO803">
            <v>0</v>
          </cell>
          <cell r="BP803">
            <v>0</v>
          </cell>
          <cell r="BY803">
            <v>943</v>
          </cell>
          <cell r="CF803">
            <v>0</v>
          </cell>
          <cell r="CG803">
            <v>0</v>
          </cell>
          <cell r="CJ803">
            <v>0</v>
          </cell>
          <cell r="CK803">
            <v>0</v>
          </cell>
          <cell r="CL803">
            <v>0</v>
          </cell>
          <cell r="CM803">
            <v>0</v>
          </cell>
          <cell r="CN803">
            <v>0</v>
          </cell>
          <cell r="CO803">
            <v>0</v>
          </cell>
          <cell r="CX803">
            <v>0</v>
          </cell>
          <cell r="CY803">
            <v>0</v>
          </cell>
          <cell r="DB803">
            <v>0</v>
          </cell>
          <cell r="DC803">
            <v>0</v>
          </cell>
          <cell r="DJ803" t="str">
            <v>НКРКП</v>
          </cell>
          <cell r="DL803">
            <v>40984</v>
          </cell>
          <cell r="DM803">
            <v>130</v>
          </cell>
          <cell r="DT803">
            <v>421.2</v>
          </cell>
        </row>
      </sheetData>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ВД (анал)"/>
    </sheetNames>
    <sheetDataSet>
      <sheetData sheetId="0"/>
      <sheetData sheetId="1"/>
      <sheetData sheetId="2"/>
      <sheetData sheetId="3"/>
      <sheetData sheetId="4"/>
      <sheetData sheetId="5"/>
      <sheetData sheetId="6" refreshError="1"/>
      <sheetData sheetId="7"/>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Технич лист"/>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ВД (ана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Експл"/>
      <sheetName val="ПЛАН_1вар"/>
      <sheetName val="Інші витрати"/>
    </sheetNames>
    <sheetDataSet>
      <sheetData sheetId="0">
        <row r="95">
          <cell r="CT95">
            <v>0</v>
          </cell>
        </row>
      </sheetData>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т на цеха"/>
      <sheetName val="tar ee 99"/>
    </sheetNames>
    <sheetDataSet>
      <sheetData sheetId="0"/>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міст"/>
      <sheetName val="Вхідні дані"/>
      <sheetName val="Приєднане_навантаж"/>
      <sheetName val="Обсяги вироб_реаліз"/>
      <sheetName val="Проект доходів 1ст"/>
      <sheetName val="Проект доходів 2ст"/>
      <sheetName val="Тариф_1ст"/>
      <sheetName val="Тариф_2ст"/>
      <sheetName val="Витрати на кап_інвестиції"/>
      <sheetName val="Собі- Вартість_для_2ст тарифу"/>
      <sheetName val="Собівартість_для 1ст тарифу"/>
      <sheetName val="Повна собівартість_елементи"/>
      <sheetName val="Прямі"/>
      <sheetName val="Загальновиробничі"/>
      <sheetName val="Адміністративні"/>
      <sheetName val="Збут"/>
      <sheetName val="Інші витрати"/>
      <sheetName val="Паливо_1ст"/>
      <sheetName val="Паливо_2ст"/>
      <sheetName val="Електр_енерг"/>
      <sheetName val="ПММ"/>
      <sheetName val="Вода_Водовід"/>
      <sheetName val="Мат_витр"/>
      <sheetName val="Амортизац_2008 "/>
      <sheetName val="ЗП_Всього по під-ву"/>
      <sheetName val="ЗП_Виробнич"/>
      <sheetName val="ЗП_Загальновир"/>
      <sheetName val="ЗП_Адміністр"/>
      <sheetName val="ЗП_Збут"/>
      <sheetName val="Чисельн_працівн"/>
      <sheetName val="Комунальн_посл"/>
      <sheetName val="Зв'язок"/>
      <sheetName val="Подат_Збори"/>
      <sheetName val="Фін_витр"/>
      <sheetName val="Ремон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_З"/>
      <sheetName val="У_П"/>
      <sheetName val="О"/>
      <sheetName val="Список_с_названиями"/>
      <sheetName val="НС"/>
      <sheetName val="ВСписки"/>
      <sheetName val="Енергоресурси"/>
      <sheetName val="середня номінальна зп 2013"/>
      <sheetName val="Розрахунок"/>
      <sheetName val="Для гиперссілок"/>
      <sheetName val="Структури"/>
      <sheetName val="База"/>
      <sheetName val="Лист1"/>
      <sheetName val="Зведена"/>
      <sheetName val="Лист2"/>
      <sheetName val="Додаток 1"/>
      <sheetName val="Додаток 2"/>
      <sheetName val="Додаток 3"/>
      <sheetName val="СТ_список"/>
      <sheetName val="БАЗА_Б_І"/>
      <sheetName val="Додаток 4"/>
      <sheetName val="На орден"/>
    </sheetNames>
    <sheetDataSet>
      <sheetData sheetId="0"/>
      <sheetData sheetId="1"/>
      <sheetData sheetId="2"/>
      <sheetData sheetId="3"/>
      <sheetData sheetId="4"/>
      <sheetData sheetId="5"/>
      <sheetData sheetId="6"/>
      <sheetData sheetId="7"/>
      <sheetData sheetId="8"/>
      <sheetData sheetId="9"/>
      <sheetData sheetId="10"/>
      <sheetData sheetId="11">
        <row r="1">
          <cell r="E1" t="str">
            <v>:</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Ф2"/>
      <sheetName val="Технич лист"/>
    </sheetNames>
    <sheetDataSet>
      <sheetData sheetId="0">
        <row r="8">
          <cell r="F8" t="str">
            <v xml:space="preserve">Звіт </v>
          </cell>
        </row>
      </sheetData>
      <sheetData sheetId="1"/>
      <sheetData sheetId="2" refreshError="1"/>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 реєстр"/>
      <sheetName val="скрыть"/>
      <sheetName val="Лист3"/>
      <sheetName val="Лист4"/>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_ реєстр"/>
      <sheetName val="скрыть"/>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 реєстр"/>
      <sheetName val="скрыть"/>
      <sheetName val="Лист3"/>
      <sheetName val="Лист4"/>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 sheetId="2"/>
      <sheetData sheetId="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міст"/>
      <sheetName val="Вхідні дані"/>
      <sheetName val="Обсяги послуг_навантаж"/>
      <sheetName val="Тариф_опал_ГВП"/>
      <sheetName val="Проект доходів"/>
      <sheetName val="Повна собівартість"/>
      <sheetName val="Прямі"/>
      <sheetName val="Загальновиробничі"/>
      <sheetName val="Адміністративні"/>
      <sheetName val="Збут"/>
      <sheetName val="Інші_операц"/>
      <sheetName val="Паливо"/>
      <sheetName val="Електр_енерг"/>
      <sheetName val="ПММ"/>
      <sheetName val="Вода_Водовід"/>
      <sheetName val="Мат_витр"/>
      <sheetName val="Охорон_ прац"/>
      <sheetName val="Амортизац_2006"/>
      <sheetName val="Амортизац_2007 "/>
      <sheetName val="ЗП_Всього по під-ву"/>
      <sheetName val="ЗП_Виробнич"/>
      <sheetName val="ЗП_Загальновир"/>
      <sheetName val="ЗП_Адміністр"/>
      <sheetName val="ЗП_Збут"/>
      <sheetName val="Чисельн_працівн"/>
      <sheetName val="Комунальн_посл"/>
      <sheetName val="Зв'язок"/>
      <sheetName val="Подат_Збори"/>
      <sheetName val="Фін_витр"/>
      <sheetName val="Фін_витр (2)"/>
      <sheetName val="Ремон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міст"/>
      <sheetName val="Вхідні дані"/>
      <sheetName val="Хар.ліцен."/>
      <sheetName val="Заг.хар.ліц.Дод9"/>
      <sheetName val="Обсяги вироб_реаліз_ТЕ"/>
      <sheetName val="Дод2"/>
      <sheetName val="Інвест_Програм"/>
      <sheetName val="Тарифи_послуга ЦО_ГВП"/>
      <sheetName val="Дод.10"/>
      <sheetName val="Дод.3"/>
      <sheetName val="Дод4"/>
      <sheetName val="Дод5"/>
      <sheetName val="Дод.6"/>
      <sheetName val="Витрати_дод.НК"/>
      <sheetName val="Повна собівартість_ТЕ"/>
      <sheetName val="Прямі_ТЕ_всього"/>
      <sheetName val="прямі_інші"/>
      <sheetName val="Загальновиробничі"/>
      <sheetName val="Адміністративні"/>
      <sheetName val="Збут"/>
      <sheetName val="Паливо"/>
      <sheetName val="паливо (НКРКП)"/>
      <sheetName val="Дод.7"/>
      <sheetName val="Електр_енерг"/>
      <sheetName val="електроенергія(НКРРКП)"/>
      <sheetName val="Дод.8"/>
      <sheetName val="ПММ"/>
      <sheetName val="Хім_реаг"/>
      <sheetName val="дод.11 вода"/>
      <sheetName val="Вода_Водовід"/>
      <sheetName val="Амортизація"/>
      <sheetName val="Охорон_ праці"/>
      <sheetName val="Дод.13_ЗП_ЗУ&quot;ОП&quot;"/>
      <sheetName val="Дод.14_ЗП_ПсБО16"/>
      <sheetName val="ЗП_Всього по під-ву"/>
      <sheetName val="Заг.ЗП за рік"/>
      <sheetName val="Літо (виробництво ТЕЦ та ін.)"/>
      <sheetName val="Зима (виробництво ТЕЦ та ін.)"/>
      <sheetName val="Літо (виробництво)"/>
      <sheetName val="Зима (виробництво)"/>
      <sheetName val="Літо (транспортування)"/>
      <sheetName val="Зима (транспортування)"/>
      <sheetName val="Літо (постачання)"/>
      <sheetName val="Зима (постачання)"/>
      <sheetName val="Літо (заг.-виробничі)"/>
      <sheetName val="Зима (заг.-виробничі)"/>
      <sheetName val="Літо (адміністративні)"/>
      <sheetName val="Зима (адміністративні)"/>
      <sheetName val="Подат_Збори"/>
      <sheetName val="Зв_язок"/>
      <sheetName val="Фін_витр"/>
      <sheetName val="дод.12 ремонти"/>
      <sheetName val="Ремонти"/>
      <sheetName val="Тепловий баланс_Питома_норм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Экономический эффект"/>
      <sheetName val="812"/>
    </sheetNames>
    <sheetDataSet>
      <sheetData sheetId="0"/>
      <sheetData sheetId="1"/>
      <sheetData sheetId="2"/>
      <sheetData sheetId="3"/>
      <sheetData sheetId="4"/>
      <sheetData sheetId="5"/>
      <sheetData sheetId="6" refreshError="1"/>
      <sheetData sheetId="7"/>
      <sheetData sheetId="8" refreshError="1"/>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дноставковий"/>
      <sheetName val="Розрахунок"/>
      <sheetName val="Енергоресурси"/>
      <sheetName val="МЗП по місяцях"/>
      <sheetName val="середня номінальна зп 2013"/>
      <sheetName val="свод"/>
      <sheetName val="виконавці"/>
      <sheetName val="ШАБЛОН"/>
      <sheetName val="Лист1"/>
    </sheetNames>
    <sheetDataSet>
      <sheetData sheetId="0" refreshError="1"/>
      <sheetData sheetId="1">
        <row r="22">
          <cell r="F22" t="str">
            <v/>
          </cell>
        </row>
      </sheetData>
      <sheetData sheetId="2">
        <row r="3">
          <cell r="A3">
            <v>39083</v>
          </cell>
        </row>
      </sheetData>
      <sheetData sheetId="3" refreshError="1"/>
      <sheetData sheetId="4">
        <row r="31">
          <cell r="M31">
            <v>3181</v>
          </cell>
        </row>
      </sheetData>
      <sheetData sheetId="5" refreshError="1"/>
      <sheetData sheetId="6" refreshError="1"/>
      <sheetData sheetId="7">
        <row r="35">
          <cell r="L35" t="str">
            <v>х</v>
          </cell>
        </row>
      </sheetData>
      <sheetData sheetId="8">
        <row r="4">
          <cell r="C4" t="str">
            <v>Алуштинська філія</v>
          </cell>
        </row>
        <row r="5">
          <cell r="C5" t="str">
            <v>Джанкойська філія</v>
          </cell>
        </row>
        <row r="6">
          <cell r="C6" t="str">
            <v>Євпаторійська філія</v>
          </cell>
        </row>
        <row r="7">
          <cell r="C7" t="str">
            <v>Керченська філія</v>
          </cell>
        </row>
        <row r="8">
          <cell r="C8" t="str">
            <v>Роздольницька філія</v>
          </cell>
        </row>
        <row r="9">
          <cell r="C9" t="str">
            <v>Сімферопольська філія</v>
          </cell>
        </row>
        <row r="10">
          <cell r="C10" t="str">
            <v>Феодосійська філія</v>
          </cell>
        </row>
        <row r="11">
          <cell r="C11" t="str">
            <v>Ялтинська філія</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 змін"/>
      <sheetName val="Зведений баланс"/>
      <sheetName val="Корисний м2"/>
      <sheetName val="Баланс 7 та 8"/>
      <sheetName val="Баланс 7 та 8 ="/>
      <sheetName val="М3 нас без прил."/>
      <sheetName val="Послуга М3"/>
      <sheetName val="МЗК"/>
      <sheetName val="Q max"/>
      <sheetName val="Списки"/>
      <sheetName val="Q"/>
      <sheetName val="ДСТУ"/>
      <sheetName val="Додаток 2000"/>
      <sheetName val="Факт ГВП населення 3 года"/>
      <sheetName val="Q max (факт)"/>
      <sheetName val="Q факт 2 та 3"/>
      <sheetName val="МЗК база"/>
      <sheetName val="СНИП82+КТМ"/>
      <sheetName val="t ДСТУ"/>
      <sheetName val="дати ОП МОП"/>
      <sheetName val="2 Корисний дсту"/>
      <sheetName val="Послуга Д2 прямые"/>
      <sheetName val="Додаток 13"/>
      <sheetName val=" послуга ГВП 1"/>
      <sheetName val="послуга 2 3"/>
      <sheetName val="КОНТРОЛЬ"/>
      <sheetName val="Реестр прям.дог."/>
      <sheetName val="Реестр вед."/>
      <sheetName val="Реестр бюджет"/>
      <sheetName val="Реестр религия"/>
      <sheetName val="Реестр інші 21"/>
      <sheetName val=" інші 20"/>
      <sheetName val="паливо"/>
      <sheetName val="Річний план"/>
      <sheetName val="Річний план 1"/>
      <sheetName val="Лист1"/>
      <sheetName val="Річний план 2"/>
      <sheetName val="Ср. за 5 лет"/>
      <sheetName val="Факт вода 5 лет"/>
      <sheetName val="Додаток 2"/>
      <sheetName val="Додаток 1"/>
      <sheetName val="Соотношение"/>
      <sheetName val="Абонплата"/>
      <sheetName val="Динаміка"/>
      <sheetName val="Сч.ЦТП"/>
      <sheetName val="Лист2"/>
      <sheetName val="Лист4"/>
      <sheetName val="Додаток 12"/>
      <sheetName val="Лист3"/>
      <sheetName val="Лист6"/>
      <sheetName val="Лист5"/>
      <sheetName val="Тепло тариф 2021-2022 религия +"/>
    </sheetNames>
    <sheetDataSet>
      <sheetData sheetId="0"/>
      <sheetData sheetId="1"/>
      <sheetData sheetId="2"/>
      <sheetData sheetId="3"/>
      <sheetData sheetId="4"/>
      <sheetData sheetId="5"/>
      <sheetData sheetId="6"/>
      <sheetData sheetId="7">
        <row r="436">
          <cell r="BF436">
            <v>1.6609087752817323E-3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4">
          <cell r="G14">
            <v>2</v>
          </cell>
        </row>
        <row r="16">
          <cell r="G16">
            <v>0</v>
          </cell>
        </row>
        <row r="17">
          <cell r="G17">
            <v>0</v>
          </cell>
          <cell r="M17">
            <v>0</v>
          </cell>
          <cell r="P17">
            <v>0</v>
          </cell>
        </row>
        <row r="18">
          <cell r="M18">
            <v>0</v>
          </cell>
          <cell r="P18">
            <v>0</v>
          </cell>
        </row>
        <row r="20">
          <cell r="G20">
            <v>0</v>
          </cell>
        </row>
        <row r="21">
          <cell r="G21">
            <v>0</v>
          </cell>
        </row>
        <row r="22">
          <cell r="M22">
            <v>0</v>
          </cell>
          <cell r="P22">
            <v>0</v>
          </cell>
        </row>
        <row r="24">
          <cell r="G24">
            <v>0</v>
          </cell>
        </row>
        <row r="25">
          <cell r="G25">
            <v>0</v>
          </cell>
        </row>
        <row r="27">
          <cell r="G27">
            <v>0</v>
          </cell>
          <cell r="K27">
            <v>0</v>
          </cell>
          <cell r="L27">
            <v>0</v>
          </cell>
          <cell r="M27">
            <v>0</v>
          </cell>
        </row>
      </sheetData>
      <sheetData sheetId="23"/>
      <sheetData sheetId="24"/>
      <sheetData sheetId="25">
        <row r="4">
          <cell r="B4">
            <v>8.2398431070000004</v>
          </cell>
        </row>
      </sheetData>
      <sheetData sheetId="26">
        <row r="2039">
          <cell r="Q2039">
            <v>49.720426077615386</v>
          </cell>
        </row>
      </sheetData>
      <sheetData sheetId="27">
        <row r="54">
          <cell r="R54">
            <v>9.688709620754107</v>
          </cell>
        </row>
      </sheetData>
      <sheetData sheetId="28"/>
      <sheetData sheetId="29"/>
      <sheetData sheetId="30"/>
      <sheetData sheetId="31"/>
      <sheetData sheetId="32"/>
      <sheetData sheetId="33">
        <row r="99">
          <cell r="F99">
            <v>73.218445368369501</v>
          </cell>
        </row>
      </sheetData>
      <sheetData sheetId="34"/>
      <sheetData sheetId="35"/>
      <sheetData sheetId="36"/>
      <sheetData sheetId="37">
        <row r="27">
          <cell r="B27">
            <v>7.6285699999999999</v>
          </cell>
          <cell r="C27">
            <v>6.6293199999999999</v>
          </cell>
          <cell r="D27">
            <v>3.46</v>
          </cell>
          <cell r="E27">
            <v>0.42</v>
          </cell>
          <cell r="F27">
            <v>1.9191499999999999</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11">
          <cell r="F11">
            <v>1073.8</v>
          </cell>
          <cell r="G11">
            <v>849</v>
          </cell>
          <cell r="H11">
            <v>3187</v>
          </cell>
          <cell r="I11">
            <v>3663</v>
          </cell>
          <cell r="K11">
            <v>4</v>
          </cell>
        </row>
        <row r="18">
          <cell r="F18">
            <v>97</v>
          </cell>
          <cell r="G18">
            <v>53</v>
          </cell>
          <cell r="H18">
            <v>87</v>
          </cell>
          <cell r="I18">
            <v>47</v>
          </cell>
          <cell r="J18">
            <v>4</v>
          </cell>
        </row>
        <row r="19">
          <cell r="Z19">
            <v>47.55</v>
          </cell>
          <cell r="AA19">
            <v>42.85</v>
          </cell>
        </row>
        <row r="22">
          <cell r="F22">
            <v>18.45</v>
          </cell>
          <cell r="G22">
            <v>16.38</v>
          </cell>
          <cell r="H22">
            <v>18.45</v>
          </cell>
          <cell r="I22">
            <v>16.38</v>
          </cell>
        </row>
        <row r="23">
          <cell r="F23">
            <v>19.809999999999999</v>
          </cell>
          <cell r="G23">
            <v>13.91</v>
          </cell>
          <cell r="H23">
            <v>58.8</v>
          </cell>
          <cell r="I23">
            <v>60</v>
          </cell>
        </row>
        <row r="78">
          <cell r="J78">
            <v>7.0000000000000007E-2</v>
          </cell>
          <cell r="K78">
            <v>7.0000000000000007E-2</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4">
          <cell r="E4">
            <v>1542</v>
          </cell>
        </row>
        <row r="5">
          <cell r="E5">
            <v>1416</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ow r="62">
          <cell r="AG62">
            <v>1904385.4900000007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ІНСТРУКЦІЯ"/>
      <sheetName val="1_Структура по елементах"/>
      <sheetName val="2_ФОП"/>
      <sheetName val="3_Стуктура витрат"/>
      <sheetName val="4_Зведена операційних"/>
      <sheetName val="5_Розрахунок тарифів"/>
      <sheetName val="Д2"/>
      <sheetName val="Д3"/>
      <sheetName val="Д4"/>
      <sheetName val="Д5"/>
      <sheetName val="Д6"/>
      <sheetName val="Д7"/>
      <sheetName val="Д8"/>
      <sheetName val="Д9"/>
      <sheetName val="Д10"/>
      <sheetName val="Лист6"/>
    </sheetNames>
    <sheetDataSet>
      <sheetData sheetId="0" refreshError="1"/>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sheetData sheetId="1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хнічне обслуговування"/>
      <sheetName val="ремонтні роботи"/>
    </sheetNames>
    <sheetDataSet>
      <sheetData sheetId="0">
        <row r="51">
          <cell r="K51">
            <v>165</v>
          </cell>
        </row>
      </sheetData>
      <sheetData sheetId="1">
        <row r="36">
          <cell r="E36">
            <v>500</v>
          </cell>
        </row>
        <row r="39">
          <cell r="E39">
            <v>300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4">
          <cell r="D4">
            <v>5005.2</v>
          </cell>
        </row>
        <row r="7">
          <cell r="D7">
            <v>1616.88</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6">
          <cell r="D6">
            <v>244.1</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ow r="14">
          <cell r="AG14">
            <v>4212.6000000000013</v>
          </cell>
        </row>
        <row r="33">
          <cell r="AG33">
            <v>60747.780000000013</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хідні дані"/>
      <sheetName val="Д 1_Заява"/>
      <sheetName val="КОНТРОЛЬ"/>
      <sheetName val="Д 2_Т на В"/>
      <sheetName val="Д 3_Т на Т з ЦТП"/>
      <sheetName val="Д 3.1_Т на Т без ЦТП"/>
      <sheetName val="Д 4_Т на П"/>
      <sheetName val="КОНТРОЛЬ 2"/>
      <sheetName val="ТЕ_2ст_тариф_з ЦТП"/>
      <sheetName val="ТЕ_2ст_тариф_без ЦТП"/>
      <sheetName val="Д 5 Т на ТЕ з ЦТП"/>
      <sheetName val="Д 5.1 Т на ТЕ без ЦТП"/>
      <sheetName val="Д 6_Втрати"/>
      <sheetName val="Д 7_РП"/>
      <sheetName val="Д 8_Паливо"/>
      <sheetName val="Д 9_ЕЕ"/>
      <sheetName val="Д 10"/>
      <sheetName val="Д 11"/>
      <sheetName val="Д12_11"/>
      <sheetName val="Д 13_12"/>
      <sheetName val="Д 14"/>
      <sheetName val="Д 15_13_Реєстр"/>
      <sheetName val="Розрахунки Річного плану"/>
      <sheetName val="Ср. за 5 лет"/>
      <sheetName val="Виробництво_Транспортування_1ст"/>
      <sheetName val="ТР_КА 1-2"/>
      <sheetName val="Постачання_1ст"/>
      <sheetName val="Постачання_2ст"/>
      <sheetName val="ЗВВ_1ст"/>
      <sheetName val="ЗВВ_2ст"/>
      <sheetName val="Адміністративні_1ст"/>
      <sheetName val="Адміністративні_2ст"/>
      <sheetName val="БАЗИ РОЗПОДІЛУ"/>
      <sheetName val="БАЗИ РОЗПОДІЛУ_2ст"/>
      <sheetName val="ТЕ_2ст_вих"/>
      <sheetName val="Покриття втрат в мережах"/>
      <sheetName val="Виробництво_Транспортування_2ст"/>
      <sheetName val="2-х став на одиницю"/>
      <sheetName val="распределение"/>
      <sheetName val="Рішення 1Д"/>
      <sheetName val="Рішення 2Д"/>
      <sheetName val="Рішення 3Д"/>
      <sheetName val="Рішення 4Д"/>
      <sheetName val="Рішення 5Д"/>
      <sheetName val="Рішення 6Д"/>
      <sheetName val="Рішення 7Д"/>
      <sheetName val="Структура тарифу"/>
      <sheetName val="Порівняння структур"/>
      <sheetName val="Зв'язок"/>
      <sheetName val="ПММ"/>
      <sheetName val="ОП"/>
      <sheetName val="ФОП"/>
      <sheetName val="Амортизація"/>
      <sheetName val="Утилизація"/>
      <sheetName val="Страхування"/>
      <sheetName val="ТО"/>
      <sheetName val="Періодичні видання"/>
      <sheetName val="Котел-повірка Юст"/>
      <sheetName val="Абон обсл 2021-22"/>
      <sheetName val="гран розмір"/>
      <sheetName val="Профпослуги2"/>
      <sheetName val="Запчастини"/>
      <sheetName val="по городам"/>
      <sheetName val="СВЕДЕНО_И"/>
      <sheetName val="сведено"/>
      <sheetName val="стр_тар_1 Гкал"/>
      <sheetName val="структури %"/>
      <sheetName val="інвестпрограма"/>
      <sheetName val="Сравнение 1 и 2 "/>
      <sheetName val="прибуток"/>
      <sheetName val="АО"/>
      <sheetName val="ВКО"/>
      <sheetName val="Примечания"/>
      <sheetName val="СПЕЦХАРЧ"/>
      <sheetName val="Ремонт"/>
      <sheetName val="Профпослуги"/>
      <sheetName val="Картріджі"/>
      <sheetName val="Ціна ее"/>
      <sheetName val="Ціна газ"/>
      <sheetName val="Коригування витрат"/>
      <sheetName val="ВОДА"/>
      <sheetName val="ТО ТЗ"/>
      <sheetName val="Техконтроль ТЗ"/>
      <sheetName val="Додаток 2 до рішення"/>
      <sheetName val="Додаток 3 до рішення"/>
      <sheetName val="Додаток 4 до рішення"/>
      <sheetName val="Додаток 5 до рішення"/>
      <sheetName val="Додаток 6 до рішення"/>
      <sheetName val="Додаток 7 до рішення"/>
      <sheetName val="Додаток 8 до рішення"/>
      <sheetName val="Додаток 9 до рішення"/>
      <sheetName val="Додаток 10 до рішення"/>
      <sheetName val="Додаток 11 до рішення"/>
      <sheetName val="Додаток 12 до рішення"/>
      <sheetName val="По квартирам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58">
          <cell r="H58">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4">
          <cell r="D4">
            <v>4273.92</v>
          </cell>
        </row>
        <row r="9">
          <cell r="D9">
            <v>2136.96</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хідні дані"/>
      <sheetName val="Д 1_Заява"/>
      <sheetName val="КОНТРОЛЬ"/>
      <sheetName val="Д 2_Т на В"/>
      <sheetName val="Д 3_Т на Т з ЦТП"/>
      <sheetName val="Д 3.1_Т на Т без ЦТП"/>
      <sheetName val="Д 4_Т на П"/>
      <sheetName val="Д 5 Т на ТЕ з ЦТП"/>
      <sheetName val="Д 5.1 Т на ТЕ без ЦТП"/>
      <sheetName val="Д 6_Втрати"/>
      <sheetName val="Д 7_РП"/>
      <sheetName val="Д 8_Паливо"/>
      <sheetName val="Д 9_ЕЕ"/>
      <sheetName val="Д 10"/>
      <sheetName val="Д 11"/>
      <sheetName val="Д 13_12"/>
      <sheetName val="Д 14"/>
      <sheetName val="Д 15_13_Реєстр"/>
      <sheetName val="Розрахунки Річного плану"/>
      <sheetName val="Ср. за 5 лет"/>
      <sheetName val="Виробництво_Транспортування_1ст"/>
      <sheetName val="ТР_КА 1-2"/>
      <sheetName val="Постачання_1ст"/>
      <sheetName val="ЗВВ_1ст"/>
      <sheetName val="Адміністративні_1ст"/>
      <sheetName val="БАЗИ РОЗПОДІЛУ"/>
      <sheetName val="ТЕ_1ст_вих"/>
      <sheetName val="Покриття втрат в мережах"/>
      <sheetName val="2-х став на одиницю"/>
      <sheetName val="распределение"/>
      <sheetName val="Рішення 1Д"/>
      <sheetName val="Рішення 2Д"/>
      <sheetName val="Рішення 3Д"/>
      <sheetName val="Рішення 4Д"/>
      <sheetName val="Рішення 5Д"/>
      <sheetName val="Рішення 6Д"/>
      <sheetName val="Рішення 7Д"/>
      <sheetName val="Структура тарифу"/>
      <sheetName val="Порівняння структур"/>
      <sheetName val="Зв'язок"/>
      <sheetName val="ПММ"/>
      <sheetName val="ОП"/>
      <sheetName val="ФОП"/>
      <sheetName val="Амортизація"/>
      <sheetName val="Утилизація"/>
      <sheetName val="Страхування"/>
      <sheetName val="ТО"/>
      <sheetName val="Періодичні видання"/>
      <sheetName val="Котел-повірка Юст"/>
      <sheetName val="Абон обсл 2021-22"/>
      <sheetName val="гран розмір"/>
      <sheetName val="Профпослуги2"/>
      <sheetName val="Запчастини"/>
      <sheetName val="по городам"/>
      <sheetName val="СВЕДЕНО_И"/>
      <sheetName val="сведено"/>
      <sheetName val="стр_тар_1 Гкал"/>
      <sheetName val="структури %"/>
      <sheetName val="інвестпрограма"/>
      <sheetName val="Сравнение 1 и 2 "/>
      <sheetName val="прибуток"/>
      <sheetName val="АО"/>
      <sheetName val="ВКО"/>
      <sheetName val="Примечания"/>
      <sheetName val="СПЕЦХАРЧ"/>
      <sheetName val="Ремонт"/>
      <sheetName val="Профпослуги"/>
      <sheetName val="Картріджі"/>
      <sheetName val="Ціна ее"/>
      <sheetName val="Ціна газ"/>
      <sheetName val="Коригування витрат"/>
      <sheetName val="ВОДА"/>
      <sheetName val="ТО ТЗ"/>
      <sheetName val="Техконтроль ТЗ"/>
      <sheetName val="Додаток 2 до рішення"/>
      <sheetName val="Додаток 3 до рішення"/>
      <sheetName val="Додаток 4 до рішення"/>
      <sheetName val="Додаток 5 до рішення"/>
      <sheetName val="Додаток 6 до рішення"/>
      <sheetName val="Додаток 7 до рішення"/>
      <sheetName val="Додаток 10 до рішення"/>
      <sheetName val="Додаток 11 до рішення"/>
      <sheetName val="Лист1"/>
      <sheetName val="Додаток 12 до рішення"/>
    </sheetNames>
    <sheetDataSet>
      <sheetData sheetId="0">
        <row r="77">
          <cell r="D77">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s>
    <sheetDataSet>
      <sheetData sheetId="0">
        <row r="22">
          <cell r="U22">
            <v>1830795.28</v>
          </cell>
        </row>
        <row r="23">
          <cell r="U23">
            <v>1137086.3400000001</v>
          </cell>
        </row>
        <row r="27">
          <cell r="W27">
            <v>266097.76</v>
          </cell>
          <cell r="X27">
            <v>173700.98499999999</v>
          </cell>
        </row>
        <row r="32">
          <cell r="U32">
            <v>1233508.25</v>
          </cell>
        </row>
        <row r="33">
          <cell r="U33">
            <v>832615.43</v>
          </cell>
        </row>
        <row r="39">
          <cell r="X39">
            <v>125552.93</v>
          </cell>
          <cell r="Y39">
            <v>171536.78</v>
          </cell>
        </row>
        <row r="86">
          <cell r="AE86">
            <v>2816329.12</v>
          </cell>
        </row>
        <row r="112">
          <cell r="AB112">
            <v>659723.01</v>
          </cell>
        </row>
      </sheetData>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хідні данні"/>
      <sheetName val="ВКО"/>
      <sheetName val="АО"/>
      <sheetName val="структура ВКО+АО"/>
      <sheetName val="амортиз"/>
      <sheetName val="банкам"/>
      <sheetName val="фоп"/>
      <sheetName val="вода"/>
      <sheetName val="ЕЕ"/>
      <sheetName val="повірка"/>
      <sheetName val="ТБ"/>
      <sheetName val="работи факт 2020"/>
      <sheetName val="перелік ВКО"/>
      <sheetName val="спецпит"/>
      <sheetName val="зв'язок"/>
      <sheetName val="статист"/>
      <sheetName val="обміний фонд"/>
      <sheetName val="оплата+нарах насел"/>
      <sheetName val="оплата+ нарах інші"/>
    </sheetNames>
    <sheetDataSet>
      <sheetData sheetId="0"/>
      <sheetData sheetId="1">
        <row r="5">
          <cell r="D5">
            <v>580.14566000000013</v>
          </cell>
          <cell r="E5">
            <v>1119.0635000000002</v>
          </cell>
          <cell r="F5">
            <v>2055.3156899999999</v>
          </cell>
          <cell r="G5">
            <v>2166.4285972935895</v>
          </cell>
        </row>
        <row r="6">
          <cell r="D6">
            <v>78.287910000000011</v>
          </cell>
          <cell r="E6">
            <v>92.435559999999995</v>
          </cell>
          <cell r="F6">
            <v>51.323249999999994</v>
          </cell>
          <cell r="G6">
            <v>87.735970309999999</v>
          </cell>
        </row>
        <row r="14">
          <cell r="D14">
            <v>367.40439000000003</v>
          </cell>
          <cell r="E14">
            <v>803.88669000000004</v>
          </cell>
          <cell r="F14">
            <v>1219.1129000000001</v>
          </cell>
        </row>
        <row r="17">
          <cell r="D17">
            <v>73.685980000000015</v>
          </cell>
          <cell r="E17">
            <v>148.97603000000001</v>
          </cell>
          <cell r="F17">
            <v>231.16956999999999</v>
          </cell>
        </row>
        <row r="18">
          <cell r="D18">
            <v>1.0371300000000001</v>
          </cell>
          <cell r="E18">
            <v>11.38326</v>
          </cell>
          <cell r="F18">
            <v>4.0729100000000003</v>
          </cell>
          <cell r="G18">
            <v>15.86242</v>
          </cell>
        </row>
        <row r="29">
          <cell r="G29">
            <v>40.833329999999997</v>
          </cell>
        </row>
      </sheetData>
      <sheetData sheetId="2">
        <row r="5">
          <cell r="D5">
            <v>807.07224999999994</v>
          </cell>
          <cell r="E5">
            <v>2034.7742816666666</v>
          </cell>
          <cell r="F5">
            <v>3204.2974699999995</v>
          </cell>
          <cell r="G5">
            <v>3441.6639611253713</v>
          </cell>
        </row>
        <row r="6">
          <cell r="D6">
            <v>36.007809999999999</v>
          </cell>
          <cell r="E6">
            <v>71.275361666666669</v>
          </cell>
          <cell r="F6">
            <v>78.303200000000004</v>
          </cell>
          <cell r="G6">
            <v>65.354310341666661</v>
          </cell>
        </row>
        <row r="17">
          <cell r="D17">
            <v>494.33675999999997</v>
          </cell>
          <cell r="E17">
            <v>1196.44625</v>
          </cell>
          <cell r="F17">
            <v>1860.4795999999999</v>
          </cell>
        </row>
        <row r="20">
          <cell r="D20">
            <v>97.560969999999998</v>
          </cell>
          <cell r="E20">
            <v>256.35195999999996</v>
          </cell>
          <cell r="F20">
            <v>401.08775000000003</v>
          </cell>
        </row>
        <row r="21">
          <cell r="D21">
            <v>4.2049500000000002</v>
          </cell>
          <cell r="E21">
            <v>10.09188</v>
          </cell>
          <cell r="F21">
            <v>12.589230000000001</v>
          </cell>
          <cell r="G21">
            <v>23.737419999999997</v>
          </cell>
        </row>
        <row r="40">
          <cell r="G40">
            <v>51</v>
          </cell>
        </row>
      </sheetData>
      <sheetData sheetId="3">
        <row r="9">
          <cell r="D9">
            <v>114.29572000000002</v>
          </cell>
          <cell r="E9">
            <v>163.71092166666665</v>
          </cell>
          <cell r="F9">
            <v>129.62645000000001</v>
          </cell>
          <cell r="G9">
            <v>153.09028065166666</v>
          </cell>
        </row>
        <row r="10">
          <cell r="D10">
            <v>861.74115000000006</v>
          </cell>
          <cell r="E10">
            <v>2000.33294</v>
          </cell>
          <cell r="F10">
            <v>3079.5924999999997</v>
          </cell>
          <cell r="G10">
            <v>3949.8928721999996</v>
          </cell>
        </row>
        <row r="12">
          <cell r="D12">
            <v>171.24695000000003</v>
          </cell>
          <cell r="E12">
            <v>405.32799</v>
          </cell>
          <cell r="F12">
            <v>632.25732000000005</v>
          </cell>
          <cell r="G12">
            <v>788.60740736651996</v>
          </cell>
        </row>
        <row r="13">
          <cell r="D13">
            <v>5.2420800000000005</v>
          </cell>
          <cell r="E13">
            <v>21.47514</v>
          </cell>
          <cell r="F13">
            <v>16.662140000000001</v>
          </cell>
          <cell r="G13">
            <v>39.59984</v>
          </cell>
        </row>
      </sheetData>
      <sheetData sheetId="4"/>
      <sheetData sheetId="5">
        <row r="52">
          <cell r="E52">
            <v>429.25623333333334</v>
          </cell>
        </row>
      </sheetData>
      <sheetData sheetId="6"/>
      <sheetData sheetId="7"/>
      <sheetData sheetId="8"/>
      <sheetData sheetId="9">
        <row r="426">
          <cell r="G426">
            <v>111499.13250000017</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хідні дані"/>
      <sheetName val="Прямі"/>
      <sheetName val="ОП"/>
      <sheetName val="ЕЕ"/>
      <sheetName val="Структура"/>
      <sheetName val="розрахунок"/>
      <sheetName val="Банкам"/>
      <sheetName val="Гран розмір"/>
      <sheetName val="Утилізація"/>
      <sheetName val="ФОП"/>
      <sheetName val="Амортизація"/>
      <sheetName val="картридж"/>
      <sheetName val="командировки"/>
      <sheetName val="мин зпл"/>
      <sheetName val="матеріали"/>
      <sheetName val="Довідка"/>
      <sheetName val="Довідка 2"/>
      <sheetName val="Абонплата 2021 02"/>
    </sheetNames>
    <sheetDataSet>
      <sheetData sheetId="0"/>
      <sheetData sheetId="1">
        <row r="15">
          <cell r="G15">
            <v>78303.202929999999</v>
          </cell>
        </row>
        <row r="16">
          <cell r="G16">
            <v>1860479.5978000001</v>
          </cell>
        </row>
        <row r="19">
          <cell r="G19">
            <v>401087.75403099996</v>
          </cell>
        </row>
        <row r="25">
          <cell r="G25">
            <v>12589.230000000003</v>
          </cell>
        </row>
        <row r="67">
          <cell r="G67">
            <v>851837.67450492794</v>
          </cell>
        </row>
      </sheetData>
      <sheetData sheetId="2"/>
      <sheetData sheetId="3"/>
      <sheetData sheetId="4"/>
      <sheetData sheetId="5"/>
      <sheetData sheetId="6"/>
      <sheetData sheetId="7">
        <row r="4">
          <cell r="E4">
            <v>31.147308000000002</v>
          </cell>
        </row>
      </sheetData>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ІНСТРУКЦІЯ"/>
      <sheetName val="1_Структура по елементах"/>
      <sheetName val="2_ФОП"/>
      <sheetName val="3_Стуктура витрат"/>
      <sheetName val="4_Зведена операційних"/>
      <sheetName val="5_Розрахунок тарифів"/>
      <sheetName val="Д2"/>
      <sheetName val="Д3"/>
      <sheetName val="Д4"/>
      <sheetName val="Д5"/>
      <sheetName val="Д6"/>
      <sheetName val="Д7"/>
      <sheetName val="Д8"/>
      <sheetName val="Д9"/>
      <sheetName val="Д10"/>
      <sheetName val="Лист6"/>
    </sheetNames>
    <sheetDataSet>
      <sheetData sheetId="0" refreshError="1"/>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sheetData sheetId="15"/>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Додаток + економ"/>
      <sheetName val="Душові сітки"/>
      <sheetName val="2. вода ГП"/>
      <sheetName val="3. Продувка ВК"/>
      <sheetName val="4. насып вес кат-т"/>
      <sheetName val="5. вода и фильтроцикл"/>
      <sheetName val="6. вода на реген. фил."/>
      <sheetName val="7. Вода та сіль Свод"/>
      <sheetName val="8. Пара"/>
      <sheetName val="2019-2020"/>
      <sheetName val="2017-2018"/>
      <sheetName val="2018-2019"/>
      <sheetName val="2012"/>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Лист1"/>
      <sheetName val="Вода  Тариф 2021-2022  без 2018"/>
    </sheetNames>
    <sheetDataSet>
      <sheetData sheetId="0">
        <row r="92">
          <cell r="J92">
            <v>0</v>
          </cell>
        </row>
        <row r="93">
          <cell r="J93">
            <v>0</v>
          </cell>
        </row>
        <row r="94">
          <cell r="J94">
            <v>0</v>
          </cell>
        </row>
        <row r="95">
          <cell r="J95">
            <v>0</v>
          </cell>
        </row>
      </sheetData>
      <sheetData sheetId="1">
        <row r="47">
          <cell r="E47">
            <v>232.25</v>
          </cell>
          <cell r="F47">
            <v>116</v>
          </cell>
        </row>
      </sheetData>
      <sheetData sheetId="2">
        <row r="92">
          <cell r="E92">
            <v>214.48750000000001</v>
          </cell>
          <cell r="F92">
            <v>293.91499999999996</v>
          </cell>
          <cell r="G92">
            <v>6.8100000000000005</v>
          </cell>
          <cell r="H92">
            <v>86.1</v>
          </cell>
          <cell r="I92">
            <v>51.075000000000003</v>
          </cell>
          <cell r="J92">
            <v>61.029999999999994</v>
          </cell>
          <cell r="K92">
            <v>41.61</v>
          </cell>
        </row>
      </sheetData>
      <sheetData sheetId="3"/>
      <sheetData sheetId="4"/>
      <sheetData sheetId="5"/>
      <sheetData sheetId="6"/>
      <sheetData sheetId="7">
        <row r="9">
          <cell r="N9">
            <v>27884.48450000001</v>
          </cell>
          <cell r="Q9">
            <v>4177.46</v>
          </cell>
          <cell r="AR9">
            <v>1618.3941408691476</v>
          </cell>
          <cell r="AY9">
            <v>2099.0099999999998</v>
          </cell>
        </row>
        <row r="10">
          <cell r="N10">
            <v>0.68088994036536077</v>
          </cell>
          <cell r="Q10">
            <v>7.7731300000000001</v>
          </cell>
        </row>
        <row r="75">
          <cell r="V75">
            <v>122.1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утв."/>
      <sheetName val="812 (2)"/>
      <sheetName val="812"/>
      <sheetName val="0"/>
      <sheetName val="1"/>
      <sheetName val="2"/>
      <sheetName val="2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3 утв_"/>
      <sheetName val="812 _2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tar ee 99"/>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S208">
            <v>168.1</v>
          </cell>
          <cell r="X208">
            <v>178.86</v>
          </cell>
          <cell r="Y208">
            <v>194.05</v>
          </cell>
          <cell r="Z208">
            <v>168.06</v>
          </cell>
          <cell r="AC208">
            <v>179.72</v>
          </cell>
          <cell r="AD208">
            <v>193.34</v>
          </cell>
          <cell r="AE208">
            <v>168.25</v>
          </cell>
          <cell r="AJ208" t="str">
            <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ow r="21">
          <cell r="AI21" t="str">
            <v xml:space="preserve">         Затверджую</v>
          </cell>
        </row>
      </sheetData>
      <sheetData sheetId="2" refreshError="1"/>
      <sheetData sheetId="3">
        <row r="8">
          <cell r="AF8" t="str">
            <v>ЗАТВЕРДЖУЮ</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21">
          <cell r="AI21" t="str">
            <v xml:space="preserve">         Затверджую</v>
          </cell>
        </row>
      </sheetData>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8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v>0.38669999999999999</v>
          </cell>
          <cell r="D2">
            <v>0.43690000000000001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zakon2.rada.gov.ua/laws/show/z0643-16/print"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1.bin"/><Relationship Id="rId4" Type="http://schemas.openxmlformats.org/officeDocument/2006/relationships/comments" Target="../comments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Q94"/>
  <sheetViews>
    <sheetView view="pageBreakPreview" topLeftCell="A44" zoomScale="85" zoomScaleNormal="100" zoomScaleSheetLayoutView="85" workbookViewId="0">
      <selection activeCell="F77" sqref="F77"/>
    </sheetView>
  </sheetViews>
  <sheetFormatPr defaultColWidth="9.140625" defaultRowHeight="15.75" x14ac:dyDescent="0.25"/>
  <cols>
    <col min="1" max="1" width="2.42578125" style="58" customWidth="1"/>
    <col min="2" max="2" width="56.42578125" style="58" customWidth="1"/>
    <col min="3" max="3" width="16" style="58" customWidth="1"/>
    <col min="4" max="4" width="18" style="58" customWidth="1"/>
    <col min="5" max="5" width="23.28515625" style="58" bestFit="1" customWidth="1"/>
    <col min="6" max="6" width="58.28515625" style="58" customWidth="1"/>
    <col min="7" max="16384" width="9.140625" style="58"/>
  </cols>
  <sheetData>
    <row r="1" spans="2:9" x14ac:dyDescent="0.25">
      <c r="F1" s="2756" t="s">
        <v>3431</v>
      </c>
    </row>
    <row r="2" spans="2:9" x14ac:dyDescent="0.25">
      <c r="B2" s="2310" t="s">
        <v>3075</v>
      </c>
      <c r="C2" s="23" t="s">
        <v>560</v>
      </c>
      <c r="D2" s="23"/>
      <c r="E2" s="23"/>
      <c r="F2" s="18"/>
      <c r="G2" s="18"/>
      <c r="I2" s="18"/>
    </row>
    <row r="3" spans="2:9" ht="16.5" thickBot="1" x14ac:dyDescent="0.3">
      <c r="B3" s="57"/>
      <c r="C3" s="57"/>
      <c r="D3" s="57"/>
      <c r="E3" s="57"/>
    </row>
    <row r="4" spans="2:9" ht="48.75" customHeight="1" thickBot="1" x14ac:dyDescent="0.3">
      <c r="B4" s="1346" t="s">
        <v>432</v>
      </c>
      <c r="C4" s="59"/>
      <c r="D4" s="1146"/>
      <c r="E4" s="78"/>
      <c r="F4" s="1147" t="s">
        <v>3395</v>
      </c>
    </row>
    <row r="5" spans="2:9" ht="16.5" thickBot="1" x14ac:dyDescent="0.3">
      <c r="B5" s="1148" t="s">
        <v>927</v>
      </c>
      <c r="C5" s="1148"/>
      <c r="D5" s="1149"/>
      <c r="E5" s="290"/>
      <c r="F5" s="1147" t="s">
        <v>3155</v>
      </c>
    </row>
    <row r="6" spans="2:9" ht="22.5" customHeight="1" x14ac:dyDescent="0.25">
      <c r="B6" s="1150" t="s">
        <v>433</v>
      </c>
      <c r="C6" s="1150"/>
      <c r="D6" s="1149"/>
      <c r="E6" s="79"/>
      <c r="F6" s="1151" t="s">
        <v>3369</v>
      </c>
    </row>
    <row r="7" spans="2:9" x14ac:dyDescent="0.25">
      <c r="B7" s="68" t="s">
        <v>205</v>
      </c>
      <c r="C7" s="68"/>
      <c r="E7" s="76"/>
      <c r="F7" s="64">
        <v>2022</v>
      </c>
    </row>
    <row r="8" spans="2:9" x14ac:dyDescent="0.25">
      <c r="B8" s="1152" t="s">
        <v>434</v>
      </c>
      <c r="C8" s="1152"/>
      <c r="E8" s="108"/>
      <c r="F8" s="94">
        <v>2021</v>
      </c>
    </row>
    <row r="9" spans="2:9" ht="48" thickBot="1" x14ac:dyDescent="0.3">
      <c r="B9" s="1152" t="s">
        <v>580</v>
      </c>
      <c r="C9" s="1152"/>
      <c r="E9" s="108"/>
      <c r="F9" s="2488" t="s">
        <v>3386</v>
      </c>
    </row>
    <row r="10" spans="2:9" ht="32.25" thickBot="1" x14ac:dyDescent="0.3">
      <c r="B10" s="1153" t="s">
        <v>641</v>
      </c>
      <c r="C10" s="1153"/>
      <c r="D10" s="1146"/>
      <c r="E10" s="169"/>
      <c r="F10" s="1154" t="s">
        <v>2266</v>
      </c>
    </row>
    <row r="11" spans="2:9" ht="16.5" thickBot="1" x14ac:dyDescent="0.3">
      <c r="B11" s="1155" t="s">
        <v>1595</v>
      </c>
      <c r="C11" s="1154" t="s">
        <v>3</v>
      </c>
      <c r="D11" s="1156" t="s">
        <v>2729</v>
      </c>
      <c r="E11" s="1154" t="s">
        <v>754</v>
      </c>
      <c r="F11" s="1157" t="s">
        <v>163</v>
      </c>
    </row>
    <row r="12" spans="2:9" ht="24" customHeight="1" x14ac:dyDescent="0.25">
      <c r="B12" s="1148" t="s">
        <v>435</v>
      </c>
      <c r="C12" s="1148"/>
      <c r="D12" s="1149"/>
      <c r="E12" s="79"/>
      <c r="F12" s="81"/>
    </row>
    <row r="13" spans="2:9" x14ac:dyDescent="0.25">
      <c r="B13" s="75" t="s">
        <v>3427</v>
      </c>
      <c r="C13" s="2458"/>
      <c r="D13" s="1841"/>
      <c r="E13" s="2459"/>
      <c r="F13" s="2753" t="s">
        <v>3428</v>
      </c>
    </row>
    <row r="14" spans="2:9" ht="31.5" x14ac:dyDescent="0.25">
      <c r="B14" s="3651" t="s">
        <v>3440</v>
      </c>
      <c r="C14" s="2458"/>
      <c r="D14" s="1841"/>
      <c r="E14" s="2459"/>
      <c r="F14" s="2753" t="s">
        <v>3173</v>
      </c>
    </row>
    <row r="15" spans="2:9" x14ac:dyDescent="0.25">
      <c r="B15" s="75" t="s">
        <v>3426</v>
      </c>
      <c r="C15" s="2458"/>
      <c r="D15" s="1841"/>
      <c r="E15" s="2459"/>
      <c r="F15" s="2753" t="s">
        <v>3171</v>
      </c>
    </row>
    <row r="16" spans="2:9" x14ac:dyDescent="0.25">
      <c r="B16" s="75" t="s">
        <v>437</v>
      </c>
      <c r="C16" s="2458"/>
      <c r="D16" s="1841"/>
      <c r="E16" s="2459"/>
      <c r="F16" s="2753" t="s">
        <v>3172</v>
      </c>
    </row>
    <row r="17" spans="2:17" hidden="1" x14ac:dyDescent="0.25">
      <c r="B17" s="75"/>
      <c r="C17" s="68"/>
      <c r="E17" s="76"/>
      <c r="F17" s="64"/>
    </row>
    <row r="18" spans="2:17" ht="16.5" thickBot="1" x14ac:dyDescent="0.3">
      <c r="B18" s="75" t="s">
        <v>3236</v>
      </c>
      <c r="C18" s="68"/>
      <c r="E18" s="76"/>
      <c r="F18" s="64" t="s">
        <v>3237</v>
      </c>
    </row>
    <row r="19" spans="2:17" ht="32.25" hidden="1" thickBot="1" x14ac:dyDescent="0.3">
      <c r="B19" s="69" t="s">
        <v>581</v>
      </c>
      <c r="C19" s="68"/>
      <c r="E19" s="76"/>
      <c r="F19" s="64" t="s">
        <v>582</v>
      </c>
    </row>
    <row r="20" spans="2:17" ht="32.25" thickBot="1" x14ac:dyDescent="0.3">
      <c r="B20" s="59" t="s">
        <v>441</v>
      </c>
      <c r="C20" s="61" t="s">
        <v>9</v>
      </c>
      <c r="D20" s="62" t="s">
        <v>442</v>
      </c>
      <c r="E20" s="62" t="s">
        <v>443</v>
      </c>
      <c r="F20" s="63" t="s">
        <v>478</v>
      </c>
    </row>
    <row r="21" spans="2:17" x14ac:dyDescent="0.25">
      <c r="B21" s="93" t="s">
        <v>438</v>
      </c>
      <c r="C21" s="94" t="s">
        <v>439</v>
      </c>
      <c r="D21" s="60"/>
      <c r="E21" s="60"/>
      <c r="F21" s="60"/>
    </row>
    <row r="22" spans="2:17" s="57" customFormat="1" x14ac:dyDescent="0.25">
      <c r="B22" s="85" t="s">
        <v>3050</v>
      </c>
      <c r="C22" s="94" t="s">
        <v>439</v>
      </c>
      <c r="D22" s="99"/>
      <c r="E22" s="93"/>
      <c r="F22" s="2477"/>
      <c r="G22" s="58"/>
    </row>
    <row r="23" spans="2:17" x14ac:dyDescent="0.25">
      <c r="B23" s="85" t="s">
        <v>3230</v>
      </c>
      <c r="C23" s="94" t="s">
        <v>439</v>
      </c>
      <c r="D23" s="99"/>
      <c r="E23" s="93"/>
      <c r="F23" s="2477"/>
      <c r="H23" s="1496"/>
    </row>
    <row r="24" spans="2:17" x14ac:dyDescent="0.25">
      <c r="B24" s="85" t="s">
        <v>3231</v>
      </c>
      <c r="C24" s="94" t="s">
        <v>439</v>
      </c>
      <c r="D24" s="99">
        <v>29854.99</v>
      </c>
      <c r="E24" s="3596" t="s">
        <v>3379</v>
      </c>
      <c r="F24" s="2477" t="s">
        <v>3381</v>
      </c>
      <c r="H24" s="1497"/>
    </row>
    <row r="25" spans="2:17" x14ac:dyDescent="0.25">
      <c r="B25" s="95" t="s">
        <v>3368</v>
      </c>
      <c r="C25" s="94" t="s">
        <v>439</v>
      </c>
      <c r="D25" s="99">
        <v>136.58000000000001</v>
      </c>
      <c r="E25" s="93"/>
      <c r="F25" s="2477" t="s">
        <v>836</v>
      </c>
      <c r="H25" s="1497"/>
    </row>
    <row r="26" spans="2:17" x14ac:dyDescent="0.25">
      <c r="B26" s="95" t="s">
        <v>822</v>
      </c>
      <c r="C26" s="94" t="s">
        <v>439</v>
      </c>
      <c r="D26" s="99">
        <v>1090</v>
      </c>
      <c r="E26" s="3597" t="s">
        <v>3380</v>
      </c>
      <c r="F26" s="2477" t="s">
        <v>3370</v>
      </c>
      <c r="H26" s="1497"/>
    </row>
    <row r="27" spans="2:17" ht="31.5" hidden="1" x14ac:dyDescent="0.25">
      <c r="B27" s="85" t="s">
        <v>2604</v>
      </c>
      <c r="C27" s="94"/>
      <c r="D27" s="99"/>
      <c r="E27" s="64"/>
      <c r="F27" s="1158"/>
      <c r="H27" s="1497"/>
    </row>
    <row r="28" spans="2:17" s="57" customFormat="1" ht="19.5" customHeight="1" x14ac:dyDescent="0.25">
      <c r="B28" s="97" t="s">
        <v>527</v>
      </c>
      <c r="C28" s="94"/>
      <c r="D28" s="93"/>
      <c r="E28" s="93"/>
      <c r="F28" s="93"/>
      <c r="G28" s="58"/>
      <c r="H28" s="1497"/>
    </row>
    <row r="29" spans="2:17" ht="42.75" customHeight="1" x14ac:dyDescent="0.25">
      <c r="B29" s="2478" t="s">
        <v>768</v>
      </c>
      <c r="C29" s="2479" t="s">
        <v>528</v>
      </c>
      <c r="D29" s="2480">
        <f>'Ціна ее'!C14</f>
        <v>3.6727299999999996</v>
      </c>
      <c r="E29" s="2481"/>
      <c r="F29" s="2482" t="s">
        <v>861</v>
      </c>
      <c r="H29" s="1371"/>
      <c r="P29" s="1084"/>
      <c r="Q29" s="1084"/>
    </row>
    <row r="30" spans="2:17" ht="35.25" customHeight="1" x14ac:dyDescent="0.25">
      <c r="B30" s="2478" t="s">
        <v>1931</v>
      </c>
      <c r="C30" s="2479" t="s">
        <v>528</v>
      </c>
      <c r="D30" s="2483">
        <f>'Ціна ее'!C13</f>
        <v>3.3151000000000002</v>
      </c>
      <c r="E30" s="3596" t="s">
        <v>3379</v>
      </c>
      <c r="F30" s="2482" t="s">
        <v>3437</v>
      </c>
      <c r="H30" s="1371"/>
      <c r="P30" s="1084"/>
      <c r="Q30" s="1084"/>
    </row>
    <row r="31" spans="2:17" ht="31.5" x14ac:dyDescent="0.25">
      <c r="B31" s="2478" t="s">
        <v>767</v>
      </c>
      <c r="C31" s="2479" t="s">
        <v>528</v>
      </c>
      <c r="D31" s="2480">
        <f>'Ціна ее'!D13</f>
        <v>1.6650100000000001</v>
      </c>
      <c r="E31" s="2481" t="s">
        <v>3153</v>
      </c>
      <c r="F31" s="2482" t="s">
        <v>3438</v>
      </c>
      <c r="H31" s="1371"/>
      <c r="P31" s="1084"/>
      <c r="Q31" s="1084"/>
    </row>
    <row r="32" spans="2:17" x14ac:dyDescent="0.25">
      <c r="B32" s="2478"/>
      <c r="C32" s="2479"/>
      <c r="D32" s="2480"/>
      <c r="E32" s="2481"/>
      <c r="F32" s="2482"/>
      <c r="H32" s="1371"/>
      <c r="P32" s="1084"/>
      <c r="Q32" s="1084"/>
    </row>
    <row r="33" spans="1:17" ht="31.5" x14ac:dyDescent="0.25">
      <c r="A33" s="2451"/>
      <c r="B33" s="2478" t="s">
        <v>782</v>
      </c>
      <c r="C33" s="2484" t="s">
        <v>554</v>
      </c>
      <c r="D33" s="2485">
        <f>'Ціна ее'!E14</f>
        <v>0.18164666666666665</v>
      </c>
      <c r="E33" s="2486"/>
      <c r="F33" s="2487"/>
      <c r="H33" s="1371"/>
      <c r="P33" s="1084"/>
      <c r="Q33" s="1084"/>
    </row>
    <row r="34" spans="1:17" ht="31.5" x14ac:dyDescent="0.25">
      <c r="A34" s="2451"/>
      <c r="B34" s="2478" t="s">
        <v>1932</v>
      </c>
      <c r="C34" s="2484" t="s">
        <v>554</v>
      </c>
      <c r="D34" s="2485">
        <f>'Ціна ее'!E13</f>
        <v>0.19184999999999999</v>
      </c>
      <c r="E34" s="2486"/>
      <c r="F34" s="2487"/>
      <c r="P34" s="1084"/>
      <c r="Q34" s="1084"/>
    </row>
    <row r="35" spans="1:17" ht="31.5" x14ac:dyDescent="0.25">
      <c r="B35" s="84" t="s">
        <v>783</v>
      </c>
      <c r="C35" s="1345" t="s">
        <v>554</v>
      </c>
      <c r="D35" s="1160">
        <v>0</v>
      </c>
      <c r="E35" s="1159"/>
      <c r="F35" s="1158"/>
    </row>
    <row r="36" spans="1:17" ht="31.5" x14ac:dyDescent="0.25">
      <c r="B36" s="84" t="s">
        <v>783</v>
      </c>
      <c r="C36" s="94" t="s">
        <v>554</v>
      </c>
      <c r="D36" s="1160">
        <v>0</v>
      </c>
      <c r="E36" s="1159"/>
      <c r="F36" s="1158"/>
    </row>
    <row r="37" spans="1:17" x14ac:dyDescent="0.25">
      <c r="B37" s="84" t="s">
        <v>555</v>
      </c>
      <c r="C37" s="94" t="s">
        <v>444</v>
      </c>
      <c r="D37" s="99">
        <f>18.45</f>
        <v>18.45</v>
      </c>
      <c r="E37" s="3673" t="s">
        <v>1342</v>
      </c>
      <c r="F37" s="3672" t="s">
        <v>3439</v>
      </c>
    </row>
    <row r="38" spans="1:17" x14ac:dyDescent="0.25">
      <c r="B38" s="84" t="s">
        <v>556</v>
      </c>
      <c r="C38" s="94" t="s">
        <v>444</v>
      </c>
      <c r="D38" s="99">
        <f>16.38</f>
        <v>16.38</v>
      </c>
      <c r="E38" s="3673"/>
      <c r="F38" s="3672"/>
      <c r="H38" s="1083"/>
      <c r="I38" s="1083"/>
      <c r="J38" s="1083"/>
    </row>
    <row r="39" spans="1:17" ht="47.25" hidden="1" x14ac:dyDescent="0.25">
      <c r="B39" s="84" t="s">
        <v>3175</v>
      </c>
      <c r="C39" s="94"/>
      <c r="D39" s="746">
        <v>0.29099999999999998</v>
      </c>
      <c r="E39" s="747"/>
      <c r="F39" s="748" t="s">
        <v>2123</v>
      </c>
    </row>
    <row r="40" spans="1:17" ht="47.25" hidden="1" x14ac:dyDescent="0.25">
      <c r="B40" s="84" t="s">
        <v>3170</v>
      </c>
      <c r="C40" s="94"/>
      <c r="D40" s="746">
        <v>1</v>
      </c>
      <c r="E40" s="747"/>
      <c r="F40" s="748" t="s">
        <v>2123</v>
      </c>
    </row>
    <row r="41" spans="1:17" ht="4.9000000000000004" customHeight="1" x14ac:dyDescent="0.25">
      <c r="B41" s="84"/>
      <c r="C41" s="94"/>
      <c r="D41" s="746"/>
      <c r="E41" s="747"/>
      <c r="F41" s="748"/>
    </row>
    <row r="42" spans="1:17" hidden="1" x14ac:dyDescent="0.25">
      <c r="B42" s="84" t="s">
        <v>1835</v>
      </c>
      <c r="C42" s="94"/>
      <c r="D42" s="99">
        <v>0</v>
      </c>
      <c r="E42" s="65"/>
      <c r="F42" s="84"/>
    </row>
    <row r="43" spans="1:17" ht="7.15" hidden="1" customHeight="1" x14ac:dyDescent="0.25">
      <c r="B43" s="84"/>
      <c r="C43" s="94"/>
      <c r="D43" s="65"/>
      <c r="E43" s="65"/>
      <c r="F43" s="65"/>
    </row>
    <row r="44" spans="1:17" x14ac:dyDescent="0.25">
      <c r="B44" s="95" t="s">
        <v>445</v>
      </c>
      <c r="C44" s="64" t="s">
        <v>4</v>
      </c>
      <c r="D44" s="1161">
        <v>0.22</v>
      </c>
      <c r="E44" s="65"/>
      <c r="F44" s="65"/>
    </row>
    <row r="45" spans="1:17" hidden="1" x14ac:dyDescent="0.25">
      <c r="B45" s="85" t="s">
        <v>446</v>
      </c>
      <c r="C45" s="64" t="s">
        <v>4</v>
      </c>
      <c r="D45" s="1161">
        <v>0</v>
      </c>
      <c r="E45" s="65"/>
      <c r="F45" s="65"/>
    </row>
    <row r="46" spans="1:17" ht="94.5" x14ac:dyDescent="0.25">
      <c r="B46" s="85" t="s">
        <v>1924</v>
      </c>
      <c r="C46" s="64" t="s">
        <v>4</v>
      </c>
      <c r="D46" s="1301">
        <v>0.04</v>
      </c>
      <c r="E46" s="65"/>
      <c r="F46" s="65" t="s">
        <v>2122</v>
      </c>
    </row>
    <row r="47" spans="1:17" x14ac:dyDescent="0.25">
      <c r="B47" s="85" t="s">
        <v>1925</v>
      </c>
      <c r="C47" s="64" t="s">
        <v>4</v>
      </c>
      <c r="D47" s="1161">
        <v>0.18</v>
      </c>
      <c r="E47" s="65"/>
      <c r="F47" s="65"/>
    </row>
    <row r="48" spans="1:17" ht="16.5" thickBot="1" x14ac:dyDescent="0.3">
      <c r="B48" s="1162" t="s">
        <v>1985</v>
      </c>
      <c r="C48" s="64" t="s">
        <v>4</v>
      </c>
      <c r="D48" s="1163">
        <v>0.8</v>
      </c>
      <c r="E48" s="1164"/>
      <c r="F48" s="1164" t="s">
        <v>3443</v>
      </c>
    </row>
    <row r="49" spans="2:7" s="57" customFormat="1" x14ac:dyDescent="0.25">
      <c r="B49" s="105" t="s">
        <v>495</v>
      </c>
      <c r="C49" s="83"/>
      <c r="D49" s="83"/>
      <c r="E49" s="83"/>
      <c r="F49" s="83"/>
      <c r="G49" s="58"/>
    </row>
    <row r="50" spans="2:7" x14ac:dyDescent="0.25">
      <c r="B50" s="84" t="s">
        <v>491</v>
      </c>
      <c r="C50" s="64" t="s">
        <v>469</v>
      </c>
      <c r="D50" s="99">
        <f>'Ср. за 5 лет'!P28</f>
        <v>151</v>
      </c>
      <c r="E50" s="65"/>
      <c r="F50" s="65" t="s">
        <v>3377</v>
      </c>
    </row>
    <row r="51" spans="2:7" x14ac:dyDescent="0.25">
      <c r="B51" s="85" t="s">
        <v>10</v>
      </c>
      <c r="C51" s="64" t="s">
        <v>469</v>
      </c>
      <c r="D51" s="99">
        <f>'Ср. за 5 лет'!E14</f>
        <v>31</v>
      </c>
      <c r="E51" s="65"/>
      <c r="F51" s="65" t="s">
        <v>538</v>
      </c>
    </row>
    <row r="52" spans="2:7" x14ac:dyDescent="0.25">
      <c r="B52" s="85" t="s">
        <v>11</v>
      </c>
      <c r="C52" s="64" t="s">
        <v>469</v>
      </c>
      <c r="D52" s="99">
        <f>'Ср. за 5 лет'!F28</f>
        <v>28</v>
      </c>
      <c r="E52" s="65"/>
      <c r="F52" s="65" t="s">
        <v>3377</v>
      </c>
    </row>
    <row r="53" spans="2:7" x14ac:dyDescent="0.25">
      <c r="B53" s="85" t="s">
        <v>12</v>
      </c>
      <c r="C53" s="64" t="s">
        <v>469</v>
      </c>
      <c r="D53" s="99">
        <f>'Ср. за 5 лет'!G28</f>
        <v>31</v>
      </c>
      <c r="E53" s="65"/>
      <c r="F53" s="65" t="s">
        <v>3377</v>
      </c>
    </row>
    <row r="54" spans="2:7" x14ac:dyDescent="0.25">
      <c r="B54" s="85" t="s">
        <v>13</v>
      </c>
      <c r="C54" s="64" t="s">
        <v>469</v>
      </c>
      <c r="D54" s="99">
        <f>'Ср. за 5 лет'!H28</f>
        <v>0</v>
      </c>
      <c r="E54" s="65"/>
      <c r="F54" s="65" t="s">
        <v>3377</v>
      </c>
    </row>
    <row r="55" spans="2:7" x14ac:dyDescent="0.25">
      <c r="B55" s="85" t="s">
        <v>19</v>
      </c>
      <c r="C55" s="64" t="s">
        <v>469</v>
      </c>
      <c r="D55" s="99">
        <f>D50-D51-D52-D53-D54-D56-D57</f>
        <v>0</v>
      </c>
      <c r="E55" s="65"/>
      <c r="F55" s="65" t="s">
        <v>3377</v>
      </c>
    </row>
    <row r="56" spans="2:7" x14ac:dyDescent="0.25">
      <c r="B56" s="85" t="s">
        <v>20</v>
      </c>
      <c r="C56" s="64" t="s">
        <v>469</v>
      </c>
      <c r="D56" s="99">
        <f>'Ср. за 5 лет'!C28</f>
        <v>30</v>
      </c>
      <c r="E56" s="65"/>
      <c r="F56" s="65" t="s">
        <v>538</v>
      </c>
    </row>
    <row r="57" spans="2:7" x14ac:dyDescent="0.25">
      <c r="B57" s="85" t="s">
        <v>21</v>
      </c>
      <c r="C57" s="64" t="s">
        <v>469</v>
      </c>
      <c r="D57" s="99">
        <f>'Ср. за 5 лет'!D14</f>
        <v>31</v>
      </c>
      <c r="E57" s="65"/>
      <c r="F57" s="65" t="s">
        <v>538</v>
      </c>
    </row>
    <row r="58" spans="2:7" ht="31.5" x14ac:dyDescent="0.25">
      <c r="B58" s="86" t="s">
        <v>493</v>
      </c>
      <c r="C58" s="64" t="s">
        <v>470</v>
      </c>
      <c r="D58" s="64">
        <v>-18</v>
      </c>
      <c r="E58" s="77"/>
      <c r="F58" s="65" t="s">
        <v>557</v>
      </c>
    </row>
    <row r="59" spans="2:7" ht="31.5" x14ac:dyDescent="0.25">
      <c r="B59" s="84" t="s">
        <v>494</v>
      </c>
      <c r="C59" s="64" t="s">
        <v>470</v>
      </c>
      <c r="D59" s="98">
        <f>'Ср. за 5 лет'!P29</f>
        <v>4.0599999999999996</v>
      </c>
      <c r="E59" s="77"/>
      <c r="F59" s="65" t="s">
        <v>3378</v>
      </c>
    </row>
    <row r="60" spans="2:7" x14ac:dyDescent="0.25">
      <c r="B60" s="75" t="s">
        <v>10</v>
      </c>
      <c r="C60" s="64" t="s">
        <v>470</v>
      </c>
      <c r="D60" s="99">
        <f>'[36]Ср. за 5 лет'!$E$27</f>
        <v>0.42</v>
      </c>
      <c r="F60" s="65" t="s">
        <v>3378</v>
      </c>
    </row>
    <row r="61" spans="2:7" x14ac:dyDescent="0.25">
      <c r="B61" s="75" t="s">
        <v>11</v>
      </c>
      <c r="C61" s="64" t="s">
        <v>470</v>
      </c>
      <c r="D61" s="99">
        <f>'[36]Ср. за 5 лет'!$F$27</f>
        <v>1.9191499999999999</v>
      </c>
      <c r="E61" s="77"/>
      <c r="F61" s="65" t="s">
        <v>3378</v>
      </c>
    </row>
    <row r="62" spans="2:7" x14ac:dyDescent="0.25">
      <c r="B62" s="75" t="s">
        <v>12</v>
      </c>
      <c r="C62" s="64" t="s">
        <v>470</v>
      </c>
      <c r="D62" s="99">
        <f>'Ср. за 5 лет'!G29</f>
        <v>5.2618999999999998</v>
      </c>
      <c r="E62" s="77"/>
      <c r="F62" s="65" t="s">
        <v>3378</v>
      </c>
    </row>
    <row r="63" spans="2:7" x14ac:dyDescent="0.25">
      <c r="B63" s="75" t="s">
        <v>13</v>
      </c>
      <c r="C63" s="64" t="s">
        <v>470</v>
      </c>
      <c r="D63" s="99">
        <f>'Ср. за 5 лет'!H29</f>
        <v>7.7</v>
      </c>
      <c r="E63" s="77"/>
      <c r="F63" s="65" t="s">
        <v>3378</v>
      </c>
    </row>
    <row r="64" spans="2:7" x14ac:dyDescent="0.25">
      <c r="B64" s="75" t="s">
        <v>140</v>
      </c>
      <c r="C64" s="64" t="s">
        <v>470</v>
      </c>
      <c r="D64" s="99">
        <f>'Ср. за 5 лет'!I29</f>
        <v>0</v>
      </c>
      <c r="F64" s="65" t="s">
        <v>3378</v>
      </c>
    </row>
    <row r="65" spans="2:6" x14ac:dyDescent="0.25">
      <c r="B65" s="75" t="s">
        <v>15</v>
      </c>
      <c r="C65" s="64" t="s">
        <v>470</v>
      </c>
      <c r="D65" s="99">
        <f>'Ср. за 5 лет'!J29</f>
        <v>0</v>
      </c>
      <c r="F65" s="65" t="s">
        <v>3378</v>
      </c>
    </row>
    <row r="66" spans="2:6" x14ac:dyDescent="0.25">
      <c r="B66" s="75" t="s">
        <v>16</v>
      </c>
      <c r="C66" s="64" t="s">
        <v>470</v>
      </c>
      <c r="D66" s="99">
        <f>'Ср. за 5 лет'!K29</f>
        <v>0</v>
      </c>
      <c r="F66" s="65" t="s">
        <v>3378</v>
      </c>
    </row>
    <row r="67" spans="2:6" x14ac:dyDescent="0.25">
      <c r="B67" s="75" t="s">
        <v>17</v>
      </c>
      <c r="C67" s="64" t="s">
        <v>470</v>
      </c>
      <c r="D67" s="99">
        <f>'Ср. за 5 лет'!L29</f>
        <v>0</v>
      </c>
      <c r="F67" s="65" t="s">
        <v>3378</v>
      </c>
    </row>
    <row r="68" spans="2:6" x14ac:dyDescent="0.25">
      <c r="B68" s="75" t="s">
        <v>18</v>
      </c>
      <c r="C68" s="64" t="s">
        <v>470</v>
      </c>
      <c r="D68" s="99">
        <f>'Ср. за 5 лет'!M29</f>
        <v>0</v>
      </c>
      <c r="F68" s="65" t="s">
        <v>3378</v>
      </c>
    </row>
    <row r="69" spans="2:6" x14ac:dyDescent="0.25">
      <c r="B69" s="75" t="s">
        <v>19</v>
      </c>
      <c r="C69" s="64" t="s">
        <v>470</v>
      </c>
      <c r="D69" s="99">
        <f>'[36]Ср. за 5 лет'!$B$27</f>
        <v>7.6285699999999999</v>
      </c>
      <c r="F69" s="65" t="s">
        <v>3378</v>
      </c>
    </row>
    <row r="70" spans="2:6" x14ac:dyDescent="0.25">
      <c r="B70" s="75" t="s">
        <v>20</v>
      </c>
      <c r="C70" s="64" t="s">
        <v>470</v>
      </c>
      <c r="D70" s="99">
        <f>'[36]Ср. за 5 лет'!$C$27</f>
        <v>6.6293199999999999</v>
      </c>
      <c r="E70" s="77"/>
      <c r="F70" s="65" t="s">
        <v>3378</v>
      </c>
    </row>
    <row r="71" spans="2:6" x14ac:dyDescent="0.25">
      <c r="B71" s="75" t="s">
        <v>21</v>
      </c>
      <c r="C71" s="64" t="s">
        <v>470</v>
      </c>
      <c r="D71" s="99">
        <f>'[36]Ср. за 5 лет'!$D$27</f>
        <v>3.46</v>
      </c>
      <c r="E71" s="77"/>
      <c r="F71" s="65" t="s">
        <v>3378</v>
      </c>
    </row>
    <row r="72" spans="2:6" x14ac:dyDescent="0.25">
      <c r="B72" s="86" t="s">
        <v>526</v>
      </c>
      <c r="C72" s="64"/>
      <c r="D72" s="65"/>
      <c r="E72" s="65"/>
      <c r="F72" s="65"/>
    </row>
    <row r="73" spans="2:6" x14ac:dyDescent="0.25">
      <c r="B73" s="86"/>
      <c r="C73" s="64" t="s">
        <v>470</v>
      </c>
      <c r="D73" s="1165">
        <v>10</v>
      </c>
      <c r="E73" s="65"/>
      <c r="F73" s="77"/>
    </row>
    <row r="74" spans="2:6" x14ac:dyDescent="0.25">
      <c r="B74" s="85" t="s">
        <v>1661</v>
      </c>
      <c r="C74" s="64" t="s">
        <v>470</v>
      </c>
      <c r="D74" s="1165">
        <v>16</v>
      </c>
      <c r="E74" s="65"/>
      <c r="F74" s="77"/>
    </row>
    <row r="75" spans="2:6" ht="16.5" thickBot="1" x14ac:dyDescent="0.3">
      <c r="B75" s="85" t="s">
        <v>1662</v>
      </c>
      <c r="C75" s="64" t="s">
        <v>470</v>
      </c>
      <c r="D75" s="1165">
        <v>18</v>
      </c>
      <c r="E75" s="65"/>
      <c r="F75" s="77" t="s">
        <v>496</v>
      </c>
    </row>
    <row r="76" spans="2:6" ht="16.5" thickBot="1" x14ac:dyDescent="0.3">
      <c r="B76" s="1153" t="s">
        <v>525</v>
      </c>
      <c r="C76" s="1166" t="s">
        <v>4</v>
      </c>
      <c r="D76" s="2754">
        <v>7.6E-3</v>
      </c>
      <c r="E76" s="2468"/>
      <c r="F76" s="1167" t="s">
        <v>3429</v>
      </c>
    </row>
    <row r="77" spans="2:6" s="1811" customFormat="1" ht="40.9" customHeight="1" thickBot="1" x14ac:dyDescent="0.3">
      <c r="B77" s="1870" t="s">
        <v>3398</v>
      </c>
      <c r="C77" s="1871"/>
      <c r="D77" s="2755">
        <v>1.0569999999999999</v>
      </c>
      <c r="E77" s="1872"/>
      <c r="F77" s="1873" t="s">
        <v>3399</v>
      </c>
    </row>
    <row r="94" spans="2:2" x14ac:dyDescent="0.25">
      <c r="B94" s="58" t="s">
        <v>3419</v>
      </c>
    </row>
  </sheetData>
  <mergeCells count="2">
    <mergeCell ref="F37:F38"/>
    <mergeCell ref="E37:E38"/>
  </mergeCells>
  <pageMargins left="0.79" right="0.18" top="0.54" bottom="0.33" header="0.31496062992125984" footer="0.31496062992125984"/>
  <pageSetup paperSize="9" scale="58" fitToHeight="4" orientation="landscape" r:id="rId1"/>
  <rowBreaks count="1" manualBreakCount="1">
    <brk id="48" min="1"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pageSetUpPr fitToPage="1"/>
  </sheetPr>
  <dimension ref="A1:J214"/>
  <sheetViews>
    <sheetView topLeftCell="A132" zoomScaleSheetLayoutView="100" workbookViewId="0">
      <selection activeCell="D170" sqref="D170"/>
    </sheetView>
  </sheetViews>
  <sheetFormatPr defaultRowHeight="15" x14ac:dyDescent="0.25"/>
  <cols>
    <col min="1" max="1" width="6.140625" style="18" customWidth="1"/>
    <col min="2" max="2" width="21.85546875" style="18" customWidth="1"/>
    <col min="3" max="3" width="18.42578125" style="18" customWidth="1"/>
    <col min="4" max="5" width="16.28515625" style="18" customWidth="1"/>
    <col min="6" max="6" width="20" style="18" customWidth="1"/>
    <col min="7" max="7" width="50.28515625" customWidth="1"/>
  </cols>
  <sheetData>
    <row r="1" spans="1:7" ht="48" customHeight="1" x14ac:dyDescent="0.25">
      <c r="D1" s="3812" t="s">
        <v>3354</v>
      </c>
      <c r="E1" s="3812"/>
      <c r="F1" s="3812"/>
      <c r="G1" s="170" t="s">
        <v>644</v>
      </c>
    </row>
    <row r="2" spans="1:7" x14ac:dyDescent="0.25">
      <c r="B2" s="18" t="s">
        <v>6</v>
      </c>
    </row>
    <row r="3" spans="1:7" ht="31.5" customHeight="1" x14ac:dyDescent="0.25">
      <c r="B3" s="3813" t="str">
        <f>'Вхідні дані'!F10</f>
        <v>Виконавчий комітет Чорноморської міської ради Одеського району Одеської області</v>
      </c>
      <c r="C3" s="3813"/>
    </row>
    <row r="4" spans="1:7" x14ac:dyDescent="0.25">
      <c r="B4" s="18" t="s">
        <v>266</v>
      </c>
    </row>
    <row r="5" spans="1:7" x14ac:dyDescent="0.25">
      <c r="F5" s="18" t="s">
        <v>2213</v>
      </c>
    </row>
    <row r="6" spans="1:7" hidden="1" x14ac:dyDescent="0.25">
      <c r="A6" s="3811" t="s">
        <v>451</v>
      </c>
      <c r="B6" s="3811"/>
      <c r="C6" s="3811"/>
      <c r="D6" s="3811"/>
      <c r="E6" s="3811"/>
      <c r="F6" s="3811"/>
      <c r="G6" s="170" t="s">
        <v>644</v>
      </c>
    </row>
    <row r="7" spans="1:7" hidden="1" x14ac:dyDescent="0.25">
      <c r="A7" s="3811" t="s">
        <v>642</v>
      </c>
      <c r="B7" s="3811"/>
      <c r="C7" s="3811"/>
      <c r="D7" s="3811"/>
      <c r="E7" s="3811"/>
      <c r="F7" s="3811"/>
      <c r="G7" s="170" t="s">
        <v>644</v>
      </c>
    </row>
    <row r="8" spans="1:7" hidden="1" x14ac:dyDescent="0.25">
      <c r="A8" s="3803" t="str">
        <f>'Вхідні дані'!F4</f>
        <v>Чорноморська філія Державного підприємства "Адміністрація морських портів України"</v>
      </c>
      <c r="B8" s="3803"/>
      <c r="C8" s="3803"/>
      <c r="D8" s="3803"/>
      <c r="E8" s="3803"/>
      <c r="F8" s="3803"/>
      <c r="G8" s="170" t="s">
        <v>645</v>
      </c>
    </row>
    <row r="9" spans="1:7" hidden="1" x14ac:dyDescent="0.25">
      <c r="A9" s="3804" t="s">
        <v>643</v>
      </c>
      <c r="B9" s="3804"/>
      <c r="C9" s="3804"/>
      <c r="D9" s="3804"/>
      <c r="E9" s="3804"/>
      <c r="F9" s="3804"/>
      <c r="G9" s="170" t="s">
        <v>645</v>
      </c>
    </row>
    <row r="10" spans="1:7" hidden="1" x14ac:dyDescent="0.25">
      <c r="A10" s="3805" t="s">
        <v>646</v>
      </c>
      <c r="B10" s="3805"/>
      <c r="C10" s="3805"/>
      <c r="D10" s="3805"/>
      <c r="E10" s="3805"/>
      <c r="F10" s="3805"/>
    </row>
    <row r="11" spans="1:7" hidden="1" x14ac:dyDescent="0.25">
      <c r="A11" s="3805" t="s">
        <v>2212</v>
      </c>
      <c r="B11" s="3805"/>
      <c r="C11" s="3805"/>
      <c r="D11" s="3805"/>
      <c r="E11" s="3805"/>
      <c r="F11" s="3805"/>
    </row>
    <row r="12" spans="1:7" hidden="1" x14ac:dyDescent="0.25">
      <c r="A12" s="3805" t="s">
        <v>647</v>
      </c>
      <c r="B12" s="3805"/>
      <c r="C12" s="3805"/>
      <c r="D12" s="3805"/>
      <c r="E12" s="3805"/>
      <c r="F12" s="3805"/>
    </row>
    <row r="13" spans="1:7" hidden="1" x14ac:dyDescent="0.25"/>
    <row r="14" spans="1:7" hidden="1" x14ac:dyDescent="0.25">
      <c r="A14" s="3806" t="s">
        <v>7</v>
      </c>
      <c r="B14" s="3808" t="s">
        <v>261</v>
      </c>
      <c r="C14" s="3808" t="s">
        <v>262</v>
      </c>
      <c r="D14" s="3810" t="s">
        <v>259</v>
      </c>
      <c r="E14" s="3810"/>
      <c r="F14" s="3810"/>
    </row>
    <row r="15" spans="1:7" ht="60" hidden="1" x14ac:dyDescent="0.25">
      <c r="A15" s="3807"/>
      <c r="B15" s="3809"/>
      <c r="C15" s="3809"/>
      <c r="D15" s="10" t="s">
        <v>263</v>
      </c>
      <c r="E15" s="10" t="s">
        <v>264</v>
      </c>
      <c r="F15" s="10" t="s">
        <v>265</v>
      </c>
    </row>
    <row r="16" spans="1:7" s="1275" customFormat="1" ht="11.25" hidden="1" x14ac:dyDescent="0.2">
      <c r="A16" s="14">
        <v>1</v>
      </c>
      <c r="B16" s="14">
        <v>2</v>
      </c>
      <c r="C16" s="14">
        <v>3</v>
      </c>
      <c r="D16" s="14">
        <v>4</v>
      </c>
      <c r="E16" s="14">
        <v>5</v>
      </c>
      <c r="F16" s="14">
        <v>6</v>
      </c>
    </row>
    <row r="17" spans="1:10" ht="60" hidden="1" x14ac:dyDescent="0.25">
      <c r="A17" s="17">
        <v>1</v>
      </c>
      <c r="B17" s="1297" t="s">
        <v>2211</v>
      </c>
      <c r="C17" s="1298"/>
      <c r="D17" s="1298"/>
      <c r="E17" s="1298"/>
      <c r="F17" s="19"/>
    </row>
    <row r="18" spans="1:10" ht="30" hidden="1" x14ac:dyDescent="0.25">
      <c r="A18" s="17">
        <v>3</v>
      </c>
      <c r="B18" s="1276" t="s">
        <v>1851</v>
      </c>
      <c r="C18" s="1277"/>
      <c r="D18" s="1277"/>
      <c r="E18" s="1277"/>
      <c r="F18" s="19"/>
    </row>
    <row r="19" spans="1:10" ht="25.5" hidden="1" x14ac:dyDescent="0.25">
      <c r="A19" s="17"/>
      <c r="B19" s="1299" t="s">
        <v>87</v>
      </c>
      <c r="C19" s="1279"/>
      <c r="D19" s="1279"/>
      <c r="E19" s="1279"/>
      <c r="F19" s="19"/>
    </row>
    <row r="20" spans="1:10" hidden="1" x14ac:dyDescent="0.25">
      <c r="A20" s="17"/>
      <c r="B20" s="1278"/>
      <c r="C20" s="1279"/>
      <c r="D20" s="1279"/>
      <c r="E20" s="1279"/>
      <c r="F20" s="19"/>
    </row>
    <row r="21" spans="1:10" hidden="1" x14ac:dyDescent="0.25">
      <c r="A21" s="17"/>
      <c r="B21" s="19"/>
      <c r="C21" s="19"/>
      <c r="D21" s="19"/>
      <c r="E21" s="19"/>
      <c r="F21" s="19"/>
    </row>
    <row r="22" spans="1:10" hidden="1" x14ac:dyDescent="0.25">
      <c r="A22" s="17"/>
      <c r="B22" s="19"/>
      <c r="C22" s="19"/>
      <c r="D22" s="19"/>
      <c r="E22" s="19"/>
      <c r="F22" s="19"/>
    </row>
    <row r="23" spans="1:10" hidden="1" x14ac:dyDescent="0.25">
      <c r="A23" s="17"/>
      <c r="B23" s="19"/>
      <c r="C23" s="19"/>
      <c r="D23" s="19"/>
      <c r="E23" s="19"/>
      <c r="F23" s="19"/>
    </row>
    <row r="24" spans="1:10" hidden="1" x14ac:dyDescent="0.25">
      <c r="A24" s="3798" t="s">
        <v>260</v>
      </c>
      <c r="B24" s="3798"/>
      <c r="C24" s="19"/>
      <c r="D24" s="19"/>
      <c r="E24" s="19"/>
      <c r="F24" s="19"/>
    </row>
    <row r="25" spans="1:10" hidden="1" x14ac:dyDescent="0.25">
      <c r="C25" s="18">
        <f>SUM(C26:C36)</f>
        <v>2</v>
      </c>
    </row>
    <row r="26" spans="1:10" ht="15.75" hidden="1" x14ac:dyDescent="0.25">
      <c r="B26" s="21" t="s">
        <v>267</v>
      </c>
    </row>
    <row r="27" spans="1:10" hidden="1" x14ac:dyDescent="0.25"/>
    <row r="28" spans="1:10" ht="15.75" hidden="1" x14ac:dyDescent="0.25">
      <c r="A28" s="23"/>
      <c r="B28" s="22" t="s">
        <v>273</v>
      </c>
    </row>
    <row r="29" spans="1:10" hidden="1" x14ac:dyDescent="0.25"/>
    <row r="30" spans="1:10" ht="135" hidden="1" x14ac:dyDescent="0.25">
      <c r="B30" s="17" t="s">
        <v>269</v>
      </c>
      <c r="C30" s="17" t="s">
        <v>270</v>
      </c>
      <c r="D30" s="15" t="s">
        <v>268</v>
      </c>
      <c r="E30" s="17" t="s">
        <v>271</v>
      </c>
    </row>
    <row r="31" spans="1:10" ht="15.75" hidden="1" x14ac:dyDescent="0.25">
      <c r="B31" s="15">
        <v>1</v>
      </c>
      <c r="C31" s="15">
        <v>2</v>
      </c>
      <c r="D31" s="15">
        <v>3</v>
      </c>
      <c r="E31" s="15">
        <v>4</v>
      </c>
    </row>
    <row r="32" spans="1:10" ht="60" hidden="1" x14ac:dyDescent="0.25">
      <c r="B32" s="1297" t="s">
        <v>2211</v>
      </c>
      <c r="C32" s="1298"/>
      <c r="D32" s="1298"/>
      <c r="E32" s="1298"/>
      <c r="J32" t="s">
        <v>861</v>
      </c>
    </row>
    <row r="33" spans="2:5" ht="30" hidden="1" x14ac:dyDescent="0.25">
      <c r="B33" s="1276" t="s">
        <v>1851</v>
      </c>
      <c r="C33" s="1277"/>
      <c r="D33" s="1277"/>
      <c r="E33" s="1277"/>
    </row>
    <row r="34" spans="2:5" ht="25.5" hidden="1" x14ac:dyDescent="0.25">
      <c r="B34" s="1299" t="s">
        <v>87</v>
      </c>
      <c r="C34" s="1279"/>
      <c r="D34" s="1279"/>
      <c r="E34" s="1279"/>
    </row>
    <row r="35" spans="2:5" hidden="1" x14ac:dyDescent="0.25">
      <c r="B35" s="1278"/>
      <c r="C35" s="1279"/>
      <c r="D35" s="1279"/>
      <c r="E35" s="1279"/>
    </row>
    <row r="36" spans="2:5" hidden="1" x14ac:dyDescent="0.25"/>
    <row r="37" spans="2:5" ht="15.75" hidden="1" x14ac:dyDescent="0.25">
      <c r="B37" s="22" t="s">
        <v>272</v>
      </c>
    </row>
    <row r="38" spans="2:5" hidden="1" x14ac:dyDescent="0.25"/>
    <row r="39" spans="2:5" ht="82.5" hidden="1" customHeight="1" x14ac:dyDescent="0.25">
      <c r="B39" s="17" t="s">
        <v>275</v>
      </c>
      <c r="C39" s="3799" t="s">
        <v>274</v>
      </c>
      <c r="D39" s="3800"/>
      <c r="E39" s="3801"/>
    </row>
    <row r="40" spans="2:5" ht="50.25" hidden="1" customHeight="1" x14ac:dyDescent="0.25">
      <c r="B40" s="15"/>
      <c r="C40" s="17" t="s">
        <v>479</v>
      </c>
      <c r="D40" s="17" t="s">
        <v>480</v>
      </c>
      <c r="E40" s="17" t="s">
        <v>481</v>
      </c>
    </row>
    <row r="41" spans="2:5" ht="15.75" hidden="1" x14ac:dyDescent="0.25">
      <c r="B41" s="15">
        <v>1</v>
      </c>
      <c r="C41" s="15">
        <v>2</v>
      </c>
      <c r="D41" s="15">
        <v>3</v>
      </c>
      <c r="E41" s="15">
        <v>4</v>
      </c>
    </row>
    <row r="42" spans="2:5" ht="60" hidden="1" x14ac:dyDescent="0.25">
      <c r="B42" s="1297" t="s">
        <v>2211</v>
      </c>
      <c r="C42" s="1298"/>
      <c r="D42" s="1298"/>
      <c r="E42" s="1298"/>
    </row>
    <row r="43" spans="2:5" ht="30" hidden="1" x14ac:dyDescent="0.25">
      <c r="B43" s="1276" t="s">
        <v>1851</v>
      </c>
      <c r="C43" s="1277"/>
      <c r="D43" s="1277"/>
      <c r="E43" s="1277"/>
    </row>
    <row r="44" spans="2:5" ht="25.5" hidden="1" x14ac:dyDescent="0.25">
      <c r="B44" s="1299" t="s">
        <v>87</v>
      </c>
      <c r="C44" s="1279"/>
      <c r="D44" s="1279"/>
      <c r="E44" s="1279"/>
    </row>
    <row r="45" spans="2:5" hidden="1" x14ac:dyDescent="0.25">
      <c r="B45" s="1278"/>
      <c r="C45" s="1279"/>
      <c r="D45" s="1279"/>
      <c r="E45" s="1279"/>
    </row>
    <row r="46" spans="2:5" hidden="1" x14ac:dyDescent="0.25"/>
    <row r="47" spans="2:5" ht="60" hidden="1" x14ac:dyDescent="0.25">
      <c r="B47" s="111" t="str">
        <f>'Вхідні дані'!$B$13</f>
        <v>В.о. начальника Адміністрації морського порту Чорноморськ</v>
      </c>
      <c r="C47" s="9" t="s">
        <v>276</v>
      </c>
      <c r="D47" s="3814" t="str">
        <f>'Вхідні дані'!$F$13</f>
        <v>Юрій СОКОЛОВ</v>
      </c>
      <c r="E47" s="3814"/>
    </row>
    <row r="48" spans="2:5" hidden="1" x14ac:dyDescent="0.25">
      <c r="B48" s="9" t="s">
        <v>242</v>
      </c>
      <c r="C48" s="9" t="s">
        <v>277</v>
      </c>
      <c r="D48" s="3815" t="s">
        <v>240</v>
      </c>
      <c r="E48" s="3815"/>
    </row>
    <row r="49" spans="1:6" hidden="1" x14ac:dyDescent="0.25"/>
    <row r="50" spans="1:6" hidden="1" x14ac:dyDescent="0.25">
      <c r="B50" s="27"/>
    </row>
    <row r="51" spans="1:6" ht="51" hidden="1" customHeight="1" x14ac:dyDescent="0.25">
      <c r="A51" s="3811" t="s">
        <v>451</v>
      </c>
      <c r="B51" s="3811"/>
      <c r="C51" s="3811"/>
      <c r="D51" s="3811"/>
      <c r="E51" s="3811"/>
      <c r="F51" s="3811"/>
    </row>
    <row r="52" spans="1:6" hidden="1" x14ac:dyDescent="0.25">
      <c r="A52" s="3811" t="s">
        <v>642</v>
      </c>
      <c r="B52" s="3811"/>
      <c r="C52" s="3811"/>
      <c r="D52" s="3811"/>
      <c r="E52" s="3811"/>
      <c r="F52" s="3811"/>
    </row>
    <row r="53" spans="1:6" hidden="1" x14ac:dyDescent="0.25">
      <c r="A53" s="3803" t="str">
        <f>'Вхідні дані'!F4</f>
        <v>Чорноморська філія Державного підприємства "Адміністрація морських портів України"</v>
      </c>
      <c r="B53" s="3803"/>
      <c r="C53" s="3803"/>
      <c r="D53" s="3803"/>
      <c r="E53" s="3803"/>
      <c r="F53" s="3803"/>
    </row>
    <row r="54" spans="1:6" hidden="1" x14ac:dyDescent="0.25">
      <c r="A54" s="3804" t="s">
        <v>643</v>
      </c>
      <c r="B54" s="3804"/>
      <c r="C54" s="3804"/>
      <c r="D54" s="3804"/>
      <c r="E54" s="3804"/>
      <c r="F54" s="3804"/>
    </row>
    <row r="55" spans="1:6" ht="16.899999999999999" hidden="1" customHeight="1" x14ac:dyDescent="0.25">
      <c r="A55" s="3805" t="s">
        <v>646</v>
      </c>
      <c r="B55" s="3805"/>
      <c r="C55" s="3805"/>
      <c r="D55" s="3805"/>
      <c r="E55" s="3805"/>
      <c r="F55" s="3805"/>
    </row>
    <row r="56" spans="1:6" hidden="1" x14ac:dyDescent="0.25">
      <c r="A56" s="3805" t="s">
        <v>2216</v>
      </c>
      <c r="B56" s="3805"/>
      <c r="C56" s="3805"/>
      <c r="D56" s="3805"/>
      <c r="E56" s="3805"/>
      <c r="F56" s="3805"/>
    </row>
    <row r="57" spans="1:6" hidden="1" x14ac:dyDescent="0.25">
      <c r="A57" s="3805" t="s">
        <v>647</v>
      </c>
      <c r="B57" s="3805"/>
      <c r="C57" s="3805"/>
      <c r="D57" s="3805"/>
      <c r="E57" s="3805"/>
      <c r="F57" s="3805"/>
    </row>
    <row r="58" spans="1:6" hidden="1" x14ac:dyDescent="0.25"/>
    <row r="59" spans="1:6" hidden="1" x14ac:dyDescent="0.25">
      <c r="A59" s="3806" t="s">
        <v>7</v>
      </c>
      <c r="B59" s="3808" t="s">
        <v>261</v>
      </c>
      <c r="C59" s="3808" t="s">
        <v>262</v>
      </c>
      <c r="D59" s="3810" t="s">
        <v>259</v>
      </c>
      <c r="E59" s="3810"/>
      <c r="F59" s="3810"/>
    </row>
    <row r="60" spans="1:6" ht="60" hidden="1" x14ac:dyDescent="0.25">
      <c r="A60" s="3807"/>
      <c r="B60" s="3809"/>
      <c r="C60" s="3809"/>
      <c r="D60" s="10" t="s">
        <v>263</v>
      </c>
      <c r="E60" s="10" t="s">
        <v>264</v>
      </c>
      <c r="F60" s="10" t="s">
        <v>265</v>
      </c>
    </row>
    <row r="61" spans="1:6" hidden="1" x14ac:dyDescent="0.25">
      <c r="A61" s="14">
        <v>1</v>
      </c>
      <c r="B61" s="14">
        <v>2</v>
      </c>
      <c r="C61" s="14">
        <v>3</v>
      </c>
      <c r="D61" s="14">
        <v>4</v>
      </c>
      <c r="E61" s="14">
        <v>5</v>
      </c>
      <c r="F61" s="14">
        <v>6</v>
      </c>
    </row>
    <row r="62" spans="1:6" ht="60" hidden="1" x14ac:dyDescent="0.25">
      <c r="A62" s="17">
        <v>1</v>
      </c>
      <c r="B62" s="1295" t="s">
        <v>2211</v>
      </c>
      <c r="C62" s="19"/>
      <c r="D62" s="19"/>
      <c r="E62" s="19"/>
      <c r="F62" s="19"/>
    </row>
    <row r="63" spans="1:6" ht="30" hidden="1" x14ac:dyDescent="0.25">
      <c r="A63" s="17">
        <v>2</v>
      </c>
      <c r="B63" s="19" t="s">
        <v>1851</v>
      </c>
      <c r="C63" s="19"/>
      <c r="D63" s="19"/>
      <c r="E63" s="19"/>
      <c r="F63" s="19"/>
    </row>
    <row r="64" spans="1:6" ht="25.5" hidden="1" x14ac:dyDescent="0.25">
      <c r="A64" s="17">
        <v>3</v>
      </c>
      <c r="B64" s="152" t="s">
        <v>87</v>
      </c>
      <c r="C64" s="19"/>
      <c r="D64" s="19"/>
      <c r="E64" s="19"/>
      <c r="F64" s="19"/>
    </row>
    <row r="65" spans="1:6" hidden="1" x14ac:dyDescent="0.25">
      <c r="A65" s="17"/>
      <c r="B65" s="19"/>
      <c r="C65" s="19"/>
      <c r="D65" s="19"/>
      <c r="E65" s="19"/>
      <c r="F65" s="19"/>
    </row>
    <row r="66" spans="1:6" hidden="1" x14ac:dyDescent="0.25">
      <c r="A66" s="17"/>
      <c r="B66" s="19"/>
      <c r="C66" s="19"/>
      <c r="D66" s="19"/>
      <c r="E66" s="19"/>
      <c r="F66" s="19"/>
    </row>
    <row r="67" spans="1:6" hidden="1" x14ac:dyDescent="0.25">
      <c r="A67" s="17"/>
      <c r="B67" s="19"/>
      <c r="C67" s="19"/>
      <c r="D67" s="19"/>
      <c r="E67" s="19"/>
      <c r="F67" s="19"/>
    </row>
    <row r="68" spans="1:6" hidden="1" x14ac:dyDescent="0.25">
      <c r="A68" s="17"/>
      <c r="B68" s="19"/>
      <c r="C68" s="19"/>
      <c r="D68" s="19"/>
      <c r="E68" s="19"/>
      <c r="F68" s="19"/>
    </row>
    <row r="69" spans="1:6" hidden="1" x14ac:dyDescent="0.25">
      <c r="A69" s="3798" t="s">
        <v>260</v>
      </c>
      <c r="B69" s="3798"/>
      <c r="C69" s="19"/>
      <c r="D69" s="19"/>
      <c r="E69" s="19"/>
      <c r="F69" s="19"/>
    </row>
    <row r="70" spans="1:6" hidden="1" x14ac:dyDescent="0.25">
      <c r="C70" s="18">
        <f>SUM(C71:C81)</f>
        <v>2</v>
      </c>
    </row>
    <row r="71" spans="1:6" ht="15.75" hidden="1" x14ac:dyDescent="0.25">
      <c r="B71" s="21" t="s">
        <v>267</v>
      </c>
    </row>
    <row r="72" spans="1:6" hidden="1" x14ac:dyDescent="0.25"/>
    <row r="73" spans="1:6" ht="15.75" hidden="1" x14ac:dyDescent="0.25">
      <c r="A73" s="23"/>
      <c r="B73" s="22" t="s">
        <v>273</v>
      </c>
    </row>
    <row r="74" spans="1:6" hidden="1" x14ac:dyDescent="0.25"/>
    <row r="75" spans="1:6" ht="135" hidden="1" x14ac:dyDescent="0.25">
      <c r="B75" s="17" t="s">
        <v>269</v>
      </c>
      <c r="C75" s="17" t="s">
        <v>270</v>
      </c>
      <c r="D75" s="15" t="s">
        <v>268</v>
      </c>
      <c r="E75" s="17" t="s">
        <v>271</v>
      </c>
    </row>
    <row r="76" spans="1:6" ht="15.75" hidden="1" x14ac:dyDescent="0.25">
      <c r="B76" s="15">
        <v>1</v>
      </c>
      <c r="C76" s="15">
        <v>2</v>
      </c>
      <c r="D76" s="15">
        <v>3</v>
      </c>
      <c r="E76" s="15">
        <v>4</v>
      </c>
    </row>
    <row r="77" spans="1:6" ht="60" hidden="1" x14ac:dyDescent="0.25">
      <c r="B77" s="1295" t="s">
        <v>2211</v>
      </c>
      <c r="C77" s="16"/>
      <c r="D77" s="16"/>
      <c r="E77" s="16"/>
    </row>
    <row r="78" spans="1:6" ht="30" hidden="1" x14ac:dyDescent="0.25">
      <c r="B78" s="19" t="s">
        <v>1851</v>
      </c>
      <c r="C78" s="16"/>
      <c r="D78" s="16"/>
      <c r="E78" s="16"/>
    </row>
    <row r="79" spans="1:6" ht="25.5" hidden="1" x14ac:dyDescent="0.25">
      <c r="B79" s="152" t="s">
        <v>87</v>
      </c>
      <c r="C79" s="20"/>
      <c r="D79" s="20"/>
      <c r="E79" s="20"/>
    </row>
    <row r="80" spans="1:6" hidden="1" x14ac:dyDescent="0.25">
      <c r="B80" s="20"/>
      <c r="C80" s="20"/>
      <c r="D80" s="20"/>
      <c r="E80" s="20"/>
    </row>
    <row r="81" spans="1:6" hidden="1" x14ac:dyDescent="0.25"/>
    <row r="82" spans="1:6" ht="15.75" hidden="1" x14ac:dyDescent="0.25">
      <c r="B82" s="22" t="s">
        <v>272</v>
      </c>
    </row>
    <row r="83" spans="1:6" hidden="1" x14ac:dyDescent="0.25"/>
    <row r="84" spans="1:6" ht="75" hidden="1" x14ac:dyDescent="0.25">
      <c r="B84" s="17" t="s">
        <v>275</v>
      </c>
      <c r="C84" s="3799" t="s">
        <v>274</v>
      </c>
      <c r="D84" s="3800"/>
      <c r="E84" s="3801"/>
    </row>
    <row r="85" spans="1:6" ht="45" hidden="1" x14ac:dyDescent="0.25">
      <c r="B85" s="15"/>
      <c r="C85" s="17" t="s">
        <v>479</v>
      </c>
      <c r="D85" s="17" t="s">
        <v>480</v>
      </c>
      <c r="E85" s="17" t="s">
        <v>481</v>
      </c>
    </row>
    <row r="86" spans="1:6" ht="15.75" hidden="1" x14ac:dyDescent="0.25">
      <c r="B86" s="15">
        <v>1</v>
      </c>
      <c r="C86" s="15">
        <v>2</v>
      </c>
      <c r="D86" s="15">
        <v>3</v>
      </c>
      <c r="E86" s="15">
        <v>4</v>
      </c>
    </row>
    <row r="87" spans="1:6" ht="60" hidden="1" x14ac:dyDescent="0.25">
      <c r="B87" s="1295" t="s">
        <v>2211</v>
      </c>
      <c r="C87" s="16"/>
      <c r="D87" s="16"/>
      <c r="E87" s="16"/>
    </row>
    <row r="88" spans="1:6" ht="30" hidden="1" x14ac:dyDescent="0.25">
      <c r="B88" s="19" t="s">
        <v>1851</v>
      </c>
      <c r="C88" s="16"/>
      <c r="D88" s="16"/>
      <c r="E88" s="16"/>
    </row>
    <row r="89" spans="1:6" ht="25.5" hidden="1" x14ac:dyDescent="0.25">
      <c r="B89" s="152" t="s">
        <v>87</v>
      </c>
      <c r="C89" s="20"/>
      <c r="D89" s="20"/>
      <c r="E89" s="20"/>
    </row>
    <row r="90" spans="1:6" hidden="1" x14ac:dyDescent="0.25">
      <c r="B90" s="20"/>
      <c r="C90" s="20"/>
      <c r="D90" s="20"/>
      <c r="E90" s="20"/>
    </row>
    <row r="91" spans="1:6" hidden="1" x14ac:dyDescent="0.25"/>
    <row r="92" spans="1:6" hidden="1" x14ac:dyDescent="0.25">
      <c r="A92" s="3811" t="s">
        <v>451</v>
      </c>
      <c r="B92" s="3811"/>
      <c r="C92" s="3811"/>
      <c r="D92" s="3811"/>
      <c r="E92" s="3811"/>
      <c r="F92" s="3811"/>
    </row>
    <row r="93" spans="1:6" hidden="1" x14ac:dyDescent="0.25">
      <c r="A93" s="3811" t="s">
        <v>642</v>
      </c>
      <c r="B93" s="3811"/>
      <c r="C93" s="3811"/>
      <c r="D93" s="3811"/>
      <c r="E93" s="3811"/>
      <c r="F93" s="3811"/>
    </row>
    <row r="94" spans="1:6" hidden="1" x14ac:dyDescent="0.25">
      <c r="A94" s="3803" t="str">
        <f>'Вхідні дані'!F4</f>
        <v>Чорноморська філія Державного підприємства "Адміністрація морських портів України"</v>
      </c>
      <c r="B94" s="3803"/>
      <c r="C94" s="3803"/>
      <c r="D94" s="3803"/>
      <c r="E94" s="3803"/>
      <c r="F94" s="3803"/>
    </row>
    <row r="95" spans="1:6" hidden="1" x14ac:dyDescent="0.25">
      <c r="A95" s="3804" t="s">
        <v>643</v>
      </c>
      <c r="B95" s="3804"/>
      <c r="C95" s="3804"/>
      <c r="D95" s="3804"/>
      <c r="E95" s="3804"/>
      <c r="F95" s="3804"/>
    </row>
    <row r="96" spans="1:6" hidden="1" x14ac:dyDescent="0.25">
      <c r="A96" s="3805" t="s">
        <v>646</v>
      </c>
      <c r="B96" s="3805"/>
      <c r="C96" s="3805"/>
      <c r="D96" s="3805"/>
      <c r="E96" s="3805"/>
      <c r="F96" s="3805"/>
    </row>
    <row r="97" spans="1:6" hidden="1" x14ac:dyDescent="0.25">
      <c r="A97" s="3805" t="s">
        <v>2215</v>
      </c>
      <c r="B97" s="3805"/>
      <c r="C97" s="3805"/>
      <c r="D97" s="3805"/>
      <c r="E97" s="3805"/>
      <c r="F97" s="3805"/>
    </row>
    <row r="98" spans="1:6" hidden="1" x14ac:dyDescent="0.25">
      <c r="A98" s="3805" t="s">
        <v>647</v>
      </c>
      <c r="B98" s="3805"/>
      <c r="C98" s="3805"/>
      <c r="D98" s="3805"/>
      <c r="E98" s="3805"/>
      <c r="F98" s="3805"/>
    </row>
    <row r="99" spans="1:6" hidden="1" x14ac:dyDescent="0.25"/>
    <row r="100" spans="1:6" hidden="1" x14ac:dyDescent="0.25">
      <c r="A100" s="3806" t="s">
        <v>7</v>
      </c>
      <c r="B100" s="3808" t="s">
        <v>261</v>
      </c>
      <c r="C100" s="3808" t="s">
        <v>262</v>
      </c>
      <c r="D100" s="3810" t="s">
        <v>259</v>
      </c>
      <c r="E100" s="3810"/>
      <c r="F100" s="3810"/>
    </row>
    <row r="101" spans="1:6" ht="60" hidden="1" x14ac:dyDescent="0.25">
      <c r="A101" s="3807"/>
      <c r="B101" s="3809"/>
      <c r="C101" s="3809"/>
      <c r="D101" s="10" t="s">
        <v>263</v>
      </c>
      <c r="E101" s="10" t="s">
        <v>264</v>
      </c>
      <c r="F101" s="10" t="s">
        <v>265</v>
      </c>
    </row>
    <row r="102" spans="1:6" hidden="1" x14ac:dyDescent="0.25">
      <c r="A102" s="14">
        <v>1</v>
      </c>
      <c r="B102" s="14">
        <v>2</v>
      </c>
      <c r="C102" s="14">
        <v>3</v>
      </c>
      <c r="D102" s="14">
        <v>4</v>
      </c>
      <c r="E102" s="14">
        <v>5</v>
      </c>
      <c r="F102" s="14">
        <v>6</v>
      </c>
    </row>
    <row r="103" spans="1:6" ht="60" hidden="1" x14ac:dyDescent="0.25">
      <c r="A103" s="17">
        <v>1</v>
      </c>
      <c r="B103" s="1295" t="s">
        <v>2211</v>
      </c>
      <c r="C103" s="19"/>
      <c r="D103" s="19"/>
      <c r="E103" s="19"/>
      <c r="F103" s="19"/>
    </row>
    <row r="104" spans="1:6" ht="30" hidden="1" x14ac:dyDescent="0.25">
      <c r="A104" s="17">
        <v>3</v>
      </c>
      <c r="B104" s="19" t="s">
        <v>1851</v>
      </c>
      <c r="C104" s="19"/>
      <c r="D104" s="19"/>
      <c r="E104" s="19"/>
      <c r="F104" s="19"/>
    </row>
    <row r="105" spans="1:6" ht="25.5" hidden="1" x14ac:dyDescent="0.25">
      <c r="A105" s="17"/>
      <c r="B105" s="152" t="s">
        <v>87</v>
      </c>
      <c r="C105" s="19"/>
      <c r="D105" s="19"/>
      <c r="E105" s="19"/>
      <c r="F105" s="19"/>
    </row>
    <row r="106" spans="1:6" hidden="1" x14ac:dyDescent="0.25">
      <c r="A106" s="17"/>
      <c r="B106" s="19"/>
      <c r="C106" s="19"/>
      <c r="D106" s="19"/>
      <c r="E106" s="19"/>
      <c r="F106" s="19"/>
    </row>
    <row r="107" spans="1:6" hidden="1" x14ac:dyDescent="0.25">
      <c r="A107" s="17"/>
      <c r="B107" s="19"/>
      <c r="C107" s="19"/>
      <c r="D107" s="19"/>
      <c r="E107" s="19"/>
      <c r="F107" s="19"/>
    </row>
    <row r="108" spans="1:6" hidden="1" x14ac:dyDescent="0.25">
      <c r="A108" s="17"/>
      <c r="B108" s="19"/>
      <c r="C108" s="19"/>
      <c r="D108" s="19"/>
      <c r="E108" s="19"/>
      <c r="F108" s="19"/>
    </row>
    <row r="109" spans="1:6" hidden="1" x14ac:dyDescent="0.25">
      <c r="A109" s="17"/>
      <c r="B109" s="19"/>
      <c r="C109" s="19"/>
      <c r="D109" s="19"/>
      <c r="E109" s="19"/>
      <c r="F109" s="19"/>
    </row>
    <row r="110" spans="1:6" hidden="1" x14ac:dyDescent="0.25">
      <c r="A110" s="3798" t="s">
        <v>260</v>
      </c>
      <c r="B110" s="3798"/>
      <c r="C110" s="19"/>
      <c r="D110" s="19"/>
      <c r="E110" s="19"/>
      <c r="F110" s="19"/>
    </row>
    <row r="111" spans="1:6" hidden="1" x14ac:dyDescent="0.25">
      <c r="C111" s="18">
        <f>SUM(C112:C122)</f>
        <v>2</v>
      </c>
    </row>
    <row r="112" spans="1:6" ht="15.75" hidden="1" x14ac:dyDescent="0.25">
      <c r="B112" s="21" t="s">
        <v>267</v>
      </c>
    </row>
    <row r="113" spans="1:5" hidden="1" x14ac:dyDescent="0.25"/>
    <row r="114" spans="1:5" ht="15.75" hidden="1" x14ac:dyDescent="0.25">
      <c r="A114" s="23"/>
      <c r="B114" s="22" t="s">
        <v>273</v>
      </c>
    </row>
    <row r="115" spans="1:5" hidden="1" x14ac:dyDescent="0.25"/>
    <row r="116" spans="1:5" ht="135" hidden="1" x14ac:dyDescent="0.25">
      <c r="B116" s="17" t="s">
        <v>269</v>
      </c>
      <c r="C116" s="17" t="s">
        <v>270</v>
      </c>
      <c r="D116" s="15" t="s">
        <v>268</v>
      </c>
      <c r="E116" s="17" t="s">
        <v>271</v>
      </c>
    </row>
    <row r="117" spans="1:5" ht="15.75" hidden="1" x14ac:dyDescent="0.25">
      <c r="B117" s="15">
        <v>1</v>
      </c>
      <c r="C117" s="15">
        <v>2</v>
      </c>
      <c r="D117" s="15">
        <v>3</v>
      </c>
      <c r="E117" s="15">
        <v>4</v>
      </c>
    </row>
    <row r="118" spans="1:5" ht="60" hidden="1" x14ac:dyDescent="0.25">
      <c r="B118" s="1295" t="s">
        <v>2211</v>
      </c>
      <c r="C118" s="16"/>
      <c r="D118" s="16"/>
      <c r="E118" s="16"/>
    </row>
    <row r="119" spans="1:5" ht="30" hidden="1" x14ac:dyDescent="0.25">
      <c r="B119" s="19" t="s">
        <v>1851</v>
      </c>
      <c r="C119" s="16"/>
      <c r="D119" s="16"/>
      <c r="E119" s="16"/>
    </row>
    <row r="120" spans="1:5" ht="25.5" hidden="1" x14ac:dyDescent="0.25">
      <c r="B120" s="152" t="s">
        <v>87</v>
      </c>
      <c r="C120" s="20"/>
      <c r="D120" s="20"/>
      <c r="E120" s="20"/>
    </row>
    <row r="121" spans="1:5" hidden="1" x14ac:dyDescent="0.25">
      <c r="B121" s="20"/>
      <c r="C121" s="20"/>
      <c r="D121" s="20"/>
      <c r="E121" s="20"/>
    </row>
    <row r="122" spans="1:5" hidden="1" x14ac:dyDescent="0.25"/>
    <row r="123" spans="1:5" ht="15.75" hidden="1" x14ac:dyDescent="0.25">
      <c r="B123" s="22" t="s">
        <v>272</v>
      </c>
    </row>
    <row r="124" spans="1:5" hidden="1" x14ac:dyDescent="0.25"/>
    <row r="125" spans="1:5" ht="75" hidden="1" x14ac:dyDescent="0.25">
      <c r="B125" s="17" t="s">
        <v>275</v>
      </c>
      <c r="C125" s="3799" t="s">
        <v>274</v>
      </c>
      <c r="D125" s="3800"/>
      <c r="E125" s="3801"/>
    </row>
    <row r="126" spans="1:5" ht="45" hidden="1" x14ac:dyDescent="0.25">
      <c r="B126" s="15"/>
      <c r="C126" s="17" t="s">
        <v>479</v>
      </c>
      <c r="D126" s="17" t="s">
        <v>480</v>
      </c>
      <c r="E126" s="17" t="s">
        <v>481</v>
      </c>
    </row>
    <row r="127" spans="1:5" ht="15.75" hidden="1" x14ac:dyDescent="0.25">
      <c r="B127" s="15">
        <v>1</v>
      </c>
      <c r="C127" s="15">
        <v>2</v>
      </c>
      <c r="D127" s="15">
        <v>3</v>
      </c>
      <c r="E127" s="15">
        <v>4</v>
      </c>
    </row>
    <row r="128" spans="1:5" ht="60" hidden="1" x14ac:dyDescent="0.25">
      <c r="B128" s="1295" t="s">
        <v>2211</v>
      </c>
      <c r="C128" s="16">
        <v>0</v>
      </c>
      <c r="D128" s="16">
        <v>0</v>
      </c>
      <c r="E128" s="16">
        <v>0</v>
      </c>
    </row>
    <row r="129" spans="1:6" ht="30" hidden="1" x14ac:dyDescent="0.25">
      <c r="B129" s="19" t="s">
        <v>1851</v>
      </c>
      <c r="C129" s="16"/>
      <c r="D129" s="16"/>
      <c r="E129" s="16"/>
    </row>
    <row r="130" spans="1:6" ht="25.5" hidden="1" x14ac:dyDescent="0.25">
      <c r="B130" s="152" t="s">
        <v>87</v>
      </c>
      <c r="C130" s="20"/>
      <c r="D130" s="20"/>
      <c r="E130" s="20"/>
    </row>
    <row r="131" spans="1:6" hidden="1" x14ac:dyDescent="0.25">
      <c r="B131" s="1296"/>
    </row>
    <row r="132" spans="1:6" x14ac:dyDescent="0.25">
      <c r="B132" s="1296"/>
    </row>
    <row r="133" spans="1:6" x14ac:dyDescent="0.25">
      <c r="A133" s="3811" t="s">
        <v>451</v>
      </c>
      <c r="B133" s="3811"/>
      <c r="C133" s="3811"/>
      <c r="D133" s="3811"/>
      <c r="E133" s="3811"/>
      <c r="F133" s="3811"/>
    </row>
    <row r="134" spans="1:6" x14ac:dyDescent="0.25">
      <c r="A134" s="3811" t="s">
        <v>642</v>
      </c>
      <c r="B134" s="3811"/>
      <c r="C134" s="3811"/>
      <c r="D134" s="3811"/>
      <c r="E134" s="3811"/>
      <c r="F134" s="3811"/>
    </row>
    <row r="135" spans="1:6" x14ac:dyDescent="0.25">
      <c r="A135" s="3803" t="str">
        <f>'Вхідні дані'!F4</f>
        <v>Чорноморська філія Державного підприємства "Адміністрація морських портів України"</v>
      </c>
      <c r="B135" s="3803"/>
      <c r="C135" s="3803"/>
      <c r="D135" s="3803"/>
      <c r="E135" s="3803"/>
      <c r="F135" s="3803"/>
    </row>
    <row r="136" spans="1:6" x14ac:dyDescent="0.25">
      <c r="A136" s="3804" t="s">
        <v>643</v>
      </c>
      <c r="B136" s="3804"/>
      <c r="C136" s="3804"/>
      <c r="D136" s="3804"/>
      <c r="E136" s="3804"/>
      <c r="F136" s="3804"/>
    </row>
    <row r="137" spans="1:6" x14ac:dyDescent="0.25">
      <c r="A137" s="3805" t="s">
        <v>646</v>
      </c>
      <c r="B137" s="3805"/>
      <c r="C137" s="3805"/>
      <c r="D137" s="3805"/>
      <c r="E137" s="3805"/>
      <c r="F137" s="3805"/>
    </row>
    <row r="138" spans="1:6" x14ac:dyDescent="0.25">
      <c r="A138" s="3805" t="s">
        <v>2214</v>
      </c>
      <c r="B138" s="3805"/>
      <c r="C138" s="3805"/>
      <c r="D138" s="3805"/>
      <c r="E138" s="3805"/>
      <c r="F138" s="3805"/>
    </row>
    <row r="139" spans="1:6" x14ac:dyDescent="0.25">
      <c r="A139" s="3805" t="s">
        <v>647</v>
      </c>
      <c r="B139" s="3805"/>
      <c r="C139" s="3805"/>
      <c r="D139" s="3805"/>
      <c r="E139" s="3805"/>
      <c r="F139" s="3805"/>
    </row>
    <row r="141" spans="1:6" x14ac:dyDescent="0.25">
      <c r="A141" s="3806" t="s">
        <v>7</v>
      </c>
      <c r="B141" s="3808" t="s">
        <v>261</v>
      </c>
      <c r="C141" s="3808" t="s">
        <v>262</v>
      </c>
      <c r="D141" s="3810" t="s">
        <v>259</v>
      </c>
      <c r="E141" s="3810"/>
      <c r="F141" s="3810"/>
    </row>
    <row r="142" spans="1:6" ht="60" x14ac:dyDescent="0.25">
      <c r="A142" s="3807"/>
      <c r="B142" s="3809"/>
      <c r="C142" s="3809"/>
      <c r="D142" s="10" t="s">
        <v>263</v>
      </c>
      <c r="E142" s="10" t="s">
        <v>264</v>
      </c>
      <c r="F142" s="10" t="s">
        <v>265</v>
      </c>
    </row>
    <row r="143" spans="1:6" x14ac:dyDescent="0.25">
      <c r="A143" s="14">
        <v>1</v>
      </c>
      <c r="B143" s="14">
        <v>2</v>
      </c>
      <c r="C143" s="14">
        <v>3</v>
      </c>
      <c r="D143" s="14">
        <v>4</v>
      </c>
      <c r="E143" s="14">
        <v>5</v>
      </c>
      <c r="F143" s="14">
        <v>6</v>
      </c>
    </row>
    <row r="144" spans="1:6" ht="60" x14ac:dyDescent="0.25">
      <c r="A144" s="17">
        <v>1</v>
      </c>
      <c r="B144" s="1295" t="s">
        <v>2211</v>
      </c>
      <c r="C144" s="19"/>
      <c r="D144" s="19"/>
      <c r="E144" s="19"/>
      <c r="F144" s="19"/>
    </row>
    <row r="145" spans="1:6" ht="30" x14ac:dyDescent="0.25">
      <c r="A145" s="17">
        <v>3</v>
      </c>
      <c r="B145" s="19" t="s">
        <v>1851</v>
      </c>
      <c r="C145" s="19"/>
      <c r="D145" s="19"/>
      <c r="E145" s="19"/>
      <c r="F145" s="19"/>
    </row>
    <row r="146" spans="1:6" ht="25.5" x14ac:dyDescent="0.25">
      <c r="A146" s="17"/>
      <c r="B146" s="152" t="s">
        <v>87</v>
      </c>
      <c r="C146" s="19"/>
      <c r="D146" s="19"/>
      <c r="E146" s="19"/>
      <c r="F146" s="19"/>
    </row>
    <row r="147" spans="1:6" x14ac:dyDescent="0.25">
      <c r="A147" s="17"/>
      <c r="B147" s="19"/>
      <c r="C147" s="19"/>
      <c r="D147" s="19"/>
      <c r="E147" s="19"/>
      <c r="F147" s="19"/>
    </row>
    <row r="148" spans="1:6" x14ac:dyDescent="0.25">
      <c r="A148" s="17"/>
      <c r="B148" s="19"/>
      <c r="C148" s="19"/>
      <c r="D148" s="19"/>
      <c r="E148" s="19"/>
      <c r="F148" s="19"/>
    </row>
    <row r="149" spans="1:6" x14ac:dyDescent="0.25">
      <c r="A149" s="17"/>
      <c r="B149" s="19"/>
      <c r="C149" s="19"/>
      <c r="D149" s="19"/>
      <c r="E149" s="19"/>
      <c r="F149" s="19"/>
    </row>
    <row r="150" spans="1:6" x14ac:dyDescent="0.25">
      <c r="A150" s="17"/>
      <c r="B150" s="19"/>
      <c r="C150" s="19"/>
      <c r="D150" s="19"/>
      <c r="E150" s="19"/>
      <c r="F150" s="19"/>
    </row>
    <row r="151" spans="1:6" x14ac:dyDescent="0.25">
      <c r="A151" s="3798" t="s">
        <v>260</v>
      </c>
      <c r="B151" s="3798"/>
      <c r="C151" s="19"/>
      <c r="D151" s="19"/>
      <c r="E151" s="19"/>
      <c r="F151" s="19"/>
    </row>
    <row r="152" spans="1:6" x14ac:dyDescent="0.25">
      <c r="C152" s="18">
        <f>SUM(C153:C163)</f>
        <v>2</v>
      </c>
    </row>
    <row r="153" spans="1:6" ht="15.75" x14ac:dyDescent="0.25">
      <c r="B153" s="21" t="s">
        <v>267</v>
      </c>
    </row>
    <row r="155" spans="1:6" ht="15.75" x14ac:dyDescent="0.25">
      <c r="A155" s="23"/>
      <c r="B155" s="22" t="s">
        <v>273</v>
      </c>
    </row>
    <row r="157" spans="1:6" ht="135" x14ac:dyDescent="0.25">
      <c r="B157" s="17" t="s">
        <v>269</v>
      </c>
      <c r="C157" s="17" t="s">
        <v>270</v>
      </c>
      <c r="D157" s="15" t="s">
        <v>268</v>
      </c>
      <c r="E157" s="17" t="s">
        <v>271</v>
      </c>
    </row>
    <row r="158" spans="1:6" ht="15.75" x14ac:dyDescent="0.25">
      <c r="B158" s="15">
        <v>1</v>
      </c>
      <c r="C158" s="15">
        <v>2</v>
      </c>
      <c r="D158" s="15">
        <v>3</v>
      </c>
      <c r="E158" s="15">
        <v>4</v>
      </c>
    </row>
    <row r="159" spans="1:6" ht="60" x14ac:dyDescent="0.25">
      <c r="B159" s="1295" t="s">
        <v>2211</v>
      </c>
      <c r="C159" s="16"/>
      <c r="D159" s="16"/>
      <c r="E159" s="16"/>
    </row>
    <row r="160" spans="1:6" ht="30" x14ac:dyDescent="0.25">
      <c r="B160" s="19" t="s">
        <v>1851</v>
      </c>
      <c r="C160" s="16"/>
      <c r="D160" s="16"/>
      <c r="E160" s="16"/>
    </row>
    <row r="161" spans="1:6" ht="25.5" x14ac:dyDescent="0.25">
      <c r="B161" s="152" t="s">
        <v>87</v>
      </c>
      <c r="C161" s="20"/>
      <c r="D161" s="20"/>
      <c r="E161" s="20"/>
    </row>
    <row r="162" spans="1:6" x14ac:dyDescent="0.25">
      <c r="B162" s="20"/>
      <c r="C162" s="20"/>
      <c r="D162" s="20"/>
      <c r="E162" s="20"/>
    </row>
    <row r="164" spans="1:6" ht="15.75" x14ac:dyDescent="0.25">
      <c r="B164" s="22" t="s">
        <v>272</v>
      </c>
    </row>
    <row r="166" spans="1:6" ht="75" x14ac:dyDescent="0.25">
      <c r="B166" s="17" t="s">
        <v>275</v>
      </c>
      <c r="C166" s="3799" t="s">
        <v>274</v>
      </c>
      <c r="D166" s="3800"/>
      <c r="E166" s="3801"/>
    </row>
    <row r="167" spans="1:6" ht="45" x14ac:dyDescent="0.25">
      <c r="B167" s="15"/>
      <c r="C167" s="17" t="s">
        <v>479</v>
      </c>
      <c r="D167" s="17" t="s">
        <v>480</v>
      </c>
      <c r="E167" s="17" t="s">
        <v>481</v>
      </c>
    </row>
    <row r="168" spans="1:6" ht="15.75" x14ac:dyDescent="0.25">
      <c r="B168" s="15">
        <v>1</v>
      </c>
      <c r="C168" s="15">
        <v>2</v>
      </c>
      <c r="D168" s="15">
        <v>3</v>
      </c>
      <c r="E168" s="15">
        <v>4</v>
      </c>
    </row>
    <row r="169" spans="1:6" ht="60" x14ac:dyDescent="0.25">
      <c r="B169" s="1295" t="s">
        <v>2211</v>
      </c>
      <c r="C169" s="16">
        <v>0</v>
      </c>
      <c r="D169" s="16">
        <v>0</v>
      </c>
      <c r="E169" s="16">
        <v>0</v>
      </c>
    </row>
    <row r="170" spans="1:6" ht="30" x14ac:dyDescent="0.25">
      <c r="B170" s="19" t="s">
        <v>1851</v>
      </c>
      <c r="C170" s="16">
        <v>0</v>
      </c>
      <c r="D170" s="16">
        <v>0</v>
      </c>
      <c r="E170" s="16">
        <v>0</v>
      </c>
    </row>
    <row r="171" spans="1:6" ht="25.5" x14ac:dyDescent="0.25">
      <c r="B171" s="152" t="s">
        <v>87</v>
      </c>
      <c r="C171" s="20"/>
      <c r="D171" s="20"/>
      <c r="E171" s="20"/>
    </row>
    <row r="176" spans="1:6" x14ac:dyDescent="0.25">
      <c r="A176" s="3802" t="s">
        <v>451</v>
      </c>
      <c r="B176" s="3802"/>
      <c r="C176" s="3802"/>
      <c r="D176" s="3802"/>
      <c r="E176" s="3802"/>
      <c r="F176" s="3802"/>
    </row>
    <row r="177" spans="1:6" x14ac:dyDescent="0.25">
      <c r="A177" s="3802" t="s">
        <v>642</v>
      </c>
      <c r="B177" s="3802"/>
      <c r="C177" s="3802"/>
      <c r="D177" s="3802"/>
      <c r="E177" s="3802"/>
      <c r="F177" s="3802"/>
    </row>
    <row r="178" spans="1:6" x14ac:dyDescent="0.25">
      <c r="A178" s="3803" t="str">
        <f>'Вхідні дані'!F4</f>
        <v>Чорноморська філія Державного підприємства "Адміністрація морських портів України"</v>
      </c>
      <c r="B178" s="3803"/>
      <c r="C178" s="3803"/>
      <c r="D178" s="3803"/>
      <c r="E178" s="3803"/>
      <c r="F178" s="3803"/>
    </row>
    <row r="179" spans="1:6" x14ac:dyDescent="0.25">
      <c r="A179" s="3792" t="s">
        <v>643</v>
      </c>
      <c r="B179" s="3792"/>
      <c r="C179" s="3792"/>
      <c r="D179" s="3792"/>
      <c r="E179" s="3792"/>
      <c r="F179" s="3792"/>
    </row>
    <row r="180" spans="1:6" x14ac:dyDescent="0.25">
      <c r="A180" s="3793" t="s">
        <v>646</v>
      </c>
      <c r="B180" s="3793"/>
      <c r="C180" s="3793"/>
      <c r="D180" s="3793"/>
      <c r="E180" s="3793"/>
      <c r="F180" s="3793"/>
    </row>
    <row r="181" spans="1:6" x14ac:dyDescent="0.25">
      <c r="A181" s="3793" t="s">
        <v>2217</v>
      </c>
      <c r="B181" s="3793"/>
      <c r="C181" s="3793"/>
      <c r="D181" s="3793"/>
      <c r="E181" s="3793"/>
      <c r="F181" s="3793"/>
    </row>
    <row r="182" spans="1:6" x14ac:dyDescent="0.25">
      <c r="A182" s="3793" t="s">
        <v>647</v>
      </c>
      <c r="B182" s="3793"/>
      <c r="C182" s="3793"/>
      <c r="D182" s="3793"/>
      <c r="E182" s="3793"/>
      <c r="F182" s="3793"/>
    </row>
    <row r="183" spans="1:6" x14ac:dyDescent="0.25">
      <c r="A183" s="1209"/>
      <c r="B183" s="1209"/>
      <c r="C183" s="1209"/>
      <c r="D183" s="1209"/>
      <c r="E183" s="1209"/>
      <c r="F183" s="1209"/>
    </row>
    <row r="184" spans="1:6" x14ac:dyDescent="0.25">
      <c r="A184" s="3794" t="s">
        <v>7</v>
      </c>
      <c r="B184" s="3794" t="s">
        <v>261</v>
      </c>
      <c r="C184" s="3794" t="s">
        <v>262</v>
      </c>
      <c r="D184" s="3789" t="s">
        <v>259</v>
      </c>
      <c r="E184" s="3790"/>
      <c r="F184" s="3797"/>
    </row>
    <row r="185" spans="1:6" ht="60" x14ac:dyDescent="0.25">
      <c r="A185" s="3795"/>
      <c r="B185" s="3796"/>
      <c r="C185" s="3796"/>
      <c r="D185" s="1280" t="s">
        <v>263</v>
      </c>
      <c r="E185" s="1280" t="s">
        <v>264</v>
      </c>
      <c r="F185" s="1280" t="s">
        <v>265</v>
      </c>
    </row>
    <row r="186" spans="1:6" x14ac:dyDescent="0.25">
      <c r="A186" s="1281">
        <v>1</v>
      </c>
      <c r="B186" s="1282">
        <v>2</v>
      </c>
      <c r="C186" s="1282">
        <v>3</v>
      </c>
      <c r="D186" s="1282">
        <v>4</v>
      </c>
      <c r="E186" s="1282">
        <v>5</v>
      </c>
      <c r="F186" s="1282">
        <v>6</v>
      </c>
    </row>
    <row r="187" spans="1:6" ht="60" x14ac:dyDescent="0.25">
      <c r="A187" s="1287">
        <v>1</v>
      </c>
      <c r="B187" s="1293" t="s">
        <v>2211</v>
      </c>
      <c r="C187" s="1292"/>
      <c r="D187" s="1292"/>
      <c r="E187" s="1292"/>
      <c r="F187" s="1292"/>
    </row>
    <row r="188" spans="1:6" ht="30" x14ac:dyDescent="0.25">
      <c r="A188" s="1287">
        <v>2</v>
      </c>
      <c r="B188" s="1292" t="s">
        <v>1851</v>
      </c>
      <c r="C188" s="1292"/>
      <c r="D188" s="1292"/>
      <c r="E188" s="1292"/>
      <c r="F188" s="1292"/>
    </row>
    <row r="189" spans="1:6" ht="30" x14ac:dyDescent="0.25">
      <c r="A189" s="1287">
        <v>3</v>
      </c>
      <c r="B189" s="1292" t="s">
        <v>87</v>
      </c>
      <c r="C189" s="1292"/>
      <c r="D189" s="1292"/>
      <c r="E189" s="1292"/>
      <c r="F189" s="1292"/>
    </row>
    <row r="190" spans="1:6" x14ac:dyDescent="0.25">
      <c r="A190" s="1287"/>
      <c r="B190" s="1292"/>
      <c r="C190" s="1292"/>
      <c r="D190" s="1292"/>
      <c r="E190" s="1292"/>
      <c r="F190" s="1292"/>
    </row>
    <row r="191" spans="1:6" x14ac:dyDescent="0.25">
      <c r="A191" s="1287"/>
      <c r="B191" s="1292"/>
      <c r="C191" s="1292"/>
      <c r="D191" s="1292"/>
      <c r="E191" s="1292"/>
      <c r="F191" s="1292"/>
    </row>
    <row r="192" spans="1:6" x14ac:dyDescent="0.25">
      <c r="A192" s="1287"/>
      <c r="B192" s="1292"/>
      <c r="C192" s="1292"/>
      <c r="D192" s="1292"/>
      <c r="E192" s="1292"/>
      <c r="F192" s="1292"/>
    </row>
    <row r="193" spans="1:6" x14ac:dyDescent="0.25">
      <c r="A193" s="1287"/>
      <c r="B193" s="1292"/>
      <c r="C193" s="1292"/>
      <c r="D193" s="1292"/>
      <c r="E193" s="1292"/>
      <c r="F193" s="1292"/>
    </row>
    <row r="194" spans="1:6" x14ac:dyDescent="0.25">
      <c r="A194" s="3787" t="s">
        <v>260</v>
      </c>
      <c r="B194" s="3788"/>
      <c r="C194" s="1283"/>
      <c r="D194" s="1283"/>
      <c r="E194" s="1283"/>
      <c r="F194" s="1283"/>
    </row>
    <row r="195" spans="1:6" x14ac:dyDescent="0.25">
      <c r="A195" s="1209"/>
      <c r="B195" s="1209"/>
      <c r="C195" s="1209">
        <v>2</v>
      </c>
      <c r="D195" s="1209"/>
      <c r="E195" s="1209"/>
      <c r="F195" s="1209"/>
    </row>
    <row r="196" spans="1:6" ht="15.75" x14ac:dyDescent="0.25">
      <c r="A196" s="1209"/>
      <c r="B196" s="1284" t="s">
        <v>267</v>
      </c>
      <c r="C196" s="1284"/>
      <c r="D196" s="1209"/>
      <c r="E196" s="1209"/>
      <c r="F196" s="1209"/>
    </row>
    <row r="197" spans="1:6" x14ac:dyDescent="0.25">
      <c r="A197" s="1209"/>
      <c r="B197" s="1209"/>
      <c r="C197" s="1209"/>
      <c r="D197" s="1209"/>
      <c r="E197" s="1209"/>
      <c r="F197" s="1209"/>
    </row>
    <row r="198" spans="1:6" ht="15.75" x14ac:dyDescent="0.25">
      <c r="A198" s="1285"/>
      <c r="B198" s="1286" t="s">
        <v>273</v>
      </c>
      <c r="C198" s="1286"/>
      <c r="D198" s="1209"/>
      <c r="E198" s="1209"/>
      <c r="F198" s="1209"/>
    </row>
    <row r="199" spans="1:6" x14ac:dyDescent="0.25">
      <c r="A199" s="1209"/>
      <c r="B199" s="1209"/>
      <c r="C199" s="1209"/>
      <c r="D199" s="1209"/>
      <c r="E199" s="1209"/>
      <c r="F199" s="1209"/>
    </row>
    <row r="200" spans="1:6" ht="135" x14ac:dyDescent="0.25">
      <c r="A200" s="1209"/>
      <c r="B200" s="1287" t="s">
        <v>269</v>
      </c>
      <c r="C200" s="1288" t="s">
        <v>270</v>
      </c>
      <c r="D200" s="1289" t="s">
        <v>268</v>
      </c>
      <c r="E200" s="1288" t="s">
        <v>271</v>
      </c>
      <c r="F200" s="1209"/>
    </row>
    <row r="201" spans="1:6" ht="15.75" x14ac:dyDescent="0.25">
      <c r="A201" s="1209"/>
      <c r="B201" s="1290">
        <v>1</v>
      </c>
      <c r="C201" s="1291">
        <v>2</v>
      </c>
      <c r="D201" s="1291">
        <v>3</v>
      </c>
      <c r="E201" s="1291">
        <v>4</v>
      </c>
      <c r="F201" s="1209"/>
    </row>
    <row r="202" spans="1:6" ht="60" x14ac:dyDescent="0.25">
      <c r="A202" s="1209"/>
      <c r="B202" s="1293" t="s">
        <v>2211</v>
      </c>
      <c r="C202" s="1294"/>
      <c r="D202" s="1294"/>
      <c r="E202" s="1294"/>
      <c r="F202" s="1209"/>
    </row>
    <row r="203" spans="1:6" ht="30" x14ac:dyDescent="0.25">
      <c r="A203" s="1209"/>
      <c r="B203" s="1292" t="s">
        <v>1851</v>
      </c>
      <c r="C203" s="1294"/>
      <c r="D203" s="1294"/>
      <c r="E203" s="1294"/>
      <c r="F203" s="1209"/>
    </row>
    <row r="204" spans="1:6" ht="30" x14ac:dyDescent="0.25">
      <c r="A204" s="1209"/>
      <c r="B204" s="1292" t="s">
        <v>87</v>
      </c>
      <c r="C204" s="1300"/>
      <c r="D204" s="1300"/>
      <c r="E204" s="1300"/>
      <c r="F204" s="1209"/>
    </row>
    <row r="205" spans="1:6" x14ac:dyDescent="0.25">
      <c r="A205" s="1209"/>
      <c r="B205" s="1300"/>
      <c r="C205" s="1300"/>
      <c r="D205" s="1300"/>
      <c r="E205" s="1300"/>
      <c r="F205" s="1209"/>
    </row>
    <row r="206" spans="1:6" x14ac:dyDescent="0.25">
      <c r="A206" s="1209"/>
      <c r="B206" s="1209"/>
      <c r="C206" s="1209"/>
      <c r="D206" s="1209"/>
      <c r="E206" s="1209"/>
      <c r="F206" s="1209"/>
    </row>
    <row r="207" spans="1:6" ht="15.75" x14ac:dyDescent="0.25">
      <c r="A207" s="1209"/>
      <c r="B207" s="1286" t="s">
        <v>272</v>
      </c>
      <c r="C207" s="1286"/>
      <c r="D207" s="1286"/>
      <c r="E207" s="1286"/>
      <c r="F207" s="1209"/>
    </row>
    <row r="208" spans="1:6" x14ac:dyDescent="0.25">
      <c r="A208" s="1209"/>
      <c r="B208" s="1209"/>
      <c r="C208" s="1209"/>
      <c r="D208" s="1209"/>
      <c r="E208" s="1209"/>
      <c r="F208" s="1209"/>
    </row>
    <row r="209" spans="1:6" ht="75" x14ac:dyDescent="0.25">
      <c r="A209" s="1209"/>
      <c r="B209" s="1287" t="s">
        <v>275</v>
      </c>
      <c r="C209" s="3789" t="s">
        <v>274</v>
      </c>
      <c r="D209" s="3790"/>
      <c r="E209" s="3791"/>
      <c r="F209" s="1209"/>
    </row>
    <row r="210" spans="1:6" ht="45" x14ac:dyDescent="0.25">
      <c r="A210" s="1209"/>
      <c r="B210" s="1290"/>
      <c r="C210" s="1280" t="s">
        <v>479</v>
      </c>
      <c r="D210" s="1280" t="s">
        <v>480</v>
      </c>
      <c r="E210" s="1280" t="s">
        <v>481</v>
      </c>
      <c r="F210" s="1209"/>
    </row>
    <row r="211" spans="1:6" ht="15.75" x14ac:dyDescent="0.25">
      <c r="A211" s="1209"/>
      <c r="B211" s="1290">
        <v>1</v>
      </c>
      <c r="C211" s="1291">
        <v>2</v>
      </c>
      <c r="D211" s="1291">
        <v>3</v>
      </c>
      <c r="E211" s="1291">
        <v>4</v>
      </c>
      <c r="F211" s="1209"/>
    </row>
    <row r="212" spans="1:6" ht="60" x14ac:dyDescent="0.25">
      <c r="A212" s="1209"/>
      <c r="B212" s="1293" t="s">
        <v>2211</v>
      </c>
      <c r="C212" s="1294">
        <v>0</v>
      </c>
      <c r="D212" s="1294">
        <v>0</v>
      </c>
      <c r="E212" s="1294">
        <v>0</v>
      </c>
      <c r="F212" s="1209"/>
    </row>
    <row r="213" spans="1:6" ht="30" x14ac:dyDescent="0.25">
      <c r="A213" s="1209"/>
      <c r="B213" s="1292" t="s">
        <v>1851</v>
      </c>
      <c r="C213" s="1294"/>
      <c r="D213" s="1294"/>
      <c r="E213" s="1294"/>
      <c r="F213" s="1209"/>
    </row>
    <row r="214" spans="1:6" ht="30" x14ac:dyDescent="0.25">
      <c r="B214" s="1292" t="s">
        <v>87</v>
      </c>
      <c r="C214" s="20"/>
      <c r="D214" s="20"/>
      <c r="E214" s="20"/>
    </row>
  </sheetData>
  <mergeCells count="69">
    <mergeCell ref="D14:F14"/>
    <mergeCell ref="A24:B24"/>
    <mergeCell ref="B14:B15"/>
    <mergeCell ref="C14:C15"/>
    <mergeCell ref="A14:A15"/>
    <mergeCell ref="A56:F56"/>
    <mergeCell ref="A57:F57"/>
    <mergeCell ref="D47:E47"/>
    <mergeCell ref="D48:E48"/>
    <mergeCell ref="C39:E39"/>
    <mergeCell ref="A51:F51"/>
    <mergeCell ref="A52:F52"/>
    <mergeCell ref="A53:F53"/>
    <mergeCell ref="A54:F54"/>
    <mergeCell ref="A55:F55"/>
    <mergeCell ref="D1:F1"/>
    <mergeCell ref="A7:F7"/>
    <mergeCell ref="A10:F10"/>
    <mergeCell ref="A11:F11"/>
    <mergeCell ref="A12:F12"/>
    <mergeCell ref="A6:F6"/>
    <mergeCell ref="B3:C3"/>
    <mergeCell ref="A8:F8"/>
    <mergeCell ref="A9:F9"/>
    <mergeCell ref="A59:A60"/>
    <mergeCell ref="B59:B60"/>
    <mergeCell ref="C59:C60"/>
    <mergeCell ref="D59:F59"/>
    <mergeCell ref="A69:B69"/>
    <mergeCell ref="C84:E84"/>
    <mergeCell ref="A92:F92"/>
    <mergeCell ref="A93:F93"/>
    <mergeCell ref="A94:F94"/>
    <mergeCell ref="A95:F95"/>
    <mergeCell ref="A96:F96"/>
    <mergeCell ref="A97:F97"/>
    <mergeCell ref="A98:F98"/>
    <mergeCell ref="A100:A101"/>
    <mergeCell ref="B100:B101"/>
    <mergeCell ref="C100:C101"/>
    <mergeCell ref="D100:F100"/>
    <mergeCell ref="A110:B110"/>
    <mergeCell ref="C125:E125"/>
    <mergeCell ref="A133:F133"/>
    <mergeCell ref="A134:F134"/>
    <mergeCell ref="A135:F135"/>
    <mergeCell ref="A136:F136"/>
    <mergeCell ref="A137:F137"/>
    <mergeCell ref="A138:F138"/>
    <mergeCell ref="A139:F139"/>
    <mergeCell ref="A141:A142"/>
    <mergeCell ref="B141:B142"/>
    <mergeCell ref="C141:C142"/>
    <mergeCell ref="D141:F141"/>
    <mergeCell ref="A151:B151"/>
    <mergeCell ref="C166:E166"/>
    <mergeCell ref="A176:F176"/>
    <mergeCell ref="A177:F177"/>
    <mergeCell ref="A178:F178"/>
    <mergeCell ref="A194:B194"/>
    <mergeCell ref="C209:E209"/>
    <mergeCell ref="A179:F179"/>
    <mergeCell ref="A180:F180"/>
    <mergeCell ref="A181:F181"/>
    <mergeCell ref="A182:F182"/>
    <mergeCell ref="A184:A185"/>
    <mergeCell ref="B184:B185"/>
    <mergeCell ref="C184:C185"/>
    <mergeCell ref="D184:F184"/>
  </mergeCells>
  <pageMargins left="0.7" right="0.7" top="0.75" bottom="0.75" header="0.3" footer="0.3"/>
  <pageSetup paperSize="9" scale="89" fitToHeight="0" orientation="portrait" horizont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pageSetUpPr fitToPage="1"/>
  </sheetPr>
  <dimension ref="A1:AH226"/>
  <sheetViews>
    <sheetView topLeftCell="A4" zoomScale="106" zoomScaleNormal="106" zoomScaleSheetLayoutView="85" workbookViewId="0">
      <pane xSplit="2" ySplit="9" topLeftCell="C61" activePane="bottomRight" state="frozen"/>
      <selection activeCell="A4" sqref="A4"/>
      <selection pane="topRight" activeCell="C4" sqref="C4"/>
      <selection pane="bottomLeft" activeCell="A13" sqref="A13"/>
      <selection pane="bottomRight" activeCell="F155" sqref="F155"/>
    </sheetView>
  </sheetViews>
  <sheetFormatPr defaultRowHeight="15" x14ac:dyDescent="0.25"/>
  <cols>
    <col min="1" max="1" width="4.42578125" customWidth="1"/>
    <col min="2" max="2" width="8.5703125" style="1" customWidth="1"/>
    <col min="3" max="3" width="38.7109375" style="2" customWidth="1"/>
    <col min="4" max="4" width="10.5703125" style="2" customWidth="1"/>
    <col min="5" max="5" width="10.42578125" style="2" customWidth="1"/>
    <col min="6" max="6" width="11.42578125" style="2" customWidth="1"/>
    <col min="7" max="7" width="10.42578125" style="2" customWidth="1"/>
    <col min="8" max="8" width="10" style="2" customWidth="1"/>
    <col min="9" max="13" width="9" style="2" customWidth="1"/>
    <col min="14" max="14" width="10" style="2" customWidth="1"/>
    <col min="15" max="15" width="9.5703125" style="2" customWidth="1"/>
    <col min="16" max="19" width="9" style="2" customWidth="1"/>
    <col min="20" max="20" width="20.42578125" hidden="1" customWidth="1"/>
    <col min="21" max="21" width="23" bestFit="1" customWidth="1"/>
    <col min="22" max="22" width="13.85546875" bestFit="1" customWidth="1"/>
    <col min="23" max="23" width="12.140625" bestFit="1" customWidth="1"/>
    <col min="24" max="24" width="11.42578125" bestFit="1" customWidth="1"/>
    <col min="25" max="25" width="13.28515625" bestFit="1" customWidth="1"/>
    <col min="26" max="26" width="13.85546875" bestFit="1" customWidth="1"/>
    <col min="27" max="27" width="10.42578125" bestFit="1" customWidth="1"/>
  </cols>
  <sheetData>
    <row r="1" spans="1:23" ht="17.25" customHeight="1" x14ac:dyDescent="0.25">
      <c r="B1" s="2675"/>
      <c r="C1" s="2644" t="s">
        <v>6</v>
      </c>
      <c r="D1" s="2644"/>
      <c r="E1" s="2644"/>
      <c r="F1" s="2644"/>
      <c r="G1" s="2644"/>
      <c r="H1" s="2644"/>
      <c r="I1" s="2644"/>
      <c r="J1" s="2644"/>
      <c r="K1" s="2644"/>
      <c r="L1" s="2644"/>
      <c r="M1" s="2644"/>
      <c r="N1" s="2644"/>
      <c r="O1" s="3821" t="s">
        <v>3413</v>
      </c>
      <c r="P1" s="3821"/>
      <c r="Q1" s="3821"/>
      <c r="R1" s="3821"/>
      <c r="S1" s="3821"/>
      <c r="T1" s="170" t="s">
        <v>644</v>
      </c>
    </row>
    <row r="2" spans="1:23" ht="24.75" customHeight="1" x14ac:dyDescent="0.25">
      <c r="B2" s="2675"/>
      <c r="C2" s="2676" t="str">
        <f>'Вхідні дані'!F10</f>
        <v>Виконавчий комітет Чорноморської міської ради Одеського району Одеської області</v>
      </c>
      <c r="D2" s="2676"/>
      <c r="E2" s="2676"/>
      <c r="F2" s="2676"/>
      <c r="G2" s="2644"/>
      <c r="H2" s="2644"/>
      <c r="I2" s="2644"/>
      <c r="J2" s="2644"/>
      <c r="K2" s="2644"/>
      <c r="L2" s="2644"/>
      <c r="M2" s="2644"/>
      <c r="N2" s="2677"/>
      <c r="O2" s="3821"/>
      <c r="P2" s="3821"/>
      <c r="Q2" s="3821"/>
      <c r="R2" s="3821"/>
      <c r="S2" s="3821"/>
    </row>
    <row r="3" spans="1:23" x14ac:dyDescent="0.25">
      <c r="B3" s="2675"/>
      <c r="C3" s="2678" t="s">
        <v>209</v>
      </c>
      <c r="D3" s="2644"/>
      <c r="E3" s="2644"/>
      <c r="F3" s="2644"/>
      <c r="G3" s="2644"/>
      <c r="H3" s="2644"/>
      <c r="I3" s="2644"/>
      <c r="J3" s="2644"/>
      <c r="K3" s="2644"/>
      <c r="L3" s="2644"/>
      <c r="M3" s="2644"/>
      <c r="N3" s="2677"/>
      <c r="O3" s="2677"/>
      <c r="P3" s="2677"/>
      <c r="Q3" s="2677"/>
      <c r="R3" s="2677"/>
      <c r="S3" s="2677"/>
    </row>
    <row r="4" spans="1:23" x14ac:dyDescent="0.25">
      <c r="B4" s="2675"/>
      <c r="C4" s="2679" t="s">
        <v>3397</v>
      </c>
      <c r="D4" s="2679"/>
      <c r="E4" s="2679"/>
      <c r="F4" s="2679"/>
      <c r="G4" s="3819" t="s">
        <v>3252</v>
      </c>
      <c r="H4" s="3819"/>
      <c r="I4" s="3819"/>
      <c r="J4" s="3819"/>
      <c r="K4" s="3819"/>
      <c r="L4" s="3819"/>
      <c r="M4" s="2679"/>
      <c r="N4" s="2679"/>
      <c r="O4" s="2679"/>
      <c r="P4" s="2679"/>
      <c r="Q4" s="2680"/>
      <c r="R4" s="2680"/>
      <c r="S4" s="2680"/>
      <c r="T4" s="170" t="s">
        <v>644</v>
      </c>
    </row>
    <row r="5" spans="1:23" x14ac:dyDescent="0.25">
      <c r="B5" s="2675"/>
      <c r="C5" s="2681" t="s">
        <v>3246</v>
      </c>
      <c r="D5" s="3820" t="s">
        <v>3245</v>
      </c>
      <c r="E5" s="3820"/>
      <c r="F5" s="3820"/>
      <c r="G5" s="3820"/>
      <c r="H5" s="3820"/>
      <c r="I5" s="3820"/>
      <c r="J5" s="3820"/>
      <c r="K5" s="3820"/>
      <c r="L5" s="3820"/>
      <c r="M5" s="3820"/>
      <c r="N5" s="3820"/>
      <c r="O5" s="3820"/>
      <c r="P5" s="2681"/>
      <c r="Q5" s="2681"/>
      <c r="R5" s="2681"/>
      <c r="S5" s="2682"/>
      <c r="T5" s="170" t="s">
        <v>644</v>
      </c>
    </row>
    <row r="6" spans="1:23" x14ac:dyDescent="0.25">
      <c r="B6" s="2675"/>
      <c r="C6" s="2683"/>
      <c r="D6" s="2681"/>
      <c r="E6" s="2643"/>
      <c r="F6" s="3820" t="s">
        <v>649</v>
      </c>
      <c r="G6" s="3820"/>
      <c r="H6" s="3820"/>
      <c r="I6" s="3820"/>
      <c r="J6" s="3820"/>
      <c r="K6" s="3820"/>
      <c r="L6" s="3820"/>
      <c r="M6" s="3820"/>
      <c r="N6" s="2681" t="str">
        <f>'Вхідні дані'!F6</f>
        <v>2023-2024</v>
      </c>
      <c r="O6" s="2683" t="s">
        <v>648</v>
      </c>
      <c r="P6" s="2643"/>
      <c r="Q6" s="2684"/>
      <c r="R6" s="2643"/>
      <c r="S6" s="2681"/>
      <c r="T6" s="170" t="s">
        <v>644</v>
      </c>
    </row>
    <row r="7" spans="1:23" x14ac:dyDescent="0.25">
      <c r="B7" s="2675"/>
      <c r="C7" s="2685"/>
      <c r="D7" s="2685"/>
      <c r="E7" s="2685"/>
      <c r="F7" s="2686"/>
      <c r="G7" s="2687"/>
      <c r="H7" s="2688"/>
      <c r="I7" s="2687"/>
      <c r="J7" s="2687"/>
      <c r="K7" s="2686"/>
      <c r="L7" s="2685"/>
      <c r="M7" s="2685"/>
      <c r="N7" s="2686"/>
      <c r="O7" s="2686"/>
      <c r="P7" s="2685"/>
      <c r="Q7" s="2685"/>
      <c r="R7" s="2685"/>
      <c r="S7" s="2685"/>
    </row>
    <row r="8" spans="1:23" ht="15" customHeight="1" x14ac:dyDescent="0.25">
      <c r="C8" s="2944"/>
      <c r="D8" s="2944"/>
      <c r="E8" s="3832" t="str">
        <f>'Вхідні дані'!F4</f>
        <v>Чорноморська філія Державного підприємства "Адміністрація морських портів України"</v>
      </c>
      <c r="F8" s="3832"/>
      <c r="G8" s="3832"/>
      <c r="H8" s="3832"/>
      <c r="I8" s="3832"/>
      <c r="J8" s="3832"/>
      <c r="K8" s="3832"/>
      <c r="L8" s="3832"/>
      <c r="M8" s="3832"/>
      <c r="N8" s="3832"/>
      <c r="O8" s="2944"/>
      <c r="P8" s="2944"/>
      <c r="Q8" s="2944"/>
      <c r="R8" s="2944"/>
      <c r="S8" s="2944"/>
    </row>
    <row r="9" spans="1:23" ht="15.75" thickBot="1" x14ac:dyDescent="0.3">
      <c r="B9" s="2841"/>
      <c r="C9" s="2841"/>
      <c r="D9" s="2841"/>
      <c r="E9" s="2841"/>
      <c r="F9" s="3818" t="s">
        <v>3250</v>
      </c>
      <c r="G9" s="3818"/>
      <c r="H9" s="3818"/>
      <c r="I9" s="3818"/>
      <c r="J9" s="3818"/>
      <c r="K9" s="3818"/>
      <c r="L9" s="2841"/>
      <c r="M9" s="2841"/>
      <c r="N9" s="2841"/>
      <c r="O9" s="2841"/>
      <c r="P9" s="2841"/>
      <c r="Q9" s="2841"/>
      <c r="R9" s="2841"/>
      <c r="S9" s="2841"/>
    </row>
    <row r="10" spans="1:23" s="171" customFormat="1" ht="15" customHeight="1" x14ac:dyDescent="0.25">
      <c r="A10" s="3440"/>
      <c r="B10" s="2842"/>
      <c r="C10" s="3834" t="s">
        <v>8</v>
      </c>
      <c r="D10" s="3834" t="s">
        <v>9</v>
      </c>
      <c r="E10" s="3816" t="s">
        <v>650</v>
      </c>
      <c r="F10" s="3816" t="s">
        <v>210</v>
      </c>
      <c r="G10" s="3816" t="s">
        <v>206</v>
      </c>
      <c r="H10" s="3829" t="s">
        <v>499</v>
      </c>
      <c r="I10" s="3830"/>
      <c r="J10" s="3830"/>
      <c r="K10" s="3830"/>
      <c r="L10" s="3830"/>
      <c r="M10" s="3830"/>
      <c r="N10" s="3830"/>
      <c r="O10" s="3830"/>
      <c r="P10" s="3830"/>
      <c r="Q10" s="3830"/>
      <c r="R10" s="3830"/>
      <c r="S10" s="3831"/>
    </row>
    <row r="11" spans="1:23" s="171" customFormat="1" ht="33" customHeight="1" x14ac:dyDescent="0.25">
      <c r="A11" s="3440"/>
      <c r="B11" s="2945" t="s">
        <v>7</v>
      </c>
      <c r="C11" s="3835"/>
      <c r="D11" s="3835"/>
      <c r="E11" s="3817"/>
      <c r="F11" s="3817"/>
      <c r="G11" s="3817"/>
      <c r="H11" s="2585" t="s">
        <v>19</v>
      </c>
      <c r="I11" s="2585" t="s">
        <v>20</v>
      </c>
      <c r="J11" s="2585" t="s">
        <v>21</v>
      </c>
      <c r="K11" s="2585" t="s">
        <v>10</v>
      </c>
      <c r="L11" s="2585" t="s">
        <v>11</v>
      </c>
      <c r="M11" s="2585" t="s">
        <v>12</v>
      </c>
      <c r="N11" s="2585" t="s">
        <v>13</v>
      </c>
      <c r="O11" s="2585" t="s">
        <v>14</v>
      </c>
      <c r="P11" s="2585" t="s">
        <v>15</v>
      </c>
      <c r="Q11" s="2585" t="s">
        <v>16</v>
      </c>
      <c r="R11" s="2585" t="s">
        <v>17</v>
      </c>
      <c r="S11" s="2586" t="s">
        <v>18</v>
      </c>
      <c r="T11" s="172" t="s">
        <v>644</v>
      </c>
    </row>
    <row r="12" spans="1:23" s="171" customFormat="1" x14ac:dyDescent="0.25">
      <c r="A12" s="3440"/>
      <c r="B12" s="2843"/>
      <c r="C12" s="3836"/>
      <c r="D12" s="3836"/>
      <c r="E12" s="2587">
        <f>'Вхідні дані'!F8</f>
        <v>2021</v>
      </c>
      <c r="F12" s="2587">
        <f>'Вхідні дані'!F7</f>
        <v>2022</v>
      </c>
      <c r="G12" s="2587" t="str">
        <f>'Вхідні дані'!F6</f>
        <v>2023-2024</v>
      </c>
      <c r="H12" s="2588" t="s">
        <v>211</v>
      </c>
      <c r="I12" s="2588" t="s">
        <v>211</v>
      </c>
      <c r="J12" s="2588" t="s">
        <v>211</v>
      </c>
      <c r="K12" s="2588" t="s">
        <v>211</v>
      </c>
      <c r="L12" s="2588" t="s">
        <v>211</v>
      </c>
      <c r="M12" s="2588" t="s">
        <v>211</v>
      </c>
      <c r="N12" s="2588" t="s">
        <v>211</v>
      </c>
      <c r="O12" s="2588" t="s">
        <v>211</v>
      </c>
      <c r="P12" s="2588" t="s">
        <v>211</v>
      </c>
      <c r="Q12" s="2588" t="s">
        <v>211</v>
      </c>
      <c r="R12" s="2588" t="s">
        <v>211</v>
      </c>
      <c r="S12" s="2589" t="s">
        <v>211</v>
      </c>
    </row>
    <row r="13" spans="1:23" s="171" customFormat="1" ht="15.75" thickBot="1" x14ac:dyDescent="0.3">
      <c r="A13" s="3440"/>
      <c r="B13" s="2844" t="s">
        <v>482</v>
      </c>
      <c r="C13" s="2590" t="s">
        <v>500</v>
      </c>
      <c r="D13" s="2591" t="s">
        <v>181</v>
      </c>
      <c r="E13" s="2590" t="s">
        <v>182</v>
      </c>
      <c r="F13" s="2591" t="s">
        <v>177</v>
      </c>
      <c r="G13" s="2590" t="s">
        <v>178</v>
      </c>
      <c r="H13" s="2591" t="s">
        <v>179</v>
      </c>
      <c r="I13" s="2590" t="s">
        <v>180</v>
      </c>
      <c r="J13" s="2591" t="s">
        <v>195</v>
      </c>
      <c r="K13" s="2590" t="s">
        <v>196</v>
      </c>
      <c r="L13" s="2591" t="s">
        <v>197</v>
      </c>
      <c r="M13" s="2590" t="s">
        <v>198</v>
      </c>
      <c r="N13" s="2591" t="s">
        <v>199</v>
      </c>
      <c r="O13" s="2590" t="s">
        <v>200</v>
      </c>
      <c r="P13" s="2591" t="s">
        <v>201</v>
      </c>
      <c r="Q13" s="2590" t="s">
        <v>675</v>
      </c>
      <c r="R13" s="2591" t="s">
        <v>676</v>
      </c>
      <c r="S13" s="2592" t="s">
        <v>677</v>
      </c>
    </row>
    <row r="14" spans="1:23" ht="24" x14ac:dyDescent="0.25">
      <c r="A14" s="3410"/>
      <c r="B14" s="2845" t="s">
        <v>482</v>
      </c>
      <c r="C14" s="2650" t="s">
        <v>483</v>
      </c>
      <c r="D14" s="2651" t="s">
        <v>22</v>
      </c>
      <c r="E14" s="2593">
        <f>E15+E16</f>
        <v>13014.550584441757</v>
      </c>
      <c r="F14" s="2594">
        <f t="shared" ref="F14:S14" si="0">F15+F16</f>
        <v>2946.708668259831</v>
      </c>
      <c r="G14" s="2593">
        <f t="shared" si="0"/>
        <v>6727.0352134555951</v>
      </c>
      <c r="H14" s="2593">
        <f t="shared" si="0"/>
        <v>156.92946392583639</v>
      </c>
      <c r="I14" s="2593">
        <f>I15+I16</f>
        <v>890.28763603385721</v>
      </c>
      <c r="J14" s="2593">
        <f t="shared" si="0"/>
        <v>1142.5090353352143</v>
      </c>
      <c r="K14" s="2593">
        <f t="shared" si="0"/>
        <v>1478.9593913744457</v>
      </c>
      <c r="L14" s="2593">
        <f t="shared" si="0"/>
        <v>1110.0010160553541</v>
      </c>
      <c r="M14" s="2593">
        <f t="shared" si="0"/>
        <v>1022.6981265954587</v>
      </c>
      <c r="N14" s="2593">
        <f t="shared" si="0"/>
        <v>168.00080612656188</v>
      </c>
      <c r="O14" s="2593">
        <f t="shared" si="0"/>
        <v>152.46352277307537</v>
      </c>
      <c r="P14" s="2593">
        <f t="shared" si="0"/>
        <v>153.42099959693672</v>
      </c>
      <c r="Q14" s="2593">
        <f t="shared" si="0"/>
        <v>153.50241837968562</v>
      </c>
      <c r="R14" s="2593">
        <f t="shared" si="0"/>
        <v>150.24486094316811</v>
      </c>
      <c r="S14" s="2595">
        <f t="shared" si="0"/>
        <v>148.01793631600162</v>
      </c>
      <c r="T14" s="158" t="s">
        <v>484</v>
      </c>
      <c r="U14" s="88"/>
      <c r="V14" s="88"/>
      <c r="W14" s="88"/>
    </row>
    <row r="15" spans="1:23" ht="24" x14ac:dyDescent="0.25">
      <c r="A15" s="3410"/>
      <c r="B15" s="2846" t="s">
        <v>23</v>
      </c>
      <c r="C15" s="2552" t="s">
        <v>485</v>
      </c>
      <c r="D15" s="2652" t="s">
        <v>22</v>
      </c>
      <c r="E15" s="2596">
        <v>0</v>
      </c>
      <c r="F15" s="2596">
        <v>0</v>
      </c>
      <c r="G15" s="2596">
        <v>0</v>
      </c>
      <c r="H15" s="2596">
        <v>0</v>
      </c>
      <c r="I15" s="2596">
        <v>0</v>
      </c>
      <c r="J15" s="2596">
        <v>0</v>
      </c>
      <c r="K15" s="2596">
        <v>0</v>
      </c>
      <c r="L15" s="2596">
        <v>0</v>
      </c>
      <c r="M15" s="2596">
        <v>0</v>
      </c>
      <c r="N15" s="2596">
        <v>0</v>
      </c>
      <c r="O15" s="2596">
        <v>0</v>
      </c>
      <c r="P15" s="2596">
        <v>0</v>
      </c>
      <c r="Q15" s="2596">
        <v>0</v>
      </c>
      <c r="R15" s="2596">
        <v>0</v>
      </c>
      <c r="S15" s="2597">
        <v>0</v>
      </c>
      <c r="T15" s="158" t="s">
        <v>484</v>
      </c>
    </row>
    <row r="16" spans="1:23" x14ac:dyDescent="0.25">
      <c r="A16" s="3410"/>
      <c r="B16" s="2846" t="s">
        <v>24</v>
      </c>
      <c r="C16" s="2552" t="s">
        <v>486</v>
      </c>
      <c r="D16" s="2652" t="s">
        <v>22</v>
      </c>
      <c r="E16" s="2598">
        <f>E24/(100%-0.76%)</f>
        <v>13014.550584441757</v>
      </c>
      <c r="F16" s="2598">
        <f>F24/(100%-7.94%)</f>
        <v>2946.708668259831</v>
      </c>
      <c r="G16" s="2598">
        <f>G24/(100%-'Вхідні дані'!D76)</f>
        <v>6727.0352134555951</v>
      </c>
      <c r="H16" s="2598">
        <f>H24/(100%-'Вхідні дані'!$D$76)</f>
        <v>156.92946392583639</v>
      </c>
      <c r="I16" s="2598">
        <f>I24/(100%-'Вхідні дані'!$D$76)</f>
        <v>890.28763603385721</v>
      </c>
      <c r="J16" s="2598">
        <f>J24/(100%-'Вхідні дані'!$D$76)</f>
        <v>1142.5090353352143</v>
      </c>
      <c r="K16" s="2598">
        <f>K24/(100%-'Вхідні дані'!$D$76)</f>
        <v>1478.9593913744457</v>
      </c>
      <c r="L16" s="2598">
        <f>L24/(100%-'Вхідні дані'!$D$76)</f>
        <v>1110.0010160553541</v>
      </c>
      <c r="M16" s="2598">
        <f>M24/(100%-'Вхідні дані'!$D$76)</f>
        <v>1022.6981265954587</v>
      </c>
      <c r="N16" s="2598">
        <f>N24/(100%-'Вхідні дані'!$D$76)</f>
        <v>168.00080612656188</v>
      </c>
      <c r="O16" s="2598">
        <f>O24/(100%-'Вхідні дані'!$D$76)</f>
        <v>152.46352277307537</v>
      </c>
      <c r="P16" s="2598">
        <f>P24/(100%-'Вхідні дані'!$D$76)</f>
        <v>153.42099959693672</v>
      </c>
      <c r="Q16" s="2598">
        <f>Q24/(100%-'Вхідні дані'!$D$76)</f>
        <v>153.50241837968562</v>
      </c>
      <c r="R16" s="2598">
        <f>R24/(100%-'Вхідні дані'!$D$76)</f>
        <v>150.24486094316811</v>
      </c>
      <c r="S16" s="2600">
        <f>S24/(100%-'Вхідні дані'!$D$76)</f>
        <v>148.01793631600162</v>
      </c>
      <c r="T16" s="158" t="s">
        <v>484</v>
      </c>
    </row>
    <row r="17" spans="1:34" x14ac:dyDescent="0.25">
      <c r="A17" s="3410"/>
      <c r="B17" s="2846" t="s">
        <v>811</v>
      </c>
      <c r="C17" s="2649" t="s">
        <v>632</v>
      </c>
      <c r="D17" s="2652" t="s">
        <v>22</v>
      </c>
      <c r="E17" s="2598"/>
      <c r="F17" s="2598"/>
      <c r="G17" s="2598">
        <f>(G28+G31+G34+G37)/(100%-'Вхідні дані'!D76)</f>
        <v>1324.585868581217</v>
      </c>
      <c r="H17" s="2598">
        <f>(H28+H31+H34+H37)/(100%-'Вхідні дані'!$D$76)</f>
        <v>63.697097944377269</v>
      </c>
      <c r="I17" s="2598">
        <f>(I28+I31+I34+I37)/(100%-'Вхідні дані'!$D$76)</f>
        <v>146.4295431680774</v>
      </c>
      <c r="J17" s="2598">
        <f>(J28+J31+J34+J37)/(100%-'Вхідні дані'!$D$76)</f>
        <v>186.00391374445786</v>
      </c>
      <c r="K17" s="2598">
        <f>(K28+K31+K34+K37)/(100%-'Вхідні дані'!$D$76)</f>
        <v>225.58209189842808</v>
      </c>
      <c r="L17" s="2598">
        <f>(L28+L31+L34+L37)/(100%-'Вхідні дані'!$D$76)</f>
        <v>162.9062264006449</v>
      </c>
      <c r="M17" s="2598">
        <f>(M28+M31+M34+M37)/(100%-'Вхідні дані'!$D$76)</f>
        <v>166.78380316404676</v>
      </c>
      <c r="N17" s="2598">
        <f>(N28+N31+N34+N37)/(100%-'Вхідні дані'!$D$76)</f>
        <v>68.051189036678764</v>
      </c>
      <c r="O17" s="2598">
        <f>(O28+O31+O34+O37)/(100%-'Вхідні дані'!$D$76)</f>
        <v>63.929866989117301</v>
      </c>
      <c r="P17" s="2598">
        <f>(P28+P31+P34+P37)/(100%-'Вхідні дані'!$D$76)</f>
        <v>61.984079000403064</v>
      </c>
      <c r="Q17" s="2598">
        <f>(Q28+Q31+Q34+Q37)/(100%-'Вхідні дані'!$D$76)</f>
        <v>60.640870616686833</v>
      </c>
      <c r="R17" s="2598">
        <f>(R28+R31+R34+R37)/(100%-'Вхідні дані'!$D$76)</f>
        <v>58.689036678758569</v>
      </c>
      <c r="S17" s="2600">
        <f>(S28+S31+S34+S37)/(100%-'Вхідні дані'!$D$76)</f>
        <v>59.888149939540511</v>
      </c>
      <c r="T17" s="3414">
        <f>(T28+T31+T34+T37)/(100%-'Вхідні дані'!$D$76)</f>
        <v>20760.600820457188</v>
      </c>
    </row>
    <row r="18" spans="1:34" ht="15.75" thickBot="1" x14ac:dyDescent="0.3">
      <c r="A18" s="3410"/>
      <c r="B18" s="2847" t="s">
        <v>812</v>
      </c>
      <c r="C18" s="2653" t="s">
        <v>631</v>
      </c>
      <c r="D18" s="2654" t="s">
        <v>22</v>
      </c>
      <c r="E18" s="2599"/>
      <c r="F18" s="2599"/>
      <c r="G18" s="2599">
        <f>(G29+G32+G35+G38)/(100%-'Вхідні дані'!D76)</f>
        <v>3201.607362944028</v>
      </c>
      <c r="H18" s="2599">
        <f>(H29+H32+H35+H38)/(100%-'Вхідні дані'!$D$76)</f>
        <v>66.287836492286701</v>
      </c>
      <c r="I18" s="2599">
        <f>(I29+I32+I35+I38)/(100%-'Вхідні дані'!$D$76)</f>
        <v>431.23871902850095</v>
      </c>
      <c r="J18" s="2599">
        <f>(J29+J32+J35+J38)/(100%-'Вхідні дані'!$D$76)</f>
        <v>551.45111327438042</v>
      </c>
      <c r="K18" s="2599">
        <f>(K29+K32+K35+K38)/(100%-'Вхідні дані'!$D$76)</f>
        <v>720.01328025454677</v>
      </c>
      <c r="L18" s="2599">
        <f>(L29+L32+L35+L38)/(100%-'Вхідні дані'!$D$76)</f>
        <v>544.94762671292472</v>
      </c>
      <c r="M18" s="2599">
        <f>(M29+M32+M35+M38)/(100%-'Вхідні дані'!$D$76)</f>
        <v>494.86672640724146</v>
      </c>
      <c r="N18" s="2599">
        <f>(N29+N32+N35+N38)/(100%-'Вхідні дані'!$D$76)</f>
        <v>71.063774960279602</v>
      </c>
      <c r="O18" s="2599">
        <f>(O29+O32+O35+O38)/(100%-'Вхідні дані'!$D$76)</f>
        <v>62.947072477368017</v>
      </c>
      <c r="P18" s="2599">
        <f>(P29+P32+P35+P38)/(100%-'Вхідні дані'!$D$76)</f>
        <v>65.011282059135908</v>
      </c>
      <c r="Q18" s="2599">
        <f>(Q29+Q32+Q35+Q38)/(100%-'Вхідні дані'!$D$76)</f>
        <v>66.024186233335371</v>
      </c>
      <c r="R18" s="2599">
        <f>(R29+R32+R35+R38)/(100%-'Вхідні дані'!$D$76)</f>
        <v>65.095822087821389</v>
      </c>
      <c r="S18" s="2601">
        <f>(S29+S32+S35+S38)/(100%-'Вхідні дані'!$D$76)</f>
        <v>62.659922956205804</v>
      </c>
      <c r="T18" s="3415">
        <f>(T29+T32+T35+T38)/(100%-'Вхідні дані'!$D$76)</f>
        <v>105671.05173716135</v>
      </c>
    </row>
    <row r="19" spans="1:34" ht="24" x14ac:dyDescent="0.25">
      <c r="A19" s="3410"/>
      <c r="B19" s="2848" t="s">
        <v>500</v>
      </c>
      <c r="C19" s="2650" t="s">
        <v>501</v>
      </c>
      <c r="D19" s="2655" t="s">
        <v>22</v>
      </c>
      <c r="E19" s="2593">
        <f>E20+E21</f>
        <v>98.910584441757237</v>
      </c>
      <c r="F19" s="2593">
        <f t="shared" ref="F19:S19" si="1">F20+F21</f>
        <v>233.96866825983079</v>
      </c>
      <c r="G19" s="2593">
        <f t="shared" si="1"/>
        <v>51.125467622262477</v>
      </c>
      <c r="H19" s="2593">
        <f t="shared" si="1"/>
        <v>1.1926639258363707</v>
      </c>
      <c r="I19" s="2593">
        <f t="shared" si="1"/>
        <v>6.7661860338573661</v>
      </c>
      <c r="J19" s="2593">
        <f t="shared" si="1"/>
        <v>8.6830686685477758</v>
      </c>
      <c r="K19" s="2593">
        <f t="shared" si="1"/>
        <v>11.24009137444591</v>
      </c>
      <c r="L19" s="2593">
        <f t="shared" si="1"/>
        <v>8.4360077220208041</v>
      </c>
      <c r="M19" s="2593">
        <f t="shared" si="1"/>
        <v>7.7725057621255473</v>
      </c>
      <c r="N19" s="2593">
        <f t="shared" si="1"/>
        <v>1.2768061265618655</v>
      </c>
      <c r="O19" s="2593">
        <f t="shared" si="1"/>
        <v>1.1587227730753682</v>
      </c>
      <c r="P19" s="2593">
        <f t="shared" si="1"/>
        <v>1.1659995969367287</v>
      </c>
      <c r="Q19" s="2593">
        <f t="shared" si="1"/>
        <v>1.166618379685616</v>
      </c>
      <c r="R19" s="2593">
        <f t="shared" si="1"/>
        <v>1.1418609431680977</v>
      </c>
      <c r="S19" s="2595">
        <f t="shared" si="1"/>
        <v>1.124936316001623</v>
      </c>
      <c r="T19" s="158" t="s">
        <v>484</v>
      </c>
      <c r="U19" s="88"/>
      <c r="V19" s="88"/>
    </row>
    <row r="20" spans="1:34" ht="24" x14ac:dyDescent="0.25">
      <c r="A20" s="3410"/>
      <c r="B20" s="2849" t="s">
        <v>25</v>
      </c>
      <c r="C20" s="2552" t="s">
        <v>485</v>
      </c>
      <c r="D20" s="2656" t="s">
        <v>22</v>
      </c>
      <c r="E20" s="2596">
        <v>0</v>
      </c>
      <c r="F20" s="2596">
        <v>0</v>
      </c>
      <c r="G20" s="2596">
        <v>0</v>
      </c>
      <c r="H20" s="2596">
        <v>0</v>
      </c>
      <c r="I20" s="2596">
        <v>0</v>
      </c>
      <c r="J20" s="2596">
        <v>0</v>
      </c>
      <c r="K20" s="2596">
        <v>0</v>
      </c>
      <c r="L20" s="2596">
        <v>0</v>
      </c>
      <c r="M20" s="2596">
        <v>0</v>
      </c>
      <c r="N20" s="2596">
        <v>0</v>
      </c>
      <c r="O20" s="2596">
        <v>0</v>
      </c>
      <c r="P20" s="2596">
        <v>0</v>
      </c>
      <c r="Q20" s="2596">
        <v>0</v>
      </c>
      <c r="R20" s="2596">
        <v>0</v>
      </c>
      <c r="S20" s="2597">
        <v>0</v>
      </c>
      <c r="T20" s="158" t="s">
        <v>484</v>
      </c>
    </row>
    <row r="21" spans="1:34" x14ac:dyDescent="0.25">
      <c r="A21" s="3410"/>
      <c r="B21" s="2849" t="s">
        <v>26</v>
      </c>
      <c r="C21" s="2552" t="s">
        <v>486</v>
      </c>
      <c r="D21" s="2656" t="s">
        <v>22</v>
      </c>
      <c r="E21" s="2598">
        <f>E16-E26</f>
        <v>98.910584441757237</v>
      </c>
      <c r="F21" s="2598">
        <f>F16-F26</f>
        <v>233.96866825983079</v>
      </c>
      <c r="G21" s="2598">
        <f t="shared" ref="G21:S21" si="2">G16-G26</f>
        <v>51.125467622262477</v>
      </c>
      <c r="H21" s="2598">
        <f t="shared" si="2"/>
        <v>1.1926639258363707</v>
      </c>
      <c r="I21" s="2598">
        <f t="shared" si="2"/>
        <v>6.7661860338573661</v>
      </c>
      <c r="J21" s="2598">
        <f t="shared" si="2"/>
        <v>8.6830686685477758</v>
      </c>
      <c r="K21" s="2598">
        <f t="shared" si="2"/>
        <v>11.24009137444591</v>
      </c>
      <c r="L21" s="2598">
        <f t="shared" si="2"/>
        <v>8.4360077220208041</v>
      </c>
      <c r="M21" s="2598">
        <f t="shared" si="2"/>
        <v>7.7725057621255473</v>
      </c>
      <c r="N21" s="2598">
        <f t="shared" si="2"/>
        <v>1.2768061265618655</v>
      </c>
      <c r="O21" s="2598">
        <f t="shared" si="2"/>
        <v>1.1587227730753682</v>
      </c>
      <c r="P21" s="2598">
        <f t="shared" si="2"/>
        <v>1.1659995969367287</v>
      </c>
      <c r="Q21" s="2598">
        <f t="shared" si="2"/>
        <v>1.166618379685616</v>
      </c>
      <c r="R21" s="2598">
        <f t="shared" si="2"/>
        <v>1.1418609431680977</v>
      </c>
      <c r="S21" s="2600">
        <f t="shared" si="2"/>
        <v>1.124936316001623</v>
      </c>
      <c r="T21" s="158" t="s">
        <v>484</v>
      </c>
    </row>
    <row r="22" spans="1:34" x14ac:dyDescent="0.25">
      <c r="A22" s="3410"/>
      <c r="B22" s="2849" t="s">
        <v>809</v>
      </c>
      <c r="C22" s="2649" t="s">
        <v>632</v>
      </c>
      <c r="D22" s="2656" t="s">
        <v>22</v>
      </c>
      <c r="E22" s="2598"/>
      <c r="F22" s="2598"/>
      <c r="G22" s="2598">
        <f>G17-(G28+G31+G34+G37)</f>
        <v>10.066852601217306</v>
      </c>
      <c r="H22" s="2598">
        <f t="shared" ref="H22:S22" si="3">H17-(H28+H31+H34+H37)</f>
        <v>0.48409794437726816</v>
      </c>
      <c r="I22" s="2598">
        <f t="shared" si="3"/>
        <v>1.1128645280774094</v>
      </c>
      <c r="J22" s="2598">
        <f t="shared" si="3"/>
        <v>1.4136297444578929</v>
      </c>
      <c r="K22" s="2598">
        <f t="shared" si="3"/>
        <v>1.7144238984280662</v>
      </c>
      <c r="L22" s="2598">
        <f t="shared" si="3"/>
        <v>1.2380873206449223</v>
      </c>
      <c r="M22" s="2598">
        <f t="shared" si="3"/>
        <v>1.2675569040467565</v>
      </c>
      <c r="N22" s="2598">
        <f t="shared" si="3"/>
        <v>0.51718903667875793</v>
      </c>
      <c r="O22" s="2598">
        <f t="shared" si="3"/>
        <v>0.48586698911729798</v>
      </c>
      <c r="P22" s="2598">
        <f t="shared" si="3"/>
        <v>0.47107900040306561</v>
      </c>
      <c r="Q22" s="2598">
        <f t="shared" si="3"/>
        <v>0.46087061668682594</v>
      </c>
      <c r="R22" s="2598">
        <f t="shared" si="3"/>
        <v>0.44603667875856701</v>
      </c>
      <c r="S22" s="2600">
        <f t="shared" si="3"/>
        <v>0.45514993954051164</v>
      </c>
      <c r="T22" s="158" t="s">
        <v>484</v>
      </c>
      <c r="U22" s="88"/>
      <c r="X22" s="176"/>
      <c r="Y22" s="176"/>
    </row>
    <row r="23" spans="1:34" ht="15.75" thickBot="1" x14ac:dyDescent="0.3">
      <c r="A23" s="3410"/>
      <c r="B23" s="2850" t="s">
        <v>810</v>
      </c>
      <c r="C23" s="2653" t="s">
        <v>631</v>
      </c>
      <c r="D23" s="2657" t="s">
        <v>22</v>
      </c>
      <c r="E23" s="2599"/>
      <c r="F23" s="2599"/>
      <c r="G23" s="2599">
        <f>G18-(G29+G32+G35+G38)</f>
        <v>24.332215958374945</v>
      </c>
      <c r="H23" s="2599">
        <f t="shared" ref="H23:S23" si="4">H18-(H29+H32+H35+H38)</f>
        <v>0.50378755734138281</v>
      </c>
      <c r="I23" s="2599">
        <f t="shared" si="4"/>
        <v>3.2774142646166524</v>
      </c>
      <c r="J23" s="2599">
        <f t="shared" si="4"/>
        <v>4.1910284608852635</v>
      </c>
      <c r="K23" s="2599">
        <f t="shared" si="4"/>
        <v>5.4721009299346406</v>
      </c>
      <c r="L23" s="2599">
        <f t="shared" si="4"/>
        <v>4.1416019630182745</v>
      </c>
      <c r="M23" s="2599">
        <f t="shared" si="4"/>
        <v>3.7609871206950629</v>
      </c>
      <c r="N23" s="2599">
        <f t="shared" si="4"/>
        <v>0.5400846896981335</v>
      </c>
      <c r="O23" s="2599">
        <f t="shared" si="4"/>
        <v>0.47839775082800173</v>
      </c>
      <c r="P23" s="2599">
        <f t="shared" si="4"/>
        <v>0.49408574364943547</v>
      </c>
      <c r="Q23" s="2599">
        <f t="shared" si="4"/>
        <v>0.50178381537335781</v>
      </c>
      <c r="R23" s="2599">
        <f t="shared" si="4"/>
        <v>0.49472824786744241</v>
      </c>
      <c r="S23" s="2601">
        <f t="shared" si="4"/>
        <v>0.47621541446716975</v>
      </c>
      <c r="T23" s="158" t="s">
        <v>484</v>
      </c>
    </row>
    <row r="24" spans="1:34" ht="24" x14ac:dyDescent="0.25">
      <c r="A24" s="3410"/>
      <c r="B24" s="2851" t="s">
        <v>181</v>
      </c>
      <c r="C24" s="2650" t="s">
        <v>1929</v>
      </c>
      <c r="D24" s="2651" t="s">
        <v>22</v>
      </c>
      <c r="E24" s="2602">
        <f t="shared" ref="E24:S24" si="5">E25+E26</f>
        <v>12915.64</v>
      </c>
      <c r="F24" s="2602">
        <f t="shared" si="5"/>
        <v>2712.7400000000002</v>
      </c>
      <c r="G24" s="2602">
        <f>G25+G26</f>
        <v>6675.9097458333326</v>
      </c>
      <c r="H24" s="2602">
        <f>H25+H26</f>
        <v>155.73680000000002</v>
      </c>
      <c r="I24" s="2602">
        <f t="shared" si="5"/>
        <v>883.52144999999985</v>
      </c>
      <c r="J24" s="2602">
        <f t="shared" si="5"/>
        <v>1133.8259666666665</v>
      </c>
      <c r="K24" s="2602">
        <f t="shared" si="5"/>
        <v>1467.7192999999997</v>
      </c>
      <c r="L24" s="2602">
        <f t="shared" si="5"/>
        <v>1101.5650083333333</v>
      </c>
      <c r="M24" s="2602">
        <f t="shared" si="5"/>
        <v>1014.9256208333331</v>
      </c>
      <c r="N24" s="2602">
        <f t="shared" si="5"/>
        <v>166.72400000000002</v>
      </c>
      <c r="O24" s="2602">
        <f t="shared" si="5"/>
        <v>151.3048</v>
      </c>
      <c r="P24" s="2602">
        <f t="shared" si="5"/>
        <v>152.255</v>
      </c>
      <c r="Q24" s="2602">
        <f t="shared" si="5"/>
        <v>152.33580000000001</v>
      </c>
      <c r="R24" s="2602">
        <f t="shared" si="5"/>
        <v>149.10300000000001</v>
      </c>
      <c r="S24" s="2603">
        <f t="shared" si="5"/>
        <v>146.893</v>
      </c>
      <c r="T24" s="158" t="s">
        <v>651</v>
      </c>
    </row>
    <row r="25" spans="1:34" ht="24" x14ac:dyDescent="0.25">
      <c r="A25" s="3410"/>
      <c r="B25" s="2852" t="s">
        <v>60</v>
      </c>
      <c r="C25" s="2552" t="s">
        <v>485</v>
      </c>
      <c r="D25" s="2652" t="s">
        <v>22</v>
      </c>
      <c r="E25" s="2464">
        <v>0</v>
      </c>
      <c r="F25" s="2464">
        <v>0</v>
      </c>
      <c r="G25" s="2464">
        <f>SUM(H25:S25)</f>
        <v>0</v>
      </c>
      <c r="H25" s="2464">
        <v>0</v>
      </c>
      <c r="I25" s="2464">
        <v>0</v>
      </c>
      <c r="J25" s="2464">
        <v>0</v>
      </c>
      <c r="K25" s="2464">
        <v>0</v>
      </c>
      <c r="L25" s="2464">
        <v>0</v>
      </c>
      <c r="M25" s="2464">
        <v>0</v>
      </c>
      <c r="N25" s="2464">
        <v>0</v>
      </c>
      <c r="O25" s="2464">
        <v>0</v>
      </c>
      <c r="P25" s="2464">
        <v>0</v>
      </c>
      <c r="Q25" s="2464">
        <v>0</v>
      </c>
      <c r="R25" s="2464">
        <v>0</v>
      </c>
      <c r="S25" s="2465">
        <v>0</v>
      </c>
      <c r="T25" s="158" t="s">
        <v>652</v>
      </c>
    </row>
    <row r="26" spans="1:34" x14ac:dyDescent="0.25">
      <c r="A26" s="3410"/>
      <c r="B26" s="2852" t="s">
        <v>61</v>
      </c>
      <c r="C26" s="2552" t="s">
        <v>486</v>
      </c>
      <c r="D26" s="2652" t="s">
        <v>22</v>
      </c>
      <c r="E26" s="2464">
        <f>E47</f>
        <v>12915.64</v>
      </c>
      <c r="F26" s="2464">
        <f>F47</f>
        <v>2712.7400000000002</v>
      </c>
      <c r="G26" s="2464">
        <f>G47</f>
        <v>6675.9097458333326</v>
      </c>
      <c r="H26" s="2464">
        <f t="shared" ref="H26:S26" si="6">H47</f>
        <v>155.73680000000002</v>
      </c>
      <c r="I26" s="2464">
        <f t="shared" si="6"/>
        <v>883.52144999999985</v>
      </c>
      <c r="J26" s="2464">
        <f t="shared" si="6"/>
        <v>1133.8259666666665</v>
      </c>
      <c r="K26" s="2464">
        <f t="shared" si="6"/>
        <v>1467.7192999999997</v>
      </c>
      <c r="L26" s="2464">
        <f t="shared" si="6"/>
        <v>1101.5650083333333</v>
      </c>
      <c r="M26" s="2464">
        <f t="shared" si="6"/>
        <v>1014.9256208333331</v>
      </c>
      <c r="N26" s="2464">
        <f t="shared" si="6"/>
        <v>166.72400000000002</v>
      </c>
      <c r="O26" s="2464">
        <f t="shared" si="6"/>
        <v>151.3048</v>
      </c>
      <c r="P26" s="2464">
        <f t="shared" si="6"/>
        <v>152.255</v>
      </c>
      <c r="Q26" s="2464">
        <f t="shared" si="6"/>
        <v>152.33580000000001</v>
      </c>
      <c r="R26" s="2464">
        <f t="shared" si="6"/>
        <v>149.10300000000001</v>
      </c>
      <c r="S26" s="2465">
        <f t="shared" si="6"/>
        <v>146.893</v>
      </c>
      <c r="T26" s="158" t="s">
        <v>653</v>
      </c>
    </row>
    <row r="27" spans="1:34" x14ac:dyDescent="0.25">
      <c r="A27" s="3410"/>
      <c r="B27" s="2852" t="s">
        <v>738</v>
      </c>
      <c r="C27" s="2552" t="s">
        <v>3</v>
      </c>
      <c r="D27" s="2652" t="s">
        <v>22</v>
      </c>
      <c r="E27" s="2464">
        <v>0</v>
      </c>
      <c r="F27" s="2464">
        <v>0</v>
      </c>
      <c r="G27" s="2464">
        <f>G28+G29</f>
        <v>0</v>
      </c>
      <c r="H27" s="2464">
        <f t="shared" ref="H27:S27" si="7">H28+H29</f>
        <v>0</v>
      </c>
      <c r="I27" s="2464">
        <f t="shared" si="7"/>
        <v>0</v>
      </c>
      <c r="J27" s="2464">
        <f t="shared" si="7"/>
        <v>0</v>
      </c>
      <c r="K27" s="2464">
        <f t="shared" si="7"/>
        <v>0</v>
      </c>
      <c r="L27" s="2464">
        <f t="shared" si="7"/>
        <v>0</v>
      </c>
      <c r="M27" s="2464">
        <f t="shared" si="7"/>
        <v>0</v>
      </c>
      <c r="N27" s="2464">
        <f t="shared" si="7"/>
        <v>0</v>
      </c>
      <c r="O27" s="2464">
        <f t="shared" si="7"/>
        <v>0</v>
      </c>
      <c r="P27" s="2464">
        <f t="shared" si="7"/>
        <v>0</v>
      </c>
      <c r="Q27" s="2464">
        <f t="shared" si="7"/>
        <v>0</v>
      </c>
      <c r="R27" s="2464">
        <f t="shared" si="7"/>
        <v>0</v>
      </c>
      <c r="S27" s="2465">
        <f t="shared" si="7"/>
        <v>0</v>
      </c>
      <c r="T27" s="235">
        <f>T28+T29</f>
        <v>102025.7856709436</v>
      </c>
      <c r="V27" s="176"/>
      <c r="W27" s="88"/>
      <c r="Y27" s="88"/>
      <c r="Z27" s="88"/>
    </row>
    <row r="28" spans="1:34" x14ac:dyDescent="0.25">
      <c r="A28" s="3410"/>
      <c r="B28" s="2852" t="s">
        <v>741</v>
      </c>
      <c r="C28" s="2649" t="s">
        <v>632</v>
      </c>
      <c r="D28" s="2652" t="s">
        <v>22</v>
      </c>
      <c r="E28" s="2464"/>
      <c r="F28" s="2464"/>
      <c r="G28" s="2464">
        <f>SUM(H28:S28)</f>
        <v>0</v>
      </c>
      <c r="H28" s="2464">
        <f>H51+H77</f>
        <v>0</v>
      </c>
      <c r="I28" s="2464">
        <f t="shared" ref="I28:S28" si="8">I51+I77</f>
        <v>0</v>
      </c>
      <c r="J28" s="2464">
        <f t="shared" si="8"/>
        <v>0</v>
      </c>
      <c r="K28" s="2464">
        <f t="shared" si="8"/>
        <v>0</v>
      </c>
      <c r="L28" s="2464">
        <f t="shared" si="8"/>
        <v>0</v>
      </c>
      <c r="M28" s="2464">
        <f t="shared" si="8"/>
        <v>0</v>
      </c>
      <c r="N28" s="2464">
        <f t="shared" si="8"/>
        <v>0</v>
      </c>
      <c r="O28" s="2464">
        <f t="shared" si="8"/>
        <v>0</v>
      </c>
      <c r="P28" s="2464">
        <f t="shared" si="8"/>
        <v>0</v>
      </c>
      <c r="Q28" s="2464">
        <f t="shared" si="8"/>
        <v>0</v>
      </c>
      <c r="R28" s="2464">
        <f t="shared" si="8"/>
        <v>0</v>
      </c>
      <c r="S28" s="2465">
        <f t="shared" si="8"/>
        <v>0</v>
      </c>
      <c r="T28" s="158">
        <v>17040.835670943601</v>
      </c>
      <c r="V28" s="176"/>
      <c r="W28" s="88"/>
      <c r="Y28" s="88"/>
      <c r="Z28" s="88"/>
      <c r="AE28" s="88"/>
      <c r="AF28" s="182"/>
      <c r="AG28" s="182"/>
      <c r="AH28" s="182"/>
    </row>
    <row r="29" spans="1:34" x14ac:dyDescent="0.25">
      <c r="A29" s="3410"/>
      <c r="B29" s="2852" t="s">
        <v>742</v>
      </c>
      <c r="C29" s="2649" t="s">
        <v>631</v>
      </c>
      <c r="D29" s="2652" t="s">
        <v>22</v>
      </c>
      <c r="E29" s="2464"/>
      <c r="F29" s="2464"/>
      <c r="G29" s="2464">
        <f>SUM(H29:S29)</f>
        <v>0</v>
      </c>
      <c r="H29" s="2464">
        <f>H59+H80</f>
        <v>0</v>
      </c>
      <c r="I29" s="2464">
        <f t="shared" ref="I29:S29" si="9">I59+I80</f>
        <v>0</v>
      </c>
      <c r="J29" s="2464">
        <f t="shared" si="9"/>
        <v>0</v>
      </c>
      <c r="K29" s="2464">
        <f t="shared" si="9"/>
        <v>0</v>
      </c>
      <c r="L29" s="2464">
        <f t="shared" si="9"/>
        <v>0</v>
      </c>
      <c r="M29" s="2464">
        <f t="shared" si="9"/>
        <v>0</v>
      </c>
      <c r="N29" s="2464">
        <f t="shared" si="9"/>
        <v>0</v>
      </c>
      <c r="O29" s="2464">
        <f t="shared" si="9"/>
        <v>0</v>
      </c>
      <c r="P29" s="2464">
        <f t="shared" si="9"/>
        <v>0</v>
      </c>
      <c r="Q29" s="2464">
        <f t="shared" si="9"/>
        <v>0</v>
      </c>
      <c r="R29" s="2464">
        <f t="shared" si="9"/>
        <v>0</v>
      </c>
      <c r="S29" s="2465">
        <f t="shared" si="9"/>
        <v>0</v>
      </c>
      <c r="T29" s="235">
        <v>84984.95</v>
      </c>
      <c r="V29" s="176"/>
      <c r="Y29" s="88"/>
      <c r="Z29" s="88"/>
      <c r="AE29" s="88"/>
      <c r="AF29" s="182"/>
      <c r="AG29" s="182"/>
      <c r="AH29" s="182"/>
    </row>
    <row r="30" spans="1:34" x14ac:dyDescent="0.25">
      <c r="A30" s="3410"/>
      <c r="B30" s="2852" t="s">
        <v>739</v>
      </c>
      <c r="C30" s="2658" t="s">
        <v>174</v>
      </c>
      <c r="D30" s="2652" t="s">
        <v>22</v>
      </c>
      <c r="E30" s="2464">
        <v>0</v>
      </c>
      <c r="F30" s="2464">
        <v>0</v>
      </c>
      <c r="G30" s="2464">
        <f t="shared" ref="G30:S30" si="10">G31+G32</f>
        <v>0</v>
      </c>
      <c r="H30" s="2464">
        <f t="shared" si="10"/>
        <v>0</v>
      </c>
      <c r="I30" s="2464">
        <f t="shared" si="10"/>
        <v>0</v>
      </c>
      <c r="J30" s="2464">
        <f>J31+J32</f>
        <v>0</v>
      </c>
      <c r="K30" s="2464">
        <f t="shared" si="10"/>
        <v>0</v>
      </c>
      <c r="L30" s="2464">
        <f t="shared" si="10"/>
        <v>0</v>
      </c>
      <c r="M30" s="2464">
        <f t="shared" si="10"/>
        <v>0</v>
      </c>
      <c r="N30" s="2464">
        <f t="shared" si="10"/>
        <v>0</v>
      </c>
      <c r="O30" s="2464">
        <f t="shared" si="10"/>
        <v>0</v>
      </c>
      <c r="P30" s="2464">
        <f t="shared" si="10"/>
        <v>0</v>
      </c>
      <c r="Q30" s="2464">
        <f t="shared" si="10"/>
        <v>0</v>
      </c>
      <c r="R30" s="2464">
        <f t="shared" si="10"/>
        <v>0</v>
      </c>
      <c r="S30" s="2465">
        <f t="shared" si="10"/>
        <v>0</v>
      </c>
      <c r="T30" s="236">
        <v>16.405100000000001</v>
      </c>
      <c r="V30" s="182"/>
      <c r="X30" s="88"/>
      <c r="Y30" s="88"/>
      <c r="Z30" s="88"/>
    </row>
    <row r="31" spans="1:34" x14ac:dyDescent="0.25">
      <c r="A31" s="3410"/>
      <c r="B31" s="2852" t="s">
        <v>743</v>
      </c>
      <c r="C31" s="2649" t="s">
        <v>632</v>
      </c>
      <c r="D31" s="2652" t="s">
        <v>22</v>
      </c>
      <c r="E31" s="2464"/>
      <c r="F31" s="2464"/>
      <c r="G31" s="2464">
        <f>SUM(H31:S31)</f>
        <v>0</v>
      </c>
      <c r="H31" s="2464">
        <f>H52+H85</f>
        <v>0</v>
      </c>
      <c r="I31" s="2464">
        <f t="shared" ref="I31:S31" si="11">I52+I85</f>
        <v>0</v>
      </c>
      <c r="J31" s="2464">
        <f t="shared" si="11"/>
        <v>0</v>
      </c>
      <c r="K31" s="2464">
        <f t="shared" si="11"/>
        <v>0</v>
      </c>
      <c r="L31" s="2464">
        <f t="shared" si="11"/>
        <v>0</v>
      </c>
      <c r="M31" s="2464">
        <f t="shared" si="11"/>
        <v>0</v>
      </c>
      <c r="N31" s="2464">
        <f t="shared" si="11"/>
        <v>0</v>
      </c>
      <c r="O31" s="2464">
        <f t="shared" si="11"/>
        <v>0</v>
      </c>
      <c r="P31" s="2464">
        <f t="shared" si="11"/>
        <v>0</v>
      </c>
      <c r="Q31" s="2464">
        <f t="shared" si="11"/>
        <v>0</v>
      </c>
      <c r="R31" s="2464">
        <f t="shared" si="11"/>
        <v>0</v>
      </c>
      <c r="S31" s="2465">
        <f t="shared" si="11"/>
        <v>0</v>
      </c>
      <c r="T31" s="236">
        <v>0</v>
      </c>
      <c r="U31" s="877"/>
      <c r="V31" s="182"/>
      <c r="X31" s="88"/>
      <c r="Y31" s="88"/>
      <c r="Z31" s="88"/>
    </row>
    <row r="32" spans="1:34" x14ac:dyDescent="0.25">
      <c r="A32" s="3410"/>
      <c r="B32" s="2852" t="s">
        <v>744</v>
      </c>
      <c r="C32" s="2649" t="s">
        <v>631</v>
      </c>
      <c r="D32" s="2652" t="s">
        <v>22</v>
      </c>
      <c r="E32" s="2464"/>
      <c r="F32" s="2464"/>
      <c r="G32" s="2464">
        <f>SUM(H32:S32)</f>
        <v>0</v>
      </c>
      <c r="H32" s="2464">
        <f>H60+H86</f>
        <v>0</v>
      </c>
      <c r="I32" s="2464">
        <f t="shared" ref="I32:S32" si="12">I60+I86</f>
        <v>0</v>
      </c>
      <c r="J32" s="2464">
        <f t="shared" si="12"/>
        <v>0</v>
      </c>
      <c r="K32" s="2464">
        <f t="shared" si="12"/>
        <v>0</v>
      </c>
      <c r="L32" s="2464">
        <f t="shared" si="12"/>
        <v>0</v>
      </c>
      <c r="M32" s="2464">
        <f t="shared" si="12"/>
        <v>0</v>
      </c>
      <c r="N32" s="2464">
        <f t="shared" si="12"/>
        <v>0</v>
      </c>
      <c r="O32" s="2464">
        <f t="shared" si="12"/>
        <v>0</v>
      </c>
      <c r="P32" s="2464">
        <f t="shared" si="12"/>
        <v>0</v>
      </c>
      <c r="Q32" s="2464">
        <f t="shared" si="12"/>
        <v>0</v>
      </c>
      <c r="R32" s="2464">
        <f t="shared" si="12"/>
        <v>0</v>
      </c>
      <c r="S32" s="2465">
        <f t="shared" si="12"/>
        <v>0</v>
      </c>
      <c r="T32" s="236">
        <v>16.405100000000001</v>
      </c>
      <c r="V32" s="182"/>
      <c r="X32" s="88"/>
      <c r="Y32" s="88"/>
      <c r="Z32" s="88"/>
    </row>
    <row r="33" spans="1:26" x14ac:dyDescent="0.25">
      <c r="A33" s="3410"/>
      <c r="B33" s="2852" t="s">
        <v>740</v>
      </c>
      <c r="C33" s="2658" t="s">
        <v>98</v>
      </c>
      <c r="D33" s="2652" t="s">
        <v>22</v>
      </c>
      <c r="E33" s="2464">
        <f>E34+E35</f>
        <v>214.44</v>
      </c>
      <c r="F33" s="2464">
        <f>F34+F35</f>
        <v>93.87</v>
      </c>
      <c r="G33" s="2464">
        <f>G34+G35</f>
        <v>0</v>
      </c>
      <c r="H33" s="2464">
        <f t="shared" ref="H33:S33" si="13">H34+H35</f>
        <v>0</v>
      </c>
      <c r="I33" s="2464">
        <f t="shared" si="13"/>
        <v>0</v>
      </c>
      <c r="J33" s="2464">
        <f t="shared" si="13"/>
        <v>0</v>
      </c>
      <c r="K33" s="2464">
        <f t="shared" si="13"/>
        <v>0</v>
      </c>
      <c r="L33" s="2464">
        <f t="shared" si="13"/>
        <v>0</v>
      </c>
      <c r="M33" s="2464">
        <f t="shared" si="13"/>
        <v>0</v>
      </c>
      <c r="N33" s="2464">
        <f t="shared" si="13"/>
        <v>0</v>
      </c>
      <c r="O33" s="2464">
        <f t="shared" si="13"/>
        <v>0</v>
      </c>
      <c r="P33" s="2464">
        <f t="shared" si="13"/>
        <v>0</v>
      </c>
      <c r="Q33" s="2464">
        <f t="shared" si="13"/>
        <v>0</v>
      </c>
      <c r="R33" s="2464">
        <f t="shared" si="13"/>
        <v>0</v>
      </c>
      <c r="S33" s="2465">
        <f t="shared" si="13"/>
        <v>0</v>
      </c>
      <c r="T33" s="158">
        <v>13038.0497777772</v>
      </c>
      <c r="V33" s="182"/>
      <c r="Y33" s="88"/>
      <c r="Z33" s="88"/>
    </row>
    <row r="34" spans="1:26" x14ac:dyDescent="0.25">
      <c r="A34" s="3410"/>
      <c r="B34" s="2852" t="s">
        <v>745</v>
      </c>
      <c r="C34" s="2649" t="s">
        <v>632</v>
      </c>
      <c r="D34" s="2652" t="s">
        <v>22</v>
      </c>
      <c r="E34" s="2464"/>
      <c r="F34" s="2464"/>
      <c r="G34" s="2464">
        <f>SUM(H34:S34)</f>
        <v>0</v>
      </c>
      <c r="H34" s="2464">
        <f>H53+H89</f>
        <v>0</v>
      </c>
      <c r="I34" s="2464">
        <f t="shared" ref="I34:S34" si="14">I53+I89</f>
        <v>0</v>
      </c>
      <c r="J34" s="2464">
        <f t="shared" si="14"/>
        <v>0</v>
      </c>
      <c r="K34" s="2464">
        <f t="shared" si="14"/>
        <v>0</v>
      </c>
      <c r="L34" s="2464">
        <f t="shared" si="14"/>
        <v>0</v>
      </c>
      <c r="M34" s="2464">
        <f t="shared" si="14"/>
        <v>0</v>
      </c>
      <c r="N34" s="2464">
        <f t="shared" si="14"/>
        <v>0</v>
      </c>
      <c r="O34" s="2464">
        <f t="shared" si="14"/>
        <v>0</v>
      </c>
      <c r="P34" s="2464">
        <f t="shared" si="14"/>
        <v>0</v>
      </c>
      <c r="Q34" s="2464">
        <f t="shared" si="14"/>
        <v>0</v>
      </c>
      <c r="R34" s="2464">
        <f t="shared" si="14"/>
        <v>0</v>
      </c>
      <c r="S34" s="2465">
        <f t="shared" si="14"/>
        <v>0</v>
      </c>
      <c r="T34" s="158">
        <v>2347.7621661329399</v>
      </c>
      <c r="U34" s="88"/>
      <c r="V34" s="182"/>
      <c r="Y34" s="88"/>
      <c r="Z34" s="88"/>
    </row>
    <row r="35" spans="1:26" x14ac:dyDescent="0.25">
      <c r="A35" s="3410"/>
      <c r="B35" s="2852" t="s">
        <v>746</v>
      </c>
      <c r="C35" s="2649" t="s">
        <v>631</v>
      </c>
      <c r="D35" s="2652" t="s">
        <v>22</v>
      </c>
      <c r="E35" s="2464">
        <v>214.44</v>
      </c>
      <c r="F35" s="2464">
        <v>93.87</v>
      </c>
      <c r="G35" s="2464">
        <f>SUM(H35:S35)</f>
        <v>0</v>
      </c>
      <c r="H35" s="2464">
        <f>H61+H90</f>
        <v>0</v>
      </c>
      <c r="I35" s="2464">
        <f t="shared" ref="I35:S35" si="15">I61+I90</f>
        <v>0</v>
      </c>
      <c r="J35" s="2464">
        <f t="shared" si="15"/>
        <v>0</v>
      </c>
      <c r="K35" s="2464">
        <f t="shared" si="15"/>
        <v>0</v>
      </c>
      <c r="L35" s="2464">
        <f t="shared" si="15"/>
        <v>0</v>
      </c>
      <c r="M35" s="2464">
        <f t="shared" si="15"/>
        <v>0</v>
      </c>
      <c r="N35" s="2464">
        <f t="shared" si="15"/>
        <v>0</v>
      </c>
      <c r="O35" s="2464">
        <f t="shared" si="15"/>
        <v>0</v>
      </c>
      <c r="P35" s="2464">
        <f t="shared" si="15"/>
        <v>0</v>
      </c>
      <c r="Q35" s="2464">
        <f t="shared" si="15"/>
        <v>0</v>
      </c>
      <c r="R35" s="2464">
        <f t="shared" si="15"/>
        <v>0</v>
      </c>
      <c r="S35" s="2465">
        <f t="shared" si="15"/>
        <v>0</v>
      </c>
      <c r="T35" s="158">
        <v>10690.2876116442</v>
      </c>
      <c r="V35" s="182"/>
      <c r="Y35" s="88"/>
      <c r="Z35" s="88"/>
    </row>
    <row r="36" spans="1:26" x14ac:dyDescent="0.25">
      <c r="A36" s="3410"/>
      <c r="B36" s="2852" t="s">
        <v>747</v>
      </c>
      <c r="C36" s="2658" t="s">
        <v>99</v>
      </c>
      <c r="D36" s="2652" t="s">
        <v>22</v>
      </c>
      <c r="E36" s="2464">
        <v>10545.75</v>
      </c>
      <c r="F36" s="2464">
        <f>F37+F38</f>
        <v>1263.27</v>
      </c>
      <c r="G36" s="2464">
        <f t="shared" ref="G36:S36" si="16">G37+G38</f>
        <v>4491.7941629656525</v>
      </c>
      <c r="H36" s="2464">
        <f t="shared" si="16"/>
        <v>128.99704893494533</v>
      </c>
      <c r="I36" s="2464">
        <f t="shared" si="16"/>
        <v>573.27798340388426</v>
      </c>
      <c r="J36" s="2464">
        <f t="shared" si="16"/>
        <v>731.85036881349515</v>
      </c>
      <c r="K36" s="2464">
        <f t="shared" si="16"/>
        <v>938.40884732461211</v>
      </c>
      <c r="L36" s="2464">
        <f t="shared" si="16"/>
        <v>702.47416382990639</v>
      </c>
      <c r="M36" s="2464">
        <f t="shared" si="16"/>
        <v>656.6219855465464</v>
      </c>
      <c r="N36" s="2464">
        <f t="shared" si="16"/>
        <v>138.05769027058147</v>
      </c>
      <c r="O36" s="2464">
        <f t="shared" si="16"/>
        <v>125.91267472654002</v>
      </c>
      <c r="P36" s="2464">
        <f t="shared" si="16"/>
        <v>126.03019631548648</v>
      </c>
      <c r="Q36" s="2464">
        <f t="shared" si="16"/>
        <v>125.70240241796202</v>
      </c>
      <c r="R36" s="2464">
        <f t="shared" si="16"/>
        <v>122.84409383995396</v>
      </c>
      <c r="S36" s="2465">
        <f t="shared" si="16"/>
        <v>121.61670754173863</v>
      </c>
      <c r="T36" s="158">
        <v>10390.531449459901</v>
      </c>
      <c r="V36" s="182"/>
      <c r="Y36" s="88"/>
      <c r="Z36" s="88"/>
    </row>
    <row r="37" spans="1:26" x14ac:dyDescent="0.25">
      <c r="A37" s="3410"/>
      <c r="B37" s="2852" t="s">
        <v>748</v>
      </c>
      <c r="C37" s="2649" t="s">
        <v>632</v>
      </c>
      <c r="D37" s="2652" t="s">
        <v>22</v>
      </c>
      <c r="E37" s="2464"/>
      <c r="F37" s="2464"/>
      <c r="G37" s="2464">
        <f>SUM(H37:S37)</f>
        <v>1314.5190159799997</v>
      </c>
      <c r="H37" s="2464">
        <f>H54+H93</f>
        <v>63.213000000000001</v>
      </c>
      <c r="I37" s="2464">
        <f>I54+I93</f>
        <v>145.31667863999999</v>
      </c>
      <c r="J37" s="2464">
        <f>J54+J93</f>
        <v>184.59028399999997</v>
      </c>
      <c r="K37" s="2464">
        <f t="shared" ref="K37:S37" si="17">K54+K93</f>
        <v>223.86766800000001</v>
      </c>
      <c r="L37" s="2464">
        <f t="shared" si="17"/>
        <v>161.66813907999997</v>
      </c>
      <c r="M37" s="2464">
        <f t="shared" si="17"/>
        <v>165.51624626</v>
      </c>
      <c r="N37" s="2464">
        <f t="shared" si="17"/>
        <v>67.534000000000006</v>
      </c>
      <c r="O37" s="2464">
        <f t="shared" si="17"/>
        <v>63.444000000000003</v>
      </c>
      <c r="P37" s="2464">
        <f t="shared" si="17"/>
        <v>61.512999999999998</v>
      </c>
      <c r="Q37" s="2464">
        <f>Q54+Q93</f>
        <v>60.180000000000007</v>
      </c>
      <c r="R37" s="2464">
        <f t="shared" si="17"/>
        <v>58.243000000000002</v>
      </c>
      <c r="S37" s="2465">
        <f t="shared" si="17"/>
        <v>59.433</v>
      </c>
      <c r="T37" s="158">
        <v>1214.2224171451701</v>
      </c>
      <c r="V37" s="182"/>
      <c r="Y37" s="88"/>
      <c r="Z37" s="88"/>
    </row>
    <row r="38" spans="1:26" x14ac:dyDescent="0.25">
      <c r="A38" s="3410"/>
      <c r="B38" s="2852" t="s">
        <v>749</v>
      </c>
      <c r="C38" s="2649" t="s">
        <v>631</v>
      </c>
      <c r="D38" s="2652" t="s">
        <v>22</v>
      </c>
      <c r="E38" s="2464"/>
      <c r="F38" s="2464">
        <v>1263.27</v>
      </c>
      <c r="G38" s="2464">
        <f>SUM(H38:S38)</f>
        <v>3177.275146985653</v>
      </c>
      <c r="H38" s="2464">
        <f>H62+H94</f>
        <v>65.784048934945318</v>
      </c>
      <c r="I38" s="2464">
        <f t="shared" ref="I38:S38" si="18">I62+I94</f>
        <v>427.9613047638843</v>
      </c>
      <c r="J38" s="2464">
        <f t="shared" si="18"/>
        <v>547.26008481349515</v>
      </c>
      <c r="K38" s="2464">
        <f t="shared" si="18"/>
        <v>714.54117932461213</v>
      </c>
      <c r="L38" s="2464">
        <f t="shared" si="18"/>
        <v>540.80602474990644</v>
      </c>
      <c r="M38" s="2464">
        <f t="shared" si="18"/>
        <v>491.1057392865464</v>
      </c>
      <c r="N38" s="2464">
        <f t="shared" si="18"/>
        <v>70.523690270581469</v>
      </c>
      <c r="O38" s="2464">
        <f t="shared" si="18"/>
        <v>62.468674726540016</v>
      </c>
      <c r="P38" s="2464">
        <f t="shared" si="18"/>
        <v>64.517196315486473</v>
      </c>
      <c r="Q38" s="2464">
        <f t="shared" si="18"/>
        <v>65.522402417962013</v>
      </c>
      <c r="R38" s="2464">
        <f t="shared" si="18"/>
        <v>64.601093839953947</v>
      </c>
      <c r="S38" s="2465">
        <f t="shared" si="18"/>
        <v>62.183707541738634</v>
      </c>
      <c r="T38" s="158">
        <v>9176.3090323147208</v>
      </c>
      <c r="V38" s="182"/>
      <c r="Y38" s="88"/>
      <c r="Z38" s="88"/>
    </row>
    <row r="39" spans="1:26" ht="24" x14ac:dyDescent="0.25">
      <c r="A39" s="3410"/>
      <c r="B39" s="2852" t="s">
        <v>815</v>
      </c>
      <c r="C39" s="2658" t="s">
        <v>818</v>
      </c>
      <c r="D39" s="2652" t="s">
        <v>22</v>
      </c>
      <c r="E39" s="2464">
        <f>E40+E41</f>
        <v>2155.4899999999998</v>
      </c>
      <c r="F39" s="2464">
        <f>F40+F41</f>
        <v>1355.6</v>
      </c>
      <c r="G39" s="2464">
        <f t="shared" ref="G39:S39" si="19">G40+G41</f>
        <v>2184.1155828676801</v>
      </c>
      <c r="H39" s="2464">
        <f t="shared" si="19"/>
        <v>26.739751065054691</v>
      </c>
      <c r="I39" s="2464">
        <f t="shared" si="19"/>
        <v>310.24346659611564</v>
      </c>
      <c r="J39" s="2464">
        <f t="shared" si="19"/>
        <v>401.97559785317139</v>
      </c>
      <c r="K39" s="2464">
        <f t="shared" si="19"/>
        <v>529.31045267538764</v>
      </c>
      <c r="L39" s="2464">
        <f t="shared" si="19"/>
        <v>399.09084450342681</v>
      </c>
      <c r="M39" s="2464">
        <f t="shared" si="19"/>
        <v>358.3036352867868</v>
      </c>
      <c r="N39" s="2464">
        <f t="shared" si="19"/>
        <v>28.666309729418536</v>
      </c>
      <c r="O39" s="2464">
        <f t="shared" si="19"/>
        <v>25.392125273459989</v>
      </c>
      <c r="P39" s="2464">
        <f t="shared" si="19"/>
        <v>26.224803684513528</v>
      </c>
      <c r="Q39" s="2464">
        <f t="shared" si="19"/>
        <v>26.633397582037993</v>
      </c>
      <c r="R39" s="2464">
        <f t="shared" si="19"/>
        <v>26.258906160046056</v>
      </c>
      <c r="S39" s="2465">
        <f t="shared" si="19"/>
        <v>25.27629245826137</v>
      </c>
      <c r="T39" s="158">
        <v>197.46334644715699</v>
      </c>
      <c r="U39" s="88"/>
      <c r="V39" s="182"/>
      <c r="Y39" s="88"/>
      <c r="Z39" s="88"/>
    </row>
    <row r="40" spans="1:26" x14ac:dyDescent="0.25">
      <c r="A40" s="3410"/>
      <c r="B40" s="2852" t="s">
        <v>816</v>
      </c>
      <c r="C40" s="2649" t="s">
        <v>632</v>
      </c>
      <c r="D40" s="2652" t="s">
        <v>22</v>
      </c>
      <c r="E40" s="2464"/>
      <c r="F40" s="2464"/>
      <c r="G40" s="2464">
        <f>SUM(H40:S40)</f>
        <v>0</v>
      </c>
      <c r="H40" s="2464">
        <f t="shared" ref="H40:S40" si="20">H72+H55</f>
        <v>0</v>
      </c>
      <c r="I40" s="2464">
        <f t="shared" si="20"/>
        <v>0</v>
      </c>
      <c r="J40" s="2464">
        <f t="shared" si="20"/>
        <v>0</v>
      </c>
      <c r="K40" s="2464">
        <f t="shared" si="20"/>
        <v>0</v>
      </c>
      <c r="L40" s="2464">
        <f t="shared" si="20"/>
        <v>0</v>
      </c>
      <c r="M40" s="2464">
        <f t="shared" si="20"/>
        <v>0</v>
      </c>
      <c r="N40" s="2464">
        <f t="shared" si="20"/>
        <v>0</v>
      </c>
      <c r="O40" s="2464">
        <f t="shared" si="20"/>
        <v>0</v>
      </c>
      <c r="P40" s="2464">
        <f t="shared" si="20"/>
        <v>0</v>
      </c>
      <c r="Q40" s="2464">
        <f t="shared" si="20"/>
        <v>0</v>
      </c>
      <c r="R40" s="2464">
        <f t="shared" si="20"/>
        <v>0</v>
      </c>
      <c r="S40" s="2465">
        <f t="shared" si="20"/>
        <v>0</v>
      </c>
      <c r="T40" s="158">
        <v>197.46334644715699</v>
      </c>
      <c r="V40" s="182"/>
      <c r="Y40" s="88"/>
      <c r="Z40" s="88"/>
    </row>
    <row r="41" spans="1:26" ht="15.75" thickBot="1" x14ac:dyDescent="0.3">
      <c r="A41" s="3410"/>
      <c r="B41" s="2852" t="s">
        <v>817</v>
      </c>
      <c r="C41" s="2649" t="s">
        <v>631</v>
      </c>
      <c r="D41" s="2652" t="s">
        <v>22</v>
      </c>
      <c r="E41" s="2464">
        <v>2155.4899999999998</v>
      </c>
      <c r="F41" s="2464">
        <v>1355.6</v>
      </c>
      <c r="G41" s="2464">
        <f>SUM(H41:S41)</f>
        <v>2184.1155828676801</v>
      </c>
      <c r="H41" s="2464">
        <f>H73+H63</f>
        <v>26.739751065054691</v>
      </c>
      <c r="I41" s="2464">
        <f t="shared" ref="I41:S41" si="21">I73+I63</f>
        <v>310.24346659611564</v>
      </c>
      <c r="J41" s="2464">
        <f t="shared" si="21"/>
        <v>401.97559785317139</v>
      </c>
      <c r="K41" s="2464">
        <f t="shared" si="21"/>
        <v>529.31045267538764</v>
      </c>
      <c r="L41" s="2464">
        <f t="shared" si="21"/>
        <v>399.09084450342681</v>
      </c>
      <c r="M41" s="2464">
        <f t="shared" si="21"/>
        <v>358.3036352867868</v>
      </c>
      <c r="N41" s="2464">
        <f t="shared" si="21"/>
        <v>28.666309729418536</v>
      </c>
      <c r="O41" s="2464">
        <f t="shared" si="21"/>
        <v>25.392125273459989</v>
      </c>
      <c r="P41" s="2464">
        <f t="shared" si="21"/>
        <v>26.224803684513528</v>
      </c>
      <c r="Q41" s="2464">
        <f t="shared" si="21"/>
        <v>26.633397582037993</v>
      </c>
      <c r="R41" s="2464">
        <f t="shared" si="21"/>
        <v>26.258906160046056</v>
      </c>
      <c r="S41" s="2465">
        <f t="shared" si="21"/>
        <v>25.27629245826137</v>
      </c>
      <c r="T41" s="158">
        <v>0</v>
      </c>
      <c r="V41" s="182"/>
      <c r="Y41" s="88"/>
      <c r="Z41" s="88"/>
    </row>
    <row r="42" spans="1:26" ht="48.75" thickBot="1" x14ac:dyDescent="0.3">
      <c r="A42" s="3410"/>
      <c r="B42" s="3422" t="s">
        <v>182</v>
      </c>
      <c r="C42" s="3423" t="s">
        <v>503</v>
      </c>
      <c r="D42" s="3424" t="s">
        <v>22</v>
      </c>
      <c r="E42" s="3425">
        <f>E43+E44</f>
        <v>0</v>
      </c>
      <c r="F42" s="3425">
        <f t="shared" ref="F42:S42" si="22">F43+F44</f>
        <v>0</v>
      </c>
      <c r="G42" s="3425">
        <f t="shared" si="22"/>
        <v>0</v>
      </c>
      <c r="H42" s="3425">
        <f t="shared" si="22"/>
        <v>0</v>
      </c>
      <c r="I42" s="3425">
        <f t="shared" si="22"/>
        <v>0</v>
      </c>
      <c r="J42" s="3425">
        <f t="shared" si="22"/>
        <v>0</v>
      </c>
      <c r="K42" s="3425">
        <f t="shared" si="22"/>
        <v>0</v>
      </c>
      <c r="L42" s="3425">
        <f t="shared" si="22"/>
        <v>0</v>
      </c>
      <c r="M42" s="3425">
        <f t="shared" si="22"/>
        <v>0</v>
      </c>
      <c r="N42" s="3425">
        <f t="shared" si="22"/>
        <v>0</v>
      </c>
      <c r="O42" s="3425">
        <f t="shared" si="22"/>
        <v>0</v>
      </c>
      <c r="P42" s="3425">
        <f t="shared" si="22"/>
        <v>0</v>
      </c>
      <c r="Q42" s="3425">
        <f t="shared" si="22"/>
        <v>0</v>
      </c>
      <c r="R42" s="3425">
        <f t="shared" si="22"/>
        <v>0</v>
      </c>
      <c r="S42" s="3426">
        <f t="shared" si="22"/>
        <v>0</v>
      </c>
      <c r="T42" s="158" t="s">
        <v>654</v>
      </c>
    </row>
    <row r="43" spans="1:26" ht="24" x14ac:dyDescent="0.25">
      <c r="A43" s="3410"/>
      <c r="B43" s="3416" t="s">
        <v>27</v>
      </c>
      <c r="C43" s="3417" t="s">
        <v>502</v>
      </c>
      <c r="D43" s="3418" t="s">
        <v>22</v>
      </c>
      <c r="E43" s="3419">
        <v>0</v>
      </c>
      <c r="F43" s="3419">
        <v>0</v>
      </c>
      <c r="G43" s="3420">
        <f>SUM(H43:S43)</f>
        <v>0</v>
      </c>
      <c r="H43" s="3420">
        <v>0</v>
      </c>
      <c r="I43" s="3420">
        <v>0</v>
      </c>
      <c r="J43" s="3420">
        <v>0</v>
      </c>
      <c r="K43" s="3420">
        <v>0</v>
      </c>
      <c r="L43" s="3420">
        <v>0</v>
      </c>
      <c r="M43" s="3420">
        <v>0</v>
      </c>
      <c r="N43" s="3420">
        <v>0</v>
      </c>
      <c r="O43" s="3420">
        <v>0</v>
      </c>
      <c r="P43" s="3420">
        <v>0</v>
      </c>
      <c r="Q43" s="3420">
        <v>0</v>
      </c>
      <c r="R43" s="3420">
        <v>0</v>
      </c>
      <c r="S43" s="3421">
        <v>0</v>
      </c>
      <c r="T43" s="158" t="s">
        <v>655</v>
      </c>
    </row>
    <row r="44" spans="1:26" ht="48" x14ac:dyDescent="0.25">
      <c r="A44" s="3410"/>
      <c r="B44" s="2854" t="s">
        <v>113</v>
      </c>
      <c r="C44" s="2658" t="s">
        <v>656</v>
      </c>
      <c r="D44" s="2656" t="s">
        <v>22</v>
      </c>
      <c r="E44" s="2466">
        <v>0</v>
      </c>
      <c r="F44" s="2466">
        <v>0</v>
      </c>
      <c r="G44" s="2464">
        <f>SUM(H44:S44)</f>
        <v>0</v>
      </c>
      <c r="H44" s="2464">
        <v>0</v>
      </c>
      <c r="I44" s="2464">
        <v>0</v>
      </c>
      <c r="J44" s="2464">
        <v>0</v>
      </c>
      <c r="K44" s="2464">
        <v>0</v>
      </c>
      <c r="L44" s="2464">
        <v>0</v>
      </c>
      <c r="M44" s="2464">
        <v>0</v>
      </c>
      <c r="N44" s="2464">
        <v>0</v>
      </c>
      <c r="O44" s="2464">
        <v>0</v>
      </c>
      <c r="P44" s="2464">
        <v>0</v>
      </c>
      <c r="Q44" s="2464">
        <v>0</v>
      </c>
      <c r="R44" s="2464">
        <v>0</v>
      </c>
      <c r="S44" s="2465">
        <v>0</v>
      </c>
      <c r="T44" s="158" t="s">
        <v>657</v>
      </c>
    </row>
    <row r="45" spans="1:26" x14ac:dyDescent="0.25">
      <c r="A45" s="3410"/>
      <c r="B45" s="2854" t="s">
        <v>734</v>
      </c>
      <c r="C45" s="2660" t="s">
        <v>632</v>
      </c>
      <c r="D45" s="2656" t="s">
        <v>22</v>
      </c>
      <c r="E45" s="2466">
        <v>0</v>
      </c>
      <c r="F45" s="2466">
        <v>0</v>
      </c>
      <c r="G45" s="2466">
        <v>0</v>
      </c>
      <c r="H45" s="2466">
        <v>0</v>
      </c>
      <c r="I45" s="2466">
        <v>0</v>
      </c>
      <c r="J45" s="2466">
        <v>0</v>
      </c>
      <c r="K45" s="2466">
        <v>0</v>
      </c>
      <c r="L45" s="2466">
        <v>0</v>
      </c>
      <c r="M45" s="2466">
        <v>0</v>
      </c>
      <c r="N45" s="2466">
        <v>0</v>
      </c>
      <c r="O45" s="2466">
        <v>0</v>
      </c>
      <c r="P45" s="2466">
        <v>0</v>
      </c>
      <c r="Q45" s="2466">
        <v>0</v>
      </c>
      <c r="R45" s="2466">
        <v>0</v>
      </c>
      <c r="S45" s="2467">
        <v>0</v>
      </c>
      <c r="T45" s="158" t="s">
        <v>484</v>
      </c>
    </row>
    <row r="46" spans="1:26" x14ac:dyDescent="0.25">
      <c r="A46" s="3410"/>
      <c r="B46" s="2854" t="s">
        <v>735</v>
      </c>
      <c r="C46" s="2660" t="s">
        <v>631</v>
      </c>
      <c r="D46" s="2656" t="s">
        <v>22</v>
      </c>
      <c r="E46" s="2466">
        <v>0</v>
      </c>
      <c r="F46" s="2466">
        <v>0</v>
      </c>
      <c r="G46" s="2466">
        <v>0</v>
      </c>
      <c r="H46" s="2466">
        <v>0</v>
      </c>
      <c r="I46" s="2466">
        <v>0</v>
      </c>
      <c r="J46" s="2466">
        <v>0</v>
      </c>
      <c r="K46" s="2466">
        <v>0</v>
      </c>
      <c r="L46" s="2466">
        <v>0</v>
      </c>
      <c r="M46" s="2466">
        <v>0</v>
      </c>
      <c r="N46" s="2466">
        <v>0</v>
      </c>
      <c r="O46" s="2466">
        <v>0</v>
      </c>
      <c r="P46" s="2466">
        <v>0</v>
      </c>
      <c r="Q46" s="2466">
        <v>0</v>
      </c>
      <c r="R46" s="2466">
        <v>0</v>
      </c>
      <c r="S46" s="2467">
        <v>0</v>
      </c>
      <c r="T46" s="158" t="s">
        <v>484</v>
      </c>
    </row>
    <row r="47" spans="1:26" ht="36.75" thickBot="1" x14ac:dyDescent="0.3">
      <c r="A47" s="3410"/>
      <c r="B47" s="2855" t="s">
        <v>177</v>
      </c>
      <c r="C47" s="2661" t="s">
        <v>504</v>
      </c>
      <c r="D47" s="2657" t="s">
        <v>22</v>
      </c>
      <c r="E47" s="2604">
        <f>E48+E69</f>
        <v>12915.64</v>
      </c>
      <c r="F47" s="2604">
        <f t="shared" ref="F47:S47" si="23">F48+F69</f>
        <v>2712.7400000000002</v>
      </c>
      <c r="G47" s="2604">
        <f>G48+G69</f>
        <v>6675.9097458333326</v>
      </c>
      <c r="H47" s="2604">
        <f t="shared" si="23"/>
        <v>155.73680000000002</v>
      </c>
      <c r="I47" s="2604">
        <f>I48+I69</f>
        <v>883.52144999999985</v>
      </c>
      <c r="J47" s="2604">
        <f t="shared" si="23"/>
        <v>1133.8259666666665</v>
      </c>
      <c r="K47" s="2604">
        <f t="shared" si="23"/>
        <v>1467.7192999999997</v>
      </c>
      <c r="L47" s="2604">
        <f t="shared" si="23"/>
        <v>1101.5650083333333</v>
      </c>
      <c r="M47" s="2604">
        <f t="shared" si="23"/>
        <v>1014.9256208333331</v>
      </c>
      <c r="N47" s="2604">
        <f t="shared" si="23"/>
        <v>166.72400000000002</v>
      </c>
      <c r="O47" s="2604">
        <f t="shared" si="23"/>
        <v>151.3048</v>
      </c>
      <c r="P47" s="2604">
        <f>P48+P69</f>
        <v>152.255</v>
      </c>
      <c r="Q47" s="2604">
        <f t="shared" si="23"/>
        <v>152.33580000000001</v>
      </c>
      <c r="R47" s="2604">
        <f t="shared" si="23"/>
        <v>149.10300000000001</v>
      </c>
      <c r="S47" s="2605">
        <f t="shared" si="23"/>
        <v>146.893</v>
      </c>
      <c r="T47" s="158" t="s">
        <v>658</v>
      </c>
    </row>
    <row r="48" spans="1:26" ht="24" x14ac:dyDescent="0.25">
      <c r="A48" s="3410"/>
      <c r="B48" s="2853" t="s">
        <v>178</v>
      </c>
      <c r="C48" s="2659" t="s">
        <v>212</v>
      </c>
      <c r="D48" s="2655" t="s">
        <v>22</v>
      </c>
      <c r="E48" s="2602">
        <f>E62+E63+E61+E60+E59</f>
        <v>1945.7600000000002</v>
      </c>
      <c r="F48" s="2602">
        <f>F62+F63+F61+F60+F59</f>
        <v>528.68999999999994</v>
      </c>
      <c r="G48" s="2602">
        <f>G50+G58</f>
        <v>862.11599999999987</v>
      </c>
      <c r="H48" s="2602">
        <f>H50+H58</f>
        <v>24.520000000000003</v>
      </c>
      <c r="I48" s="2602">
        <f>I50+I58</f>
        <v>88.509999999999991</v>
      </c>
      <c r="J48" s="2602">
        <f t="shared" ref="J48:S48" si="24">J50+J58</f>
        <v>119.91000000000001</v>
      </c>
      <c r="K48" s="2602">
        <f t="shared" si="24"/>
        <v>269.25</v>
      </c>
      <c r="L48" s="2602">
        <f t="shared" si="24"/>
        <v>101.27999999999997</v>
      </c>
      <c r="M48" s="2602">
        <f t="shared" si="24"/>
        <v>110.4</v>
      </c>
      <c r="N48" s="2602">
        <f t="shared" si="24"/>
        <v>39.74</v>
      </c>
      <c r="O48" s="2602">
        <f t="shared" si="24"/>
        <v>20.088000000000001</v>
      </c>
      <c r="P48" s="2602">
        <f t="shared" si="24"/>
        <v>25.271000000000001</v>
      </c>
      <c r="Q48" s="2602">
        <f>Q50+Q58</f>
        <v>21.119</v>
      </c>
      <c r="R48" s="2602">
        <f>R50+R58</f>
        <v>22.119</v>
      </c>
      <c r="S48" s="2603">
        <f t="shared" si="24"/>
        <v>19.908999999999999</v>
      </c>
      <c r="T48" s="18"/>
      <c r="V48" s="88"/>
    </row>
    <row r="49" spans="1:21" x14ac:dyDescent="0.25">
      <c r="A49" s="3441"/>
      <c r="B49" s="2854"/>
      <c r="C49" s="2658" t="s">
        <v>659</v>
      </c>
      <c r="D49" s="2656" t="s">
        <v>4</v>
      </c>
      <c r="E49" s="2606">
        <f>E48/E47</f>
        <v>0.15065145823203499</v>
      </c>
      <c r="F49" s="2606">
        <f>F48/F47</f>
        <v>0.19489151190309426</v>
      </c>
      <c r="G49" s="2606">
        <f>G48/G47</f>
        <v>0.12913835459475415</v>
      </c>
      <c r="H49" s="2606">
        <f>G49</f>
        <v>0.12913835459475415</v>
      </c>
      <c r="I49" s="2606">
        <f t="shared" ref="I49:S49" si="25">H49</f>
        <v>0.12913835459475415</v>
      </c>
      <c r="J49" s="2606">
        <f t="shared" si="25"/>
        <v>0.12913835459475415</v>
      </c>
      <c r="K49" s="2606">
        <f t="shared" si="25"/>
        <v>0.12913835459475415</v>
      </c>
      <c r="L49" s="2606">
        <f t="shared" si="25"/>
        <v>0.12913835459475415</v>
      </c>
      <c r="M49" s="2606">
        <f t="shared" si="25"/>
        <v>0.12913835459475415</v>
      </c>
      <c r="N49" s="2606">
        <f t="shared" si="25"/>
        <v>0.12913835459475415</v>
      </c>
      <c r="O49" s="2606">
        <f t="shared" si="25"/>
        <v>0.12913835459475415</v>
      </c>
      <c r="P49" s="2606">
        <f t="shared" si="25"/>
        <v>0.12913835459475415</v>
      </c>
      <c r="Q49" s="2606">
        <f t="shared" si="25"/>
        <v>0.12913835459475415</v>
      </c>
      <c r="R49" s="2606">
        <f t="shared" si="25"/>
        <v>0.12913835459475415</v>
      </c>
      <c r="S49" s="2607">
        <f t="shared" si="25"/>
        <v>0.12913835459475415</v>
      </c>
      <c r="T49" s="158" t="s">
        <v>660</v>
      </c>
    </row>
    <row r="50" spans="1:21" x14ac:dyDescent="0.25">
      <c r="A50" s="3441"/>
      <c r="B50" s="2854" t="s">
        <v>32</v>
      </c>
      <c r="C50" s="2658" t="s">
        <v>632</v>
      </c>
      <c r="D50" s="2656" t="s">
        <v>22</v>
      </c>
      <c r="E50" s="2466"/>
      <c r="F50" s="2466"/>
      <c r="G50" s="2464">
        <f t="shared" ref="G50:G56" si="26">SUM(H50:S50)</f>
        <v>186.33699999999996</v>
      </c>
      <c r="H50" s="2466">
        <f>SUM(H51:H55)</f>
        <v>7.3819999999999997</v>
      </c>
      <c r="I50" s="2466">
        <f t="shared" ref="I50:S50" si="27">SUM(I51:I55)</f>
        <v>17.399999999999999</v>
      </c>
      <c r="J50" s="2466">
        <f t="shared" si="27"/>
        <v>31.129000000000001</v>
      </c>
      <c r="K50" s="2466">
        <f t="shared" si="27"/>
        <v>49.994</v>
      </c>
      <c r="L50" s="2466">
        <f t="shared" si="27"/>
        <v>13.712999999999999</v>
      </c>
      <c r="M50" s="2466">
        <f t="shared" si="27"/>
        <v>24.154</v>
      </c>
      <c r="N50" s="2466">
        <f t="shared" si="27"/>
        <v>13.504</v>
      </c>
      <c r="O50" s="2466">
        <f t="shared" si="27"/>
        <v>7.6130000000000004</v>
      </c>
      <c r="P50" s="2466">
        <f t="shared" si="27"/>
        <v>7.4829999999999997</v>
      </c>
      <c r="Q50" s="2466">
        <f t="shared" si="27"/>
        <v>4.3490000000000002</v>
      </c>
      <c r="R50" s="2466">
        <f t="shared" si="27"/>
        <v>4.2130000000000001</v>
      </c>
      <c r="S50" s="2467">
        <f t="shared" si="27"/>
        <v>5.4029999999999996</v>
      </c>
      <c r="T50" s="158" t="s">
        <v>484</v>
      </c>
    </row>
    <row r="51" spans="1:21" x14ac:dyDescent="0.25">
      <c r="A51" s="3441"/>
      <c r="B51" s="2854" t="s">
        <v>732</v>
      </c>
      <c r="C51" s="2660" t="s">
        <v>3</v>
      </c>
      <c r="D51" s="2656" t="s">
        <v>22</v>
      </c>
      <c r="E51" s="2466"/>
      <c r="F51" s="2466"/>
      <c r="G51" s="2464">
        <f t="shared" si="26"/>
        <v>0</v>
      </c>
      <c r="H51" s="2466">
        <f>'Розрахунки Річного плану'!M142</f>
        <v>0</v>
      </c>
      <c r="I51" s="2466">
        <f>'Розрахунки Річного плану'!N142</f>
        <v>0</v>
      </c>
      <c r="J51" s="2466">
        <f>'Розрахунки Річного плану'!O142</f>
        <v>0</v>
      </c>
      <c r="K51" s="2466">
        <f>'Розрахунки Річного плану'!D142</f>
        <v>0</v>
      </c>
      <c r="L51" s="2466">
        <f>'Розрахунки Річного плану'!E142</f>
        <v>0</v>
      </c>
      <c r="M51" s="2466">
        <f>'Розрахунки Річного плану'!F142</f>
        <v>0</v>
      </c>
      <c r="N51" s="2466">
        <f>'Розрахунки Річного плану'!G142</f>
        <v>0</v>
      </c>
      <c r="O51" s="2466">
        <v>0</v>
      </c>
      <c r="P51" s="2466">
        <v>0</v>
      </c>
      <c r="Q51" s="2466">
        <v>0</v>
      </c>
      <c r="R51" s="2466">
        <v>0</v>
      </c>
      <c r="S51" s="2467">
        <v>0</v>
      </c>
      <c r="T51" s="158" t="s">
        <v>484</v>
      </c>
    </row>
    <row r="52" spans="1:21" x14ac:dyDescent="0.25">
      <c r="A52" s="3441"/>
      <c r="B52" s="2854" t="s">
        <v>756</v>
      </c>
      <c r="C52" s="2660" t="s">
        <v>170</v>
      </c>
      <c r="D52" s="2656" t="s">
        <v>22</v>
      </c>
      <c r="E52" s="2466"/>
      <c r="F52" s="2466"/>
      <c r="G52" s="2464">
        <f t="shared" si="26"/>
        <v>0</v>
      </c>
      <c r="H52" s="2466">
        <f>'Розрахунки Річного плану'!M146</f>
        <v>0</v>
      </c>
      <c r="I52" s="2466">
        <f>'Розрахунки Річного плану'!N146</f>
        <v>0</v>
      </c>
      <c r="J52" s="2466">
        <f>'Розрахунки Річного плану'!O146</f>
        <v>0</v>
      </c>
      <c r="K52" s="2466">
        <f>'Розрахунки Річного плану'!D146</f>
        <v>0</v>
      </c>
      <c r="L52" s="2466">
        <f>'Розрахунки Річного плану'!E146</f>
        <v>0</v>
      </c>
      <c r="M52" s="2466">
        <f>'Розрахунки Річного плану'!F146</f>
        <v>0</v>
      </c>
      <c r="N52" s="2466">
        <f>'Розрахунки Річного плану'!G146</f>
        <v>0</v>
      </c>
      <c r="O52" s="2466">
        <v>0</v>
      </c>
      <c r="P52" s="2466">
        <v>0</v>
      </c>
      <c r="Q52" s="2466">
        <v>0</v>
      </c>
      <c r="R52" s="2466">
        <v>0</v>
      </c>
      <c r="S52" s="2467">
        <v>0</v>
      </c>
      <c r="T52" s="158" t="s">
        <v>484</v>
      </c>
    </row>
    <row r="53" spans="1:21" x14ac:dyDescent="0.25">
      <c r="A53" s="3441"/>
      <c r="B53" s="2854" t="s">
        <v>757</v>
      </c>
      <c r="C53" s="2660" t="s">
        <v>754</v>
      </c>
      <c r="D53" s="2656" t="s">
        <v>22</v>
      </c>
      <c r="E53" s="2466"/>
      <c r="F53" s="2466"/>
      <c r="G53" s="2464">
        <f t="shared" si="26"/>
        <v>0</v>
      </c>
      <c r="H53" s="2466">
        <f>'Розрахунки Річного плану'!M143</f>
        <v>0</v>
      </c>
      <c r="I53" s="2466">
        <f>'Розрахунки Річного плану'!N143</f>
        <v>0</v>
      </c>
      <c r="J53" s="2466">
        <f>'Розрахунки Річного плану'!O143</f>
        <v>0</v>
      </c>
      <c r="K53" s="2466">
        <f>'Розрахунки Річного плану'!D143</f>
        <v>0</v>
      </c>
      <c r="L53" s="2466">
        <f>'Розрахунки Річного плану'!E143</f>
        <v>0</v>
      </c>
      <c r="M53" s="2466">
        <f>'Розрахунки Річного плану'!F143</f>
        <v>0</v>
      </c>
      <c r="N53" s="2466">
        <f>'Розрахунки Річного плану'!G143</f>
        <v>0</v>
      </c>
      <c r="O53" s="2466">
        <v>0</v>
      </c>
      <c r="P53" s="2466">
        <v>0</v>
      </c>
      <c r="Q53" s="2466">
        <v>0</v>
      </c>
      <c r="R53" s="2466">
        <v>0</v>
      </c>
      <c r="S53" s="2467">
        <v>0</v>
      </c>
      <c r="T53" s="158" t="s">
        <v>484</v>
      </c>
      <c r="U53" s="88"/>
    </row>
    <row r="54" spans="1:21" x14ac:dyDescent="0.25">
      <c r="A54" s="3441"/>
      <c r="B54" s="2854" t="s">
        <v>758</v>
      </c>
      <c r="C54" s="2660" t="s">
        <v>163</v>
      </c>
      <c r="D54" s="2656" t="s">
        <v>22</v>
      </c>
      <c r="E54" s="2466"/>
      <c r="F54" s="2466"/>
      <c r="G54" s="2464">
        <f t="shared" si="26"/>
        <v>186.33699999999996</v>
      </c>
      <c r="H54" s="2466">
        <f>'Розрахунки Річного плану'!M144</f>
        <v>7.3819999999999997</v>
      </c>
      <c r="I54" s="2466">
        <f>'Розрахунки Річного плану'!N144</f>
        <v>17.399999999999999</v>
      </c>
      <c r="J54" s="2466">
        <f>'Розрахунки Річного плану'!O144</f>
        <v>31.129000000000001</v>
      </c>
      <c r="K54" s="2466">
        <f>'Розрахунки Річного плану'!D144</f>
        <v>49.994</v>
      </c>
      <c r="L54" s="2466">
        <f>'Розрахунки Річного плану'!E144</f>
        <v>13.712999999999999</v>
      </c>
      <c r="M54" s="2466">
        <f>'Розрахунки Річного плану'!F144</f>
        <v>24.154</v>
      </c>
      <c r="N54" s="2466">
        <f>'Розрахунки Річного плану'!G144</f>
        <v>13.504</v>
      </c>
      <c r="O54" s="2466">
        <f>'Розрахунки Річного плану'!H144</f>
        <v>7.6130000000000004</v>
      </c>
      <c r="P54" s="2466">
        <f>'Розрахунки Річного плану'!I144</f>
        <v>7.4829999999999997</v>
      </c>
      <c r="Q54" s="2466">
        <f>'Розрахунки Річного плану'!J144</f>
        <v>4.3490000000000002</v>
      </c>
      <c r="R54" s="2466">
        <f>'Розрахунки Річного плану'!K144</f>
        <v>4.2130000000000001</v>
      </c>
      <c r="S54" s="2467">
        <f>'Розрахунки Річного плану'!L144</f>
        <v>5.4029999999999996</v>
      </c>
      <c r="T54" s="158" t="s">
        <v>484</v>
      </c>
    </row>
    <row r="55" spans="1:21" ht="24" x14ac:dyDescent="0.25">
      <c r="A55" s="3441"/>
      <c r="B55" s="2854" t="s">
        <v>813</v>
      </c>
      <c r="C55" s="2660" t="s">
        <v>213</v>
      </c>
      <c r="D55" s="2656" t="s">
        <v>22</v>
      </c>
      <c r="E55" s="2466"/>
      <c r="F55" s="2466"/>
      <c r="G55" s="2464">
        <f t="shared" si="26"/>
        <v>0</v>
      </c>
      <c r="H55" s="2466">
        <f>'Розрахунки Річного плану'!M145</f>
        <v>0</v>
      </c>
      <c r="I55" s="2466">
        <f>'Розрахунки Річного плану'!N145</f>
        <v>0</v>
      </c>
      <c r="J55" s="2466">
        <f>'Розрахунки Річного плану'!O145</f>
        <v>0</v>
      </c>
      <c r="K55" s="2466">
        <f>'Розрахунки Річного плану'!D145</f>
        <v>0</v>
      </c>
      <c r="L55" s="2466">
        <f>'Розрахунки Річного плану'!E145</f>
        <v>0</v>
      </c>
      <c r="M55" s="2466">
        <f>'Розрахунки Річного плану'!F145</f>
        <v>0</v>
      </c>
      <c r="N55" s="2466">
        <f>'Розрахунки Річного плану'!G145</f>
        <v>0</v>
      </c>
      <c r="O55" s="2466">
        <f>'Розрахунки Річного плану'!H145</f>
        <v>0</v>
      </c>
      <c r="P55" s="2466">
        <f>'Розрахунки Річного плану'!I145</f>
        <v>0</v>
      </c>
      <c r="Q55" s="2466">
        <f>'Розрахунки Річного плану'!J145</f>
        <v>0</v>
      </c>
      <c r="R55" s="2466">
        <f>'Розрахунки Річного плану'!K145</f>
        <v>0</v>
      </c>
      <c r="S55" s="2467">
        <f>'Розрахунки Річного плану'!L145</f>
        <v>0</v>
      </c>
      <c r="T55" s="158" t="s">
        <v>484</v>
      </c>
    </row>
    <row r="56" spans="1:21" ht="48" x14ac:dyDescent="0.25">
      <c r="A56" s="3410"/>
      <c r="B56" s="2854"/>
      <c r="C56" s="2658" t="s">
        <v>661</v>
      </c>
      <c r="D56" s="2656" t="s">
        <v>22</v>
      </c>
      <c r="E56" s="2466"/>
      <c r="F56" s="2466"/>
      <c r="G56" s="2464">
        <f t="shared" si="26"/>
        <v>0</v>
      </c>
      <c r="H56" s="2464">
        <v>0</v>
      </c>
      <c r="I56" s="2464">
        <v>0</v>
      </c>
      <c r="J56" s="2464">
        <v>0</v>
      </c>
      <c r="K56" s="2464">
        <v>0</v>
      </c>
      <c r="L56" s="2464">
        <v>0</v>
      </c>
      <c r="M56" s="2464">
        <v>0</v>
      </c>
      <c r="N56" s="2464">
        <v>0</v>
      </c>
      <c r="O56" s="2464">
        <v>0</v>
      </c>
      <c r="P56" s="2464">
        <v>0</v>
      </c>
      <c r="Q56" s="2464">
        <v>0</v>
      </c>
      <c r="R56" s="2464">
        <v>0</v>
      </c>
      <c r="S56" s="2465">
        <v>0</v>
      </c>
      <c r="T56" s="158" t="s">
        <v>662</v>
      </c>
    </row>
    <row r="57" spans="1:21" x14ac:dyDescent="0.25">
      <c r="A57" s="3441"/>
      <c r="B57" s="2854"/>
      <c r="C57" s="2658" t="s">
        <v>736</v>
      </c>
      <c r="D57" s="2656" t="s">
        <v>4</v>
      </c>
      <c r="E57" s="2606"/>
      <c r="F57" s="2606"/>
      <c r="G57" s="2608">
        <v>0</v>
      </c>
      <c r="H57" s="2608">
        <v>0</v>
      </c>
      <c r="I57" s="2608">
        <v>0</v>
      </c>
      <c r="J57" s="2608">
        <v>0</v>
      </c>
      <c r="K57" s="2608">
        <v>0</v>
      </c>
      <c r="L57" s="2608">
        <v>0</v>
      </c>
      <c r="M57" s="2608">
        <v>0</v>
      </c>
      <c r="N57" s="2608">
        <v>0</v>
      </c>
      <c r="O57" s="2608">
        <v>0</v>
      </c>
      <c r="P57" s="2608">
        <v>0</v>
      </c>
      <c r="Q57" s="2608">
        <v>0</v>
      </c>
      <c r="R57" s="2608">
        <v>0</v>
      </c>
      <c r="S57" s="2609">
        <v>0</v>
      </c>
      <c r="T57" s="158" t="s">
        <v>660</v>
      </c>
    </row>
    <row r="58" spans="1:21" x14ac:dyDescent="0.25">
      <c r="A58" s="3441"/>
      <c r="B58" s="2854" t="s">
        <v>33</v>
      </c>
      <c r="C58" s="2658" t="s">
        <v>631</v>
      </c>
      <c r="D58" s="2656" t="s">
        <v>22</v>
      </c>
      <c r="E58" s="2466"/>
      <c r="F58" s="2466"/>
      <c r="G58" s="2464">
        <f t="shared" ref="G58:G64" si="28">SUM(H58:S58)</f>
        <v>675.77899999999988</v>
      </c>
      <c r="H58" s="2466">
        <f>SUM(H59:H63)</f>
        <v>17.138000000000002</v>
      </c>
      <c r="I58" s="2466">
        <f t="shared" ref="I58:S58" si="29">SUM(I59:I63)</f>
        <v>71.11</v>
      </c>
      <c r="J58" s="2466">
        <f t="shared" si="29"/>
        <v>88.781000000000006</v>
      </c>
      <c r="K58" s="2466">
        <f t="shared" si="29"/>
        <v>219.25599999999997</v>
      </c>
      <c r="L58" s="2466">
        <f t="shared" si="29"/>
        <v>87.566999999999979</v>
      </c>
      <c r="M58" s="2466">
        <f t="shared" si="29"/>
        <v>86.246000000000009</v>
      </c>
      <c r="N58" s="2466">
        <f t="shared" si="29"/>
        <v>26.236000000000001</v>
      </c>
      <c r="O58" s="2466">
        <f t="shared" si="29"/>
        <v>12.475</v>
      </c>
      <c r="P58" s="2466">
        <f t="shared" si="29"/>
        <v>17.788</v>
      </c>
      <c r="Q58" s="2466">
        <f t="shared" si="29"/>
        <v>16.77</v>
      </c>
      <c r="R58" s="2466">
        <f t="shared" si="29"/>
        <v>17.905999999999999</v>
      </c>
      <c r="S58" s="2467">
        <f t="shared" si="29"/>
        <v>14.506</v>
      </c>
      <c r="T58" s="158" t="s">
        <v>484</v>
      </c>
    </row>
    <row r="59" spans="1:21" x14ac:dyDescent="0.25">
      <c r="A59" s="3441"/>
      <c r="B59" s="2854" t="s">
        <v>733</v>
      </c>
      <c r="C59" s="2660" t="s">
        <v>3</v>
      </c>
      <c r="D59" s="2656" t="s">
        <v>22</v>
      </c>
      <c r="E59" s="2466"/>
      <c r="F59" s="2466"/>
      <c r="G59" s="2464">
        <f t="shared" si="28"/>
        <v>0</v>
      </c>
      <c r="H59" s="2466">
        <f>'Розрахунки Річного плану'!M148+'Розрахунки Річного плану'!M169</f>
        <v>0</v>
      </c>
      <c r="I59" s="2466">
        <f>'Розрахунки Річного плану'!N148+'Розрахунки Річного плану'!N169</f>
        <v>0</v>
      </c>
      <c r="J59" s="2466">
        <f>'Розрахунки Річного плану'!O148+'Розрахунки Річного плану'!O169</f>
        <v>0</v>
      </c>
      <c r="K59" s="2466">
        <f>'Розрахунки Річного плану'!D148+'Розрахунки Річного плану'!D169</f>
        <v>0</v>
      </c>
      <c r="L59" s="2466">
        <f>'Розрахунки Річного плану'!E148+'Розрахунки Річного плану'!E169</f>
        <v>0</v>
      </c>
      <c r="M59" s="2466">
        <f>'Розрахунки Річного плану'!F148+'Розрахунки Річного плану'!F169</f>
        <v>0</v>
      </c>
      <c r="N59" s="2466">
        <f>'Розрахунки Річного плану'!G148+'Розрахунки Річного плану'!G169</f>
        <v>0</v>
      </c>
      <c r="O59" s="2466">
        <v>0</v>
      </c>
      <c r="P59" s="2466">
        <v>0</v>
      </c>
      <c r="Q59" s="2466">
        <v>0</v>
      </c>
      <c r="R59" s="2466">
        <v>0</v>
      </c>
      <c r="S59" s="2467">
        <v>0</v>
      </c>
      <c r="T59" s="158" t="s">
        <v>484</v>
      </c>
    </row>
    <row r="60" spans="1:21" x14ac:dyDescent="0.25">
      <c r="A60" s="3441"/>
      <c r="B60" s="2854" t="s">
        <v>759</v>
      </c>
      <c r="C60" s="2660" t="s">
        <v>170</v>
      </c>
      <c r="D60" s="2656" t="s">
        <v>22</v>
      </c>
      <c r="E60" s="2466"/>
      <c r="F60" s="2466"/>
      <c r="G60" s="2464">
        <f t="shared" si="28"/>
        <v>0</v>
      </c>
      <c r="H60" s="2466">
        <f>'Розрахунки Річного плану'!M152</f>
        <v>0</v>
      </c>
      <c r="I60" s="2466">
        <f>'Розрахунки Річного плану'!N152</f>
        <v>0</v>
      </c>
      <c r="J60" s="2466">
        <f>'Розрахунки Річного плану'!O152</f>
        <v>0</v>
      </c>
      <c r="K60" s="2466">
        <f>'Розрахунки Річного плану'!D152</f>
        <v>0</v>
      </c>
      <c r="L60" s="2466">
        <f>'Розрахунки Річного плану'!E152</f>
        <v>0</v>
      </c>
      <c r="M60" s="2466">
        <f>'Розрахунки Річного плану'!F152</f>
        <v>0</v>
      </c>
      <c r="N60" s="2466">
        <f>'Розрахунки Річного плану'!G152</f>
        <v>0</v>
      </c>
      <c r="O60" s="2466">
        <v>0</v>
      </c>
      <c r="P60" s="2466">
        <v>0</v>
      </c>
      <c r="Q60" s="2466">
        <v>0</v>
      </c>
      <c r="R60" s="2466">
        <v>0</v>
      </c>
      <c r="S60" s="2467">
        <v>0</v>
      </c>
      <c r="T60" s="158" t="s">
        <v>484</v>
      </c>
      <c r="U60" s="3413"/>
    </row>
    <row r="61" spans="1:21" x14ac:dyDescent="0.25">
      <c r="A61" s="3441"/>
      <c r="B61" s="2854" t="s">
        <v>760</v>
      </c>
      <c r="C61" s="2660" t="s">
        <v>754</v>
      </c>
      <c r="D61" s="2656" t="s">
        <v>22</v>
      </c>
      <c r="E61" s="2466">
        <v>15.96</v>
      </c>
      <c r="F61" s="2466">
        <v>7.87</v>
      </c>
      <c r="G61" s="2464">
        <f t="shared" si="28"/>
        <v>0</v>
      </c>
      <c r="H61" s="2466">
        <f>'Розрахунки Річного плану'!M149+'Розрахунки Річного плану'!M170</f>
        <v>0</v>
      </c>
      <c r="I61" s="2466">
        <f>'Розрахунки Річного плану'!N149+'Розрахунки Річного плану'!N170</f>
        <v>0</v>
      </c>
      <c r="J61" s="2466">
        <f>'Розрахунки Річного плану'!O149+'Розрахунки Річного плану'!O170</f>
        <v>0</v>
      </c>
      <c r="K61" s="2466">
        <f>'Розрахунки Річного плану'!D149+'Розрахунки Річного плану'!D170</f>
        <v>0</v>
      </c>
      <c r="L61" s="2466">
        <f>'Розрахунки Річного плану'!E149+'Розрахунки Річного плану'!E170</f>
        <v>0</v>
      </c>
      <c r="M61" s="2466">
        <f>'Розрахунки Річного плану'!F149+'Розрахунки Річного плану'!F170</f>
        <v>0</v>
      </c>
      <c r="N61" s="2466">
        <f>'Розрахунки Річного плану'!G149+'Розрахунки Річного плану'!G170</f>
        <v>0</v>
      </c>
      <c r="O61" s="2466">
        <f>'Розрахунки Річного плану'!H149+'Розрахунки Річного плану'!H170</f>
        <v>0</v>
      </c>
      <c r="P61" s="2466">
        <f>'Розрахунки Річного плану'!I149+'Розрахунки Річного плану'!I170</f>
        <v>0</v>
      </c>
      <c r="Q61" s="2466">
        <f>'Розрахунки Річного плану'!J149+'Розрахунки Річного плану'!J170</f>
        <v>0</v>
      </c>
      <c r="R61" s="2466">
        <f>'Розрахунки Річного плану'!K149+'Розрахунки Річного плану'!K170</f>
        <v>0</v>
      </c>
      <c r="S61" s="2466">
        <f>'Розрахунки Річного плану'!L149+'Розрахунки Річного плану'!L170</f>
        <v>0</v>
      </c>
      <c r="T61" s="158" t="s">
        <v>484</v>
      </c>
      <c r="U61" s="3413"/>
    </row>
    <row r="62" spans="1:21" x14ac:dyDescent="0.25">
      <c r="A62" s="3441"/>
      <c r="B62" s="2854" t="s">
        <v>761</v>
      </c>
      <c r="C62" s="2660" t="s">
        <v>163</v>
      </c>
      <c r="D62" s="2656" t="s">
        <v>22</v>
      </c>
      <c r="E62" s="2466">
        <v>1890.88</v>
      </c>
      <c r="F62" s="2466">
        <v>510.14</v>
      </c>
      <c r="G62" s="2464">
        <f t="shared" si="28"/>
        <v>405.93691081898589</v>
      </c>
      <c r="H62" s="2466">
        <f>'Розрахунки Річного плану'!M150</f>
        <v>12.185048934945309</v>
      </c>
      <c r="I62" s="2466">
        <f>'Розрахунки Річного плану'!N150</f>
        <v>41.224778763884331</v>
      </c>
      <c r="J62" s="2466">
        <f>'Розрахунки Річного плану'!O150</f>
        <v>51.184651480161932</v>
      </c>
      <c r="K62" s="2466">
        <f>'Розрахунки Річного плану'!D150</f>
        <v>125.95347932461223</v>
      </c>
      <c r="L62" s="2466">
        <f>'Розрахунки Річного плану'!E150</f>
        <v>50.385061083239805</v>
      </c>
      <c r="M62" s="2466">
        <f>'Розрахунки Річного плану'!F150</f>
        <v>49.865126119879804</v>
      </c>
      <c r="N62" s="2466">
        <f>'Розрахунки Річного плану'!G150</f>
        <v>18.653690270581464</v>
      </c>
      <c r="O62" s="2466">
        <f>'Розрахунки Річного плану'!H150</f>
        <v>8.869674726540012</v>
      </c>
      <c r="P62" s="2466">
        <f>'Розрахунки Річного плану'!I150</f>
        <v>12.647196315486472</v>
      </c>
      <c r="Q62" s="2466">
        <f>'Розрахунки Річного плану'!J150</f>
        <v>11.923402417962004</v>
      </c>
      <c r="R62" s="2466">
        <f>'Розрахунки Річного плану'!K150</f>
        <v>12.731093839953942</v>
      </c>
      <c r="S62" s="2466">
        <f>'Розрахунки Річного плану'!L150</f>
        <v>10.31370754173863</v>
      </c>
      <c r="T62" s="158" t="s">
        <v>484</v>
      </c>
      <c r="U62" s="3413"/>
    </row>
    <row r="63" spans="1:21" ht="24" x14ac:dyDescent="0.25">
      <c r="A63" s="3441"/>
      <c r="B63" s="2854" t="s">
        <v>814</v>
      </c>
      <c r="C63" s="2660" t="s">
        <v>213</v>
      </c>
      <c r="D63" s="2656" t="s">
        <v>22</v>
      </c>
      <c r="E63" s="2466">
        <v>38.92</v>
      </c>
      <c r="F63" s="2466">
        <v>10.68</v>
      </c>
      <c r="G63" s="2464">
        <f t="shared" si="28"/>
        <v>269.8420891810141</v>
      </c>
      <c r="H63" s="2466">
        <f>'Розрахунки Річного плану'!M151</f>
        <v>4.952951065054692</v>
      </c>
      <c r="I63" s="2466">
        <f>'Розрахунки Річного плану'!N151</f>
        <v>29.885221236115672</v>
      </c>
      <c r="J63" s="2466">
        <f>'Розрахунки Річного плану'!O151</f>
        <v>37.596348519838074</v>
      </c>
      <c r="K63" s="2466">
        <f>'Розрахунки Річного плану'!D151</f>
        <v>93.302520675387754</v>
      </c>
      <c r="L63" s="2466">
        <f>'Розрахунки Річного плану'!E151</f>
        <v>37.181938916760181</v>
      </c>
      <c r="M63" s="2466">
        <f>'Розрахунки Річного плану'!F151</f>
        <v>36.380873880120205</v>
      </c>
      <c r="N63" s="2466">
        <f>'Розрахунки Річного плану'!G151</f>
        <v>7.5823097294185375</v>
      </c>
      <c r="O63" s="2466">
        <f>'Розрахунки Річного плану'!H151</f>
        <v>3.6053252734599881</v>
      </c>
      <c r="P63" s="2466">
        <f>'Розрахунки Річного плану'!I151</f>
        <v>5.1408036845135285</v>
      </c>
      <c r="Q63" s="2466">
        <f>'Розрахунки Річного плану'!J151</f>
        <v>4.8465975820379956</v>
      </c>
      <c r="R63" s="2466">
        <f>'Розрахунки Річного плану'!K151</f>
        <v>5.1749061600460555</v>
      </c>
      <c r="S63" s="2466">
        <f>'Розрахунки Річного плану'!L151</f>
        <v>4.1922924582613703</v>
      </c>
      <c r="T63" s="158" t="s">
        <v>484</v>
      </c>
      <c r="U63" s="3413"/>
    </row>
    <row r="64" spans="1:21" ht="24" customHeight="1" x14ac:dyDescent="0.25">
      <c r="A64" s="3410"/>
      <c r="B64" s="2854"/>
      <c r="C64" s="2658" t="s">
        <v>661</v>
      </c>
      <c r="D64" s="2656" t="s">
        <v>22</v>
      </c>
      <c r="E64" s="2466">
        <v>0</v>
      </c>
      <c r="F64" s="2466">
        <v>0</v>
      </c>
      <c r="G64" s="2464">
        <f t="shared" si="28"/>
        <v>0</v>
      </c>
      <c r="H64" s="2464">
        <v>0</v>
      </c>
      <c r="I64" s="2464">
        <v>0</v>
      </c>
      <c r="J64" s="2464">
        <v>0</v>
      </c>
      <c r="K64" s="2464">
        <v>0</v>
      </c>
      <c r="L64" s="2464">
        <v>0</v>
      </c>
      <c r="M64" s="2464">
        <v>0</v>
      </c>
      <c r="N64" s="2464">
        <v>0</v>
      </c>
      <c r="O64" s="2464">
        <v>0</v>
      </c>
      <c r="P64" s="2464">
        <v>0</v>
      </c>
      <c r="Q64" s="2464">
        <v>0</v>
      </c>
      <c r="R64" s="2464">
        <v>0</v>
      </c>
      <c r="S64" s="2465">
        <v>0</v>
      </c>
      <c r="T64" s="158" t="s">
        <v>662</v>
      </c>
      <c r="U64" s="3413"/>
    </row>
    <row r="65" spans="1:27" ht="15.75" thickBot="1" x14ac:dyDescent="0.3">
      <c r="A65" s="3441"/>
      <c r="B65" s="2856"/>
      <c r="C65" s="2662" t="s">
        <v>737</v>
      </c>
      <c r="D65" s="2663" t="s">
        <v>4</v>
      </c>
      <c r="E65" s="2610">
        <v>0</v>
      </c>
      <c r="F65" s="2610">
        <v>0</v>
      </c>
      <c r="G65" s="2611">
        <v>0</v>
      </c>
      <c r="H65" s="2611">
        <v>0</v>
      </c>
      <c r="I65" s="2611">
        <v>0</v>
      </c>
      <c r="J65" s="2611">
        <v>0</v>
      </c>
      <c r="K65" s="2611">
        <v>0</v>
      </c>
      <c r="L65" s="2611">
        <v>0</v>
      </c>
      <c r="M65" s="2611">
        <v>0</v>
      </c>
      <c r="N65" s="2611">
        <v>0</v>
      </c>
      <c r="O65" s="2611">
        <v>0</v>
      </c>
      <c r="P65" s="2611">
        <v>0</v>
      </c>
      <c r="Q65" s="2611">
        <v>0</v>
      </c>
      <c r="R65" s="2611">
        <v>0</v>
      </c>
      <c r="S65" s="2612">
        <v>0</v>
      </c>
      <c r="T65" s="158" t="s">
        <v>660</v>
      </c>
    </row>
    <row r="66" spans="1:27" ht="36" x14ac:dyDescent="0.25">
      <c r="A66" s="3410"/>
      <c r="B66" s="2857">
        <v>7</v>
      </c>
      <c r="C66" s="2650" t="s">
        <v>663</v>
      </c>
      <c r="D66" s="2655" t="s">
        <v>22</v>
      </c>
      <c r="E66" s="2602">
        <v>0</v>
      </c>
      <c r="F66" s="2602">
        <v>0</v>
      </c>
      <c r="G66" s="2613">
        <f>SUM(H66:S66)</f>
        <v>0</v>
      </c>
      <c r="H66" s="2613">
        <v>0</v>
      </c>
      <c r="I66" s="2613">
        <v>0</v>
      </c>
      <c r="J66" s="2613">
        <v>0</v>
      </c>
      <c r="K66" s="2613">
        <v>0</v>
      </c>
      <c r="L66" s="2613">
        <v>0</v>
      </c>
      <c r="M66" s="2613">
        <v>0</v>
      </c>
      <c r="N66" s="2613">
        <v>0</v>
      </c>
      <c r="O66" s="2613">
        <v>0</v>
      </c>
      <c r="P66" s="2613">
        <v>0</v>
      </c>
      <c r="Q66" s="2613">
        <v>0</v>
      </c>
      <c r="R66" s="2613">
        <v>0</v>
      </c>
      <c r="S66" s="2614">
        <v>0</v>
      </c>
      <c r="T66" s="158" t="s">
        <v>664</v>
      </c>
    </row>
    <row r="67" spans="1:27" ht="36" x14ac:dyDescent="0.25">
      <c r="A67" s="3442"/>
      <c r="B67" s="2858">
        <v>8</v>
      </c>
      <c r="C67" s="2552" t="s">
        <v>505</v>
      </c>
      <c r="D67" s="2656" t="s">
        <v>22</v>
      </c>
      <c r="E67" s="2466">
        <v>0</v>
      </c>
      <c r="F67" s="2466">
        <v>0</v>
      </c>
      <c r="G67" s="2464">
        <f>SUM(H67:S67)</f>
        <v>0</v>
      </c>
      <c r="H67" s="2464">
        <v>0</v>
      </c>
      <c r="I67" s="2464">
        <v>0</v>
      </c>
      <c r="J67" s="2464">
        <v>0</v>
      </c>
      <c r="K67" s="2464">
        <v>0</v>
      </c>
      <c r="L67" s="2464">
        <v>0</v>
      </c>
      <c r="M67" s="2464">
        <v>0</v>
      </c>
      <c r="N67" s="2464">
        <v>0</v>
      </c>
      <c r="O67" s="2464">
        <v>0</v>
      </c>
      <c r="P67" s="2464">
        <v>0</v>
      </c>
      <c r="Q67" s="2464">
        <v>0</v>
      </c>
      <c r="R67" s="2464">
        <v>0</v>
      </c>
      <c r="S67" s="2465">
        <v>0</v>
      </c>
      <c r="T67" s="158" t="s">
        <v>665</v>
      </c>
    </row>
    <row r="68" spans="1:27" ht="15.75" thickBot="1" x14ac:dyDescent="0.3">
      <c r="A68" s="3441"/>
      <c r="B68" s="2855"/>
      <c r="C68" s="2664" t="s">
        <v>506</v>
      </c>
      <c r="D68" s="2657" t="s">
        <v>4</v>
      </c>
      <c r="E68" s="2615">
        <v>0</v>
      </c>
      <c r="F68" s="2615">
        <v>0</v>
      </c>
      <c r="G68" s="2615">
        <v>0</v>
      </c>
      <c r="H68" s="2615">
        <v>0</v>
      </c>
      <c r="I68" s="2615">
        <v>0</v>
      </c>
      <c r="J68" s="2615">
        <v>0</v>
      </c>
      <c r="K68" s="2615">
        <v>0</v>
      </c>
      <c r="L68" s="2615">
        <v>0</v>
      </c>
      <c r="M68" s="2615">
        <v>0</v>
      </c>
      <c r="N68" s="2615">
        <v>0</v>
      </c>
      <c r="O68" s="2615">
        <v>0</v>
      </c>
      <c r="P68" s="2615">
        <v>0</v>
      </c>
      <c r="Q68" s="2615">
        <v>0</v>
      </c>
      <c r="R68" s="2615">
        <v>0</v>
      </c>
      <c r="S68" s="2616">
        <v>0</v>
      </c>
      <c r="T68" s="158" t="s">
        <v>660</v>
      </c>
    </row>
    <row r="69" spans="1:27" ht="28.9" customHeight="1" x14ac:dyDescent="0.25">
      <c r="A69" s="3410"/>
      <c r="B69" s="2857">
        <v>9</v>
      </c>
      <c r="C69" s="2650" t="s">
        <v>507</v>
      </c>
      <c r="D69" s="2655" t="s">
        <v>22</v>
      </c>
      <c r="E69" s="2593">
        <f>E70+E71+E74</f>
        <v>10969.88</v>
      </c>
      <c r="F69" s="2593">
        <f t="shared" ref="F69:R69" si="30">F70+F71+F74</f>
        <v>2184.0500000000002</v>
      </c>
      <c r="G69" s="2593">
        <f>G70+G71+G74</f>
        <v>5813.7937458333327</v>
      </c>
      <c r="H69" s="2593">
        <f>H70+H71+H74</f>
        <v>131.21680000000001</v>
      </c>
      <c r="I69" s="2593">
        <f>I70+I71+I74</f>
        <v>795.01144999999985</v>
      </c>
      <c r="J69" s="2593">
        <f t="shared" si="30"/>
        <v>1013.9159666666665</v>
      </c>
      <c r="K69" s="2593">
        <f t="shared" si="30"/>
        <v>1198.4692999999997</v>
      </c>
      <c r="L69" s="2593">
        <f t="shared" si="30"/>
        <v>1000.2850083333333</v>
      </c>
      <c r="M69" s="2593">
        <f t="shared" si="30"/>
        <v>904.52562083333316</v>
      </c>
      <c r="N69" s="2593">
        <f t="shared" si="30"/>
        <v>126.98400000000001</v>
      </c>
      <c r="O69" s="2593">
        <f t="shared" si="30"/>
        <v>131.21680000000001</v>
      </c>
      <c r="P69" s="2593">
        <f t="shared" si="30"/>
        <v>126.98400000000001</v>
      </c>
      <c r="Q69" s="2593">
        <f t="shared" si="30"/>
        <v>131.21680000000001</v>
      </c>
      <c r="R69" s="2593">
        <f t="shared" si="30"/>
        <v>126.98400000000001</v>
      </c>
      <c r="S69" s="2595">
        <f>S70+S71+S74</f>
        <v>126.98400000000001</v>
      </c>
      <c r="T69" s="158" t="s">
        <v>666</v>
      </c>
      <c r="AA69" s="180"/>
    </row>
    <row r="70" spans="1:27" ht="24" x14ac:dyDescent="0.25">
      <c r="A70" s="3410"/>
      <c r="B70" s="2854" t="s">
        <v>161</v>
      </c>
      <c r="C70" s="2552" t="s">
        <v>667</v>
      </c>
      <c r="D70" s="2656" t="s">
        <v>22</v>
      </c>
      <c r="E70" s="2617">
        <v>0</v>
      </c>
      <c r="F70" s="2617">
        <v>0</v>
      </c>
      <c r="G70" s="2617">
        <v>0</v>
      </c>
      <c r="H70" s="2617">
        <v>0</v>
      </c>
      <c r="I70" s="2617">
        <v>0</v>
      </c>
      <c r="J70" s="2617">
        <v>0</v>
      </c>
      <c r="K70" s="2617">
        <v>0</v>
      </c>
      <c r="L70" s="2617">
        <v>0</v>
      </c>
      <c r="M70" s="2617">
        <v>0</v>
      </c>
      <c r="N70" s="2617">
        <v>0</v>
      </c>
      <c r="O70" s="2617">
        <v>0</v>
      </c>
      <c r="P70" s="2617">
        <v>0</v>
      </c>
      <c r="Q70" s="2617">
        <v>0</v>
      </c>
      <c r="R70" s="2617">
        <v>0</v>
      </c>
      <c r="S70" s="2618">
        <v>0</v>
      </c>
      <c r="T70" s="158" t="s">
        <v>668</v>
      </c>
      <c r="X70" s="182"/>
      <c r="Y70" s="182"/>
      <c r="Z70" s="182"/>
    </row>
    <row r="71" spans="1:27" ht="24" x14ac:dyDescent="0.25">
      <c r="A71" s="3410"/>
      <c r="B71" s="2854" t="s">
        <v>215</v>
      </c>
      <c r="C71" s="2552" t="s">
        <v>213</v>
      </c>
      <c r="D71" s="2665" t="s">
        <v>22</v>
      </c>
      <c r="E71" s="2466">
        <f>E72+E73</f>
        <v>2116.5700000000002</v>
      </c>
      <c r="F71" s="2466">
        <f t="shared" ref="F71:S71" si="31">F72+F73</f>
        <v>1344.92</v>
      </c>
      <c r="G71" s="2466">
        <f>G72+G73</f>
        <v>1914.2734936866668</v>
      </c>
      <c r="H71" s="2466">
        <f t="shared" si="31"/>
        <v>21.786799999999999</v>
      </c>
      <c r="I71" s="2466">
        <f t="shared" si="31"/>
        <v>280.35824535999996</v>
      </c>
      <c r="J71" s="2466">
        <f t="shared" si="31"/>
        <v>364.37924933333329</v>
      </c>
      <c r="K71" s="2466">
        <f t="shared" si="31"/>
        <v>436.00793199999987</v>
      </c>
      <c r="L71" s="2466">
        <f t="shared" si="31"/>
        <v>361.90890558666661</v>
      </c>
      <c r="M71" s="2466">
        <f t="shared" si="31"/>
        <v>321.92276140666661</v>
      </c>
      <c r="N71" s="2466">
        <f t="shared" si="31"/>
        <v>21.084</v>
      </c>
      <c r="O71" s="2466">
        <f t="shared" si="31"/>
        <v>21.786799999999999</v>
      </c>
      <c r="P71" s="2466">
        <f t="shared" si="31"/>
        <v>21.084</v>
      </c>
      <c r="Q71" s="2466">
        <f t="shared" si="31"/>
        <v>21.786799999999999</v>
      </c>
      <c r="R71" s="2466">
        <f t="shared" si="31"/>
        <v>21.084</v>
      </c>
      <c r="S71" s="2467">
        <f t="shared" si="31"/>
        <v>21.084</v>
      </c>
      <c r="T71" s="158" t="s">
        <v>669</v>
      </c>
    </row>
    <row r="72" spans="1:27" x14ac:dyDescent="0.25">
      <c r="A72" s="3410"/>
      <c r="B72" s="2854" t="s">
        <v>718</v>
      </c>
      <c r="C72" s="2649" t="s">
        <v>632</v>
      </c>
      <c r="D72" s="2665" t="s">
        <v>22</v>
      </c>
      <c r="E72" s="2619">
        <v>0</v>
      </c>
      <c r="F72" s="2619">
        <v>0</v>
      </c>
      <c r="G72" s="2464">
        <f>SUM(H72:S72)</f>
        <v>0</v>
      </c>
      <c r="H72" s="2464">
        <f>'Розрахунки Річного плану'!M107+'Розрахунки Річного плану'!M129</f>
        <v>0</v>
      </c>
      <c r="I72" s="2464">
        <f>'Розрахунки Річного плану'!N107+'Розрахунки Річного плану'!N129</f>
        <v>0</v>
      </c>
      <c r="J72" s="2464">
        <f>'Розрахунки Річного плану'!O107+'Розрахунки Річного плану'!O129</f>
        <v>0</v>
      </c>
      <c r="K72" s="2464">
        <f>'Розрахунки Річного плану'!D107+'Розрахунки Річного плану'!D129</f>
        <v>0</v>
      </c>
      <c r="L72" s="2464">
        <f>'Розрахунки Річного плану'!E107+'Розрахунки Річного плану'!E129</f>
        <v>0</v>
      </c>
      <c r="M72" s="2464">
        <f>'Розрахунки Річного плану'!F107+'Розрахунки Річного плану'!F129</f>
        <v>0</v>
      </c>
      <c r="N72" s="2464">
        <f>'Розрахунки Річного плану'!G107+'Розрахунки Річного плану'!G129</f>
        <v>0</v>
      </c>
      <c r="O72" s="2464">
        <f>'Розрахунки Річного плану'!H107+'Розрахунки Річного плану'!H129</f>
        <v>0</v>
      </c>
      <c r="P72" s="2464">
        <f>'Розрахунки Річного плану'!I107+'Розрахунки Річного плану'!I129</f>
        <v>0</v>
      </c>
      <c r="Q72" s="2464">
        <f>'Розрахунки Річного плану'!J107+'Розрахунки Річного плану'!J129</f>
        <v>0</v>
      </c>
      <c r="R72" s="2464">
        <f>'Розрахунки Річного плану'!K107+'Розрахунки Річного плану'!K129</f>
        <v>0</v>
      </c>
      <c r="S72" s="2465">
        <f>'Розрахунки Річного плану'!L107+'Розрахунки Річного плану'!L129</f>
        <v>0</v>
      </c>
      <c r="T72" s="158" t="s">
        <v>484</v>
      </c>
    </row>
    <row r="73" spans="1:27" x14ac:dyDescent="0.25">
      <c r="A73" s="3410"/>
      <c r="B73" s="2854" t="s">
        <v>719</v>
      </c>
      <c r="C73" s="2649" t="s">
        <v>631</v>
      </c>
      <c r="D73" s="2665" t="s">
        <v>22</v>
      </c>
      <c r="E73" s="2466">
        <v>2116.5700000000002</v>
      </c>
      <c r="F73" s="2619">
        <v>1344.92</v>
      </c>
      <c r="G73" s="2464">
        <f>SUM(H73:S73)</f>
        <v>1914.2734936866668</v>
      </c>
      <c r="H73" s="2620">
        <f>'Розрахунки Річного плану'!M110+'Розрахунки Річного плану'!M132</f>
        <v>21.786799999999999</v>
      </c>
      <c r="I73" s="2620">
        <f>'Розрахунки Річного плану'!N110+'Розрахунки Річного плану'!N132</f>
        <v>280.35824535999996</v>
      </c>
      <c r="J73" s="2620">
        <f>'Розрахунки Річного плану'!O110+'Розрахунки Річного плану'!O132</f>
        <v>364.37924933333329</v>
      </c>
      <c r="K73" s="2620">
        <f>'Розрахунки Річного плану'!D110+'Розрахунки Річного плану'!D132</f>
        <v>436.00793199999987</v>
      </c>
      <c r="L73" s="2620">
        <f>'Розрахунки Річного плану'!E110+'Розрахунки Річного плану'!E132</f>
        <v>361.90890558666661</v>
      </c>
      <c r="M73" s="2620">
        <f>'Розрахунки Річного плану'!F110+'Розрахунки Річного плану'!F132</f>
        <v>321.92276140666661</v>
      </c>
      <c r="N73" s="2620">
        <f>'Розрахунки Річного плану'!G110+'Розрахунки Річного плану'!G132</f>
        <v>21.084</v>
      </c>
      <c r="O73" s="2620">
        <f>'Розрахунки Річного плану'!H110+'Розрахунки Річного плану'!H132</f>
        <v>21.786799999999999</v>
      </c>
      <c r="P73" s="2620">
        <f>'Розрахунки Річного плану'!I110+'Розрахунки Річного плану'!I132</f>
        <v>21.084</v>
      </c>
      <c r="Q73" s="2620">
        <f>'Розрахунки Річного плану'!J110+'Розрахунки Річного плану'!J132</f>
        <v>21.786799999999999</v>
      </c>
      <c r="R73" s="2620">
        <f>'Розрахунки Річного плану'!K110+'Розрахунки Річного плану'!K132</f>
        <v>21.084</v>
      </c>
      <c r="S73" s="2631">
        <f>'Розрахунки Річного плану'!L110+'Розрахунки Річного плану'!L132</f>
        <v>21.084</v>
      </c>
      <c r="T73" s="158" t="s">
        <v>484</v>
      </c>
    </row>
    <row r="74" spans="1:27" ht="36" x14ac:dyDescent="0.25">
      <c r="A74" s="3410"/>
      <c r="B74" s="2854" t="s">
        <v>355</v>
      </c>
      <c r="C74" s="2552" t="s">
        <v>214</v>
      </c>
      <c r="D74" s="2656" t="s">
        <v>22</v>
      </c>
      <c r="E74" s="2596">
        <f t="shared" ref="E74:S74" si="32">E75+E83+E87+E91</f>
        <v>8853.31</v>
      </c>
      <c r="F74" s="2596">
        <f>F75+F83+F87+F91</f>
        <v>839.13</v>
      </c>
      <c r="G74" s="2596">
        <f>G75+G83+G87+G91</f>
        <v>3899.5202521466663</v>
      </c>
      <c r="H74" s="2596">
        <f>H75+H83+H87+H91</f>
        <v>109.43</v>
      </c>
      <c r="I74" s="2596">
        <f>I75+I83+I87+I91</f>
        <v>514.6532046399999</v>
      </c>
      <c r="J74" s="2596">
        <f t="shared" si="32"/>
        <v>649.53671733333317</v>
      </c>
      <c r="K74" s="2596">
        <f t="shared" si="32"/>
        <v>762.46136799999999</v>
      </c>
      <c r="L74" s="2596">
        <f t="shared" si="32"/>
        <v>638.37610274666667</v>
      </c>
      <c r="M74" s="2596">
        <f t="shared" si="32"/>
        <v>582.60285942666656</v>
      </c>
      <c r="N74" s="2596">
        <f t="shared" si="32"/>
        <v>105.9</v>
      </c>
      <c r="O74" s="2596">
        <f t="shared" si="32"/>
        <v>109.43</v>
      </c>
      <c r="P74" s="2596">
        <f t="shared" si="32"/>
        <v>105.9</v>
      </c>
      <c r="Q74" s="2596">
        <f t="shared" si="32"/>
        <v>109.43</v>
      </c>
      <c r="R74" s="2596">
        <f t="shared" si="32"/>
        <v>105.9</v>
      </c>
      <c r="S74" s="2597">
        <f t="shared" si="32"/>
        <v>105.9</v>
      </c>
      <c r="T74" s="158" t="s">
        <v>669</v>
      </c>
      <c r="V74" s="88"/>
    </row>
    <row r="75" spans="1:27" x14ac:dyDescent="0.25">
      <c r="A75" s="3410"/>
      <c r="B75" s="2852" t="s">
        <v>508</v>
      </c>
      <c r="C75" s="2658" t="s">
        <v>3</v>
      </c>
      <c r="D75" s="2652" t="s">
        <v>22</v>
      </c>
      <c r="E75" s="2596">
        <v>0</v>
      </c>
      <c r="F75" s="2596">
        <v>0</v>
      </c>
      <c r="G75" s="2596">
        <f>SUM(H75:S75)</f>
        <v>0</v>
      </c>
      <c r="H75" s="2464">
        <f>H117+H134</f>
        <v>0</v>
      </c>
      <c r="I75" s="2464">
        <f t="shared" ref="I75:S75" si="33">I117+I134</f>
        <v>0</v>
      </c>
      <c r="J75" s="2464">
        <f t="shared" si="33"/>
        <v>0</v>
      </c>
      <c r="K75" s="2464">
        <f t="shared" si="33"/>
        <v>0</v>
      </c>
      <c r="L75" s="2464">
        <f t="shared" si="33"/>
        <v>0</v>
      </c>
      <c r="M75" s="2464">
        <f t="shared" si="33"/>
        <v>0</v>
      </c>
      <c r="N75" s="2464">
        <f t="shared" si="33"/>
        <v>0</v>
      </c>
      <c r="O75" s="2464">
        <f t="shared" si="33"/>
        <v>0</v>
      </c>
      <c r="P75" s="2464">
        <f t="shared" si="33"/>
        <v>0</v>
      </c>
      <c r="Q75" s="2464">
        <f t="shared" si="33"/>
        <v>0</v>
      </c>
      <c r="R75" s="2464">
        <f t="shared" si="33"/>
        <v>0</v>
      </c>
      <c r="S75" s="2465">
        <f t="shared" si="33"/>
        <v>0</v>
      </c>
      <c r="T75" s="158" t="s">
        <v>669</v>
      </c>
      <c r="U75" s="176"/>
    </row>
    <row r="76" spans="1:27" x14ac:dyDescent="0.25">
      <c r="A76" s="3410"/>
      <c r="B76" s="2852"/>
      <c r="C76" s="2658" t="s">
        <v>512</v>
      </c>
      <c r="D76" s="2652" t="s">
        <v>4</v>
      </c>
      <c r="E76" s="2621">
        <f>E75/E74</f>
        <v>0</v>
      </c>
      <c r="F76" s="2621">
        <f t="shared" ref="F76:N76" si="34">F75/F74</f>
        <v>0</v>
      </c>
      <c r="G76" s="2621">
        <f>G75/G74</f>
        <v>0</v>
      </c>
      <c r="H76" s="2621">
        <f t="shared" si="34"/>
        <v>0</v>
      </c>
      <c r="I76" s="2621">
        <f t="shared" si="34"/>
        <v>0</v>
      </c>
      <c r="J76" s="2621">
        <f t="shared" si="34"/>
        <v>0</v>
      </c>
      <c r="K76" s="2621">
        <f t="shared" si="34"/>
        <v>0</v>
      </c>
      <c r="L76" s="2621">
        <f t="shared" si="34"/>
        <v>0</v>
      </c>
      <c r="M76" s="2621">
        <f t="shared" si="34"/>
        <v>0</v>
      </c>
      <c r="N76" s="2621">
        <f t="shared" si="34"/>
        <v>0</v>
      </c>
      <c r="O76" s="2621">
        <v>0</v>
      </c>
      <c r="P76" s="2621">
        <v>0</v>
      </c>
      <c r="Q76" s="2621">
        <v>0</v>
      </c>
      <c r="R76" s="2621">
        <v>0</v>
      </c>
      <c r="S76" s="2622">
        <v>0</v>
      </c>
      <c r="T76" s="158" t="s">
        <v>670</v>
      </c>
    </row>
    <row r="77" spans="1:27" ht="15.75" thickBot="1" x14ac:dyDescent="0.3">
      <c r="A77" s="3410"/>
      <c r="B77" s="2859" t="s">
        <v>726</v>
      </c>
      <c r="C77" s="2653" t="s">
        <v>632</v>
      </c>
      <c r="D77" s="2654" t="s">
        <v>22</v>
      </c>
      <c r="E77" s="2625"/>
      <c r="F77" s="2625"/>
      <c r="G77" s="2625">
        <f t="shared" ref="G77:G83" si="35">SUM(H77:S77)</f>
        <v>0</v>
      </c>
      <c r="H77" s="2625">
        <f>H118</f>
        <v>0</v>
      </c>
      <c r="I77" s="2625">
        <f t="shared" ref="I77:S77" si="36">I118</f>
        <v>0</v>
      </c>
      <c r="J77" s="2625">
        <f t="shared" si="36"/>
        <v>0</v>
      </c>
      <c r="K77" s="2625">
        <f t="shared" si="36"/>
        <v>0</v>
      </c>
      <c r="L77" s="2625">
        <f t="shared" si="36"/>
        <v>0</v>
      </c>
      <c r="M77" s="2625">
        <f t="shared" si="36"/>
        <v>0</v>
      </c>
      <c r="N77" s="2625">
        <f t="shared" si="36"/>
        <v>0</v>
      </c>
      <c r="O77" s="2625">
        <f t="shared" si="36"/>
        <v>0</v>
      </c>
      <c r="P77" s="2625">
        <f t="shared" si="36"/>
        <v>0</v>
      </c>
      <c r="Q77" s="2625">
        <f t="shared" si="36"/>
        <v>0</v>
      </c>
      <c r="R77" s="2625">
        <f t="shared" si="36"/>
        <v>0</v>
      </c>
      <c r="S77" s="3432">
        <f t="shared" si="36"/>
        <v>0</v>
      </c>
      <c r="T77" s="158" t="s">
        <v>484</v>
      </c>
    </row>
    <row r="78" spans="1:27" x14ac:dyDescent="0.25">
      <c r="A78" s="3410"/>
      <c r="B78" s="3427" t="s">
        <v>728</v>
      </c>
      <c r="C78" s="3428" t="s">
        <v>700</v>
      </c>
      <c r="D78" s="3429" t="s">
        <v>22</v>
      </c>
      <c r="E78" s="3430"/>
      <c r="F78" s="3430"/>
      <c r="G78" s="3430">
        <f t="shared" si="35"/>
        <v>0</v>
      </c>
      <c r="H78" s="3430">
        <f t="shared" ref="H78:S82" si="37">H119</f>
        <v>0</v>
      </c>
      <c r="I78" s="3430">
        <f t="shared" si="37"/>
        <v>0</v>
      </c>
      <c r="J78" s="3430">
        <f t="shared" si="37"/>
        <v>0</v>
      </c>
      <c r="K78" s="3430">
        <f t="shared" si="37"/>
        <v>0</v>
      </c>
      <c r="L78" s="3430">
        <f t="shared" si="37"/>
        <v>0</v>
      </c>
      <c r="M78" s="3430">
        <f t="shared" si="37"/>
        <v>0</v>
      </c>
      <c r="N78" s="3430">
        <f t="shared" si="37"/>
        <v>0</v>
      </c>
      <c r="O78" s="3430">
        <f t="shared" si="37"/>
        <v>0</v>
      </c>
      <c r="P78" s="3430">
        <f t="shared" si="37"/>
        <v>0</v>
      </c>
      <c r="Q78" s="3430">
        <f t="shared" si="37"/>
        <v>0</v>
      </c>
      <c r="R78" s="3430">
        <f t="shared" si="37"/>
        <v>0</v>
      </c>
      <c r="S78" s="3431">
        <f t="shared" si="37"/>
        <v>0</v>
      </c>
      <c r="T78" s="158" t="s">
        <v>484</v>
      </c>
    </row>
    <row r="79" spans="1:27" x14ac:dyDescent="0.25">
      <c r="A79" s="3410"/>
      <c r="B79" s="3407" t="s">
        <v>729</v>
      </c>
      <c r="C79" s="2666" t="s">
        <v>699</v>
      </c>
      <c r="D79" s="2652" t="s">
        <v>22</v>
      </c>
      <c r="E79" s="2596"/>
      <c r="F79" s="2596"/>
      <c r="G79" s="2596">
        <f t="shared" si="35"/>
        <v>0</v>
      </c>
      <c r="H79" s="2596">
        <f t="shared" si="37"/>
        <v>0</v>
      </c>
      <c r="I79" s="2596">
        <f t="shared" si="37"/>
        <v>0</v>
      </c>
      <c r="J79" s="2596">
        <f t="shared" si="37"/>
        <v>0</v>
      </c>
      <c r="K79" s="2596">
        <f t="shared" si="37"/>
        <v>0</v>
      </c>
      <c r="L79" s="2596">
        <f t="shared" si="37"/>
        <v>0</v>
      </c>
      <c r="M79" s="2596">
        <f t="shared" si="37"/>
        <v>0</v>
      </c>
      <c r="N79" s="2596">
        <f t="shared" si="37"/>
        <v>0</v>
      </c>
      <c r="O79" s="2596">
        <f t="shared" si="37"/>
        <v>0</v>
      </c>
      <c r="P79" s="2596">
        <f t="shared" si="37"/>
        <v>0</v>
      </c>
      <c r="Q79" s="2596">
        <f t="shared" si="37"/>
        <v>0</v>
      </c>
      <c r="R79" s="2596">
        <f t="shared" si="37"/>
        <v>0</v>
      </c>
      <c r="S79" s="2597">
        <f t="shared" si="37"/>
        <v>0</v>
      </c>
      <c r="T79" s="158" t="s">
        <v>484</v>
      </c>
    </row>
    <row r="80" spans="1:27" x14ac:dyDescent="0.25">
      <c r="A80" s="3410"/>
      <c r="B80" s="2852" t="s">
        <v>727</v>
      </c>
      <c r="C80" s="2649" t="s">
        <v>631</v>
      </c>
      <c r="D80" s="2652" t="s">
        <v>22</v>
      </c>
      <c r="E80" s="2596"/>
      <c r="F80" s="2596"/>
      <c r="G80" s="2596">
        <f t="shared" si="35"/>
        <v>0</v>
      </c>
      <c r="H80" s="2596">
        <f t="shared" si="37"/>
        <v>0</v>
      </c>
      <c r="I80" s="2596">
        <f t="shared" si="37"/>
        <v>0</v>
      </c>
      <c r="J80" s="2596">
        <f t="shared" si="37"/>
        <v>0</v>
      </c>
      <c r="K80" s="2596">
        <f t="shared" si="37"/>
        <v>0</v>
      </c>
      <c r="L80" s="2596">
        <f t="shared" si="37"/>
        <v>0</v>
      </c>
      <c r="M80" s="2596">
        <f t="shared" si="37"/>
        <v>0</v>
      </c>
      <c r="N80" s="2596">
        <f t="shared" si="37"/>
        <v>0</v>
      </c>
      <c r="O80" s="2596">
        <f t="shared" si="37"/>
        <v>0</v>
      </c>
      <c r="P80" s="2596">
        <f t="shared" si="37"/>
        <v>0</v>
      </c>
      <c r="Q80" s="2596">
        <f t="shared" si="37"/>
        <v>0</v>
      </c>
      <c r="R80" s="2596">
        <f t="shared" si="37"/>
        <v>0</v>
      </c>
      <c r="S80" s="2597">
        <f t="shared" si="37"/>
        <v>0</v>
      </c>
      <c r="T80" s="158" t="s">
        <v>484</v>
      </c>
    </row>
    <row r="81" spans="1:23" x14ac:dyDescent="0.25">
      <c r="A81" s="3410"/>
      <c r="B81" s="2852" t="s">
        <v>730</v>
      </c>
      <c r="C81" s="2666" t="s">
        <v>700</v>
      </c>
      <c r="D81" s="2652" t="s">
        <v>22</v>
      </c>
      <c r="E81" s="2596"/>
      <c r="F81" s="2623"/>
      <c r="G81" s="2596">
        <f t="shared" si="35"/>
        <v>0</v>
      </c>
      <c r="H81" s="2596">
        <f t="shared" si="37"/>
        <v>0</v>
      </c>
      <c r="I81" s="2596">
        <f t="shared" si="37"/>
        <v>0</v>
      </c>
      <c r="J81" s="2596">
        <f t="shared" si="37"/>
        <v>0</v>
      </c>
      <c r="K81" s="2596">
        <f t="shared" si="37"/>
        <v>0</v>
      </c>
      <c r="L81" s="2596">
        <f t="shared" si="37"/>
        <v>0</v>
      </c>
      <c r="M81" s="2596">
        <f t="shared" si="37"/>
        <v>0</v>
      </c>
      <c r="N81" s="2596">
        <f t="shared" si="37"/>
        <v>0</v>
      </c>
      <c r="O81" s="2596">
        <f t="shared" si="37"/>
        <v>0</v>
      </c>
      <c r="P81" s="2596">
        <f t="shared" si="37"/>
        <v>0</v>
      </c>
      <c r="Q81" s="2596">
        <f t="shared" si="37"/>
        <v>0</v>
      </c>
      <c r="R81" s="2596">
        <f t="shared" si="37"/>
        <v>0</v>
      </c>
      <c r="S81" s="2597">
        <f t="shared" si="37"/>
        <v>0</v>
      </c>
      <c r="T81" s="158" t="s">
        <v>484</v>
      </c>
    </row>
    <row r="82" spans="1:23" x14ac:dyDescent="0.25">
      <c r="A82" s="3410"/>
      <c r="B82" s="2852" t="s">
        <v>731</v>
      </c>
      <c r="C82" s="2666" t="s">
        <v>699</v>
      </c>
      <c r="D82" s="2652" t="s">
        <v>22</v>
      </c>
      <c r="E82" s="2596"/>
      <c r="F82" s="2623"/>
      <c r="G82" s="2596">
        <f t="shared" si="35"/>
        <v>0</v>
      </c>
      <c r="H82" s="2596">
        <f t="shared" si="37"/>
        <v>0</v>
      </c>
      <c r="I82" s="2596">
        <f t="shared" si="37"/>
        <v>0</v>
      </c>
      <c r="J82" s="2596">
        <f t="shared" si="37"/>
        <v>0</v>
      </c>
      <c r="K82" s="2596">
        <f t="shared" si="37"/>
        <v>0</v>
      </c>
      <c r="L82" s="2596">
        <f t="shared" si="37"/>
        <v>0</v>
      </c>
      <c r="M82" s="2596">
        <f t="shared" si="37"/>
        <v>0</v>
      </c>
      <c r="N82" s="2596">
        <f t="shared" si="37"/>
        <v>0</v>
      </c>
      <c r="O82" s="2596">
        <f t="shared" si="37"/>
        <v>0</v>
      </c>
      <c r="P82" s="2596">
        <f t="shared" si="37"/>
        <v>0</v>
      </c>
      <c r="Q82" s="2596">
        <f t="shared" si="37"/>
        <v>0</v>
      </c>
      <c r="R82" s="2596">
        <f t="shared" si="37"/>
        <v>0</v>
      </c>
      <c r="S82" s="2597">
        <f t="shared" si="37"/>
        <v>0</v>
      </c>
      <c r="T82" s="158" t="s">
        <v>484</v>
      </c>
    </row>
    <row r="83" spans="1:23" x14ac:dyDescent="0.25">
      <c r="A83" s="3410"/>
      <c r="B83" s="2852" t="s">
        <v>509</v>
      </c>
      <c r="C83" s="2658" t="s">
        <v>174</v>
      </c>
      <c r="D83" s="2652" t="s">
        <v>22</v>
      </c>
      <c r="E83" s="2466">
        <v>0</v>
      </c>
      <c r="F83" s="2466">
        <v>0</v>
      </c>
      <c r="G83" s="2464">
        <f t="shared" si="35"/>
        <v>0</v>
      </c>
      <c r="H83" s="2464">
        <f t="shared" ref="H83:S83" si="38">H124+H137</f>
        <v>0</v>
      </c>
      <c r="I83" s="2464">
        <f t="shared" si="38"/>
        <v>0</v>
      </c>
      <c r="J83" s="2464">
        <f t="shared" si="38"/>
        <v>0</v>
      </c>
      <c r="K83" s="2464">
        <f t="shared" si="38"/>
        <v>0</v>
      </c>
      <c r="L83" s="2464">
        <f t="shared" si="38"/>
        <v>0</v>
      </c>
      <c r="M83" s="2464">
        <f t="shared" si="38"/>
        <v>0</v>
      </c>
      <c r="N83" s="2464">
        <f t="shared" si="38"/>
        <v>0</v>
      </c>
      <c r="O83" s="2464">
        <f t="shared" si="38"/>
        <v>0</v>
      </c>
      <c r="P83" s="2464">
        <f t="shared" si="38"/>
        <v>0</v>
      </c>
      <c r="Q83" s="2464">
        <f t="shared" si="38"/>
        <v>0</v>
      </c>
      <c r="R83" s="2464">
        <f t="shared" si="38"/>
        <v>0</v>
      </c>
      <c r="S83" s="2465">
        <f t="shared" si="38"/>
        <v>0</v>
      </c>
      <c r="T83" s="158" t="s">
        <v>669</v>
      </c>
      <c r="W83" s="180"/>
    </row>
    <row r="84" spans="1:23" x14ac:dyDescent="0.25">
      <c r="A84" s="3410"/>
      <c r="B84" s="2852"/>
      <c r="C84" s="2658" t="s">
        <v>512</v>
      </c>
      <c r="D84" s="2652" t="s">
        <v>4</v>
      </c>
      <c r="E84" s="2621">
        <f>E83/E74</f>
        <v>0</v>
      </c>
      <c r="F84" s="2621">
        <f t="shared" ref="F84:N84" si="39">F83/F74</f>
        <v>0</v>
      </c>
      <c r="G84" s="2621">
        <f t="shared" si="39"/>
        <v>0</v>
      </c>
      <c r="H84" s="2621">
        <f t="shared" si="39"/>
        <v>0</v>
      </c>
      <c r="I84" s="2621">
        <f t="shared" si="39"/>
        <v>0</v>
      </c>
      <c r="J84" s="2621">
        <f t="shared" si="39"/>
        <v>0</v>
      </c>
      <c r="K84" s="2621">
        <f t="shared" si="39"/>
        <v>0</v>
      </c>
      <c r="L84" s="2621">
        <f t="shared" si="39"/>
        <v>0</v>
      </c>
      <c r="M84" s="2621">
        <f t="shared" si="39"/>
        <v>0</v>
      </c>
      <c r="N84" s="2621">
        <f t="shared" si="39"/>
        <v>0</v>
      </c>
      <c r="O84" s="2621">
        <v>0</v>
      </c>
      <c r="P84" s="2621">
        <v>0</v>
      </c>
      <c r="Q84" s="2621">
        <v>0</v>
      </c>
      <c r="R84" s="2621">
        <v>0</v>
      </c>
      <c r="S84" s="2622">
        <v>0</v>
      </c>
      <c r="T84" s="158" t="s">
        <v>513</v>
      </c>
    </row>
    <row r="85" spans="1:23" x14ac:dyDescent="0.25">
      <c r="A85" s="3410"/>
      <c r="B85" s="2852" t="s">
        <v>724</v>
      </c>
      <c r="C85" s="2660" t="s">
        <v>632</v>
      </c>
      <c r="D85" s="2652" t="s">
        <v>22</v>
      </c>
      <c r="E85" s="2596"/>
      <c r="F85" s="2623"/>
      <c r="G85" s="2596">
        <f>SUM(H85:S85)</f>
        <v>0</v>
      </c>
      <c r="H85" s="2596">
        <f>H125</f>
        <v>0</v>
      </c>
      <c r="I85" s="2596">
        <f t="shared" ref="I85:S85" si="40">I125</f>
        <v>0</v>
      </c>
      <c r="J85" s="2596">
        <f t="shared" si="40"/>
        <v>0</v>
      </c>
      <c r="K85" s="2596">
        <f t="shared" si="40"/>
        <v>0</v>
      </c>
      <c r="L85" s="2596">
        <f t="shared" si="40"/>
        <v>0</v>
      </c>
      <c r="M85" s="2596">
        <f t="shared" si="40"/>
        <v>0</v>
      </c>
      <c r="N85" s="2596">
        <f t="shared" si="40"/>
        <v>0</v>
      </c>
      <c r="O85" s="2596">
        <f t="shared" si="40"/>
        <v>0</v>
      </c>
      <c r="P85" s="2596">
        <f t="shared" si="40"/>
        <v>0</v>
      </c>
      <c r="Q85" s="2596">
        <f t="shared" si="40"/>
        <v>0</v>
      </c>
      <c r="R85" s="2596">
        <f t="shared" si="40"/>
        <v>0</v>
      </c>
      <c r="S85" s="2597">
        <f t="shared" si="40"/>
        <v>0</v>
      </c>
      <c r="T85" s="158" t="s">
        <v>484</v>
      </c>
    </row>
    <row r="86" spans="1:23" x14ac:dyDescent="0.25">
      <c r="A86" s="3410"/>
      <c r="B86" s="2852" t="s">
        <v>725</v>
      </c>
      <c r="C86" s="2660" t="s">
        <v>631</v>
      </c>
      <c r="D86" s="2652" t="s">
        <v>22</v>
      </c>
      <c r="E86" s="2596"/>
      <c r="F86" s="2623"/>
      <c r="G86" s="2596">
        <f>SUM(H86:S86)</f>
        <v>0</v>
      </c>
      <c r="H86" s="2596">
        <f>H126</f>
        <v>0</v>
      </c>
      <c r="I86" s="2596">
        <f t="shared" ref="I86:S86" si="41">I126</f>
        <v>0</v>
      </c>
      <c r="J86" s="2596">
        <f t="shared" si="41"/>
        <v>0</v>
      </c>
      <c r="K86" s="2596">
        <f t="shared" si="41"/>
        <v>0</v>
      </c>
      <c r="L86" s="2596">
        <f t="shared" si="41"/>
        <v>0</v>
      </c>
      <c r="M86" s="2596">
        <f t="shared" si="41"/>
        <v>0</v>
      </c>
      <c r="N86" s="2596">
        <f t="shared" si="41"/>
        <v>0</v>
      </c>
      <c r="O86" s="2596">
        <f t="shared" si="41"/>
        <v>0</v>
      </c>
      <c r="P86" s="2596">
        <f t="shared" si="41"/>
        <v>0</v>
      </c>
      <c r="Q86" s="2596">
        <f t="shared" si="41"/>
        <v>0</v>
      </c>
      <c r="R86" s="2596">
        <f t="shared" si="41"/>
        <v>0</v>
      </c>
      <c r="S86" s="2597">
        <f t="shared" si="41"/>
        <v>0</v>
      </c>
      <c r="T86" s="158" t="s">
        <v>484</v>
      </c>
    </row>
    <row r="87" spans="1:23" x14ac:dyDescent="0.25">
      <c r="A87" s="3410"/>
      <c r="B87" s="2852" t="s">
        <v>510</v>
      </c>
      <c r="C87" s="2658" t="s">
        <v>98</v>
      </c>
      <c r="D87" s="2652" t="s">
        <v>22</v>
      </c>
      <c r="E87" s="2466">
        <v>198.47</v>
      </c>
      <c r="F87" s="2466">
        <v>86</v>
      </c>
      <c r="G87" s="2464">
        <f>SUM(H87:S87)</f>
        <v>0</v>
      </c>
      <c r="H87" s="2464">
        <f t="shared" ref="H87:S87" si="42">H127+H140</f>
        <v>0</v>
      </c>
      <c r="I87" s="2464">
        <f t="shared" si="42"/>
        <v>0</v>
      </c>
      <c r="J87" s="2464">
        <f>J127+J140</f>
        <v>0</v>
      </c>
      <c r="K87" s="2464">
        <f t="shared" si="42"/>
        <v>0</v>
      </c>
      <c r="L87" s="2464">
        <f t="shared" si="42"/>
        <v>0</v>
      </c>
      <c r="M87" s="2464">
        <f t="shared" si="42"/>
        <v>0</v>
      </c>
      <c r="N87" s="2464">
        <f t="shared" si="42"/>
        <v>0</v>
      </c>
      <c r="O87" s="2464">
        <f t="shared" si="42"/>
        <v>0</v>
      </c>
      <c r="P87" s="2464">
        <f t="shared" si="42"/>
        <v>0</v>
      </c>
      <c r="Q87" s="2464">
        <f t="shared" si="42"/>
        <v>0</v>
      </c>
      <c r="R87" s="2464">
        <f t="shared" si="42"/>
        <v>0</v>
      </c>
      <c r="S87" s="2465">
        <f t="shared" si="42"/>
        <v>0</v>
      </c>
      <c r="T87" s="158" t="s">
        <v>671</v>
      </c>
      <c r="W87" s="180"/>
    </row>
    <row r="88" spans="1:23" x14ac:dyDescent="0.25">
      <c r="A88" s="3410"/>
      <c r="B88" s="2852"/>
      <c r="C88" s="2658" t="s">
        <v>512</v>
      </c>
      <c r="D88" s="2652" t="s">
        <v>4</v>
      </c>
      <c r="E88" s="2621">
        <f>E87/E74</f>
        <v>2.2417604263264248E-2</v>
      </c>
      <c r="F88" s="2621">
        <f t="shared" ref="F88:N88" si="43">F87/F74</f>
        <v>0.10248709973424856</v>
      </c>
      <c r="G88" s="2621">
        <f>G87/G74</f>
        <v>0</v>
      </c>
      <c r="H88" s="2621">
        <f>H87/H74</f>
        <v>0</v>
      </c>
      <c r="I88" s="2621">
        <f t="shared" si="43"/>
        <v>0</v>
      </c>
      <c r="J88" s="2621">
        <f t="shared" si="43"/>
        <v>0</v>
      </c>
      <c r="K88" s="2621">
        <f t="shared" si="43"/>
        <v>0</v>
      </c>
      <c r="L88" s="2621">
        <f t="shared" si="43"/>
        <v>0</v>
      </c>
      <c r="M88" s="2621">
        <f t="shared" si="43"/>
        <v>0</v>
      </c>
      <c r="N88" s="2621">
        <f t="shared" si="43"/>
        <v>0</v>
      </c>
      <c r="O88" s="2621">
        <v>0</v>
      </c>
      <c r="P88" s="2621">
        <v>0</v>
      </c>
      <c r="Q88" s="2621">
        <v>0</v>
      </c>
      <c r="R88" s="2621">
        <v>0</v>
      </c>
      <c r="S88" s="2622">
        <v>0</v>
      </c>
      <c r="T88" s="158" t="s">
        <v>513</v>
      </c>
    </row>
    <row r="89" spans="1:23" x14ac:dyDescent="0.25">
      <c r="A89" s="3410"/>
      <c r="B89" s="2852" t="s">
        <v>722</v>
      </c>
      <c r="C89" s="2660" t="s">
        <v>632</v>
      </c>
      <c r="D89" s="2652" t="s">
        <v>22</v>
      </c>
      <c r="E89" s="2596"/>
      <c r="F89" s="2623"/>
      <c r="G89" s="2596">
        <f>SUM(H89:S89)</f>
        <v>0</v>
      </c>
      <c r="H89" s="2596">
        <f>H128</f>
        <v>0</v>
      </c>
      <c r="I89" s="2596">
        <f t="shared" ref="I89:S89" si="44">I128</f>
        <v>0</v>
      </c>
      <c r="J89" s="2596">
        <f t="shared" si="44"/>
        <v>0</v>
      </c>
      <c r="K89" s="2596">
        <f t="shared" si="44"/>
        <v>0</v>
      </c>
      <c r="L89" s="2596">
        <f t="shared" si="44"/>
        <v>0</v>
      </c>
      <c r="M89" s="2596">
        <f t="shared" si="44"/>
        <v>0</v>
      </c>
      <c r="N89" s="2596">
        <f t="shared" si="44"/>
        <v>0</v>
      </c>
      <c r="O89" s="2596">
        <f t="shared" si="44"/>
        <v>0</v>
      </c>
      <c r="P89" s="2596">
        <f t="shared" si="44"/>
        <v>0</v>
      </c>
      <c r="Q89" s="2596">
        <f t="shared" si="44"/>
        <v>0</v>
      </c>
      <c r="R89" s="2596">
        <f t="shared" si="44"/>
        <v>0</v>
      </c>
      <c r="S89" s="2597">
        <f t="shared" si="44"/>
        <v>0</v>
      </c>
      <c r="T89" s="158" t="s">
        <v>484</v>
      </c>
    </row>
    <row r="90" spans="1:23" x14ac:dyDescent="0.25">
      <c r="A90" s="3410"/>
      <c r="B90" s="2852" t="s">
        <v>723</v>
      </c>
      <c r="C90" s="2660" t="s">
        <v>631</v>
      </c>
      <c r="D90" s="2652" t="s">
        <v>22</v>
      </c>
      <c r="E90" s="2596">
        <v>198.47</v>
      </c>
      <c r="F90" s="2623">
        <v>86</v>
      </c>
      <c r="G90" s="2596">
        <f>SUM(H90:S90)</f>
        <v>0</v>
      </c>
      <c r="H90" s="2596">
        <f>H129</f>
        <v>0</v>
      </c>
      <c r="I90" s="2596">
        <f t="shared" ref="I90:S90" si="45">I129</f>
        <v>0</v>
      </c>
      <c r="J90" s="2596">
        <f t="shared" si="45"/>
        <v>0</v>
      </c>
      <c r="K90" s="2596">
        <f t="shared" si="45"/>
        <v>0</v>
      </c>
      <c r="L90" s="2596">
        <f t="shared" si="45"/>
        <v>0</v>
      </c>
      <c r="M90" s="2596">
        <f t="shared" si="45"/>
        <v>0</v>
      </c>
      <c r="N90" s="2596">
        <f t="shared" si="45"/>
        <v>0</v>
      </c>
      <c r="O90" s="2596">
        <f t="shared" si="45"/>
        <v>0</v>
      </c>
      <c r="P90" s="2596">
        <f t="shared" si="45"/>
        <v>0</v>
      </c>
      <c r="Q90" s="2596">
        <f t="shared" si="45"/>
        <v>0</v>
      </c>
      <c r="R90" s="2596">
        <f t="shared" si="45"/>
        <v>0</v>
      </c>
      <c r="S90" s="2597">
        <f t="shared" si="45"/>
        <v>0</v>
      </c>
      <c r="T90" s="158" t="s">
        <v>484</v>
      </c>
    </row>
    <row r="91" spans="1:23" x14ac:dyDescent="0.25">
      <c r="A91" s="3410"/>
      <c r="B91" s="2852" t="s">
        <v>511</v>
      </c>
      <c r="C91" s="2658" t="s">
        <v>99</v>
      </c>
      <c r="D91" s="2652" t="s">
        <v>22</v>
      </c>
      <c r="E91" s="2466">
        <f>E93+E94</f>
        <v>8654.84</v>
      </c>
      <c r="F91" s="2466">
        <f>F93+F94</f>
        <v>753.13</v>
      </c>
      <c r="G91" s="2464">
        <f>SUM(H91:S91)</f>
        <v>3899.5202521466663</v>
      </c>
      <c r="H91" s="2464">
        <f>H130+H143</f>
        <v>109.43</v>
      </c>
      <c r="I91" s="2464">
        <f t="shared" ref="I91:S91" si="46">I130+I143</f>
        <v>514.6532046399999</v>
      </c>
      <c r="J91" s="2464">
        <f t="shared" si="46"/>
        <v>649.53671733333317</v>
      </c>
      <c r="K91" s="2464">
        <f t="shared" si="46"/>
        <v>762.46136799999999</v>
      </c>
      <c r="L91" s="2464">
        <f t="shared" si="46"/>
        <v>638.37610274666667</v>
      </c>
      <c r="M91" s="2464">
        <f t="shared" si="46"/>
        <v>582.60285942666656</v>
      </c>
      <c r="N91" s="2464">
        <f t="shared" si="46"/>
        <v>105.9</v>
      </c>
      <c r="O91" s="2464">
        <f t="shared" si="46"/>
        <v>109.43</v>
      </c>
      <c r="P91" s="2464">
        <f t="shared" si="46"/>
        <v>105.9</v>
      </c>
      <c r="Q91" s="2464">
        <f t="shared" si="46"/>
        <v>109.43</v>
      </c>
      <c r="R91" s="2464">
        <f t="shared" si="46"/>
        <v>105.9</v>
      </c>
      <c r="S91" s="2465">
        <f t="shared" si="46"/>
        <v>105.9</v>
      </c>
      <c r="T91" s="158" t="s">
        <v>669</v>
      </c>
      <c r="W91" s="180"/>
    </row>
    <row r="92" spans="1:23" x14ac:dyDescent="0.25">
      <c r="A92" s="3410"/>
      <c r="B92" s="2852"/>
      <c r="C92" s="2658" t="s">
        <v>512</v>
      </c>
      <c r="D92" s="2652" t="s">
        <v>4</v>
      </c>
      <c r="E92" s="2621">
        <f>E91/E74</f>
        <v>0.97758239573673578</v>
      </c>
      <c r="F92" s="2621">
        <f>F91/F74</f>
        <v>0.89751290026575148</v>
      </c>
      <c r="G92" s="2621">
        <f>G91/G74</f>
        <v>1</v>
      </c>
      <c r="H92" s="2621">
        <f t="shared" ref="H92:N92" si="47">H91/H74</f>
        <v>1</v>
      </c>
      <c r="I92" s="2621">
        <f t="shared" si="47"/>
        <v>1</v>
      </c>
      <c r="J92" s="2621">
        <f t="shared" si="47"/>
        <v>1</v>
      </c>
      <c r="K92" s="2621">
        <f t="shared" si="47"/>
        <v>1</v>
      </c>
      <c r="L92" s="2621">
        <f t="shared" si="47"/>
        <v>1</v>
      </c>
      <c r="M92" s="2621">
        <f t="shared" si="47"/>
        <v>1</v>
      </c>
      <c r="N92" s="2621">
        <f t="shared" si="47"/>
        <v>1</v>
      </c>
      <c r="O92" s="2621">
        <v>0</v>
      </c>
      <c r="P92" s="2621">
        <v>0</v>
      </c>
      <c r="Q92" s="2621">
        <v>0</v>
      </c>
      <c r="R92" s="2621">
        <v>0</v>
      </c>
      <c r="S92" s="2622">
        <v>0</v>
      </c>
      <c r="T92" s="158" t="s">
        <v>513</v>
      </c>
    </row>
    <row r="93" spans="1:23" x14ac:dyDescent="0.25">
      <c r="A93" s="3410"/>
      <c r="B93" s="2852" t="s">
        <v>720</v>
      </c>
      <c r="C93" s="2660" t="s">
        <v>632</v>
      </c>
      <c r="D93" s="2652" t="s">
        <v>22</v>
      </c>
      <c r="E93" s="2596">
        <v>1173.53</v>
      </c>
      <c r="F93" s="2623">
        <v>102.21</v>
      </c>
      <c r="G93" s="2624">
        <f>SUM(H93:S93)</f>
        <v>1128.18201598</v>
      </c>
      <c r="H93" s="2624">
        <f>H131+H144</f>
        <v>55.831000000000003</v>
      </c>
      <c r="I93" s="2624">
        <f t="shared" ref="I93:S93" si="48">I131+I144</f>
        <v>127.91667863999999</v>
      </c>
      <c r="J93" s="2624">
        <f t="shared" si="48"/>
        <v>153.46128399999998</v>
      </c>
      <c r="K93" s="2624">
        <f t="shared" si="48"/>
        <v>173.87366800000001</v>
      </c>
      <c r="L93" s="2624">
        <f t="shared" si="48"/>
        <v>147.95513907999998</v>
      </c>
      <c r="M93" s="2624">
        <f t="shared" si="48"/>
        <v>141.36224626000001</v>
      </c>
      <c r="N93" s="2624">
        <f t="shared" si="48"/>
        <v>54.03</v>
      </c>
      <c r="O93" s="2624">
        <f t="shared" si="48"/>
        <v>55.831000000000003</v>
      </c>
      <c r="P93" s="2624">
        <f t="shared" si="48"/>
        <v>54.03</v>
      </c>
      <c r="Q93" s="2624">
        <f t="shared" si="48"/>
        <v>55.831000000000003</v>
      </c>
      <c r="R93" s="2624">
        <f t="shared" si="48"/>
        <v>54.03</v>
      </c>
      <c r="S93" s="3411">
        <f t="shared" si="48"/>
        <v>54.03</v>
      </c>
      <c r="T93" s="158" t="s">
        <v>484</v>
      </c>
    </row>
    <row r="94" spans="1:23" ht="15.75" thickBot="1" x14ac:dyDescent="0.3">
      <c r="A94" s="3410"/>
      <c r="B94" s="2859" t="s">
        <v>721</v>
      </c>
      <c r="C94" s="2667" t="s">
        <v>631</v>
      </c>
      <c r="D94" s="2654" t="s">
        <v>22</v>
      </c>
      <c r="E94" s="2625">
        <v>7481.31</v>
      </c>
      <c r="F94" s="3628">
        <v>650.91999999999996</v>
      </c>
      <c r="G94" s="2626">
        <f>SUM(H94:S94)</f>
        <v>2771.3382361666663</v>
      </c>
      <c r="H94" s="2626">
        <f>H132+H145</f>
        <v>53.599000000000004</v>
      </c>
      <c r="I94" s="2626">
        <f t="shared" ref="I94:S94" si="49">I132+I145</f>
        <v>386.73652599999997</v>
      </c>
      <c r="J94" s="2626">
        <f t="shared" si="49"/>
        <v>496.07543333333325</v>
      </c>
      <c r="K94" s="2626">
        <f t="shared" si="49"/>
        <v>588.58769999999993</v>
      </c>
      <c r="L94" s="2626">
        <f t="shared" si="49"/>
        <v>490.42096366666664</v>
      </c>
      <c r="M94" s="2626">
        <f t="shared" si="49"/>
        <v>441.24061316666661</v>
      </c>
      <c r="N94" s="2626">
        <f t="shared" si="49"/>
        <v>51.870000000000005</v>
      </c>
      <c r="O94" s="2626">
        <f t="shared" si="49"/>
        <v>53.599000000000004</v>
      </c>
      <c r="P94" s="2626">
        <f t="shared" si="49"/>
        <v>51.870000000000005</v>
      </c>
      <c r="Q94" s="2626">
        <f t="shared" si="49"/>
        <v>53.599000000000004</v>
      </c>
      <c r="R94" s="2626">
        <f t="shared" si="49"/>
        <v>51.870000000000005</v>
      </c>
      <c r="S94" s="3412">
        <f t="shared" si="49"/>
        <v>51.870000000000005</v>
      </c>
      <c r="T94" s="158" t="s">
        <v>484</v>
      </c>
      <c r="U94" s="175"/>
      <c r="V94" s="175"/>
    </row>
    <row r="95" spans="1:23" ht="38.25" customHeight="1" x14ac:dyDescent="0.25">
      <c r="A95" s="3410"/>
      <c r="B95" s="2851" t="s">
        <v>196</v>
      </c>
      <c r="C95" s="2659" t="s">
        <v>672</v>
      </c>
      <c r="D95" s="2651" t="s">
        <v>31</v>
      </c>
      <c r="E95" s="2627">
        <f>E96+E103+E106+E109+E112</f>
        <v>10.705</v>
      </c>
      <c r="F95" s="2627">
        <f>F96+F103+F106+F109+F112</f>
        <v>4.298</v>
      </c>
      <c r="G95" s="2627">
        <f>G96+G103+G106+G109+G112</f>
        <v>6.0419</v>
      </c>
      <c r="H95" s="2627">
        <f>H96+H103+H106+H109+H112</f>
        <v>6.0419</v>
      </c>
      <c r="I95" s="2627">
        <f t="shared" ref="I95:S95" si="50">I96+I103+I106+I109+I112</f>
        <v>6.0419</v>
      </c>
      <c r="J95" s="2627">
        <f t="shared" si="50"/>
        <v>6.0419</v>
      </c>
      <c r="K95" s="2627">
        <f t="shared" si="50"/>
        <v>6.0419</v>
      </c>
      <c r="L95" s="2627">
        <f t="shared" si="50"/>
        <v>6.0419</v>
      </c>
      <c r="M95" s="2627">
        <f t="shared" si="50"/>
        <v>6.0419</v>
      </c>
      <c r="N95" s="2627">
        <f t="shared" si="50"/>
        <v>6.0419</v>
      </c>
      <c r="O95" s="2627">
        <f t="shared" si="50"/>
        <v>6.0419</v>
      </c>
      <c r="P95" s="2627">
        <f t="shared" si="50"/>
        <v>6.0419</v>
      </c>
      <c r="Q95" s="2627">
        <f t="shared" si="50"/>
        <v>6.0419</v>
      </c>
      <c r="R95" s="2627">
        <f t="shared" si="50"/>
        <v>6.0419</v>
      </c>
      <c r="S95" s="2628">
        <f t="shared" si="50"/>
        <v>6.0419</v>
      </c>
      <c r="T95" s="158" t="s">
        <v>669</v>
      </c>
      <c r="U95" s="196"/>
      <c r="W95" s="177"/>
    </row>
    <row r="96" spans="1:23" x14ac:dyDescent="0.25">
      <c r="A96" s="3410"/>
      <c r="B96" s="2852" t="s">
        <v>89</v>
      </c>
      <c r="C96" s="2658" t="s">
        <v>3</v>
      </c>
      <c r="D96" s="2652" t="s">
        <v>31</v>
      </c>
      <c r="E96" s="2629">
        <v>0</v>
      </c>
      <c r="F96" s="2629">
        <v>0</v>
      </c>
      <c r="G96" s="2629">
        <f t="shared" ref="G96:S96" si="51">G97+G100</f>
        <v>0</v>
      </c>
      <c r="H96" s="2629">
        <f t="shared" si="51"/>
        <v>0</v>
      </c>
      <c r="I96" s="2629">
        <f t="shared" si="51"/>
        <v>0</v>
      </c>
      <c r="J96" s="2629">
        <f t="shared" si="51"/>
        <v>0</v>
      </c>
      <c r="K96" s="2629">
        <f t="shared" si="51"/>
        <v>0</v>
      </c>
      <c r="L96" s="2629">
        <f t="shared" si="51"/>
        <v>0</v>
      </c>
      <c r="M96" s="2629">
        <f t="shared" si="51"/>
        <v>0</v>
      </c>
      <c r="N96" s="2629">
        <f t="shared" si="51"/>
        <v>0</v>
      </c>
      <c r="O96" s="2629">
        <f t="shared" si="51"/>
        <v>0</v>
      </c>
      <c r="P96" s="2629">
        <f t="shared" si="51"/>
        <v>0</v>
      </c>
      <c r="Q96" s="2629">
        <f t="shared" si="51"/>
        <v>0</v>
      </c>
      <c r="R96" s="2629">
        <f t="shared" si="51"/>
        <v>0</v>
      </c>
      <c r="S96" s="2630">
        <f t="shared" si="51"/>
        <v>0</v>
      </c>
      <c r="T96" s="158" t="s">
        <v>669</v>
      </c>
      <c r="U96" s="196"/>
      <c r="W96" s="177"/>
    </row>
    <row r="97" spans="1:23" x14ac:dyDescent="0.25">
      <c r="A97" s="3410"/>
      <c r="B97" s="2852" t="s">
        <v>709</v>
      </c>
      <c r="C97" s="2649" t="s">
        <v>632</v>
      </c>
      <c r="D97" s="2652" t="s">
        <v>31</v>
      </c>
      <c r="E97" s="2629"/>
      <c r="F97" s="2629"/>
      <c r="G97" s="2629">
        <f t="shared" ref="G97:S97" si="52">G98+G99</f>
        <v>0</v>
      </c>
      <c r="H97" s="2629">
        <f t="shared" si="52"/>
        <v>0</v>
      </c>
      <c r="I97" s="2629">
        <f t="shared" si="52"/>
        <v>0</v>
      </c>
      <c r="J97" s="2629">
        <f t="shared" si="52"/>
        <v>0</v>
      </c>
      <c r="K97" s="2629">
        <f t="shared" si="52"/>
        <v>0</v>
      </c>
      <c r="L97" s="2629">
        <f t="shared" si="52"/>
        <v>0</v>
      </c>
      <c r="M97" s="2629">
        <f t="shared" si="52"/>
        <v>0</v>
      </c>
      <c r="N97" s="2629">
        <f t="shared" si="52"/>
        <v>0</v>
      </c>
      <c r="O97" s="2629">
        <f t="shared" si="52"/>
        <v>0</v>
      </c>
      <c r="P97" s="2629">
        <f t="shared" si="52"/>
        <v>0</v>
      </c>
      <c r="Q97" s="2629">
        <f t="shared" si="52"/>
        <v>0</v>
      </c>
      <c r="R97" s="2629">
        <f t="shared" si="52"/>
        <v>0</v>
      </c>
      <c r="S97" s="2630">
        <f t="shared" si="52"/>
        <v>0</v>
      </c>
      <c r="T97" s="158" t="s">
        <v>484</v>
      </c>
      <c r="U97" s="196"/>
      <c r="V97" s="177"/>
      <c r="W97" s="177"/>
    </row>
    <row r="98" spans="1:23" x14ac:dyDescent="0.25">
      <c r="A98" s="3410"/>
      <c r="B98" s="2852" t="s">
        <v>711</v>
      </c>
      <c r="C98" s="2666" t="s">
        <v>700</v>
      </c>
      <c r="D98" s="2652" t="s">
        <v>31</v>
      </c>
      <c r="E98" s="2629"/>
      <c r="F98" s="2629"/>
      <c r="G98" s="2620">
        <f>'Розрахунки Річного плану'!C17-'Розрахунки Річного плану'!C19+'Розрахунки Річного плану'!C25</f>
        <v>0</v>
      </c>
      <c r="H98" s="2620">
        <f>G98</f>
        <v>0</v>
      </c>
      <c r="I98" s="2620">
        <f t="shared" ref="I98:S98" si="53">H98</f>
        <v>0</v>
      </c>
      <c r="J98" s="2620">
        <f t="shared" si="53"/>
        <v>0</v>
      </c>
      <c r="K98" s="2620">
        <f t="shared" si="53"/>
        <v>0</v>
      </c>
      <c r="L98" s="2620">
        <f t="shared" si="53"/>
        <v>0</v>
      </c>
      <c r="M98" s="2620">
        <f t="shared" si="53"/>
        <v>0</v>
      </c>
      <c r="N98" s="2620">
        <f t="shared" si="53"/>
        <v>0</v>
      </c>
      <c r="O98" s="2620">
        <f t="shared" si="53"/>
        <v>0</v>
      </c>
      <c r="P98" s="2620">
        <f t="shared" si="53"/>
        <v>0</v>
      </c>
      <c r="Q98" s="2620">
        <f t="shared" si="53"/>
        <v>0</v>
      </c>
      <c r="R98" s="2620">
        <f t="shared" si="53"/>
        <v>0</v>
      </c>
      <c r="S98" s="2631">
        <f t="shared" si="53"/>
        <v>0</v>
      </c>
      <c r="T98" s="158" t="s">
        <v>484</v>
      </c>
      <c r="U98" s="196"/>
      <c r="V98" s="177"/>
      <c r="W98" s="177"/>
    </row>
    <row r="99" spans="1:23" x14ac:dyDescent="0.25">
      <c r="A99" s="3410"/>
      <c r="B99" s="2852" t="s">
        <v>712</v>
      </c>
      <c r="C99" s="2666" t="s">
        <v>699</v>
      </c>
      <c r="D99" s="2652" t="s">
        <v>31</v>
      </c>
      <c r="E99" s="2629"/>
      <c r="F99" s="2629"/>
      <c r="G99" s="2620">
        <f>'Розрахунки Річного плану'!C19</f>
        <v>0</v>
      </c>
      <c r="H99" s="2620">
        <f>G99</f>
        <v>0</v>
      </c>
      <c r="I99" s="2620">
        <f t="shared" ref="I99:S99" si="54">H99</f>
        <v>0</v>
      </c>
      <c r="J99" s="2620">
        <f t="shared" si="54"/>
        <v>0</v>
      </c>
      <c r="K99" s="2620">
        <f t="shared" si="54"/>
        <v>0</v>
      </c>
      <c r="L99" s="2620">
        <f t="shared" si="54"/>
        <v>0</v>
      </c>
      <c r="M99" s="2620">
        <f t="shared" si="54"/>
        <v>0</v>
      </c>
      <c r="N99" s="2620">
        <f t="shared" si="54"/>
        <v>0</v>
      </c>
      <c r="O99" s="2620">
        <f t="shared" si="54"/>
        <v>0</v>
      </c>
      <c r="P99" s="2620">
        <f t="shared" si="54"/>
        <v>0</v>
      </c>
      <c r="Q99" s="2620">
        <f t="shared" si="54"/>
        <v>0</v>
      </c>
      <c r="R99" s="2620">
        <f t="shared" si="54"/>
        <v>0</v>
      </c>
      <c r="S99" s="2631">
        <f t="shared" si="54"/>
        <v>0</v>
      </c>
      <c r="T99" s="158" t="s">
        <v>484</v>
      </c>
      <c r="U99" s="196"/>
      <c r="V99" s="177"/>
      <c r="W99" s="177"/>
    </row>
    <row r="100" spans="1:23" x14ac:dyDescent="0.25">
      <c r="A100" s="3410"/>
      <c r="B100" s="2852" t="s">
        <v>710</v>
      </c>
      <c r="C100" s="2649" t="s">
        <v>631</v>
      </c>
      <c r="D100" s="2652" t="s">
        <v>31</v>
      </c>
      <c r="E100" s="2629"/>
      <c r="F100" s="2629"/>
      <c r="G100" s="2629">
        <f t="shared" ref="G100:S100" si="55">G101+G102</f>
        <v>0</v>
      </c>
      <c r="H100" s="2629">
        <f t="shared" si="55"/>
        <v>0</v>
      </c>
      <c r="I100" s="2629">
        <f t="shared" si="55"/>
        <v>0</v>
      </c>
      <c r="J100" s="2629">
        <f t="shared" si="55"/>
        <v>0</v>
      </c>
      <c r="K100" s="2629">
        <f t="shared" si="55"/>
        <v>0</v>
      </c>
      <c r="L100" s="2629">
        <f t="shared" si="55"/>
        <v>0</v>
      </c>
      <c r="M100" s="2629">
        <f t="shared" si="55"/>
        <v>0</v>
      </c>
      <c r="N100" s="2629">
        <f t="shared" si="55"/>
        <v>0</v>
      </c>
      <c r="O100" s="2629">
        <f t="shared" si="55"/>
        <v>0</v>
      </c>
      <c r="P100" s="2629">
        <f t="shared" si="55"/>
        <v>0</v>
      </c>
      <c r="Q100" s="2629">
        <f t="shared" si="55"/>
        <v>0</v>
      </c>
      <c r="R100" s="2629">
        <f t="shared" si="55"/>
        <v>0</v>
      </c>
      <c r="S100" s="2630">
        <f t="shared" si="55"/>
        <v>0</v>
      </c>
      <c r="T100" s="158" t="s">
        <v>484</v>
      </c>
      <c r="U100" s="196"/>
      <c r="W100" s="177"/>
    </row>
    <row r="101" spans="1:23" x14ac:dyDescent="0.25">
      <c r="A101" s="3410"/>
      <c r="B101" s="2852" t="s">
        <v>713</v>
      </c>
      <c r="C101" s="2666" t="s">
        <v>700</v>
      </c>
      <c r="D101" s="2652" t="s">
        <v>31</v>
      </c>
      <c r="E101" s="2629"/>
      <c r="F101" s="2629"/>
      <c r="G101" s="2620">
        <f>'Розрахунки Річного плану'!C21-'Розрахунки Річного плану'!C22+'Розрахунки Річного плану'!C28</f>
        <v>0</v>
      </c>
      <c r="H101" s="2620">
        <f>G101</f>
        <v>0</v>
      </c>
      <c r="I101" s="2620">
        <f t="shared" ref="I101:S101" si="56">H101</f>
        <v>0</v>
      </c>
      <c r="J101" s="2620">
        <f t="shared" si="56"/>
        <v>0</v>
      </c>
      <c r="K101" s="2620">
        <f t="shared" si="56"/>
        <v>0</v>
      </c>
      <c r="L101" s="2620">
        <f t="shared" si="56"/>
        <v>0</v>
      </c>
      <c r="M101" s="2620">
        <f t="shared" si="56"/>
        <v>0</v>
      </c>
      <c r="N101" s="2620">
        <f t="shared" si="56"/>
        <v>0</v>
      </c>
      <c r="O101" s="2620">
        <f t="shared" si="56"/>
        <v>0</v>
      </c>
      <c r="P101" s="2620">
        <f t="shared" si="56"/>
        <v>0</v>
      </c>
      <c r="Q101" s="2620">
        <f t="shared" si="56"/>
        <v>0</v>
      </c>
      <c r="R101" s="2620">
        <f t="shared" si="56"/>
        <v>0</v>
      </c>
      <c r="S101" s="2631">
        <f t="shared" si="56"/>
        <v>0</v>
      </c>
      <c r="T101" s="158" t="s">
        <v>484</v>
      </c>
      <c r="U101" s="196"/>
      <c r="W101" s="177"/>
    </row>
    <row r="102" spans="1:23" x14ac:dyDescent="0.25">
      <c r="A102" s="3410"/>
      <c r="B102" s="2852" t="s">
        <v>714</v>
      </c>
      <c r="C102" s="2666" t="s">
        <v>699</v>
      </c>
      <c r="D102" s="2652" t="s">
        <v>31</v>
      </c>
      <c r="E102" s="2629"/>
      <c r="F102" s="2629"/>
      <c r="G102" s="2620">
        <f>'Розрахунки Річного плану'!C22</f>
        <v>0</v>
      </c>
      <c r="H102" s="2620">
        <f>G102</f>
        <v>0</v>
      </c>
      <c r="I102" s="2620">
        <f t="shared" ref="I102:S102" si="57">H102</f>
        <v>0</v>
      </c>
      <c r="J102" s="2620">
        <f t="shared" si="57"/>
        <v>0</v>
      </c>
      <c r="K102" s="2620">
        <f t="shared" si="57"/>
        <v>0</v>
      </c>
      <c r="L102" s="2620">
        <f t="shared" si="57"/>
        <v>0</v>
      </c>
      <c r="M102" s="2620">
        <f t="shared" si="57"/>
        <v>0</v>
      </c>
      <c r="N102" s="2620">
        <f t="shared" si="57"/>
        <v>0</v>
      </c>
      <c r="O102" s="2620">
        <f t="shared" si="57"/>
        <v>0</v>
      </c>
      <c r="P102" s="2620">
        <f t="shared" si="57"/>
        <v>0</v>
      </c>
      <c r="Q102" s="2620">
        <f t="shared" si="57"/>
        <v>0</v>
      </c>
      <c r="R102" s="2620">
        <f t="shared" si="57"/>
        <v>0</v>
      </c>
      <c r="S102" s="2631">
        <f t="shared" si="57"/>
        <v>0</v>
      </c>
      <c r="T102" s="158" t="s">
        <v>484</v>
      </c>
      <c r="U102" s="196"/>
      <c r="W102" s="177"/>
    </row>
    <row r="103" spans="1:23" x14ac:dyDescent="0.25">
      <c r="A103" s="3410"/>
      <c r="B103" s="2852" t="s">
        <v>91</v>
      </c>
      <c r="C103" s="2552" t="s">
        <v>174</v>
      </c>
      <c r="D103" s="2652" t="s">
        <v>31</v>
      </c>
      <c r="E103" s="2629">
        <v>0</v>
      </c>
      <c r="F103" s="2629">
        <v>0</v>
      </c>
      <c r="G103" s="2629">
        <f t="shared" ref="G103:S103" si="58">G104+G105</f>
        <v>0</v>
      </c>
      <c r="H103" s="2629">
        <f t="shared" si="58"/>
        <v>0</v>
      </c>
      <c r="I103" s="2629">
        <f t="shared" si="58"/>
        <v>0</v>
      </c>
      <c r="J103" s="2629">
        <f t="shared" si="58"/>
        <v>0</v>
      </c>
      <c r="K103" s="2629">
        <f t="shared" si="58"/>
        <v>0</v>
      </c>
      <c r="L103" s="2629">
        <f t="shared" si="58"/>
        <v>0</v>
      </c>
      <c r="M103" s="2629">
        <f t="shared" si="58"/>
        <v>0</v>
      </c>
      <c r="N103" s="2629">
        <f t="shared" si="58"/>
        <v>0</v>
      </c>
      <c r="O103" s="2629">
        <f t="shared" si="58"/>
        <v>0</v>
      </c>
      <c r="P103" s="2629">
        <f t="shared" si="58"/>
        <v>0</v>
      </c>
      <c r="Q103" s="2629">
        <f t="shared" si="58"/>
        <v>0</v>
      </c>
      <c r="R103" s="2629">
        <f t="shared" si="58"/>
        <v>0</v>
      </c>
      <c r="S103" s="2630">
        <f t="shared" si="58"/>
        <v>0</v>
      </c>
      <c r="T103" s="158" t="s">
        <v>669</v>
      </c>
      <c r="U103" s="196"/>
      <c r="W103" s="176"/>
    </row>
    <row r="104" spans="1:23" x14ac:dyDescent="0.25">
      <c r="A104" s="3410"/>
      <c r="B104" s="2852" t="s">
        <v>715</v>
      </c>
      <c r="C104" s="2649" t="s">
        <v>632</v>
      </c>
      <c r="D104" s="2652" t="s">
        <v>31</v>
      </c>
      <c r="E104" s="2629"/>
      <c r="F104" s="2629"/>
      <c r="G104" s="2620">
        <f>'Розрахунки Річного плану'!C54</f>
        <v>0</v>
      </c>
      <c r="H104" s="2620">
        <f>G104</f>
        <v>0</v>
      </c>
      <c r="I104" s="2620">
        <f t="shared" ref="I104:S104" si="59">H104</f>
        <v>0</v>
      </c>
      <c r="J104" s="2620">
        <f t="shared" si="59"/>
        <v>0</v>
      </c>
      <c r="K104" s="2620">
        <f t="shared" si="59"/>
        <v>0</v>
      </c>
      <c r="L104" s="2620">
        <f t="shared" si="59"/>
        <v>0</v>
      </c>
      <c r="M104" s="2620">
        <f t="shared" si="59"/>
        <v>0</v>
      </c>
      <c r="N104" s="2620">
        <f t="shared" si="59"/>
        <v>0</v>
      </c>
      <c r="O104" s="2620">
        <f t="shared" si="59"/>
        <v>0</v>
      </c>
      <c r="P104" s="2620">
        <f t="shared" si="59"/>
        <v>0</v>
      </c>
      <c r="Q104" s="2620">
        <f t="shared" si="59"/>
        <v>0</v>
      </c>
      <c r="R104" s="2620">
        <f t="shared" si="59"/>
        <v>0</v>
      </c>
      <c r="S104" s="2631">
        <f t="shared" si="59"/>
        <v>0</v>
      </c>
      <c r="T104" s="158" t="s">
        <v>484</v>
      </c>
      <c r="U104" s="196"/>
      <c r="W104" s="176"/>
    </row>
    <row r="105" spans="1:23" x14ac:dyDescent="0.25">
      <c r="A105" s="3410"/>
      <c r="B105" s="2852" t="s">
        <v>716</v>
      </c>
      <c r="C105" s="2649" t="s">
        <v>631</v>
      </c>
      <c r="D105" s="2652" t="s">
        <v>31</v>
      </c>
      <c r="E105" s="2629"/>
      <c r="F105" s="2629"/>
      <c r="G105" s="2620">
        <f>'Розрахунки Річного плану'!C57</f>
        <v>0</v>
      </c>
      <c r="H105" s="2620">
        <f>G105</f>
        <v>0</v>
      </c>
      <c r="I105" s="2620">
        <f t="shared" ref="I105:S105" si="60">H105</f>
        <v>0</v>
      </c>
      <c r="J105" s="2620">
        <f t="shared" si="60"/>
        <v>0</v>
      </c>
      <c r="K105" s="2620">
        <f t="shared" si="60"/>
        <v>0</v>
      </c>
      <c r="L105" s="2620">
        <f t="shared" si="60"/>
        <v>0</v>
      </c>
      <c r="M105" s="2620">
        <f t="shared" si="60"/>
        <v>0</v>
      </c>
      <c r="N105" s="2620">
        <f t="shared" si="60"/>
        <v>0</v>
      </c>
      <c r="O105" s="2620">
        <f t="shared" si="60"/>
        <v>0</v>
      </c>
      <c r="P105" s="2620">
        <f t="shared" si="60"/>
        <v>0</v>
      </c>
      <c r="Q105" s="2620">
        <f t="shared" si="60"/>
        <v>0</v>
      </c>
      <c r="R105" s="2620">
        <f t="shared" si="60"/>
        <v>0</v>
      </c>
      <c r="S105" s="2631">
        <f t="shared" si="60"/>
        <v>0</v>
      </c>
      <c r="T105" s="158" t="s">
        <v>484</v>
      </c>
      <c r="U105" s="196"/>
      <c r="W105" s="176"/>
    </row>
    <row r="106" spans="1:23" x14ac:dyDescent="0.25">
      <c r="A106" s="3410"/>
      <c r="B106" s="2852" t="s">
        <v>109</v>
      </c>
      <c r="C106" s="2552" t="s">
        <v>98</v>
      </c>
      <c r="D106" s="2652" t="s">
        <v>31</v>
      </c>
      <c r="E106" s="2629">
        <v>9.8000000000000004E-2</v>
      </c>
      <c r="F106" s="2629">
        <v>9.8000000000000004E-2</v>
      </c>
      <c r="G106" s="2620">
        <f>G107+G108</f>
        <v>0</v>
      </c>
      <c r="H106" s="2620">
        <f t="shared" ref="H106:S106" si="61">H107+H108</f>
        <v>0</v>
      </c>
      <c r="I106" s="2620">
        <f t="shared" si="61"/>
        <v>0</v>
      </c>
      <c r="J106" s="2620">
        <f t="shared" si="61"/>
        <v>0</v>
      </c>
      <c r="K106" s="2620">
        <f t="shared" si="61"/>
        <v>0</v>
      </c>
      <c r="L106" s="2620">
        <f t="shared" si="61"/>
        <v>0</v>
      </c>
      <c r="M106" s="2620">
        <f t="shared" si="61"/>
        <v>0</v>
      </c>
      <c r="N106" s="2620">
        <f t="shared" si="61"/>
        <v>0</v>
      </c>
      <c r="O106" s="2620">
        <f t="shared" si="61"/>
        <v>0</v>
      </c>
      <c r="P106" s="2620">
        <f t="shared" si="61"/>
        <v>0</v>
      </c>
      <c r="Q106" s="2620">
        <f t="shared" si="61"/>
        <v>0</v>
      </c>
      <c r="R106" s="2620">
        <f t="shared" si="61"/>
        <v>0</v>
      </c>
      <c r="S106" s="2631">
        <f t="shared" si="61"/>
        <v>0</v>
      </c>
      <c r="T106" s="158" t="s">
        <v>673</v>
      </c>
      <c r="U106" s="196"/>
      <c r="W106" s="176"/>
    </row>
    <row r="107" spans="1:23" x14ac:dyDescent="0.25">
      <c r="A107" s="3410"/>
      <c r="B107" s="2852" t="s">
        <v>705</v>
      </c>
      <c r="C107" s="2649" t="s">
        <v>632</v>
      </c>
      <c r="D107" s="2652" t="s">
        <v>31</v>
      </c>
      <c r="E107" s="2629"/>
      <c r="F107" s="2629"/>
      <c r="G107" s="2620">
        <f>'Розрахунки Річного плану'!C32</f>
        <v>0</v>
      </c>
      <c r="H107" s="2620">
        <f>G107</f>
        <v>0</v>
      </c>
      <c r="I107" s="2620">
        <f t="shared" ref="I107:S107" si="62">H107</f>
        <v>0</v>
      </c>
      <c r="J107" s="2620">
        <f t="shared" si="62"/>
        <v>0</v>
      </c>
      <c r="K107" s="2620">
        <f t="shared" si="62"/>
        <v>0</v>
      </c>
      <c r="L107" s="2620">
        <f t="shared" si="62"/>
        <v>0</v>
      </c>
      <c r="M107" s="2620">
        <f t="shared" si="62"/>
        <v>0</v>
      </c>
      <c r="N107" s="2620">
        <f t="shared" si="62"/>
        <v>0</v>
      </c>
      <c r="O107" s="2620">
        <f t="shared" si="62"/>
        <v>0</v>
      </c>
      <c r="P107" s="2620">
        <f t="shared" si="62"/>
        <v>0</v>
      </c>
      <c r="Q107" s="2620">
        <f t="shared" si="62"/>
        <v>0</v>
      </c>
      <c r="R107" s="2620">
        <f t="shared" si="62"/>
        <v>0</v>
      </c>
      <c r="S107" s="2631">
        <f t="shared" si="62"/>
        <v>0</v>
      </c>
      <c r="T107" s="158" t="s">
        <v>484</v>
      </c>
      <c r="U107" s="196"/>
      <c r="W107" s="176"/>
    </row>
    <row r="108" spans="1:23" x14ac:dyDescent="0.25">
      <c r="A108" s="3410"/>
      <c r="B108" s="2852" t="s">
        <v>706</v>
      </c>
      <c r="C108" s="2649" t="s">
        <v>631</v>
      </c>
      <c r="D108" s="2652" t="s">
        <v>31</v>
      </c>
      <c r="E108" s="2629">
        <v>9.8000000000000004E-2</v>
      </c>
      <c r="F108" s="2629">
        <v>9.8000000000000004E-2</v>
      </c>
      <c r="G108" s="2620">
        <f>'Розрахунки Річного плану'!C35</f>
        <v>0</v>
      </c>
      <c r="H108" s="2620">
        <f>G108</f>
        <v>0</v>
      </c>
      <c r="I108" s="2620">
        <f t="shared" ref="I108:S108" si="63">H108</f>
        <v>0</v>
      </c>
      <c r="J108" s="2620">
        <f t="shared" si="63"/>
        <v>0</v>
      </c>
      <c r="K108" s="2620">
        <f t="shared" si="63"/>
        <v>0</v>
      </c>
      <c r="L108" s="2620">
        <f t="shared" si="63"/>
        <v>0</v>
      </c>
      <c r="M108" s="2620">
        <f t="shared" si="63"/>
        <v>0</v>
      </c>
      <c r="N108" s="2620">
        <f t="shared" si="63"/>
        <v>0</v>
      </c>
      <c r="O108" s="2620">
        <f t="shared" si="63"/>
        <v>0</v>
      </c>
      <c r="P108" s="2620">
        <f t="shared" si="63"/>
        <v>0</v>
      </c>
      <c r="Q108" s="2620">
        <f t="shared" si="63"/>
        <v>0</v>
      </c>
      <c r="R108" s="2620">
        <f t="shared" si="63"/>
        <v>0</v>
      </c>
      <c r="S108" s="2631">
        <f t="shared" si="63"/>
        <v>0</v>
      </c>
      <c r="T108" s="158" t="s">
        <v>484</v>
      </c>
      <c r="U108" s="196"/>
      <c r="W108" s="176"/>
    </row>
    <row r="109" spans="1:23" x14ac:dyDescent="0.25">
      <c r="A109" s="3410"/>
      <c r="B109" s="2852" t="s">
        <v>514</v>
      </c>
      <c r="C109" s="2552" t="s">
        <v>99</v>
      </c>
      <c r="D109" s="2652" t="s">
        <v>31</v>
      </c>
      <c r="E109" s="2620">
        <f>E110+E111</f>
        <v>9.0499999999999989</v>
      </c>
      <c r="F109" s="2620">
        <f>F110+F111</f>
        <v>2.673</v>
      </c>
      <c r="G109" s="2620">
        <f>G110+G111</f>
        <v>4.5153999999999996</v>
      </c>
      <c r="H109" s="2620">
        <f t="shared" ref="H109:S109" si="64">H110+H111</f>
        <v>4.5153999999999996</v>
      </c>
      <c r="I109" s="2620">
        <f t="shared" si="64"/>
        <v>4.5153999999999996</v>
      </c>
      <c r="J109" s="2620">
        <f t="shared" si="64"/>
        <v>4.5153999999999996</v>
      </c>
      <c r="K109" s="2620">
        <f t="shared" si="64"/>
        <v>4.5153999999999996</v>
      </c>
      <c r="L109" s="2620">
        <f t="shared" si="64"/>
        <v>4.5153999999999996</v>
      </c>
      <c r="M109" s="2620">
        <f t="shared" si="64"/>
        <v>4.5153999999999996</v>
      </c>
      <c r="N109" s="2620">
        <f t="shared" si="64"/>
        <v>4.5153999999999996</v>
      </c>
      <c r="O109" s="2620">
        <f t="shared" si="64"/>
        <v>4.5153999999999996</v>
      </c>
      <c r="P109" s="2620">
        <f t="shared" si="64"/>
        <v>4.5153999999999996</v>
      </c>
      <c r="Q109" s="2620">
        <f t="shared" si="64"/>
        <v>4.5153999999999996</v>
      </c>
      <c r="R109" s="2620">
        <f t="shared" si="64"/>
        <v>4.5153999999999996</v>
      </c>
      <c r="S109" s="2631">
        <f t="shared" si="64"/>
        <v>4.5153999999999996</v>
      </c>
      <c r="T109" s="158" t="s">
        <v>669</v>
      </c>
      <c r="U109" s="196"/>
      <c r="W109" s="176"/>
    </row>
    <row r="110" spans="1:23" x14ac:dyDescent="0.25">
      <c r="A110" s="3410"/>
      <c r="B110" s="2852" t="s">
        <v>702</v>
      </c>
      <c r="C110" s="2649" t="s">
        <v>632</v>
      </c>
      <c r="D110" s="2652" t="s">
        <v>31</v>
      </c>
      <c r="E110" s="2629">
        <v>1.24</v>
      </c>
      <c r="F110" s="2629">
        <v>1.2250000000000001</v>
      </c>
      <c r="G110" s="2620">
        <f>'Розрахунки Річного плану'!C40+'Розрахунки Річного плану'!C62</f>
        <v>1.2254</v>
      </c>
      <c r="H110" s="2620">
        <f>G110</f>
        <v>1.2254</v>
      </c>
      <c r="I110" s="2620">
        <f t="shared" ref="I110:S110" si="65">H110</f>
        <v>1.2254</v>
      </c>
      <c r="J110" s="2620">
        <f t="shared" si="65"/>
        <v>1.2254</v>
      </c>
      <c r="K110" s="2620">
        <f t="shared" si="65"/>
        <v>1.2254</v>
      </c>
      <c r="L110" s="2620">
        <f t="shared" si="65"/>
        <v>1.2254</v>
      </c>
      <c r="M110" s="2620">
        <f t="shared" si="65"/>
        <v>1.2254</v>
      </c>
      <c r="N110" s="2620">
        <f t="shared" si="65"/>
        <v>1.2254</v>
      </c>
      <c r="O110" s="2620">
        <f t="shared" si="65"/>
        <v>1.2254</v>
      </c>
      <c r="P110" s="2620">
        <f t="shared" si="65"/>
        <v>1.2254</v>
      </c>
      <c r="Q110" s="2620">
        <f t="shared" si="65"/>
        <v>1.2254</v>
      </c>
      <c r="R110" s="2620">
        <f t="shared" si="65"/>
        <v>1.2254</v>
      </c>
      <c r="S110" s="2631">
        <f t="shared" si="65"/>
        <v>1.2254</v>
      </c>
      <c r="T110" s="158" t="s">
        <v>484</v>
      </c>
      <c r="U110" s="196"/>
      <c r="W110" s="176"/>
    </row>
    <row r="111" spans="1:23" x14ac:dyDescent="0.25">
      <c r="A111" s="3410"/>
      <c r="B111" s="2852" t="s">
        <v>703</v>
      </c>
      <c r="C111" s="2649" t="s">
        <v>631</v>
      </c>
      <c r="D111" s="2652" t="s">
        <v>31</v>
      </c>
      <c r="E111" s="2629">
        <v>7.81</v>
      </c>
      <c r="F111" s="2629">
        <v>1.448</v>
      </c>
      <c r="G111" s="2620">
        <f>'Розрахунки Річного плану'!C43+'Розрахунки Річного плану'!C65</f>
        <v>3.29</v>
      </c>
      <c r="H111" s="2620">
        <f>G111</f>
        <v>3.29</v>
      </c>
      <c r="I111" s="2620">
        <f t="shared" ref="I111:S111" si="66">H111</f>
        <v>3.29</v>
      </c>
      <c r="J111" s="2620">
        <f t="shared" si="66"/>
        <v>3.29</v>
      </c>
      <c r="K111" s="2620">
        <f t="shared" si="66"/>
        <v>3.29</v>
      </c>
      <c r="L111" s="2620">
        <f t="shared" si="66"/>
        <v>3.29</v>
      </c>
      <c r="M111" s="2620">
        <f t="shared" si="66"/>
        <v>3.29</v>
      </c>
      <c r="N111" s="2620">
        <f t="shared" si="66"/>
        <v>3.29</v>
      </c>
      <c r="O111" s="2620">
        <f t="shared" si="66"/>
        <v>3.29</v>
      </c>
      <c r="P111" s="2620">
        <f t="shared" si="66"/>
        <v>3.29</v>
      </c>
      <c r="Q111" s="2620">
        <f t="shared" si="66"/>
        <v>3.29</v>
      </c>
      <c r="R111" s="2620">
        <f t="shared" si="66"/>
        <v>3.29</v>
      </c>
      <c r="S111" s="2631">
        <f t="shared" si="66"/>
        <v>3.29</v>
      </c>
      <c r="T111" s="158" t="s">
        <v>484</v>
      </c>
      <c r="U111" s="196"/>
      <c r="W111" s="176"/>
    </row>
    <row r="112" spans="1:23" ht="24" x14ac:dyDescent="0.25">
      <c r="A112" s="3410"/>
      <c r="B112" s="2852" t="s">
        <v>701</v>
      </c>
      <c r="C112" s="2552" t="s">
        <v>213</v>
      </c>
      <c r="D112" s="2652" t="s">
        <v>31</v>
      </c>
      <c r="E112" s="2620">
        <f>E113+E114</f>
        <v>1.5569999999999999</v>
      </c>
      <c r="F112" s="2620">
        <f>F113+F114</f>
        <v>1.5269999999999999</v>
      </c>
      <c r="G112" s="2629">
        <f t="shared" ref="G112:S112" si="67">G113+G114</f>
        <v>1.5265</v>
      </c>
      <c r="H112" s="2629">
        <f t="shared" si="67"/>
        <v>1.5265</v>
      </c>
      <c r="I112" s="2629">
        <f t="shared" si="67"/>
        <v>1.5265</v>
      </c>
      <c r="J112" s="2629">
        <f t="shared" si="67"/>
        <v>1.5265</v>
      </c>
      <c r="K112" s="2629">
        <f t="shared" si="67"/>
        <v>1.5265</v>
      </c>
      <c r="L112" s="2629">
        <f t="shared" si="67"/>
        <v>1.5265</v>
      </c>
      <c r="M112" s="2629">
        <f t="shared" si="67"/>
        <v>1.5265</v>
      </c>
      <c r="N112" s="2629">
        <f t="shared" si="67"/>
        <v>1.5265</v>
      </c>
      <c r="O112" s="2629">
        <f t="shared" si="67"/>
        <v>1.5265</v>
      </c>
      <c r="P112" s="2629">
        <f t="shared" si="67"/>
        <v>1.5265</v>
      </c>
      <c r="Q112" s="2629">
        <f t="shared" si="67"/>
        <v>1.5265</v>
      </c>
      <c r="R112" s="2629">
        <f t="shared" si="67"/>
        <v>1.5265</v>
      </c>
      <c r="S112" s="2630">
        <f t="shared" si="67"/>
        <v>1.5265</v>
      </c>
      <c r="T112" s="158" t="s">
        <v>484</v>
      </c>
    </row>
    <row r="113" spans="1:23" x14ac:dyDescent="0.25">
      <c r="A113" s="3410"/>
      <c r="B113" s="2852" t="s">
        <v>707</v>
      </c>
      <c r="C113" s="2649" t="s">
        <v>632</v>
      </c>
      <c r="D113" s="2652" t="s">
        <v>31</v>
      </c>
      <c r="E113" s="2629">
        <v>0</v>
      </c>
      <c r="F113" s="2629">
        <v>0</v>
      </c>
      <c r="G113" s="2620">
        <f>'Розрахунки Річного плану'!C47+'Розрахунки Річного плану'!C69</f>
        <v>0</v>
      </c>
      <c r="H113" s="2620">
        <f>G113</f>
        <v>0</v>
      </c>
      <c r="I113" s="2620">
        <f t="shared" ref="I113:S113" si="68">H113</f>
        <v>0</v>
      </c>
      <c r="J113" s="2620">
        <f t="shared" si="68"/>
        <v>0</v>
      </c>
      <c r="K113" s="2620">
        <f t="shared" si="68"/>
        <v>0</v>
      </c>
      <c r="L113" s="2620">
        <f t="shared" si="68"/>
        <v>0</v>
      </c>
      <c r="M113" s="2620">
        <f t="shared" si="68"/>
        <v>0</v>
      </c>
      <c r="N113" s="2620">
        <f t="shared" si="68"/>
        <v>0</v>
      </c>
      <c r="O113" s="2620">
        <f t="shared" si="68"/>
        <v>0</v>
      </c>
      <c r="P113" s="2620">
        <f t="shared" si="68"/>
        <v>0</v>
      </c>
      <c r="Q113" s="2620">
        <f t="shared" si="68"/>
        <v>0</v>
      </c>
      <c r="R113" s="2620">
        <f t="shared" si="68"/>
        <v>0</v>
      </c>
      <c r="S113" s="2631">
        <f t="shared" si="68"/>
        <v>0</v>
      </c>
      <c r="T113" s="158" t="s">
        <v>484</v>
      </c>
    </row>
    <row r="114" spans="1:23" ht="15.75" thickBot="1" x14ac:dyDescent="0.3">
      <c r="A114" s="3410"/>
      <c r="B114" s="2859" t="s">
        <v>708</v>
      </c>
      <c r="C114" s="2653" t="s">
        <v>631</v>
      </c>
      <c r="D114" s="2654" t="s">
        <v>31</v>
      </c>
      <c r="E114" s="2632">
        <v>1.5569999999999999</v>
      </c>
      <c r="F114" s="2632">
        <v>1.5269999999999999</v>
      </c>
      <c r="G114" s="2633">
        <f>'Розрахунки Річного плану'!C50+'Розрахунки Річного плану'!C72</f>
        <v>1.5265</v>
      </c>
      <c r="H114" s="2633">
        <f>G114</f>
        <v>1.5265</v>
      </c>
      <c r="I114" s="2633">
        <f t="shared" ref="I114:S114" si="69">H114</f>
        <v>1.5265</v>
      </c>
      <c r="J114" s="2633">
        <f t="shared" si="69"/>
        <v>1.5265</v>
      </c>
      <c r="K114" s="2633">
        <f t="shared" si="69"/>
        <v>1.5265</v>
      </c>
      <c r="L114" s="2633">
        <f t="shared" si="69"/>
        <v>1.5265</v>
      </c>
      <c r="M114" s="2633">
        <f t="shared" si="69"/>
        <v>1.5265</v>
      </c>
      <c r="N114" s="2633">
        <f t="shared" si="69"/>
        <v>1.5265</v>
      </c>
      <c r="O114" s="2633">
        <f t="shared" si="69"/>
        <v>1.5265</v>
      </c>
      <c r="P114" s="2633">
        <f t="shared" si="69"/>
        <v>1.5265</v>
      </c>
      <c r="Q114" s="2633">
        <f t="shared" si="69"/>
        <v>1.5265</v>
      </c>
      <c r="R114" s="2633">
        <f t="shared" si="69"/>
        <v>1.5265</v>
      </c>
      <c r="S114" s="2634">
        <f t="shared" si="69"/>
        <v>1.5265</v>
      </c>
      <c r="T114" s="158" t="s">
        <v>484</v>
      </c>
    </row>
    <row r="115" spans="1:23" s="173" customFormat="1" ht="40.5" customHeight="1" thickBot="1" x14ac:dyDescent="0.3">
      <c r="A115" s="3443"/>
      <c r="B115" s="2860" t="s">
        <v>197</v>
      </c>
      <c r="C115" s="2668" t="s">
        <v>216</v>
      </c>
      <c r="D115" s="2669" t="s">
        <v>22</v>
      </c>
      <c r="E115" s="2635">
        <f>E116+E133</f>
        <v>0</v>
      </c>
      <c r="F115" s="2635">
        <f t="shared" ref="F115:S115" si="70">F116+F133</f>
        <v>0</v>
      </c>
      <c r="G115" s="2635">
        <f t="shared" si="70"/>
        <v>3899.5202521466667</v>
      </c>
      <c r="H115" s="2635">
        <f t="shared" si="70"/>
        <v>109.43</v>
      </c>
      <c r="I115" s="2635">
        <f>I116+I133</f>
        <v>514.6532046399999</v>
      </c>
      <c r="J115" s="2635">
        <f t="shared" si="70"/>
        <v>649.53671733333317</v>
      </c>
      <c r="K115" s="2635">
        <f t="shared" si="70"/>
        <v>762.46136799999999</v>
      </c>
      <c r="L115" s="2635">
        <f t="shared" si="70"/>
        <v>638.37610274666667</v>
      </c>
      <c r="M115" s="2635">
        <f t="shared" si="70"/>
        <v>582.60285942666656</v>
      </c>
      <c r="N115" s="2635">
        <f t="shared" si="70"/>
        <v>105.9</v>
      </c>
      <c r="O115" s="2635">
        <f t="shared" si="70"/>
        <v>109.43</v>
      </c>
      <c r="P115" s="2635">
        <f t="shared" si="70"/>
        <v>105.9</v>
      </c>
      <c r="Q115" s="2635">
        <f t="shared" si="70"/>
        <v>109.43</v>
      </c>
      <c r="R115" s="2635">
        <f t="shared" si="70"/>
        <v>105.9</v>
      </c>
      <c r="S115" s="2636">
        <f t="shared" si="70"/>
        <v>105.9</v>
      </c>
      <c r="T115" s="158" t="s">
        <v>669</v>
      </c>
      <c r="V115" s="174"/>
    </row>
    <row r="116" spans="1:23" s="173" customFormat="1" ht="24" x14ac:dyDescent="0.25">
      <c r="A116" s="3443"/>
      <c r="B116" s="2861" t="s">
        <v>92</v>
      </c>
      <c r="C116" s="2670" t="s">
        <v>217</v>
      </c>
      <c r="D116" s="2671" t="s">
        <v>22</v>
      </c>
      <c r="E116" s="2637">
        <f>E117+E124+E127+E130</f>
        <v>0</v>
      </c>
      <c r="F116" s="2637">
        <f t="shared" ref="F116:S116" si="71">F117+F124+F127+F130</f>
        <v>0</v>
      </c>
      <c r="G116" s="2637">
        <f t="shared" si="71"/>
        <v>2614.6002521466667</v>
      </c>
      <c r="H116" s="2637">
        <f t="shared" si="71"/>
        <v>0</v>
      </c>
      <c r="I116" s="2637">
        <f t="shared" si="71"/>
        <v>408.75320463999992</v>
      </c>
      <c r="J116" s="2637">
        <f t="shared" si="71"/>
        <v>540.10671733333322</v>
      </c>
      <c r="K116" s="2637">
        <f t="shared" si="71"/>
        <v>653.03136799999993</v>
      </c>
      <c r="L116" s="2637">
        <f t="shared" si="71"/>
        <v>539.53610274666664</v>
      </c>
      <c r="M116" s="2637">
        <f t="shared" si="71"/>
        <v>473.17285942666661</v>
      </c>
      <c r="N116" s="2637">
        <f t="shared" si="71"/>
        <v>0</v>
      </c>
      <c r="O116" s="2637">
        <f t="shared" si="71"/>
        <v>0</v>
      </c>
      <c r="P116" s="2637">
        <f t="shared" si="71"/>
        <v>0</v>
      </c>
      <c r="Q116" s="2637">
        <f t="shared" si="71"/>
        <v>0</v>
      </c>
      <c r="R116" s="2637">
        <f t="shared" si="71"/>
        <v>0</v>
      </c>
      <c r="S116" s="2638">
        <f t="shared" si="71"/>
        <v>0</v>
      </c>
      <c r="T116" s="158" t="s">
        <v>669</v>
      </c>
      <c r="U116" s="197"/>
      <c r="V116" s="179"/>
      <c r="W116" s="195"/>
    </row>
    <row r="117" spans="1:23" x14ac:dyDescent="0.25">
      <c r="A117" s="3410"/>
      <c r="B117" s="2852" t="s">
        <v>515</v>
      </c>
      <c r="C117" s="2552" t="s">
        <v>3</v>
      </c>
      <c r="D117" s="2656" t="s">
        <v>22</v>
      </c>
      <c r="E117" s="2466">
        <f>E118+E121</f>
        <v>0</v>
      </c>
      <c r="F117" s="2466">
        <f t="shared" ref="F117:S117" si="72">F118+F121</f>
        <v>0</v>
      </c>
      <c r="G117" s="2466">
        <f t="shared" si="72"/>
        <v>0</v>
      </c>
      <c r="H117" s="2466">
        <f t="shared" si="72"/>
        <v>0</v>
      </c>
      <c r="I117" s="2466">
        <f t="shared" si="72"/>
        <v>0</v>
      </c>
      <c r="J117" s="2466">
        <f t="shared" si="72"/>
        <v>0</v>
      </c>
      <c r="K117" s="2466">
        <f t="shared" si="72"/>
        <v>0</v>
      </c>
      <c r="L117" s="2466">
        <f t="shared" si="72"/>
        <v>0</v>
      </c>
      <c r="M117" s="2466">
        <f t="shared" si="72"/>
        <v>0</v>
      </c>
      <c r="N117" s="2466">
        <f t="shared" si="72"/>
        <v>0</v>
      </c>
      <c r="O117" s="2466">
        <f t="shared" si="72"/>
        <v>0</v>
      </c>
      <c r="P117" s="2466">
        <f t="shared" si="72"/>
        <v>0</v>
      </c>
      <c r="Q117" s="2466">
        <f t="shared" si="72"/>
        <v>0</v>
      </c>
      <c r="R117" s="2466">
        <f t="shared" si="72"/>
        <v>0</v>
      </c>
      <c r="S117" s="2467">
        <f t="shared" si="72"/>
        <v>0</v>
      </c>
      <c r="T117" s="158" t="s">
        <v>669</v>
      </c>
    </row>
    <row r="118" spans="1:23" x14ac:dyDescent="0.25">
      <c r="A118" s="3410"/>
      <c r="B118" s="2852" t="s">
        <v>692</v>
      </c>
      <c r="C118" s="2649" t="s">
        <v>632</v>
      </c>
      <c r="D118" s="2656" t="s">
        <v>22</v>
      </c>
      <c r="E118" s="2466">
        <f>E119+E120</f>
        <v>0</v>
      </c>
      <c r="F118" s="2466">
        <f>F119+F120</f>
        <v>0</v>
      </c>
      <c r="G118" s="2466">
        <f>G119+G120</f>
        <v>0</v>
      </c>
      <c r="H118" s="2466">
        <f t="shared" ref="H118:S118" si="73">H119+H120</f>
        <v>0</v>
      </c>
      <c r="I118" s="2466">
        <f t="shared" si="73"/>
        <v>0</v>
      </c>
      <c r="J118" s="2466">
        <f t="shared" si="73"/>
        <v>0</v>
      </c>
      <c r="K118" s="2466">
        <f t="shared" si="73"/>
        <v>0</v>
      </c>
      <c r="L118" s="2466">
        <f t="shared" si="73"/>
        <v>0</v>
      </c>
      <c r="M118" s="2466">
        <f t="shared" si="73"/>
        <v>0</v>
      </c>
      <c r="N118" s="2466">
        <f t="shared" si="73"/>
        <v>0</v>
      </c>
      <c r="O118" s="2466">
        <f t="shared" si="73"/>
        <v>0</v>
      </c>
      <c r="P118" s="2466">
        <f t="shared" si="73"/>
        <v>0</v>
      </c>
      <c r="Q118" s="2466">
        <f t="shared" si="73"/>
        <v>0</v>
      </c>
      <c r="R118" s="2466">
        <f t="shared" si="73"/>
        <v>0</v>
      </c>
      <c r="S118" s="2467">
        <f t="shared" si="73"/>
        <v>0</v>
      </c>
      <c r="T118" s="158" t="s">
        <v>484</v>
      </c>
    </row>
    <row r="119" spans="1:23" x14ac:dyDescent="0.25">
      <c r="A119" s="3410"/>
      <c r="B119" s="2852" t="s">
        <v>694</v>
      </c>
      <c r="C119" s="2666" t="s">
        <v>700</v>
      </c>
      <c r="D119" s="2656" t="s">
        <v>22</v>
      </c>
      <c r="E119" s="2466">
        <v>0</v>
      </c>
      <c r="F119" s="2466">
        <v>0</v>
      </c>
      <c r="G119" s="2464">
        <f>SUM(H119:S119)</f>
        <v>0</v>
      </c>
      <c r="H119" s="2464">
        <f>'Розрахунки Річного плану'!M78+'Розрахунки Річного плану'!M85</f>
        <v>0</v>
      </c>
      <c r="I119" s="2464">
        <f>'Розрахунки Річного плану'!N78+'Розрахунки Річного плану'!N85</f>
        <v>0</v>
      </c>
      <c r="J119" s="2464">
        <f>'Розрахунки Річного плану'!O78+'Розрахунки Річного плану'!O85</f>
        <v>0</v>
      </c>
      <c r="K119" s="2464">
        <f>'Розрахунки Річного плану'!D78+'Розрахунки Річного плану'!D85</f>
        <v>0</v>
      </c>
      <c r="L119" s="2464">
        <f>'Розрахунки Річного плану'!E78+'Розрахунки Річного плану'!E85</f>
        <v>0</v>
      </c>
      <c r="M119" s="2464">
        <f>'Розрахунки Річного плану'!F78+'Розрахунки Річного плану'!F85</f>
        <v>0</v>
      </c>
      <c r="N119" s="2464">
        <f>'Розрахунки Річного плану'!G78+'Розрахунки Річного плану'!G85</f>
        <v>0</v>
      </c>
      <c r="O119" s="2464">
        <v>0</v>
      </c>
      <c r="P119" s="2464">
        <v>0</v>
      </c>
      <c r="Q119" s="2464">
        <v>0</v>
      </c>
      <c r="R119" s="2464">
        <v>0</v>
      </c>
      <c r="S119" s="2465">
        <v>0</v>
      </c>
      <c r="T119" s="158" t="s">
        <v>484</v>
      </c>
    </row>
    <row r="120" spans="1:23" x14ac:dyDescent="0.25">
      <c r="A120" s="3410"/>
      <c r="B120" s="2852" t="s">
        <v>695</v>
      </c>
      <c r="C120" s="2666" t="s">
        <v>699</v>
      </c>
      <c r="D120" s="2656" t="s">
        <v>22</v>
      </c>
      <c r="E120" s="2466">
        <v>0</v>
      </c>
      <c r="F120" s="2466">
        <v>0</v>
      </c>
      <c r="G120" s="2464">
        <f>SUM(H120:S120)</f>
        <v>0</v>
      </c>
      <c r="H120" s="2464">
        <f>'Розрахунки Річного плану'!M79</f>
        <v>0</v>
      </c>
      <c r="I120" s="2464">
        <f>'Розрахунки Річного плану'!N79</f>
        <v>0</v>
      </c>
      <c r="J120" s="2464">
        <f>'Розрахунки Річного плану'!O79</f>
        <v>0</v>
      </c>
      <c r="K120" s="2464">
        <f>'Розрахунки Річного плану'!D79</f>
        <v>0</v>
      </c>
      <c r="L120" s="2464">
        <f>'Розрахунки Річного плану'!E79</f>
        <v>0</v>
      </c>
      <c r="M120" s="2464">
        <f>'Розрахунки Річного плану'!F79</f>
        <v>0</v>
      </c>
      <c r="N120" s="2464">
        <f>'Розрахунки Річного плану'!G79</f>
        <v>0</v>
      </c>
      <c r="O120" s="2464">
        <v>0</v>
      </c>
      <c r="P120" s="2464">
        <v>0</v>
      </c>
      <c r="Q120" s="2464">
        <v>0</v>
      </c>
      <c r="R120" s="2464">
        <v>0</v>
      </c>
      <c r="S120" s="2465">
        <v>0</v>
      </c>
      <c r="T120" s="158" t="s">
        <v>484</v>
      </c>
    </row>
    <row r="121" spans="1:23" x14ac:dyDescent="0.25">
      <c r="A121" s="3410"/>
      <c r="B121" s="2852" t="s">
        <v>693</v>
      </c>
      <c r="C121" s="2649" t="s">
        <v>631</v>
      </c>
      <c r="D121" s="2656" t="s">
        <v>22</v>
      </c>
      <c r="E121" s="2466">
        <f t="shared" ref="E121:S121" si="74">E122+E123</f>
        <v>0</v>
      </c>
      <c r="F121" s="2466">
        <f t="shared" si="74"/>
        <v>0</v>
      </c>
      <c r="G121" s="2466">
        <f t="shared" si="74"/>
        <v>0</v>
      </c>
      <c r="H121" s="2466">
        <f t="shared" si="74"/>
        <v>0</v>
      </c>
      <c r="I121" s="2466">
        <f t="shared" si="74"/>
        <v>0</v>
      </c>
      <c r="J121" s="2466">
        <f t="shared" si="74"/>
        <v>0</v>
      </c>
      <c r="K121" s="2466">
        <f t="shared" si="74"/>
        <v>0</v>
      </c>
      <c r="L121" s="2466">
        <f t="shared" si="74"/>
        <v>0</v>
      </c>
      <c r="M121" s="2466">
        <f t="shared" si="74"/>
        <v>0</v>
      </c>
      <c r="N121" s="2466">
        <f t="shared" si="74"/>
        <v>0</v>
      </c>
      <c r="O121" s="2466">
        <f t="shared" si="74"/>
        <v>0</v>
      </c>
      <c r="P121" s="2466">
        <f t="shared" si="74"/>
        <v>0</v>
      </c>
      <c r="Q121" s="2466">
        <f t="shared" si="74"/>
        <v>0</v>
      </c>
      <c r="R121" s="2466">
        <f t="shared" si="74"/>
        <v>0</v>
      </c>
      <c r="S121" s="2467">
        <f t="shared" si="74"/>
        <v>0</v>
      </c>
      <c r="T121" s="158" t="s">
        <v>484</v>
      </c>
    </row>
    <row r="122" spans="1:23" x14ac:dyDescent="0.25">
      <c r="A122" s="3410"/>
      <c r="B122" s="3407" t="s">
        <v>696</v>
      </c>
      <c r="C122" s="2666" t="s">
        <v>700</v>
      </c>
      <c r="D122" s="2656" t="s">
        <v>22</v>
      </c>
      <c r="E122" s="2466">
        <v>0</v>
      </c>
      <c r="F122" s="2466">
        <v>0</v>
      </c>
      <c r="G122" s="2464">
        <f>SUM(H122:S122)</f>
        <v>0</v>
      </c>
      <c r="H122" s="2464">
        <f>'Розрахунки Річного плану'!M81+'Розрахунки Річного плану'!M88</f>
        <v>0</v>
      </c>
      <c r="I122" s="2464">
        <f>'Розрахунки Річного плану'!N81+'Розрахунки Річного плану'!N88</f>
        <v>0</v>
      </c>
      <c r="J122" s="2464">
        <f>'Розрахунки Річного плану'!O81+'Розрахунки Річного плану'!O88</f>
        <v>0</v>
      </c>
      <c r="K122" s="2464">
        <f>'Розрахунки Річного плану'!D81+'Розрахунки Річного плану'!D88</f>
        <v>0</v>
      </c>
      <c r="L122" s="2464">
        <f>'Розрахунки Річного плану'!E81+'Розрахунки Річного плану'!E88</f>
        <v>0</v>
      </c>
      <c r="M122" s="2464">
        <f>'Розрахунки Річного плану'!F81+'Розрахунки Річного плану'!F88</f>
        <v>0</v>
      </c>
      <c r="N122" s="2464">
        <f>'Розрахунки Річного плану'!G81+'Розрахунки Річного плану'!G88</f>
        <v>0</v>
      </c>
      <c r="O122" s="2464">
        <v>0</v>
      </c>
      <c r="P122" s="2464">
        <v>0</v>
      </c>
      <c r="Q122" s="2464">
        <v>0</v>
      </c>
      <c r="R122" s="2464">
        <v>0</v>
      </c>
      <c r="S122" s="2465">
        <v>0</v>
      </c>
      <c r="T122" s="158" t="s">
        <v>484</v>
      </c>
    </row>
    <row r="123" spans="1:23" ht="15.75" thickBot="1" x14ac:dyDescent="0.3">
      <c r="A123" s="3410"/>
      <c r="B123" s="2859" t="s">
        <v>697</v>
      </c>
      <c r="C123" s="3435" t="s">
        <v>699</v>
      </c>
      <c r="D123" s="2657" t="s">
        <v>22</v>
      </c>
      <c r="E123" s="2604">
        <v>0</v>
      </c>
      <c r="F123" s="2604">
        <v>0</v>
      </c>
      <c r="G123" s="3436">
        <f>SUM(H123:R123)</f>
        <v>0</v>
      </c>
      <c r="H123" s="3436">
        <f>'Розрахунки Річного плану'!M83</f>
        <v>0</v>
      </c>
      <c r="I123" s="3436">
        <f>'Розрахунки Річного плану'!N83</f>
        <v>0</v>
      </c>
      <c r="J123" s="3436">
        <f>'Розрахунки Річного плану'!O83</f>
        <v>0</v>
      </c>
      <c r="K123" s="3436">
        <f>'Розрахунки Річного плану'!D83</f>
        <v>0</v>
      </c>
      <c r="L123" s="3436">
        <f>'Розрахунки Річного плану'!E83</f>
        <v>0</v>
      </c>
      <c r="M123" s="3436">
        <f>'Розрахунки Річного плану'!F83</f>
        <v>0</v>
      </c>
      <c r="N123" s="3436">
        <f>'Розрахунки Річного плану'!G83</f>
        <v>0</v>
      </c>
      <c r="O123" s="3436">
        <v>0</v>
      </c>
      <c r="P123" s="3436">
        <v>0</v>
      </c>
      <c r="Q123" s="3436">
        <v>0</v>
      </c>
      <c r="R123" s="3436">
        <v>0</v>
      </c>
      <c r="S123" s="3437">
        <v>0</v>
      </c>
      <c r="T123" s="158" t="s">
        <v>484</v>
      </c>
    </row>
    <row r="124" spans="1:23" x14ac:dyDescent="0.25">
      <c r="A124" s="3410"/>
      <c r="B124" s="3427" t="s">
        <v>516</v>
      </c>
      <c r="C124" s="3433" t="s">
        <v>174</v>
      </c>
      <c r="D124" s="3418" t="s">
        <v>22</v>
      </c>
      <c r="E124" s="3419">
        <f t="shared" ref="E124:S124" si="75">E125+E126</f>
        <v>0</v>
      </c>
      <c r="F124" s="3419">
        <f t="shared" si="75"/>
        <v>0</v>
      </c>
      <c r="G124" s="3419">
        <f t="shared" si="75"/>
        <v>0</v>
      </c>
      <c r="H124" s="3419">
        <f t="shared" si="75"/>
        <v>0</v>
      </c>
      <c r="I124" s="3419">
        <f t="shared" si="75"/>
        <v>0</v>
      </c>
      <c r="J124" s="3419">
        <f t="shared" si="75"/>
        <v>0</v>
      </c>
      <c r="K124" s="3419">
        <f t="shared" si="75"/>
        <v>0</v>
      </c>
      <c r="L124" s="3419">
        <f t="shared" si="75"/>
        <v>0</v>
      </c>
      <c r="M124" s="3419">
        <f t="shared" si="75"/>
        <v>0</v>
      </c>
      <c r="N124" s="3419">
        <f t="shared" si="75"/>
        <v>0</v>
      </c>
      <c r="O124" s="3419">
        <f t="shared" si="75"/>
        <v>0</v>
      </c>
      <c r="P124" s="3419">
        <f t="shared" si="75"/>
        <v>0</v>
      </c>
      <c r="Q124" s="3419">
        <f t="shared" si="75"/>
        <v>0</v>
      </c>
      <c r="R124" s="3419">
        <f t="shared" si="75"/>
        <v>0</v>
      </c>
      <c r="S124" s="3434">
        <f t="shared" si="75"/>
        <v>0</v>
      </c>
      <c r="T124" s="158" t="s">
        <v>669</v>
      </c>
    </row>
    <row r="125" spans="1:23" x14ac:dyDescent="0.25">
      <c r="A125" s="3410"/>
      <c r="B125" s="3407" t="s">
        <v>690</v>
      </c>
      <c r="C125" s="2649" t="s">
        <v>632</v>
      </c>
      <c r="D125" s="2656" t="s">
        <v>22</v>
      </c>
      <c r="E125" s="2466">
        <v>0</v>
      </c>
      <c r="F125" s="2466">
        <v>0</v>
      </c>
      <c r="G125" s="2464">
        <f>SUM(H125:R125)</f>
        <v>0</v>
      </c>
      <c r="H125" s="2464">
        <f>'Розрахунки Річного плану'!M114</f>
        <v>0</v>
      </c>
      <c r="I125" s="2464">
        <f>'Розрахунки Річного плану'!N114</f>
        <v>0</v>
      </c>
      <c r="J125" s="2464">
        <f>'Розрахунки Річного плану'!O114</f>
        <v>0</v>
      </c>
      <c r="K125" s="2464">
        <f>'Розрахунки Річного плану'!D114</f>
        <v>0</v>
      </c>
      <c r="L125" s="2464">
        <f>'Розрахунки Річного плану'!E114</f>
        <v>0</v>
      </c>
      <c r="M125" s="2464">
        <f>'Розрахунки Річного плану'!F114</f>
        <v>0</v>
      </c>
      <c r="N125" s="2464">
        <f>'Розрахунки Річного плану'!G114</f>
        <v>0</v>
      </c>
      <c r="O125" s="2464">
        <v>0</v>
      </c>
      <c r="P125" s="2464">
        <v>0</v>
      </c>
      <c r="Q125" s="2464">
        <v>0</v>
      </c>
      <c r="R125" s="2464">
        <v>0</v>
      </c>
      <c r="S125" s="2465">
        <v>0</v>
      </c>
      <c r="T125" s="158" t="s">
        <v>484</v>
      </c>
    </row>
    <row r="126" spans="1:23" x14ac:dyDescent="0.25">
      <c r="A126" s="3410"/>
      <c r="B126" s="3407" t="s">
        <v>691</v>
      </c>
      <c r="C126" s="2649" t="s">
        <v>631</v>
      </c>
      <c r="D126" s="2656" t="s">
        <v>22</v>
      </c>
      <c r="E126" s="2466">
        <v>0</v>
      </c>
      <c r="F126" s="2466">
        <v>0</v>
      </c>
      <c r="G126" s="2464">
        <f>SUM(H126:R126)</f>
        <v>0</v>
      </c>
      <c r="H126" s="2464">
        <f>'Розрахунки Річного плану'!M117</f>
        <v>0</v>
      </c>
      <c r="I126" s="2464">
        <f>'Розрахунки Річного плану'!N117</f>
        <v>0</v>
      </c>
      <c r="J126" s="2464">
        <f>'Розрахунки Річного плану'!O117</f>
        <v>0</v>
      </c>
      <c r="K126" s="2464">
        <f>'Розрахунки Річного плану'!D117</f>
        <v>0</v>
      </c>
      <c r="L126" s="2464">
        <f>'Розрахунки Річного плану'!E117</f>
        <v>0</v>
      </c>
      <c r="M126" s="2464">
        <f>'Розрахунки Річного плану'!F117</f>
        <v>0</v>
      </c>
      <c r="N126" s="2464">
        <f>'Розрахунки Річного плану'!G117</f>
        <v>0</v>
      </c>
      <c r="O126" s="2464">
        <v>0</v>
      </c>
      <c r="P126" s="2464">
        <v>0</v>
      </c>
      <c r="Q126" s="2464">
        <v>0</v>
      </c>
      <c r="R126" s="2464">
        <v>0</v>
      </c>
      <c r="S126" s="2465">
        <v>0</v>
      </c>
      <c r="T126" s="158" t="s">
        <v>484</v>
      </c>
    </row>
    <row r="127" spans="1:23" x14ac:dyDescent="0.25">
      <c r="A127" s="3410"/>
      <c r="B127" s="3407" t="s">
        <v>517</v>
      </c>
      <c r="C127" s="2552" t="s">
        <v>98</v>
      </c>
      <c r="D127" s="2656" t="s">
        <v>22</v>
      </c>
      <c r="E127" s="2466">
        <f t="shared" ref="E127:S127" si="76">E128+E129</f>
        <v>0</v>
      </c>
      <c r="F127" s="2466">
        <f t="shared" si="76"/>
        <v>0</v>
      </c>
      <c r="G127" s="2466">
        <f t="shared" si="76"/>
        <v>0</v>
      </c>
      <c r="H127" s="2466">
        <f t="shared" si="76"/>
        <v>0</v>
      </c>
      <c r="I127" s="2629">
        <f t="shared" si="76"/>
        <v>0</v>
      </c>
      <c r="J127" s="2629">
        <f t="shared" si="76"/>
        <v>0</v>
      </c>
      <c r="K127" s="2629">
        <f t="shared" si="76"/>
        <v>0</v>
      </c>
      <c r="L127" s="2629">
        <f t="shared" si="76"/>
        <v>0</v>
      </c>
      <c r="M127" s="2629">
        <f t="shared" si="76"/>
        <v>0</v>
      </c>
      <c r="N127" s="2629">
        <f t="shared" si="76"/>
        <v>0</v>
      </c>
      <c r="O127" s="2629">
        <f t="shared" si="76"/>
        <v>0</v>
      </c>
      <c r="P127" s="2629">
        <f t="shared" si="76"/>
        <v>0</v>
      </c>
      <c r="Q127" s="2629">
        <f t="shared" si="76"/>
        <v>0</v>
      </c>
      <c r="R127" s="2629">
        <f t="shared" si="76"/>
        <v>0</v>
      </c>
      <c r="S127" s="2467">
        <f t="shared" si="76"/>
        <v>0</v>
      </c>
      <c r="T127" s="158" t="s">
        <v>673</v>
      </c>
    </row>
    <row r="128" spans="1:23" x14ac:dyDescent="0.25">
      <c r="A128" s="3410"/>
      <c r="B128" s="3407" t="s">
        <v>688</v>
      </c>
      <c r="C128" s="2649" t="s">
        <v>632</v>
      </c>
      <c r="D128" s="2656" t="s">
        <v>22</v>
      </c>
      <c r="E128" s="2466">
        <v>0</v>
      </c>
      <c r="F128" s="2466">
        <v>0</v>
      </c>
      <c r="G128" s="2464">
        <f>SUM(H128:S128)</f>
        <v>0</v>
      </c>
      <c r="H128" s="2464">
        <f>'Розрахунки Річного плану'!M92</f>
        <v>0</v>
      </c>
      <c r="I128" s="2464">
        <f>'Розрахунки Річного плану'!N92</f>
        <v>0</v>
      </c>
      <c r="J128" s="2464">
        <f>'Розрахунки Річного плану'!O92</f>
        <v>0</v>
      </c>
      <c r="K128" s="2464">
        <f>'Розрахунки Річного плану'!D92</f>
        <v>0</v>
      </c>
      <c r="L128" s="2464">
        <f>'Розрахунки Річного плану'!E92</f>
        <v>0</v>
      </c>
      <c r="M128" s="2464">
        <f>'Розрахунки Річного плану'!F92</f>
        <v>0</v>
      </c>
      <c r="N128" s="2464">
        <f>'Розрахунки Річного плану'!G92</f>
        <v>0</v>
      </c>
      <c r="O128" s="2464">
        <f>'Розрахунки Річного плану'!H92</f>
        <v>0</v>
      </c>
      <c r="P128" s="2464">
        <f>'Розрахунки Річного плану'!I92</f>
        <v>0</v>
      </c>
      <c r="Q128" s="2464">
        <f>'Розрахунки Річного плану'!J92</f>
        <v>0</v>
      </c>
      <c r="R128" s="2464">
        <f>'Розрахунки Річного плану'!K92</f>
        <v>0</v>
      </c>
      <c r="S128" s="2465">
        <f>'Розрахунки Річного плану'!L92</f>
        <v>0</v>
      </c>
      <c r="T128" s="158" t="s">
        <v>484</v>
      </c>
    </row>
    <row r="129" spans="1:20" x14ac:dyDescent="0.25">
      <c r="A129" s="3410"/>
      <c r="B129" s="3407" t="s">
        <v>689</v>
      </c>
      <c r="C129" s="2649" t="s">
        <v>631</v>
      </c>
      <c r="D129" s="2656" t="s">
        <v>22</v>
      </c>
      <c r="E129" s="2466">
        <v>0</v>
      </c>
      <c r="F129" s="2466">
        <v>0</v>
      </c>
      <c r="G129" s="2464">
        <f>SUM(H129:S129)</f>
        <v>0</v>
      </c>
      <c r="H129" s="2464">
        <f>'Розрахунки Річного плану'!M95</f>
        <v>0</v>
      </c>
      <c r="I129" s="2464">
        <f>'Розрахунки Річного плану'!N95</f>
        <v>0</v>
      </c>
      <c r="J129" s="2464">
        <f>'Розрахунки Річного плану'!O95</f>
        <v>0</v>
      </c>
      <c r="K129" s="2464">
        <f>'Розрахунки Річного плану'!D95</f>
        <v>0</v>
      </c>
      <c r="L129" s="2464">
        <f>'Розрахунки Річного плану'!E95</f>
        <v>0</v>
      </c>
      <c r="M129" s="2464">
        <f>'Розрахунки Річного плану'!F95</f>
        <v>0</v>
      </c>
      <c r="N129" s="2464">
        <f>'Розрахунки Річного плану'!G95</f>
        <v>0</v>
      </c>
      <c r="O129" s="2464">
        <f>'Розрахунки Річного плану'!H95</f>
        <v>0</v>
      </c>
      <c r="P129" s="2464">
        <f>'Розрахунки Річного плану'!I95</f>
        <v>0</v>
      </c>
      <c r="Q129" s="2464">
        <f>'Розрахунки Річного плану'!J95</f>
        <v>0</v>
      </c>
      <c r="R129" s="2464">
        <f>'Розрахунки Річного плану'!K95</f>
        <v>0</v>
      </c>
      <c r="S129" s="2465">
        <f>'Розрахунки Річного плану'!L95</f>
        <v>0</v>
      </c>
      <c r="T129" s="158" t="s">
        <v>484</v>
      </c>
    </row>
    <row r="130" spans="1:20" x14ac:dyDescent="0.25">
      <c r="A130" s="3410"/>
      <c r="B130" s="3407" t="s">
        <v>518</v>
      </c>
      <c r="C130" s="2552" t="s">
        <v>99</v>
      </c>
      <c r="D130" s="2656" t="s">
        <v>22</v>
      </c>
      <c r="E130" s="2466">
        <f t="shared" ref="E130:S130" si="77">E131+E132</f>
        <v>0</v>
      </c>
      <c r="F130" s="2466">
        <f t="shared" si="77"/>
        <v>0</v>
      </c>
      <c r="G130" s="2466">
        <f t="shared" si="77"/>
        <v>2614.6002521466667</v>
      </c>
      <c r="H130" s="2466">
        <f t="shared" si="77"/>
        <v>0</v>
      </c>
      <c r="I130" s="2629">
        <f t="shared" si="77"/>
        <v>408.75320463999992</v>
      </c>
      <c r="J130" s="2629">
        <f t="shared" si="77"/>
        <v>540.10671733333322</v>
      </c>
      <c r="K130" s="2629">
        <f t="shared" si="77"/>
        <v>653.03136799999993</v>
      </c>
      <c r="L130" s="2629">
        <f t="shared" si="77"/>
        <v>539.53610274666664</v>
      </c>
      <c r="M130" s="2629">
        <f t="shared" si="77"/>
        <v>473.17285942666661</v>
      </c>
      <c r="N130" s="2629">
        <f t="shared" si="77"/>
        <v>0</v>
      </c>
      <c r="O130" s="2629">
        <f t="shared" si="77"/>
        <v>0</v>
      </c>
      <c r="P130" s="2629">
        <f t="shared" si="77"/>
        <v>0</v>
      </c>
      <c r="Q130" s="2629">
        <f t="shared" si="77"/>
        <v>0</v>
      </c>
      <c r="R130" s="2629">
        <f t="shared" si="77"/>
        <v>0</v>
      </c>
      <c r="S130" s="2630">
        <f t="shared" si="77"/>
        <v>0</v>
      </c>
      <c r="T130" s="158" t="s">
        <v>669</v>
      </c>
    </row>
    <row r="131" spans="1:20" x14ac:dyDescent="0.25">
      <c r="A131" s="3410"/>
      <c r="B131" s="3407" t="s">
        <v>686</v>
      </c>
      <c r="C131" s="2649" t="s">
        <v>632</v>
      </c>
      <c r="D131" s="2656" t="s">
        <v>22</v>
      </c>
      <c r="E131" s="2466">
        <v>0</v>
      </c>
      <c r="F131" s="2466">
        <v>0</v>
      </c>
      <c r="G131" s="2464">
        <f>SUM(H131:S131)</f>
        <v>472.61801597999994</v>
      </c>
      <c r="H131" s="2464">
        <f>'Розрахунки Річного плану'!M100</f>
        <v>0</v>
      </c>
      <c r="I131" s="2464">
        <f>'Розрахунки Річного плану'!N100</f>
        <v>73.886678639999985</v>
      </c>
      <c r="J131" s="2464">
        <f>'Розрахунки Річного плану'!O100</f>
        <v>97.630283999999989</v>
      </c>
      <c r="K131" s="2464">
        <f>'Розрахунки Річного плану'!D100</f>
        <v>118.04266799999999</v>
      </c>
      <c r="L131" s="2464">
        <f>'Розрахунки Річного плану'!E100</f>
        <v>97.527139079999984</v>
      </c>
      <c r="M131" s="2464">
        <f>'Розрахунки Річного плану'!F100</f>
        <v>85.531246259999989</v>
      </c>
      <c r="N131" s="2464">
        <f>'Розрахунки Річного плану'!G100</f>
        <v>0</v>
      </c>
      <c r="O131" s="2464">
        <f>'Розрахунки Річного плану'!H100</f>
        <v>0</v>
      </c>
      <c r="P131" s="2464">
        <f>'Розрахунки Річного плану'!I100</f>
        <v>0</v>
      </c>
      <c r="Q131" s="2464">
        <f>'Розрахунки Річного плану'!J100</f>
        <v>0</v>
      </c>
      <c r="R131" s="2464">
        <f>'Розрахунки Річного плану'!K100</f>
        <v>0</v>
      </c>
      <c r="S131" s="2465">
        <f>'Розрахунки Річного плану'!L100</f>
        <v>0</v>
      </c>
      <c r="T131" s="3405">
        <f>'Розрахунки Річного плану'!M100</f>
        <v>0</v>
      </c>
    </row>
    <row r="132" spans="1:20" ht="15.75" thickBot="1" x14ac:dyDescent="0.3">
      <c r="A132" s="3410"/>
      <c r="B132" s="3408" t="s">
        <v>687</v>
      </c>
      <c r="C132" s="2672" t="s">
        <v>631</v>
      </c>
      <c r="D132" s="2663" t="s">
        <v>22</v>
      </c>
      <c r="E132" s="2639">
        <v>0</v>
      </c>
      <c r="F132" s="2639">
        <v>0</v>
      </c>
      <c r="G132" s="2640">
        <f>SUM(H132:S132)</f>
        <v>2141.9822361666666</v>
      </c>
      <c r="H132" s="2640">
        <f>'Розрахунки Річного плану'!M103</f>
        <v>0</v>
      </c>
      <c r="I132" s="2640">
        <f>'Розрахунки Річного плану'!N103</f>
        <v>334.86652599999996</v>
      </c>
      <c r="J132" s="2640">
        <f>'Розрахунки Річного плану'!O103</f>
        <v>442.47643333333326</v>
      </c>
      <c r="K132" s="2640">
        <f>'Розрахунки Річного плану'!D103</f>
        <v>534.98869999999988</v>
      </c>
      <c r="L132" s="2640">
        <f>'Розрахунки Річного плану'!E103</f>
        <v>442.00896366666666</v>
      </c>
      <c r="M132" s="2640">
        <f>'Розрахунки Річного плану'!F103</f>
        <v>387.64161316666662</v>
      </c>
      <c r="N132" s="2640">
        <f>'Розрахунки Річного плану'!G103</f>
        <v>0</v>
      </c>
      <c r="O132" s="2640">
        <f>'Розрахунки Річного плану'!H103</f>
        <v>0</v>
      </c>
      <c r="P132" s="2640">
        <f>'Розрахунки Річного плану'!I103</f>
        <v>0</v>
      </c>
      <c r="Q132" s="2640">
        <f>'Розрахунки Річного плану'!J103</f>
        <v>0</v>
      </c>
      <c r="R132" s="2640">
        <f>'Розрахунки Річного плану'!K103</f>
        <v>0</v>
      </c>
      <c r="S132" s="3406">
        <f>'Розрахунки Річного плану'!L103</f>
        <v>0</v>
      </c>
      <c r="T132" s="158" t="s">
        <v>484</v>
      </c>
    </row>
    <row r="133" spans="1:20" x14ac:dyDescent="0.25">
      <c r="A133" s="3410"/>
      <c r="B133" s="3409" t="s">
        <v>93</v>
      </c>
      <c r="C133" s="2673" t="s">
        <v>218</v>
      </c>
      <c r="D133" s="2674" t="s">
        <v>22</v>
      </c>
      <c r="E133" s="2641">
        <f>E134+E137+E140+E143</f>
        <v>0</v>
      </c>
      <c r="F133" s="2641">
        <f t="shared" ref="F133:S133" si="78">F134+F137+F140+F143</f>
        <v>0</v>
      </c>
      <c r="G133" s="2641">
        <f>G134+G137+G140+G143</f>
        <v>1284.92</v>
      </c>
      <c r="H133" s="2641">
        <f t="shared" si="78"/>
        <v>109.43</v>
      </c>
      <c r="I133" s="2641">
        <f t="shared" si="78"/>
        <v>105.9</v>
      </c>
      <c r="J133" s="2641">
        <f t="shared" si="78"/>
        <v>109.43</v>
      </c>
      <c r="K133" s="2641">
        <f t="shared" si="78"/>
        <v>109.43</v>
      </c>
      <c r="L133" s="2641">
        <f t="shared" si="78"/>
        <v>98.84</v>
      </c>
      <c r="M133" s="2641">
        <f t="shared" si="78"/>
        <v>109.43</v>
      </c>
      <c r="N133" s="2641">
        <f t="shared" si="78"/>
        <v>105.9</v>
      </c>
      <c r="O133" s="2641">
        <f t="shared" si="78"/>
        <v>109.43</v>
      </c>
      <c r="P133" s="2641">
        <f t="shared" si="78"/>
        <v>105.9</v>
      </c>
      <c r="Q133" s="2641">
        <f t="shared" si="78"/>
        <v>109.43</v>
      </c>
      <c r="R133" s="2641">
        <f t="shared" si="78"/>
        <v>105.9</v>
      </c>
      <c r="S133" s="2642">
        <f t="shared" si="78"/>
        <v>105.9</v>
      </c>
      <c r="T133" s="158" t="s">
        <v>669</v>
      </c>
    </row>
    <row r="134" spans="1:20" x14ac:dyDescent="0.25">
      <c r="A134" s="3410"/>
      <c r="B134" s="3407" t="s">
        <v>519</v>
      </c>
      <c r="C134" s="2552" t="s">
        <v>3</v>
      </c>
      <c r="D134" s="2656" t="s">
        <v>22</v>
      </c>
      <c r="E134" s="2466">
        <v>0</v>
      </c>
      <c r="F134" s="2466">
        <v>0</v>
      </c>
      <c r="G134" s="2466">
        <v>0</v>
      </c>
      <c r="H134" s="2466">
        <v>0</v>
      </c>
      <c r="I134" s="2466">
        <v>0</v>
      </c>
      <c r="J134" s="2466">
        <v>0</v>
      </c>
      <c r="K134" s="2466">
        <v>0</v>
      </c>
      <c r="L134" s="2466">
        <v>0</v>
      </c>
      <c r="M134" s="2466">
        <v>0</v>
      </c>
      <c r="N134" s="2466">
        <v>0</v>
      </c>
      <c r="O134" s="2466">
        <v>0</v>
      </c>
      <c r="P134" s="2466">
        <v>0</v>
      </c>
      <c r="Q134" s="2466">
        <v>0</v>
      </c>
      <c r="R134" s="2466">
        <v>0</v>
      </c>
      <c r="S134" s="2467">
        <v>0</v>
      </c>
      <c r="T134" s="158" t="s">
        <v>669</v>
      </c>
    </row>
    <row r="135" spans="1:20" x14ac:dyDescent="0.25">
      <c r="A135" s="3410"/>
      <c r="B135" s="3407" t="s">
        <v>678</v>
      </c>
      <c r="C135" s="2649" t="s">
        <v>632</v>
      </c>
      <c r="D135" s="2656" t="s">
        <v>22</v>
      </c>
      <c r="E135" s="2466">
        <v>0</v>
      </c>
      <c r="F135" s="2466">
        <v>0</v>
      </c>
      <c r="G135" s="2466">
        <v>0</v>
      </c>
      <c r="H135" s="2466">
        <v>0</v>
      </c>
      <c r="I135" s="2466">
        <v>0</v>
      </c>
      <c r="J135" s="2466">
        <v>0</v>
      </c>
      <c r="K135" s="2466">
        <v>0</v>
      </c>
      <c r="L135" s="2466">
        <v>0</v>
      </c>
      <c r="M135" s="2466">
        <v>0</v>
      </c>
      <c r="N135" s="2466">
        <v>0</v>
      </c>
      <c r="O135" s="2466">
        <v>0</v>
      </c>
      <c r="P135" s="2466">
        <v>0</v>
      </c>
      <c r="Q135" s="2466">
        <v>0</v>
      </c>
      <c r="R135" s="2466">
        <v>0</v>
      </c>
      <c r="S135" s="2467">
        <v>0</v>
      </c>
      <c r="T135" s="158" t="s">
        <v>484</v>
      </c>
    </row>
    <row r="136" spans="1:20" x14ac:dyDescent="0.25">
      <c r="A136" s="3410"/>
      <c r="B136" s="3407" t="s">
        <v>679</v>
      </c>
      <c r="C136" s="2649" t="s">
        <v>631</v>
      </c>
      <c r="D136" s="2656" t="s">
        <v>22</v>
      </c>
      <c r="E136" s="2466">
        <v>0</v>
      </c>
      <c r="F136" s="2466">
        <v>0</v>
      </c>
      <c r="G136" s="2466">
        <v>0</v>
      </c>
      <c r="H136" s="2466">
        <v>0</v>
      </c>
      <c r="I136" s="2466">
        <v>0</v>
      </c>
      <c r="J136" s="2466">
        <v>0</v>
      </c>
      <c r="K136" s="2466">
        <v>0</v>
      </c>
      <c r="L136" s="2466">
        <v>0</v>
      </c>
      <c r="M136" s="2466">
        <v>0</v>
      </c>
      <c r="N136" s="2466">
        <v>0</v>
      </c>
      <c r="O136" s="2466">
        <v>0</v>
      </c>
      <c r="P136" s="2466">
        <v>0</v>
      </c>
      <c r="Q136" s="2466">
        <v>0</v>
      </c>
      <c r="R136" s="2466">
        <v>0</v>
      </c>
      <c r="S136" s="2467">
        <v>0</v>
      </c>
      <c r="T136" s="158" t="s">
        <v>484</v>
      </c>
    </row>
    <row r="137" spans="1:20" x14ac:dyDescent="0.25">
      <c r="A137" s="3410"/>
      <c r="B137" s="3407" t="s">
        <v>520</v>
      </c>
      <c r="C137" s="2552" t="s">
        <v>174</v>
      </c>
      <c r="D137" s="2656" t="s">
        <v>22</v>
      </c>
      <c r="E137" s="2466">
        <v>0</v>
      </c>
      <c r="F137" s="2466">
        <v>0</v>
      </c>
      <c r="G137" s="2466">
        <v>0</v>
      </c>
      <c r="H137" s="2466">
        <v>0</v>
      </c>
      <c r="I137" s="2466">
        <v>0</v>
      </c>
      <c r="J137" s="2466">
        <v>0</v>
      </c>
      <c r="K137" s="2466">
        <v>0</v>
      </c>
      <c r="L137" s="2466">
        <v>0</v>
      </c>
      <c r="M137" s="2466">
        <v>0</v>
      </c>
      <c r="N137" s="2466">
        <v>0</v>
      </c>
      <c r="O137" s="2466">
        <v>0</v>
      </c>
      <c r="P137" s="2466">
        <v>0</v>
      </c>
      <c r="Q137" s="2466">
        <v>0</v>
      </c>
      <c r="R137" s="2466">
        <v>0</v>
      </c>
      <c r="S137" s="2467">
        <v>0</v>
      </c>
      <c r="T137" s="158" t="s">
        <v>669</v>
      </c>
    </row>
    <row r="138" spans="1:20" x14ac:dyDescent="0.25">
      <c r="A138" s="3410"/>
      <c r="B138" s="3407" t="s">
        <v>680</v>
      </c>
      <c r="C138" s="2649" t="s">
        <v>632</v>
      </c>
      <c r="D138" s="2652" t="s">
        <v>22</v>
      </c>
      <c r="E138" s="2466">
        <v>0</v>
      </c>
      <c r="F138" s="2466">
        <v>0</v>
      </c>
      <c r="G138" s="2466">
        <v>0</v>
      </c>
      <c r="H138" s="2466">
        <v>0</v>
      </c>
      <c r="I138" s="2466">
        <v>0</v>
      </c>
      <c r="J138" s="2466">
        <v>0</v>
      </c>
      <c r="K138" s="2466">
        <v>0</v>
      </c>
      <c r="L138" s="2466">
        <v>0</v>
      </c>
      <c r="M138" s="2466">
        <v>0</v>
      </c>
      <c r="N138" s="2466">
        <v>0</v>
      </c>
      <c r="O138" s="2466">
        <v>0</v>
      </c>
      <c r="P138" s="2466">
        <v>0</v>
      </c>
      <c r="Q138" s="2466">
        <v>0</v>
      </c>
      <c r="R138" s="2466">
        <v>0</v>
      </c>
      <c r="S138" s="2467">
        <v>0</v>
      </c>
      <c r="T138" s="158" t="s">
        <v>484</v>
      </c>
    </row>
    <row r="139" spans="1:20" x14ac:dyDescent="0.25">
      <c r="A139" s="3410"/>
      <c r="B139" s="3407" t="s">
        <v>681</v>
      </c>
      <c r="C139" s="2649" t="s">
        <v>631</v>
      </c>
      <c r="D139" s="2652" t="s">
        <v>22</v>
      </c>
      <c r="E139" s="2466">
        <v>0</v>
      </c>
      <c r="F139" s="2466">
        <v>0</v>
      </c>
      <c r="G139" s="2466">
        <v>0</v>
      </c>
      <c r="H139" s="2466">
        <v>0</v>
      </c>
      <c r="I139" s="2466">
        <v>0</v>
      </c>
      <c r="J139" s="2466">
        <v>0</v>
      </c>
      <c r="K139" s="2466">
        <v>0</v>
      </c>
      <c r="L139" s="2466">
        <v>0</v>
      </c>
      <c r="M139" s="2466">
        <v>0</v>
      </c>
      <c r="N139" s="2466">
        <v>0</v>
      </c>
      <c r="O139" s="2466">
        <v>0</v>
      </c>
      <c r="P139" s="2466">
        <v>0</v>
      </c>
      <c r="Q139" s="2466">
        <v>0</v>
      </c>
      <c r="R139" s="2466">
        <v>0</v>
      </c>
      <c r="S139" s="2467">
        <v>0</v>
      </c>
      <c r="T139" s="158" t="s">
        <v>484</v>
      </c>
    </row>
    <row r="140" spans="1:20" x14ac:dyDescent="0.25">
      <c r="A140" s="3410"/>
      <c r="B140" s="3407" t="s">
        <v>521</v>
      </c>
      <c r="C140" s="2552" t="s">
        <v>98</v>
      </c>
      <c r="D140" s="2652" t="s">
        <v>22</v>
      </c>
      <c r="E140" s="2466">
        <v>0</v>
      </c>
      <c r="F140" s="2466">
        <v>0</v>
      </c>
      <c r="G140" s="2466">
        <v>0</v>
      </c>
      <c r="H140" s="2466">
        <v>0</v>
      </c>
      <c r="I140" s="2466">
        <v>0</v>
      </c>
      <c r="J140" s="2466">
        <v>0</v>
      </c>
      <c r="K140" s="2466">
        <v>0</v>
      </c>
      <c r="L140" s="2466">
        <v>0</v>
      </c>
      <c r="M140" s="2466">
        <v>0</v>
      </c>
      <c r="N140" s="2466">
        <v>0</v>
      </c>
      <c r="O140" s="2466">
        <v>0</v>
      </c>
      <c r="P140" s="2466">
        <v>0</v>
      </c>
      <c r="Q140" s="2466">
        <v>0</v>
      </c>
      <c r="R140" s="2466">
        <v>0</v>
      </c>
      <c r="S140" s="2467">
        <v>0</v>
      </c>
      <c r="T140" s="158" t="s">
        <v>673</v>
      </c>
    </row>
    <row r="141" spans="1:20" x14ac:dyDescent="0.25">
      <c r="A141" s="3410"/>
      <c r="B141" s="3407" t="s">
        <v>682</v>
      </c>
      <c r="C141" s="2649" t="s">
        <v>632</v>
      </c>
      <c r="D141" s="2652" t="s">
        <v>22</v>
      </c>
      <c r="E141" s="2466">
        <v>0</v>
      </c>
      <c r="F141" s="2466">
        <v>0</v>
      </c>
      <c r="G141" s="2466">
        <v>0</v>
      </c>
      <c r="H141" s="2466">
        <v>0</v>
      </c>
      <c r="I141" s="2466">
        <v>0</v>
      </c>
      <c r="J141" s="2466">
        <v>0</v>
      </c>
      <c r="K141" s="2466">
        <v>0</v>
      </c>
      <c r="L141" s="2466">
        <v>0</v>
      </c>
      <c r="M141" s="2466">
        <v>0</v>
      </c>
      <c r="N141" s="2466">
        <v>0</v>
      </c>
      <c r="O141" s="2466">
        <v>0</v>
      </c>
      <c r="P141" s="2466">
        <v>0</v>
      </c>
      <c r="Q141" s="2466">
        <v>0</v>
      </c>
      <c r="R141" s="2466">
        <v>0</v>
      </c>
      <c r="S141" s="2467">
        <v>0</v>
      </c>
      <c r="T141" s="158" t="s">
        <v>484</v>
      </c>
    </row>
    <row r="142" spans="1:20" x14ac:dyDescent="0.25">
      <c r="A142" s="3410"/>
      <c r="B142" s="3407" t="s">
        <v>683</v>
      </c>
      <c r="C142" s="2649" t="s">
        <v>631</v>
      </c>
      <c r="D142" s="2652" t="s">
        <v>22</v>
      </c>
      <c r="E142" s="2466">
        <v>0</v>
      </c>
      <c r="F142" s="2466">
        <v>0</v>
      </c>
      <c r="G142" s="2466">
        <v>0</v>
      </c>
      <c r="H142" s="2466">
        <v>0</v>
      </c>
      <c r="I142" s="2466">
        <v>0</v>
      </c>
      <c r="J142" s="2466">
        <v>0</v>
      </c>
      <c r="K142" s="2466">
        <v>0</v>
      </c>
      <c r="L142" s="2466">
        <v>0</v>
      </c>
      <c r="M142" s="2466">
        <v>0</v>
      </c>
      <c r="N142" s="2466">
        <v>0</v>
      </c>
      <c r="O142" s="2466">
        <v>0</v>
      </c>
      <c r="P142" s="2466">
        <v>0</v>
      </c>
      <c r="Q142" s="2466">
        <v>0</v>
      </c>
      <c r="R142" s="2466">
        <v>0</v>
      </c>
      <c r="S142" s="2467">
        <v>0</v>
      </c>
      <c r="T142" s="158" t="s">
        <v>484</v>
      </c>
    </row>
    <row r="143" spans="1:20" x14ac:dyDescent="0.25">
      <c r="A143" s="3410"/>
      <c r="B143" s="2852" t="s">
        <v>522</v>
      </c>
      <c r="C143" s="2552" t="s">
        <v>99</v>
      </c>
      <c r="D143" s="2652" t="s">
        <v>22</v>
      </c>
      <c r="E143" s="2466">
        <v>0</v>
      </c>
      <c r="F143" s="2466">
        <v>0</v>
      </c>
      <c r="G143" s="2466">
        <f>SUM(H143:S143)</f>
        <v>1284.92</v>
      </c>
      <c r="H143" s="2629">
        <f>H144+H145</f>
        <v>109.43</v>
      </c>
      <c r="I143" s="2629">
        <f t="shared" ref="I143:S143" si="79">I144+I145</f>
        <v>105.9</v>
      </c>
      <c r="J143" s="2629">
        <f t="shared" si="79"/>
        <v>109.43</v>
      </c>
      <c r="K143" s="2629">
        <f t="shared" si="79"/>
        <v>109.43</v>
      </c>
      <c r="L143" s="2629">
        <f t="shared" si="79"/>
        <v>98.84</v>
      </c>
      <c r="M143" s="2629">
        <f t="shared" si="79"/>
        <v>109.43</v>
      </c>
      <c r="N143" s="2629">
        <f t="shared" si="79"/>
        <v>105.9</v>
      </c>
      <c r="O143" s="2629">
        <f t="shared" si="79"/>
        <v>109.43</v>
      </c>
      <c r="P143" s="2629">
        <f t="shared" si="79"/>
        <v>105.9</v>
      </c>
      <c r="Q143" s="2629">
        <f t="shared" si="79"/>
        <v>109.43</v>
      </c>
      <c r="R143" s="2629">
        <f t="shared" si="79"/>
        <v>105.9</v>
      </c>
      <c r="S143" s="2630">
        <f t="shared" si="79"/>
        <v>105.9</v>
      </c>
      <c r="T143" s="158" t="s">
        <v>669</v>
      </c>
    </row>
    <row r="144" spans="1:20" x14ac:dyDescent="0.25">
      <c r="A144" s="3410"/>
      <c r="B144" s="2852" t="s">
        <v>684</v>
      </c>
      <c r="C144" s="2649" t="s">
        <v>632</v>
      </c>
      <c r="D144" s="2652" t="s">
        <v>22</v>
      </c>
      <c r="E144" s="2466">
        <v>0</v>
      </c>
      <c r="F144" s="2466">
        <v>0</v>
      </c>
      <c r="G144" s="2466">
        <f t="shared" ref="G144:G145" si="80">SUM(H144:S144)</f>
        <v>655.56399999999996</v>
      </c>
      <c r="H144" s="2629">
        <f>'Розрахунки Річного плану'!M122</f>
        <v>55.831000000000003</v>
      </c>
      <c r="I144" s="2629">
        <f>'Розрахунки Річного плану'!N122</f>
        <v>54.03</v>
      </c>
      <c r="J144" s="2629">
        <f>'Розрахунки Річного плану'!O122</f>
        <v>55.831000000000003</v>
      </c>
      <c r="K144" s="2629">
        <f>'Розрахунки Річного плану'!D122</f>
        <v>55.831000000000003</v>
      </c>
      <c r="L144" s="2629">
        <f>'Розрахунки Річного плану'!E122</f>
        <v>50.428000000000004</v>
      </c>
      <c r="M144" s="2629">
        <f>'Розрахунки Річного плану'!F122</f>
        <v>55.831000000000003</v>
      </c>
      <c r="N144" s="2629">
        <f>'Розрахунки Річного плану'!G122</f>
        <v>54.03</v>
      </c>
      <c r="O144" s="2629">
        <f>'Розрахунки Річного плану'!H122</f>
        <v>55.831000000000003</v>
      </c>
      <c r="P144" s="2629">
        <f>'Розрахунки Річного плану'!I122</f>
        <v>54.03</v>
      </c>
      <c r="Q144" s="2629">
        <f>'Розрахунки Річного плану'!J122</f>
        <v>55.831000000000003</v>
      </c>
      <c r="R144" s="2629">
        <f>'Розрахунки Річного плану'!K122</f>
        <v>54.03</v>
      </c>
      <c r="S144" s="2630">
        <f>'Розрахунки Річного плану'!L122</f>
        <v>54.03</v>
      </c>
      <c r="T144" s="3438">
        <f>'Розрахунки Річного плану'!M122</f>
        <v>55.831000000000003</v>
      </c>
    </row>
    <row r="145" spans="1:20" ht="15.75" thickBot="1" x14ac:dyDescent="0.3">
      <c r="A145" s="3410"/>
      <c r="B145" s="2859" t="s">
        <v>685</v>
      </c>
      <c r="C145" s="2653" t="s">
        <v>631</v>
      </c>
      <c r="D145" s="2654" t="s">
        <v>22</v>
      </c>
      <c r="E145" s="2604">
        <v>0</v>
      </c>
      <c r="F145" s="2604">
        <v>0</v>
      </c>
      <c r="G145" s="2604">
        <f t="shared" si="80"/>
        <v>629.35599999999999</v>
      </c>
      <c r="H145" s="2632">
        <f>'Розрахунки Річного плану'!M125</f>
        <v>53.599000000000004</v>
      </c>
      <c r="I145" s="2632">
        <f>'Розрахунки Річного плану'!N125</f>
        <v>51.870000000000005</v>
      </c>
      <c r="J145" s="2632">
        <f>'Розрахунки Річного плану'!O125</f>
        <v>53.599000000000004</v>
      </c>
      <c r="K145" s="2632">
        <f>'Розрахунки Річного плану'!D125</f>
        <v>53.599000000000004</v>
      </c>
      <c r="L145" s="2632">
        <f>'Розрахунки Річного плану'!E125</f>
        <v>48.411999999999999</v>
      </c>
      <c r="M145" s="2632">
        <f>'Розрахунки Річного плану'!F125</f>
        <v>53.599000000000004</v>
      </c>
      <c r="N145" s="2632">
        <f>'Розрахунки Річного плану'!G125</f>
        <v>51.870000000000005</v>
      </c>
      <c r="O145" s="2632">
        <f>'Розрахунки Річного плану'!H125</f>
        <v>53.599000000000004</v>
      </c>
      <c r="P145" s="2632">
        <f>'Розрахунки Річного плану'!I125</f>
        <v>51.870000000000005</v>
      </c>
      <c r="Q145" s="2632">
        <f>'Розрахунки Річного плану'!J125</f>
        <v>53.599000000000004</v>
      </c>
      <c r="R145" s="2632">
        <f>'Розрахунки Річного плану'!K125</f>
        <v>51.870000000000005</v>
      </c>
      <c r="S145" s="3439">
        <f>'Розрахунки Річного плану'!L125</f>
        <v>51.870000000000005</v>
      </c>
      <c r="T145" s="158" t="s">
        <v>484</v>
      </c>
    </row>
    <row r="146" spans="1:20" x14ac:dyDescent="0.25">
      <c r="B146" s="2862"/>
      <c r="C146" s="2643"/>
      <c r="D146" s="2643"/>
      <c r="E146" s="2643"/>
      <c r="F146" s="2643"/>
      <c r="G146" s="2643"/>
      <c r="H146" s="2643"/>
      <c r="I146" s="2643"/>
      <c r="J146" s="2643"/>
      <c r="K146" s="2643"/>
      <c r="L146" s="2643"/>
      <c r="M146" s="2643"/>
      <c r="N146" s="2643"/>
      <c r="O146" s="2643"/>
      <c r="P146" s="2643"/>
      <c r="Q146" s="2643"/>
      <c r="R146" s="2643"/>
      <c r="S146" s="2643"/>
    </row>
    <row r="147" spans="1:20" x14ac:dyDescent="0.25">
      <c r="B147" s="2862"/>
      <c r="C147" s="2643"/>
      <c r="D147" s="2643"/>
      <c r="E147" s="2643"/>
      <c r="F147" s="2643"/>
      <c r="G147" s="2643"/>
      <c r="H147" s="2643"/>
      <c r="I147" s="2643"/>
      <c r="J147" s="2643"/>
      <c r="K147" s="2643"/>
      <c r="L147" s="2643"/>
      <c r="M147" s="2643"/>
      <c r="N147" s="2643"/>
      <c r="O147" s="2643"/>
      <c r="P147" s="2643"/>
      <c r="Q147" s="2643"/>
      <c r="R147" s="2643"/>
      <c r="S147" s="2643"/>
    </row>
    <row r="148" spans="1:20" x14ac:dyDescent="0.25">
      <c r="B148" s="2862"/>
      <c r="C148" s="2643"/>
      <c r="D148" s="2643"/>
      <c r="E148" s="2643"/>
      <c r="F148" s="2643"/>
      <c r="G148" s="2643"/>
      <c r="H148" s="2643"/>
      <c r="I148" s="2643"/>
      <c r="J148" s="2643"/>
      <c r="K148" s="2643"/>
      <c r="L148" s="2643"/>
      <c r="M148" s="2643"/>
      <c r="N148" s="2643"/>
      <c r="O148" s="2643"/>
      <c r="P148" s="2643"/>
      <c r="Q148" s="2643"/>
      <c r="R148" s="2643"/>
      <c r="S148" s="2643"/>
    </row>
    <row r="149" spans="1:20" s="499" customFormat="1" ht="15.75" x14ac:dyDescent="0.25">
      <c r="B149" s="2863"/>
      <c r="C149" s="2644"/>
      <c r="D149" s="2644"/>
      <c r="E149" s="2644"/>
      <c r="F149" s="2644"/>
      <c r="G149" s="2644"/>
      <c r="H149" s="2644"/>
      <c r="I149" s="2644"/>
      <c r="J149" s="2644"/>
      <c r="K149" s="2644"/>
      <c r="L149" s="2644"/>
      <c r="M149" s="2645"/>
      <c r="N149" s="2646"/>
      <c r="O149" s="2646"/>
      <c r="P149" s="2646"/>
      <c r="Q149" s="2646"/>
      <c r="R149" s="2646"/>
      <c r="S149" s="2646"/>
    </row>
    <row r="150" spans="1:20" s="499" customFormat="1" ht="15.75" x14ac:dyDescent="0.25">
      <c r="B150" s="2863"/>
      <c r="C150" s="2646"/>
      <c r="D150" s="2646"/>
      <c r="E150" s="2646"/>
      <c r="F150" s="2646"/>
      <c r="G150" s="2646"/>
      <c r="H150" s="2646"/>
      <c r="I150" s="2646"/>
      <c r="J150" s="2646"/>
      <c r="K150" s="2646"/>
      <c r="L150" s="2646"/>
      <c r="M150" s="2646"/>
      <c r="N150" s="2646"/>
      <c r="O150" s="2646"/>
      <c r="P150" s="2646"/>
      <c r="Q150" s="2646"/>
      <c r="R150" s="2646"/>
      <c r="S150" s="2646"/>
    </row>
    <row r="151" spans="1:20" x14ac:dyDescent="0.25">
      <c r="B151" s="2862"/>
      <c r="C151" s="2643"/>
      <c r="D151" s="2643"/>
      <c r="E151" s="2643"/>
      <c r="F151" s="2643"/>
      <c r="G151" s="2643"/>
      <c r="H151" s="2643"/>
      <c r="I151" s="2643"/>
      <c r="J151" s="2643"/>
      <c r="K151" s="2643"/>
      <c r="L151" s="2643"/>
      <c r="M151" s="2643"/>
      <c r="N151" s="2643"/>
      <c r="O151" s="2643"/>
      <c r="P151" s="2643"/>
      <c r="Q151" s="2643"/>
      <c r="R151" s="2643"/>
      <c r="S151" s="2643"/>
    </row>
    <row r="152" spans="1:20" ht="38.25" customHeight="1" x14ac:dyDescent="0.25">
      <c r="B152" s="2862"/>
      <c r="C152" s="3833" t="str">
        <f>'Вхідні дані'!B14</f>
        <v>Заступник начальника Адміністрації морського порту Чорноморськ з технічних питань та розвитку</v>
      </c>
      <c r="D152" s="3833"/>
      <c r="E152" s="3833"/>
      <c r="F152" s="2645"/>
      <c r="G152" s="3826" t="s">
        <v>219</v>
      </c>
      <c r="H152" s="3716"/>
      <c r="I152" s="3716"/>
      <c r="J152" s="3716"/>
      <c r="K152" s="2645"/>
      <c r="L152" s="2645"/>
      <c r="M152" s="2645"/>
      <c r="N152" s="2645"/>
      <c r="O152" s="3827" t="str">
        <f>'Вхідні дані'!F14</f>
        <v>Віталій ЛІПСКИЙ</v>
      </c>
      <c r="P152" s="3828"/>
      <c r="Q152" s="3828"/>
      <c r="R152" s="3828"/>
      <c r="S152" s="2647"/>
    </row>
    <row r="153" spans="1:20" ht="15.75" x14ac:dyDescent="0.25">
      <c r="B153" s="2862"/>
      <c r="C153" s="2648" t="s">
        <v>242</v>
      </c>
      <c r="D153" s="2645"/>
      <c r="E153" s="2645"/>
      <c r="F153" s="2645"/>
      <c r="G153" s="3822" t="s">
        <v>220</v>
      </c>
      <c r="H153" s="3823"/>
      <c r="I153" s="3823"/>
      <c r="J153" s="3823"/>
      <c r="K153" s="2645"/>
      <c r="L153" s="2645"/>
      <c r="M153" s="2645"/>
      <c r="N153" s="2645"/>
      <c r="O153" s="3824" t="s">
        <v>3251</v>
      </c>
      <c r="P153" s="3825"/>
      <c r="Q153" s="3825"/>
      <c r="R153" s="3825"/>
      <c r="S153" s="2647"/>
    </row>
    <row r="154" spans="1:20" x14ac:dyDescent="0.25">
      <c r="B154" s="2862"/>
      <c r="C154" s="2864"/>
      <c r="D154" s="2643"/>
      <c r="E154" s="2643"/>
      <c r="F154" s="2643"/>
      <c r="G154" s="2865"/>
      <c r="H154" s="2866"/>
      <c r="I154" s="2866"/>
      <c r="J154" s="2866"/>
      <c r="K154" s="2643"/>
      <c r="L154" s="2643"/>
      <c r="M154" s="2643"/>
      <c r="N154" s="2643"/>
      <c r="O154" s="2865"/>
      <c r="P154" s="2866"/>
      <c r="Q154" s="2866"/>
      <c r="R154" s="2866"/>
      <c r="S154" s="2643"/>
    </row>
    <row r="157" spans="1:20" x14ac:dyDescent="0.25">
      <c r="C157" s="51" t="s">
        <v>1615</v>
      </c>
      <c r="D157" s="1173">
        <f>D158+D159</f>
        <v>3899.5202521466663</v>
      </c>
      <c r="E157" s="1174">
        <f>D157/$D$157</f>
        <v>1</v>
      </c>
      <c r="F157" s="1041"/>
    </row>
    <row r="158" spans="1:20" x14ac:dyDescent="0.25">
      <c r="C158" s="12" t="s">
        <v>632</v>
      </c>
      <c r="D158" s="575">
        <f>G118+G125+G128+G131+G141+G144</f>
        <v>1128.18201598</v>
      </c>
      <c r="E158" s="2568">
        <f>ROUND(D158/$D$157,6)</f>
        <v>0.28931299999999999</v>
      </c>
      <c r="F158" s="2046"/>
    </row>
    <row r="159" spans="1:20" x14ac:dyDescent="0.25">
      <c r="C159" s="12" t="s">
        <v>631</v>
      </c>
      <c r="D159" s="575">
        <f>G121+G126+G129+G132+G142+G145</f>
        <v>2771.3382361666663</v>
      </c>
      <c r="E159" s="2568">
        <f>ROUND(D159/$D$157,6)</f>
        <v>0.71068699999999996</v>
      </c>
      <c r="F159" s="2046"/>
    </row>
    <row r="160" spans="1:20" x14ac:dyDescent="0.25">
      <c r="C160" s="51" t="s">
        <v>2118</v>
      </c>
      <c r="D160" s="1173">
        <f>D161+D162</f>
        <v>4.5153999999999996</v>
      </c>
      <c r="E160" s="1174">
        <f>D160/$D$160</f>
        <v>1</v>
      </c>
    </row>
    <row r="161" spans="2:20" x14ac:dyDescent="0.25">
      <c r="C161" s="12" t="s">
        <v>632</v>
      </c>
      <c r="D161" s="575">
        <f>G97+G104+G107+G110</f>
        <v>1.2254</v>
      </c>
      <c r="E161" s="1138">
        <f>ROUND(D161/$D$160,5)</f>
        <v>0.27138000000000001</v>
      </c>
      <c r="K161" s="87"/>
    </row>
    <row r="162" spans="2:20" x14ac:dyDescent="0.25">
      <c r="C162" s="12" t="s">
        <v>631</v>
      </c>
      <c r="D162" s="575">
        <f>G100+G105+G108+G111</f>
        <v>3.29</v>
      </c>
      <c r="E162" s="1138">
        <f>ROUND(D162/$D$160,5)</f>
        <v>0.72862000000000005</v>
      </c>
    </row>
    <row r="165" spans="2:20" s="1766" customFormat="1" x14ac:dyDescent="0.25">
      <c r="B165" s="1765"/>
      <c r="C165" s="1769" t="s">
        <v>2429</v>
      </c>
      <c r="D165" s="1769"/>
      <c r="E165" s="1770">
        <f t="shared" ref="E165:S165" si="81">E14</f>
        <v>13014.550584441757</v>
      </c>
      <c r="F165" s="1770">
        <f t="shared" si="81"/>
        <v>2946.708668259831</v>
      </c>
      <c r="G165" s="1770">
        <f t="shared" si="81"/>
        <v>6727.0352134555951</v>
      </c>
      <c r="H165" s="1770">
        <f t="shared" si="81"/>
        <v>156.92946392583639</v>
      </c>
      <c r="I165" s="1770">
        <f t="shared" si="81"/>
        <v>890.28763603385721</v>
      </c>
      <c r="J165" s="1770">
        <f t="shared" si="81"/>
        <v>1142.5090353352143</v>
      </c>
      <c r="K165" s="1770">
        <f t="shared" si="81"/>
        <v>1478.9593913744457</v>
      </c>
      <c r="L165" s="1770">
        <f t="shared" si="81"/>
        <v>1110.0010160553541</v>
      </c>
      <c r="M165" s="1770">
        <f t="shared" si="81"/>
        <v>1022.6981265954587</v>
      </c>
      <c r="N165" s="1770">
        <f t="shared" si="81"/>
        <v>168.00080612656188</v>
      </c>
      <c r="O165" s="1770">
        <f t="shared" si="81"/>
        <v>152.46352277307537</v>
      </c>
      <c r="P165" s="1770">
        <f t="shared" si="81"/>
        <v>153.42099959693672</v>
      </c>
      <c r="Q165" s="1770">
        <f t="shared" si="81"/>
        <v>153.50241837968562</v>
      </c>
      <c r="R165" s="1770">
        <f t="shared" si="81"/>
        <v>150.24486094316811</v>
      </c>
      <c r="S165" s="1770">
        <f t="shared" si="81"/>
        <v>148.01793631600162</v>
      </c>
    </row>
    <row r="166" spans="2:20" s="1768" customFormat="1" x14ac:dyDescent="0.25">
      <c r="B166" s="1767"/>
      <c r="C166" s="1771" t="s">
        <v>2241</v>
      </c>
      <c r="D166" s="1771"/>
      <c r="E166" s="1772">
        <f t="shared" ref="E166:S166" si="82">E17</f>
        <v>0</v>
      </c>
      <c r="F166" s="1772">
        <f t="shared" si="82"/>
        <v>0</v>
      </c>
      <c r="G166" s="1772">
        <f t="shared" si="82"/>
        <v>1324.585868581217</v>
      </c>
      <c r="H166" s="1772">
        <f t="shared" si="82"/>
        <v>63.697097944377269</v>
      </c>
      <c r="I166" s="1772">
        <f t="shared" si="82"/>
        <v>146.4295431680774</v>
      </c>
      <c r="J166" s="1772">
        <f t="shared" si="82"/>
        <v>186.00391374445786</v>
      </c>
      <c r="K166" s="1772">
        <f t="shared" si="82"/>
        <v>225.58209189842808</v>
      </c>
      <c r="L166" s="1772">
        <f t="shared" si="82"/>
        <v>162.9062264006449</v>
      </c>
      <c r="M166" s="1772">
        <f t="shared" si="82"/>
        <v>166.78380316404676</v>
      </c>
      <c r="N166" s="1772">
        <f t="shared" si="82"/>
        <v>68.051189036678764</v>
      </c>
      <c r="O166" s="1772">
        <f t="shared" si="82"/>
        <v>63.929866989117301</v>
      </c>
      <c r="P166" s="1772">
        <f t="shared" si="82"/>
        <v>61.984079000403064</v>
      </c>
      <c r="Q166" s="1772">
        <f t="shared" si="82"/>
        <v>60.640870616686833</v>
      </c>
      <c r="R166" s="1772">
        <f t="shared" si="82"/>
        <v>58.689036678758569</v>
      </c>
      <c r="S166" s="1772">
        <f t="shared" si="82"/>
        <v>59.888149939540511</v>
      </c>
    </row>
    <row r="167" spans="2:20" s="1768" customFormat="1" x14ac:dyDescent="0.25">
      <c r="B167" s="1767"/>
      <c r="C167" s="1771" t="s">
        <v>2242</v>
      </c>
      <c r="D167" s="1771"/>
      <c r="E167" s="1772">
        <f t="shared" ref="E167:S167" si="83">E18</f>
        <v>0</v>
      </c>
      <c r="F167" s="1772">
        <f t="shared" si="83"/>
        <v>0</v>
      </c>
      <c r="G167" s="1772">
        <f t="shared" si="83"/>
        <v>3201.607362944028</v>
      </c>
      <c r="H167" s="1772">
        <f t="shared" si="83"/>
        <v>66.287836492286701</v>
      </c>
      <c r="I167" s="1772">
        <f t="shared" si="83"/>
        <v>431.23871902850095</v>
      </c>
      <c r="J167" s="1772">
        <f t="shared" si="83"/>
        <v>551.45111327438042</v>
      </c>
      <c r="K167" s="1772">
        <f t="shared" si="83"/>
        <v>720.01328025454677</v>
      </c>
      <c r="L167" s="1772">
        <f t="shared" si="83"/>
        <v>544.94762671292472</v>
      </c>
      <c r="M167" s="1772">
        <f t="shared" si="83"/>
        <v>494.86672640724146</v>
      </c>
      <c r="N167" s="1772">
        <f t="shared" si="83"/>
        <v>71.063774960279602</v>
      </c>
      <c r="O167" s="1772">
        <f t="shared" si="83"/>
        <v>62.947072477368017</v>
      </c>
      <c r="P167" s="1772">
        <f t="shared" si="83"/>
        <v>65.011282059135908</v>
      </c>
      <c r="Q167" s="1772">
        <f t="shared" si="83"/>
        <v>66.024186233335371</v>
      </c>
      <c r="R167" s="1772">
        <f t="shared" si="83"/>
        <v>65.095822087821389</v>
      </c>
      <c r="S167" s="1772">
        <f t="shared" si="83"/>
        <v>62.659922956205804</v>
      </c>
    </row>
    <row r="168" spans="2:20" s="1766" customFormat="1" x14ac:dyDescent="0.25">
      <c r="B168" s="1765"/>
      <c r="C168" s="1769" t="s">
        <v>2423</v>
      </c>
      <c r="D168" s="1769"/>
      <c r="E168" s="1770">
        <f t="shared" ref="E168:S168" si="84">E19</f>
        <v>98.910584441757237</v>
      </c>
      <c r="F168" s="1770">
        <f t="shared" si="84"/>
        <v>233.96866825983079</v>
      </c>
      <c r="G168" s="1770">
        <f t="shared" si="84"/>
        <v>51.125467622262477</v>
      </c>
      <c r="H168" s="1770">
        <f t="shared" si="84"/>
        <v>1.1926639258363707</v>
      </c>
      <c r="I168" s="1770">
        <f t="shared" si="84"/>
        <v>6.7661860338573661</v>
      </c>
      <c r="J168" s="1770">
        <f t="shared" si="84"/>
        <v>8.6830686685477758</v>
      </c>
      <c r="K168" s="1770">
        <f t="shared" si="84"/>
        <v>11.24009137444591</v>
      </c>
      <c r="L168" s="1770">
        <f t="shared" si="84"/>
        <v>8.4360077220208041</v>
      </c>
      <c r="M168" s="1770">
        <f t="shared" si="84"/>
        <v>7.7725057621255473</v>
      </c>
      <c r="N168" s="1770">
        <f t="shared" si="84"/>
        <v>1.2768061265618655</v>
      </c>
      <c r="O168" s="1770">
        <f t="shared" si="84"/>
        <v>1.1587227730753682</v>
      </c>
      <c r="P168" s="1770">
        <f t="shared" si="84"/>
        <v>1.1659995969367287</v>
      </c>
      <c r="Q168" s="1770">
        <f t="shared" si="84"/>
        <v>1.166618379685616</v>
      </c>
      <c r="R168" s="1770">
        <f t="shared" si="84"/>
        <v>1.1418609431680977</v>
      </c>
      <c r="S168" s="1770">
        <f t="shared" si="84"/>
        <v>1.124936316001623</v>
      </c>
      <c r="T168" s="1770" t="str">
        <f>T19</f>
        <v>новий рядок</v>
      </c>
    </row>
    <row r="169" spans="2:20" s="1768" customFormat="1" x14ac:dyDescent="0.25">
      <c r="B169" s="1767"/>
      <c r="C169" s="1771" t="s">
        <v>2241</v>
      </c>
      <c r="D169" s="1771"/>
      <c r="E169" s="1772">
        <f t="shared" ref="E169:S169" si="85">E22</f>
        <v>0</v>
      </c>
      <c r="F169" s="1772">
        <f t="shared" si="85"/>
        <v>0</v>
      </c>
      <c r="G169" s="1772">
        <f t="shared" si="85"/>
        <v>10.066852601217306</v>
      </c>
      <c r="H169" s="1772">
        <f t="shared" si="85"/>
        <v>0.48409794437726816</v>
      </c>
      <c r="I169" s="1772">
        <f t="shared" si="85"/>
        <v>1.1128645280774094</v>
      </c>
      <c r="J169" s="1772">
        <f t="shared" si="85"/>
        <v>1.4136297444578929</v>
      </c>
      <c r="K169" s="1772">
        <f t="shared" si="85"/>
        <v>1.7144238984280662</v>
      </c>
      <c r="L169" s="1772">
        <f t="shared" si="85"/>
        <v>1.2380873206449223</v>
      </c>
      <c r="M169" s="1772">
        <f t="shared" si="85"/>
        <v>1.2675569040467565</v>
      </c>
      <c r="N169" s="1772">
        <f t="shared" si="85"/>
        <v>0.51718903667875793</v>
      </c>
      <c r="O169" s="1772">
        <f t="shared" si="85"/>
        <v>0.48586698911729798</v>
      </c>
      <c r="P169" s="1772">
        <f t="shared" si="85"/>
        <v>0.47107900040306561</v>
      </c>
      <c r="Q169" s="1772">
        <f t="shared" si="85"/>
        <v>0.46087061668682594</v>
      </c>
      <c r="R169" s="1772">
        <f t="shared" si="85"/>
        <v>0.44603667875856701</v>
      </c>
      <c r="S169" s="1772">
        <f t="shared" si="85"/>
        <v>0.45514993954051164</v>
      </c>
    </row>
    <row r="170" spans="2:20" s="1768" customFormat="1" x14ac:dyDescent="0.25">
      <c r="B170" s="1767"/>
      <c r="C170" s="1771" t="s">
        <v>2242</v>
      </c>
      <c r="D170" s="1771"/>
      <c r="E170" s="1772">
        <f t="shared" ref="E170:S170" si="86">E23</f>
        <v>0</v>
      </c>
      <c r="F170" s="1772">
        <f t="shared" si="86"/>
        <v>0</v>
      </c>
      <c r="G170" s="1772">
        <f t="shared" si="86"/>
        <v>24.332215958374945</v>
      </c>
      <c r="H170" s="1772">
        <f t="shared" si="86"/>
        <v>0.50378755734138281</v>
      </c>
      <c r="I170" s="1772">
        <f t="shared" si="86"/>
        <v>3.2774142646166524</v>
      </c>
      <c r="J170" s="1772">
        <f t="shared" si="86"/>
        <v>4.1910284608852635</v>
      </c>
      <c r="K170" s="1772">
        <f t="shared" si="86"/>
        <v>5.4721009299346406</v>
      </c>
      <c r="L170" s="1772">
        <f t="shared" si="86"/>
        <v>4.1416019630182745</v>
      </c>
      <c r="M170" s="1772">
        <f t="shared" si="86"/>
        <v>3.7609871206950629</v>
      </c>
      <c r="N170" s="1772">
        <f t="shared" si="86"/>
        <v>0.5400846896981335</v>
      </c>
      <c r="O170" s="1772">
        <f t="shared" si="86"/>
        <v>0.47839775082800173</v>
      </c>
      <c r="P170" s="1772">
        <f t="shared" si="86"/>
        <v>0.49408574364943547</v>
      </c>
      <c r="Q170" s="1772">
        <f t="shared" si="86"/>
        <v>0.50178381537335781</v>
      </c>
      <c r="R170" s="1772">
        <f t="shared" si="86"/>
        <v>0.49472824786744241</v>
      </c>
      <c r="S170" s="1772">
        <f t="shared" si="86"/>
        <v>0.47621541446716975</v>
      </c>
    </row>
    <row r="171" spans="2:20" s="1768" customFormat="1" x14ac:dyDescent="0.25">
      <c r="B171" s="1767"/>
      <c r="C171" s="1771"/>
      <c r="D171" s="1771"/>
      <c r="E171" s="1775">
        <f>E172+E168-E165</f>
        <v>0</v>
      </c>
      <c r="F171" s="1775">
        <f t="shared" ref="F171:S171" si="87">F172+F168-F165</f>
        <v>0</v>
      </c>
      <c r="G171" s="1775">
        <f t="shared" si="87"/>
        <v>0</v>
      </c>
      <c r="H171" s="1775">
        <f t="shared" si="87"/>
        <v>0</v>
      </c>
      <c r="I171" s="1775">
        <f t="shared" si="87"/>
        <v>0</v>
      </c>
      <c r="J171" s="1775">
        <f t="shared" si="87"/>
        <v>0</v>
      </c>
      <c r="K171" s="1775">
        <f t="shared" si="87"/>
        <v>0</v>
      </c>
      <c r="L171" s="1775">
        <f t="shared" si="87"/>
        <v>0</v>
      </c>
      <c r="M171" s="1775">
        <f t="shared" si="87"/>
        <v>0</v>
      </c>
      <c r="N171" s="1775">
        <f t="shared" si="87"/>
        <v>0</v>
      </c>
      <c r="O171" s="1775">
        <f t="shared" si="87"/>
        <v>0</v>
      </c>
      <c r="P171" s="1775">
        <f t="shared" si="87"/>
        <v>0</v>
      </c>
      <c r="Q171" s="1775">
        <f t="shared" si="87"/>
        <v>0</v>
      </c>
      <c r="R171" s="1775">
        <f t="shared" si="87"/>
        <v>0</v>
      </c>
      <c r="S171" s="1775">
        <f t="shared" si="87"/>
        <v>0</v>
      </c>
    </row>
    <row r="172" spans="2:20" s="1766" customFormat="1" x14ac:dyDescent="0.25">
      <c r="B172" s="1765"/>
      <c r="C172" s="1769" t="s">
        <v>2425</v>
      </c>
      <c r="D172" s="1769"/>
      <c r="E172" s="1770">
        <f t="shared" ref="E172:S172" si="88">E24</f>
        <v>12915.64</v>
      </c>
      <c r="F172" s="1770">
        <f t="shared" si="88"/>
        <v>2712.7400000000002</v>
      </c>
      <c r="G172" s="1770">
        <f t="shared" si="88"/>
        <v>6675.9097458333326</v>
      </c>
      <c r="H172" s="1770">
        <f t="shared" si="88"/>
        <v>155.73680000000002</v>
      </c>
      <c r="I172" s="1770">
        <f t="shared" si="88"/>
        <v>883.52144999999985</v>
      </c>
      <c r="J172" s="1770">
        <f t="shared" si="88"/>
        <v>1133.8259666666665</v>
      </c>
      <c r="K172" s="1770">
        <f t="shared" si="88"/>
        <v>1467.7192999999997</v>
      </c>
      <c r="L172" s="1770">
        <f t="shared" si="88"/>
        <v>1101.5650083333333</v>
      </c>
      <c r="M172" s="1770">
        <f t="shared" si="88"/>
        <v>1014.9256208333331</v>
      </c>
      <c r="N172" s="1770">
        <f t="shared" si="88"/>
        <v>166.72400000000002</v>
      </c>
      <c r="O172" s="1770">
        <f t="shared" si="88"/>
        <v>151.3048</v>
      </c>
      <c r="P172" s="1770">
        <f t="shared" si="88"/>
        <v>152.255</v>
      </c>
      <c r="Q172" s="1770">
        <f t="shared" si="88"/>
        <v>152.33580000000001</v>
      </c>
      <c r="R172" s="1770">
        <f t="shared" si="88"/>
        <v>149.10300000000001</v>
      </c>
      <c r="S172" s="1770">
        <f t="shared" si="88"/>
        <v>146.893</v>
      </c>
    </row>
    <row r="173" spans="2:20" s="1768" customFormat="1" x14ac:dyDescent="0.25">
      <c r="B173" s="1767"/>
      <c r="C173" s="1771" t="s">
        <v>2241</v>
      </c>
      <c r="D173" s="1771"/>
      <c r="E173" s="1772">
        <f t="shared" ref="E173:S173" si="89">E28+E31+E34+E37+E40</f>
        <v>0</v>
      </c>
      <c r="F173" s="1772">
        <f t="shared" si="89"/>
        <v>0</v>
      </c>
      <c r="G173" s="1772">
        <f t="shared" si="89"/>
        <v>1314.5190159799997</v>
      </c>
      <c r="H173" s="1772">
        <f t="shared" si="89"/>
        <v>63.213000000000001</v>
      </c>
      <c r="I173" s="1772">
        <f t="shared" si="89"/>
        <v>145.31667863999999</v>
      </c>
      <c r="J173" s="1772">
        <f t="shared" si="89"/>
        <v>184.59028399999997</v>
      </c>
      <c r="K173" s="1772">
        <f t="shared" si="89"/>
        <v>223.86766800000001</v>
      </c>
      <c r="L173" s="1772">
        <f t="shared" si="89"/>
        <v>161.66813907999997</v>
      </c>
      <c r="M173" s="1772">
        <f t="shared" si="89"/>
        <v>165.51624626</v>
      </c>
      <c r="N173" s="1772">
        <f t="shared" si="89"/>
        <v>67.534000000000006</v>
      </c>
      <c r="O173" s="1772">
        <f t="shared" si="89"/>
        <v>63.444000000000003</v>
      </c>
      <c r="P173" s="1772">
        <f t="shared" si="89"/>
        <v>61.512999999999998</v>
      </c>
      <c r="Q173" s="1772">
        <f t="shared" si="89"/>
        <v>60.180000000000007</v>
      </c>
      <c r="R173" s="1772">
        <f t="shared" si="89"/>
        <v>58.243000000000002</v>
      </c>
      <c r="S173" s="1772">
        <f t="shared" si="89"/>
        <v>59.433</v>
      </c>
    </row>
    <row r="174" spans="2:20" s="1768" customFormat="1" x14ac:dyDescent="0.25">
      <c r="B174" s="1767"/>
      <c r="C174" s="1771" t="s">
        <v>2242</v>
      </c>
      <c r="D174" s="1771"/>
      <c r="E174" s="1772">
        <f t="shared" ref="E174:S174" si="90">E29+E32+E35+E38+E41</f>
        <v>2369.9299999999998</v>
      </c>
      <c r="F174" s="1772">
        <f t="shared" si="90"/>
        <v>2712.74</v>
      </c>
      <c r="G174" s="1775">
        <f t="shared" si="90"/>
        <v>5361.3907298533331</v>
      </c>
      <c r="H174" s="1772">
        <f t="shared" si="90"/>
        <v>92.523800000000008</v>
      </c>
      <c r="I174" s="1772">
        <f t="shared" si="90"/>
        <v>738.20477136</v>
      </c>
      <c r="J174" s="1772">
        <f t="shared" si="90"/>
        <v>949.23568266666655</v>
      </c>
      <c r="K174" s="1772">
        <f t="shared" si="90"/>
        <v>1243.8516319999999</v>
      </c>
      <c r="L174" s="1772">
        <f t="shared" si="90"/>
        <v>939.89686925333331</v>
      </c>
      <c r="M174" s="1772">
        <f t="shared" si="90"/>
        <v>849.40937457333325</v>
      </c>
      <c r="N174" s="1772">
        <f t="shared" si="90"/>
        <v>99.19</v>
      </c>
      <c r="O174" s="1772">
        <f t="shared" si="90"/>
        <v>87.860800000000012</v>
      </c>
      <c r="P174" s="1772">
        <f t="shared" si="90"/>
        <v>90.742000000000004</v>
      </c>
      <c r="Q174" s="1772">
        <f t="shared" si="90"/>
        <v>92.155799999999999</v>
      </c>
      <c r="R174" s="1772">
        <f t="shared" si="90"/>
        <v>90.86</v>
      </c>
      <c r="S174" s="1772">
        <f t="shared" si="90"/>
        <v>87.460000000000008</v>
      </c>
    </row>
    <row r="175" spans="2:20" s="1766" customFormat="1" x14ac:dyDescent="0.25">
      <c r="B175" s="1765"/>
      <c r="C175" s="1769" t="s">
        <v>2424</v>
      </c>
      <c r="D175" s="1769"/>
      <c r="E175" s="1770">
        <f t="shared" ref="E175:T175" si="91">E39</f>
        <v>2155.4899999999998</v>
      </c>
      <c r="F175" s="1770">
        <f t="shared" si="91"/>
        <v>1355.6</v>
      </c>
      <c r="G175" s="1770">
        <f t="shared" si="91"/>
        <v>2184.1155828676801</v>
      </c>
      <c r="H175" s="1770">
        <f t="shared" si="91"/>
        <v>26.739751065054691</v>
      </c>
      <c r="I175" s="1770">
        <f t="shared" si="91"/>
        <v>310.24346659611564</v>
      </c>
      <c r="J175" s="1770">
        <f t="shared" si="91"/>
        <v>401.97559785317139</v>
      </c>
      <c r="K175" s="1770">
        <f t="shared" si="91"/>
        <v>529.31045267538764</v>
      </c>
      <c r="L175" s="1770">
        <f t="shared" si="91"/>
        <v>399.09084450342681</v>
      </c>
      <c r="M175" s="1770">
        <f t="shared" si="91"/>
        <v>358.3036352867868</v>
      </c>
      <c r="N175" s="1770">
        <f t="shared" si="91"/>
        <v>28.666309729418536</v>
      </c>
      <c r="O175" s="1770">
        <f t="shared" si="91"/>
        <v>25.392125273459989</v>
      </c>
      <c r="P175" s="1770">
        <f t="shared" si="91"/>
        <v>26.224803684513528</v>
      </c>
      <c r="Q175" s="1770">
        <f t="shared" si="91"/>
        <v>26.633397582037993</v>
      </c>
      <c r="R175" s="1770">
        <f t="shared" si="91"/>
        <v>26.258906160046056</v>
      </c>
      <c r="S175" s="1770">
        <f t="shared" si="91"/>
        <v>25.27629245826137</v>
      </c>
      <c r="T175" s="1770">
        <f t="shared" si="91"/>
        <v>197.46334644715699</v>
      </c>
    </row>
    <row r="176" spans="2:20" s="1768" customFormat="1" x14ac:dyDescent="0.25">
      <c r="B176" s="1767"/>
      <c r="C176" s="1771" t="s">
        <v>2241</v>
      </c>
      <c r="D176" s="1771"/>
      <c r="E176" s="1772">
        <f t="shared" ref="E176:S176" si="92">E40</f>
        <v>0</v>
      </c>
      <c r="F176" s="1772">
        <f t="shared" si="92"/>
        <v>0</v>
      </c>
      <c r="G176" s="1771">
        <f t="shared" si="92"/>
        <v>0</v>
      </c>
      <c r="H176" s="1771">
        <f t="shared" si="92"/>
        <v>0</v>
      </c>
      <c r="I176" s="1771">
        <f t="shared" si="92"/>
        <v>0</v>
      </c>
      <c r="J176" s="1771">
        <f t="shared" si="92"/>
        <v>0</v>
      </c>
      <c r="K176" s="1771">
        <f t="shared" si="92"/>
        <v>0</v>
      </c>
      <c r="L176" s="1771">
        <f t="shared" si="92"/>
        <v>0</v>
      </c>
      <c r="M176" s="1771">
        <f t="shared" si="92"/>
        <v>0</v>
      </c>
      <c r="N176" s="1771">
        <f t="shared" si="92"/>
        <v>0</v>
      </c>
      <c r="O176" s="1771">
        <f t="shared" si="92"/>
        <v>0</v>
      </c>
      <c r="P176" s="1771">
        <f t="shared" si="92"/>
        <v>0</v>
      </c>
      <c r="Q176" s="1771">
        <f t="shared" si="92"/>
        <v>0</v>
      </c>
      <c r="R176" s="1771">
        <f t="shared" si="92"/>
        <v>0</v>
      </c>
      <c r="S176" s="1771">
        <f t="shared" si="92"/>
        <v>0</v>
      </c>
    </row>
    <row r="177" spans="2:20" s="1768" customFormat="1" x14ac:dyDescent="0.25">
      <c r="B177" s="1767"/>
      <c r="C177" s="1771" t="s">
        <v>2242</v>
      </c>
      <c r="D177" s="1771"/>
      <c r="E177" s="1771">
        <f t="shared" ref="E177:S177" si="93">E41</f>
        <v>2155.4899999999998</v>
      </c>
      <c r="F177" s="1771">
        <f t="shared" si="93"/>
        <v>1355.6</v>
      </c>
      <c r="G177" s="1771">
        <f t="shared" si="93"/>
        <v>2184.1155828676801</v>
      </c>
      <c r="H177" s="1771">
        <f t="shared" si="93"/>
        <v>26.739751065054691</v>
      </c>
      <c r="I177" s="1771">
        <f t="shared" si="93"/>
        <v>310.24346659611564</v>
      </c>
      <c r="J177" s="1771">
        <f t="shared" si="93"/>
        <v>401.97559785317139</v>
      </c>
      <c r="K177" s="1771">
        <f t="shared" si="93"/>
        <v>529.31045267538764</v>
      </c>
      <c r="L177" s="1771">
        <f t="shared" si="93"/>
        <v>399.09084450342681</v>
      </c>
      <c r="M177" s="1771">
        <f t="shared" si="93"/>
        <v>358.3036352867868</v>
      </c>
      <c r="N177" s="1771">
        <f t="shared" si="93"/>
        <v>28.666309729418536</v>
      </c>
      <c r="O177" s="1771">
        <f t="shared" si="93"/>
        <v>25.392125273459989</v>
      </c>
      <c r="P177" s="1771">
        <f t="shared" si="93"/>
        <v>26.224803684513528</v>
      </c>
      <c r="Q177" s="1771">
        <f t="shared" si="93"/>
        <v>26.633397582037993</v>
      </c>
      <c r="R177" s="1771">
        <f t="shared" si="93"/>
        <v>26.258906160046056</v>
      </c>
      <c r="S177" s="1771">
        <f t="shared" si="93"/>
        <v>25.27629245826137</v>
      </c>
    </row>
    <row r="178" spans="2:20" s="1768" customFormat="1" x14ac:dyDescent="0.25">
      <c r="B178" s="1767"/>
      <c r="C178" s="1769" t="s">
        <v>2427</v>
      </c>
      <c r="D178" s="1771"/>
      <c r="E178" s="1770">
        <f t="shared" ref="E178:S178" si="94">E71</f>
        <v>2116.5700000000002</v>
      </c>
      <c r="F178" s="1770">
        <f t="shared" si="94"/>
        <v>1344.92</v>
      </c>
      <c r="G178" s="1770">
        <f t="shared" si="94"/>
        <v>1914.2734936866668</v>
      </c>
      <c r="H178" s="1770">
        <f t="shared" si="94"/>
        <v>21.786799999999999</v>
      </c>
      <c r="I178" s="1770">
        <f t="shared" si="94"/>
        <v>280.35824535999996</v>
      </c>
      <c r="J178" s="1770">
        <f t="shared" si="94"/>
        <v>364.37924933333329</v>
      </c>
      <c r="K178" s="1770">
        <f t="shared" si="94"/>
        <v>436.00793199999987</v>
      </c>
      <c r="L178" s="1770">
        <f t="shared" si="94"/>
        <v>361.90890558666661</v>
      </c>
      <c r="M178" s="1770">
        <f t="shared" si="94"/>
        <v>321.92276140666661</v>
      </c>
      <c r="N178" s="1770">
        <f t="shared" si="94"/>
        <v>21.084</v>
      </c>
      <c r="O178" s="1770">
        <f t="shared" si="94"/>
        <v>21.786799999999999</v>
      </c>
      <c r="P178" s="1770">
        <f t="shared" si="94"/>
        <v>21.084</v>
      </c>
      <c r="Q178" s="1770">
        <f t="shared" si="94"/>
        <v>21.786799999999999</v>
      </c>
      <c r="R178" s="1770">
        <f t="shared" si="94"/>
        <v>21.084</v>
      </c>
      <c r="S178" s="1770">
        <f t="shared" si="94"/>
        <v>21.084</v>
      </c>
    </row>
    <row r="179" spans="2:20" s="1768" customFormat="1" x14ac:dyDescent="0.25">
      <c r="B179" s="1767"/>
      <c r="C179" s="1771" t="s">
        <v>2241</v>
      </c>
      <c r="D179" s="1771"/>
      <c r="E179" s="1772">
        <f t="shared" ref="E179:S179" si="95">E72</f>
        <v>0</v>
      </c>
      <c r="F179" s="1772">
        <f t="shared" si="95"/>
        <v>0</v>
      </c>
      <c r="G179" s="1772">
        <f t="shared" si="95"/>
        <v>0</v>
      </c>
      <c r="H179" s="1772">
        <f t="shared" si="95"/>
        <v>0</v>
      </c>
      <c r="I179" s="1772">
        <f t="shared" si="95"/>
        <v>0</v>
      </c>
      <c r="J179" s="1772">
        <f t="shared" si="95"/>
        <v>0</v>
      </c>
      <c r="K179" s="1772">
        <f t="shared" si="95"/>
        <v>0</v>
      </c>
      <c r="L179" s="1772">
        <f t="shared" si="95"/>
        <v>0</v>
      </c>
      <c r="M179" s="1772">
        <f t="shared" si="95"/>
        <v>0</v>
      </c>
      <c r="N179" s="1772">
        <f t="shared" si="95"/>
        <v>0</v>
      </c>
      <c r="O179" s="1772">
        <f t="shared" si="95"/>
        <v>0</v>
      </c>
      <c r="P179" s="1772">
        <f t="shared" si="95"/>
        <v>0</v>
      </c>
      <c r="Q179" s="1772">
        <f t="shared" si="95"/>
        <v>0</v>
      </c>
      <c r="R179" s="1772">
        <f t="shared" si="95"/>
        <v>0</v>
      </c>
      <c r="S179" s="1772">
        <f t="shared" si="95"/>
        <v>0</v>
      </c>
      <c r="T179" s="1772" t="str">
        <f>T72</f>
        <v>новий рядок</v>
      </c>
    </row>
    <row r="180" spans="2:20" s="1768" customFormat="1" x14ac:dyDescent="0.25">
      <c r="B180" s="1767"/>
      <c r="C180" s="1771" t="s">
        <v>2242</v>
      </c>
      <c r="D180" s="1771"/>
      <c r="E180" s="1772">
        <f t="shared" ref="E180:S180" si="96">E73</f>
        <v>2116.5700000000002</v>
      </c>
      <c r="F180" s="1772">
        <f t="shared" si="96"/>
        <v>1344.92</v>
      </c>
      <c r="G180" s="1772">
        <f t="shared" si="96"/>
        <v>1914.2734936866668</v>
      </c>
      <c r="H180" s="1772">
        <f t="shared" si="96"/>
        <v>21.786799999999999</v>
      </c>
      <c r="I180" s="1772">
        <f t="shared" si="96"/>
        <v>280.35824535999996</v>
      </c>
      <c r="J180" s="1772">
        <f t="shared" si="96"/>
        <v>364.37924933333329</v>
      </c>
      <c r="K180" s="1772">
        <f t="shared" si="96"/>
        <v>436.00793199999987</v>
      </c>
      <c r="L180" s="1772">
        <f t="shared" si="96"/>
        <v>361.90890558666661</v>
      </c>
      <c r="M180" s="1772">
        <f t="shared" si="96"/>
        <v>321.92276140666661</v>
      </c>
      <c r="N180" s="1772">
        <f t="shared" si="96"/>
        <v>21.084</v>
      </c>
      <c r="O180" s="1772">
        <f t="shared" si="96"/>
        <v>21.786799999999999</v>
      </c>
      <c r="P180" s="1772">
        <f t="shared" si="96"/>
        <v>21.084</v>
      </c>
      <c r="Q180" s="1772">
        <f t="shared" si="96"/>
        <v>21.786799999999999</v>
      </c>
      <c r="R180" s="1772">
        <f t="shared" si="96"/>
        <v>21.084</v>
      </c>
      <c r="S180" s="1772">
        <f t="shared" si="96"/>
        <v>21.084</v>
      </c>
    </row>
    <row r="181" spans="2:20" s="1766" customFormat="1" x14ac:dyDescent="0.25">
      <c r="B181" s="1765"/>
      <c r="C181" s="1769" t="s">
        <v>2426</v>
      </c>
      <c r="D181" s="1769"/>
      <c r="E181" s="1770">
        <f t="shared" ref="E181:S181" si="97">E74</f>
        <v>8853.31</v>
      </c>
      <c r="F181" s="1770">
        <f t="shared" si="97"/>
        <v>839.13</v>
      </c>
      <c r="G181" s="1770">
        <f t="shared" si="97"/>
        <v>3899.5202521466663</v>
      </c>
      <c r="H181" s="1770">
        <f t="shared" si="97"/>
        <v>109.43</v>
      </c>
      <c r="I181" s="1770">
        <f t="shared" si="97"/>
        <v>514.6532046399999</v>
      </c>
      <c r="J181" s="1770">
        <f t="shared" si="97"/>
        <v>649.53671733333317</v>
      </c>
      <c r="K181" s="1770">
        <f t="shared" si="97"/>
        <v>762.46136799999999</v>
      </c>
      <c r="L181" s="1770">
        <f t="shared" si="97"/>
        <v>638.37610274666667</v>
      </c>
      <c r="M181" s="1770">
        <f t="shared" si="97"/>
        <v>582.60285942666656</v>
      </c>
      <c r="N181" s="1770">
        <f t="shared" si="97"/>
        <v>105.9</v>
      </c>
      <c r="O181" s="1770">
        <f t="shared" si="97"/>
        <v>109.43</v>
      </c>
      <c r="P181" s="1770">
        <f t="shared" si="97"/>
        <v>105.9</v>
      </c>
      <c r="Q181" s="1770">
        <f t="shared" si="97"/>
        <v>109.43</v>
      </c>
      <c r="R181" s="1770">
        <f t="shared" si="97"/>
        <v>105.9</v>
      </c>
      <c r="S181" s="1770">
        <f t="shared" si="97"/>
        <v>105.9</v>
      </c>
    </row>
    <row r="182" spans="2:20" s="1768" customFormat="1" x14ac:dyDescent="0.25">
      <c r="B182" s="1767"/>
      <c r="C182" s="1771" t="s">
        <v>2241</v>
      </c>
      <c r="D182" s="1771"/>
      <c r="E182" s="1772">
        <f t="shared" ref="E182:S182" si="98">E77+E85+E89+E93</f>
        <v>1173.53</v>
      </c>
      <c r="F182" s="1772">
        <f t="shared" si="98"/>
        <v>102.21</v>
      </c>
      <c r="G182" s="1772">
        <f t="shared" si="98"/>
        <v>1128.18201598</v>
      </c>
      <c r="H182" s="1772">
        <f t="shared" si="98"/>
        <v>55.831000000000003</v>
      </c>
      <c r="I182" s="1772">
        <f t="shared" si="98"/>
        <v>127.91667863999999</v>
      </c>
      <c r="J182" s="1772">
        <f t="shared" si="98"/>
        <v>153.46128399999998</v>
      </c>
      <c r="K182" s="1772">
        <f t="shared" si="98"/>
        <v>173.87366800000001</v>
      </c>
      <c r="L182" s="1772">
        <f t="shared" si="98"/>
        <v>147.95513907999998</v>
      </c>
      <c r="M182" s="1772">
        <f t="shared" si="98"/>
        <v>141.36224626000001</v>
      </c>
      <c r="N182" s="1772">
        <f t="shared" si="98"/>
        <v>54.03</v>
      </c>
      <c r="O182" s="1772">
        <f t="shared" si="98"/>
        <v>55.831000000000003</v>
      </c>
      <c r="P182" s="1772">
        <f t="shared" si="98"/>
        <v>54.03</v>
      </c>
      <c r="Q182" s="1772">
        <f t="shared" si="98"/>
        <v>55.831000000000003</v>
      </c>
      <c r="R182" s="1772">
        <f t="shared" si="98"/>
        <v>54.03</v>
      </c>
      <c r="S182" s="1772">
        <f t="shared" si="98"/>
        <v>54.03</v>
      </c>
    </row>
    <row r="183" spans="2:20" s="1768" customFormat="1" x14ac:dyDescent="0.25">
      <c r="B183" s="1767"/>
      <c r="C183" s="1771" t="s">
        <v>2242</v>
      </c>
      <c r="D183" s="1771"/>
      <c r="E183" s="1772">
        <f t="shared" ref="E183:Q183" si="99">E80+E86+E90+E94</f>
        <v>7679.7800000000007</v>
      </c>
      <c r="F183" s="1772">
        <f t="shared" si="99"/>
        <v>736.92</v>
      </c>
      <c r="G183" s="1772">
        <f t="shared" si="99"/>
        <v>2771.3382361666663</v>
      </c>
      <c r="H183" s="1772">
        <f t="shared" si="99"/>
        <v>53.599000000000004</v>
      </c>
      <c r="I183" s="1772">
        <f t="shared" si="99"/>
        <v>386.73652599999997</v>
      </c>
      <c r="J183" s="1772">
        <f t="shared" si="99"/>
        <v>496.07543333333325</v>
      </c>
      <c r="K183" s="1772">
        <f t="shared" si="99"/>
        <v>588.58769999999993</v>
      </c>
      <c r="L183" s="1772">
        <f t="shared" si="99"/>
        <v>490.42096366666664</v>
      </c>
      <c r="M183" s="1772">
        <f t="shared" si="99"/>
        <v>441.24061316666661</v>
      </c>
      <c r="N183" s="1772">
        <f t="shared" si="99"/>
        <v>51.870000000000005</v>
      </c>
      <c r="O183" s="1772">
        <f t="shared" si="99"/>
        <v>53.599000000000004</v>
      </c>
      <c r="P183" s="1772">
        <f t="shared" si="99"/>
        <v>51.870000000000005</v>
      </c>
      <c r="Q183" s="1772">
        <f t="shared" si="99"/>
        <v>53.599000000000004</v>
      </c>
      <c r="R183" s="1772">
        <f>R78+R86+R90+R94</f>
        <v>51.870000000000005</v>
      </c>
      <c r="S183" s="1772">
        <f>S78+S86+S90+S94</f>
        <v>51.870000000000005</v>
      </c>
    </row>
    <row r="184" spans="2:20" x14ac:dyDescent="0.25">
      <c r="E184" s="1776">
        <f t="shared" ref="E184:T184" si="100">E48-E185</f>
        <v>0</v>
      </c>
      <c r="F184" s="1776">
        <f t="shared" si="100"/>
        <v>0</v>
      </c>
      <c r="G184" s="1776">
        <f t="shared" si="100"/>
        <v>0</v>
      </c>
      <c r="H184" s="1776">
        <f t="shared" si="100"/>
        <v>0</v>
      </c>
      <c r="I184" s="1776">
        <f t="shared" si="100"/>
        <v>0</v>
      </c>
      <c r="J184" s="1776">
        <f t="shared" si="100"/>
        <v>0</v>
      </c>
      <c r="K184" s="1776">
        <f t="shared" si="100"/>
        <v>0</v>
      </c>
      <c r="L184" s="1776">
        <f t="shared" si="100"/>
        <v>0</v>
      </c>
      <c r="M184" s="1776">
        <f t="shared" si="100"/>
        <v>0</v>
      </c>
      <c r="N184" s="1776">
        <f t="shared" si="100"/>
        <v>0</v>
      </c>
      <c r="O184" s="1776">
        <f t="shared" si="100"/>
        <v>0</v>
      </c>
      <c r="P184" s="1776">
        <f t="shared" si="100"/>
        <v>0</v>
      </c>
      <c r="Q184" s="1776">
        <f t="shared" si="100"/>
        <v>0</v>
      </c>
      <c r="R184" s="1776">
        <f t="shared" si="100"/>
        <v>0</v>
      </c>
      <c r="S184" s="1776">
        <f t="shared" si="100"/>
        <v>0</v>
      </c>
      <c r="T184" s="1776">
        <f t="shared" si="100"/>
        <v>0</v>
      </c>
    </row>
    <row r="185" spans="2:20" s="1764" customFormat="1" x14ac:dyDescent="0.25">
      <c r="B185" s="1762"/>
      <c r="C185" s="1763" t="s">
        <v>2430</v>
      </c>
      <c r="D185" s="1763"/>
      <c r="E185" s="1773">
        <f>E172-E181-E178</f>
        <v>1945.7599999999998</v>
      </c>
      <c r="F185" s="1773">
        <f t="shared" ref="F185:S185" si="101">F172-F181-F178</f>
        <v>528.69000000000005</v>
      </c>
      <c r="G185" s="1773">
        <f t="shared" si="101"/>
        <v>862.11599999999953</v>
      </c>
      <c r="H185" s="1773">
        <f t="shared" si="101"/>
        <v>24.52000000000001</v>
      </c>
      <c r="I185" s="1773">
        <f t="shared" si="101"/>
        <v>88.509999999999991</v>
      </c>
      <c r="J185" s="1773">
        <f t="shared" si="101"/>
        <v>119.91000000000008</v>
      </c>
      <c r="K185" s="1773">
        <f t="shared" si="101"/>
        <v>269.24999999999989</v>
      </c>
      <c r="L185" s="1773">
        <f t="shared" si="101"/>
        <v>101.27999999999997</v>
      </c>
      <c r="M185" s="1773">
        <f t="shared" si="101"/>
        <v>110.39999999999998</v>
      </c>
      <c r="N185" s="1773">
        <f t="shared" si="101"/>
        <v>39.740000000000009</v>
      </c>
      <c r="O185" s="1773">
        <f t="shared" si="101"/>
        <v>20.087999999999994</v>
      </c>
      <c r="P185" s="1773">
        <f t="shared" si="101"/>
        <v>25.27099999999999</v>
      </c>
      <c r="Q185" s="1773">
        <f>Q172-Q181-Q178</f>
        <v>21.119</v>
      </c>
      <c r="R185" s="1773">
        <f>R172-R181-R178</f>
        <v>22.119000000000003</v>
      </c>
      <c r="S185" s="1773">
        <f t="shared" si="101"/>
        <v>19.908999999999995</v>
      </c>
    </row>
    <row r="186" spans="2:20" s="1764" customFormat="1" x14ac:dyDescent="0.25">
      <c r="B186" s="1762"/>
      <c r="C186" s="1771" t="s">
        <v>2241</v>
      </c>
      <c r="D186" s="1763"/>
      <c r="E186" s="1774">
        <f>E173-E179-E182</f>
        <v>-1173.53</v>
      </c>
      <c r="F186" s="1774">
        <f t="shared" ref="F186:S186" si="102">F173-F179-F182</f>
        <v>-102.21</v>
      </c>
      <c r="G186" s="1774">
        <f t="shared" si="102"/>
        <v>186.33699999999976</v>
      </c>
      <c r="H186" s="1774">
        <f>H173-H179-H182</f>
        <v>7.3819999999999979</v>
      </c>
      <c r="I186" s="1774">
        <f>I173-I179-I182</f>
        <v>17.400000000000006</v>
      </c>
      <c r="J186" s="1774">
        <f t="shared" si="102"/>
        <v>31.128999999999991</v>
      </c>
      <c r="K186" s="1774">
        <f t="shared" si="102"/>
        <v>49.994</v>
      </c>
      <c r="L186" s="1774">
        <f t="shared" si="102"/>
        <v>13.712999999999994</v>
      </c>
      <c r="M186" s="1774">
        <f t="shared" si="102"/>
        <v>24.153999999999996</v>
      </c>
      <c r="N186" s="1774">
        <f t="shared" si="102"/>
        <v>13.504000000000005</v>
      </c>
      <c r="O186" s="1774">
        <f t="shared" si="102"/>
        <v>7.6129999999999995</v>
      </c>
      <c r="P186" s="1774">
        <f t="shared" si="102"/>
        <v>7.482999999999997</v>
      </c>
      <c r="Q186" s="1774">
        <f t="shared" si="102"/>
        <v>4.3490000000000038</v>
      </c>
      <c r="R186" s="1774">
        <f t="shared" si="102"/>
        <v>4.213000000000001</v>
      </c>
      <c r="S186" s="1774">
        <f t="shared" si="102"/>
        <v>5.4029999999999987</v>
      </c>
    </row>
    <row r="187" spans="2:20" s="1764" customFormat="1" x14ac:dyDescent="0.25">
      <c r="B187" s="1762"/>
      <c r="C187" s="1771" t="s">
        <v>2242</v>
      </c>
      <c r="D187" s="1763"/>
      <c r="E187" s="1774">
        <f>E174-E180-E183</f>
        <v>-7426.420000000001</v>
      </c>
      <c r="F187" s="1774">
        <f t="shared" ref="F187:S187" si="103">F174-F180-F183</f>
        <v>630.89999999999975</v>
      </c>
      <c r="G187" s="1774">
        <f>G174-G180-G183</f>
        <v>675.779</v>
      </c>
      <c r="H187" s="1774">
        <f t="shared" si="103"/>
        <v>17.138000000000005</v>
      </c>
      <c r="I187" s="1774">
        <f>I174-I180-I183</f>
        <v>71.11000000000007</v>
      </c>
      <c r="J187" s="1774">
        <f t="shared" si="103"/>
        <v>88.781000000000006</v>
      </c>
      <c r="K187" s="1774">
        <f t="shared" si="103"/>
        <v>219.25600000000009</v>
      </c>
      <c r="L187" s="1774">
        <f t="shared" si="103"/>
        <v>87.567000000000064</v>
      </c>
      <c r="M187" s="1774">
        <f t="shared" si="103"/>
        <v>86.246000000000038</v>
      </c>
      <c r="N187" s="1774">
        <f t="shared" si="103"/>
        <v>26.23599999999999</v>
      </c>
      <c r="O187" s="1774">
        <f t="shared" si="103"/>
        <v>12.475000000000009</v>
      </c>
      <c r="P187" s="1774">
        <f t="shared" si="103"/>
        <v>17.787999999999997</v>
      </c>
      <c r="Q187" s="1774">
        <f t="shared" si="103"/>
        <v>16.769999999999996</v>
      </c>
      <c r="R187" s="1774">
        <f t="shared" si="103"/>
        <v>17.905999999999992</v>
      </c>
      <c r="S187" s="1774">
        <f t="shared" si="103"/>
        <v>14.506</v>
      </c>
    </row>
    <row r="188" spans="2:20" s="1764" customFormat="1" x14ac:dyDescent="0.25">
      <c r="B188" s="1762"/>
      <c r="C188" s="1763" t="s">
        <v>2431</v>
      </c>
      <c r="D188" s="1763"/>
      <c r="E188" s="1773">
        <f>E175-E178</f>
        <v>38.919999999999618</v>
      </c>
      <c r="F188" s="1773">
        <f t="shared" ref="F188:S188" si="104">F175-F178</f>
        <v>10.679999999999836</v>
      </c>
      <c r="G188" s="1773">
        <f t="shared" si="104"/>
        <v>269.84208918101331</v>
      </c>
      <c r="H188" s="1773">
        <f t="shared" si="104"/>
        <v>4.9529510650546911</v>
      </c>
      <c r="I188" s="1773">
        <f t="shared" si="104"/>
        <v>29.885221236115683</v>
      </c>
      <c r="J188" s="1773">
        <f t="shared" si="104"/>
        <v>37.596348519838102</v>
      </c>
      <c r="K188" s="1773">
        <f t="shared" si="104"/>
        <v>93.302520675387768</v>
      </c>
      <c r="L188" s="1773">
        <f t="shared" si="104"/>
        <v>37.181938916760203</v>
      </c>
      <c r="M188" s="1773">
        <f t="shared" si="104"/>
        <v>36.380873880120191</v>
      </c>
      <c r="N188" s="1773">
        <f t="shared" si="104"/>
        <v>7.5823097294185366</v>
      </c>
      <c r="O188" s="1773">
        <f t="shared" si="104"/>
        <v>3.6053252734599894</v>
      </c>
      <c r="P188" s="1773">
        <f t="shared" si="104"/>
        <v>5.1408036845135285</v>
      </c>
      <c r="Q188" s="1773">
        <f t="shared" si="104"/>
        <v>4.8465975820379938</v>
      </c>
      <c r="R188" s="1773">
        <f t="shared" si="104"/>
        <v>5.1749061600460564</v>
      </c>
      <c r="S188" s="1773">
        <f t="shared" si="104"/>
        <v>4.1922924582613703</v>
      </c>
    </row>
    <row r="189" spans="2:20" x14ac:dyDescent="0.25">
      <c r="C189" s="1771" t="s">
        <v>2241</v>
      </c>
      <c r="E189" s="1041">
        <f t="shared" ref="E189:S190" si="105">E176-E179</f>
        <v>0</v>
      </c>
      <c r="F189" s="1041">
        <f t="shared" si="105"/>
        <v>0</v>
      </c>
      <c r="G189" s="1041">
        <f t="shared" si="105"/>
        <v>0</v>
      </c>
      <c r="H189" s="1041">
        <f t="shared" si="105"/>
        <v>0</v>
      </c>
      <c r="I189" s="1041">
        <f t="shared" si="105"/>
        <v>0</v>
      </c>
      <c r="J189" s="1041">
        <f t="shared" si="105"/>
        <v>0</v>
      </c>
      <c r="K189" s="1041">
        <f t="shared" si="105"/>
        <v>0</v>
      </c>
      <c r="L189" s="1041">
        <f t="shared" si="105"/>
        <v>0</v>
      </c>
      <c r="M189" s="1041">
        <f t="shared" si="105"/>
        <v>0</v>
      </c>
      <c r="N189" s="1041">
        <f t="shared" si="105"/>
        <v>0</v>
      </c>
      <c r="O189" s="1041">
        <f t="shared" si="105"/>
        <v>0</v>
      </c>
      <c r="P189" s="1041">
        <f t="shared" si="105"/>
        <v>0</v>
      </c>
      <c r="Q189" s="1041">
        <f t="shared" si="105"/>
        <v>0</v>
      </c>
      <c r="R189" s="1041">
        <f t="shared" si="105"/>
        <v>0</v>
      </c>
      <c r="S189" s="1041">
        <f t="shared" si="105"/>
        <v>0</v>
      </c>
    </row>
    <row r="190" spans="2:20" x14ac:dyDescent="0.25">
      <c r="C190" s="1771" t="s">
        <v>2242</v>
      </c>
      <c r="E190" s="1041">
        <f t="shared" si="105"/>
        <v>38.919999999999618</v>
      </c>
      <c r="F190" s="1041">
        <f t="shared" si="105"/>
        <v>10.679999999999836</v>
      </c>
      <c r="G190" s="1041">
        <f t="shared" si="105"/>
        <v>269.84208918101331</v>
      </c>
      <c r="H190" s="1041">
        <f t="shared" si="105"/>
        <v>4.9529510650546911</v>
      </c>
      <c r="I190" s="1041">
        <f t="shared" si="105"/>
        <v>29.885221236115683</v>
      </c>
      <c r="J190" s="1041">
        <f t="shared" si="105"/>
        <v>37.596348519838102</v>
      </c>
      <c r="K190" s="1041">
        <f t="shared" si="105"/>
        <v>93.302520675387768</v>
      </c>
      <c r="L190" s="1041">
        <f t="shared" si="105"/>
        <v>37.181938916760203</v>
      </c>
      <c r="M190" s="1041">
        <f t="shared" si="105"/>
        <v>36.380873880120191</v>
      </c>
      <c r="N190" s="1041">
        <f t="shared" si="105"/>
        <v>7.5823097294185366</v>
      </c>
      <c r="O190" s="1041">
        <f t="shared" si="105"/>
        <v>3.6053252734599894</v>
      </c>
      <c r="P190" s="1041">
        <f t="shared" si="105"/>
        <v>5.1408036845135285</v>
      </c>
      <c r="Q190" s="1041">
        <f t="shared" si="105"/>
        <v>4.8465975820379938</v>
      </c>
      <c r="R190" s="1041">
        <f t="shared" si="105"/>
        <v>5.1749061600460564</v>
      </c>
      <c r="S190" s="1041">
        <f t="shared" si="105"/>
        <v>4.1922924582613703</v>
      </c>
    </row>
    <row r="191" spans="2:20" x14ac:dyDescent="0.25">
      <c r="C191" s="1763" t="s">
        <v>2428</v>
      </c>
      <c r="E191" s="1773">
        <f>E172-E175-E181</f>
        <v>1906.8400000000001</v>
      </c>
      <c r="F191" s="1773">
        <f t="shared" ref="F191:S191" si="106">F172-F175-F181</f>
        <v>518.01000000000033</v>
      </c>
      <c r="G191" s="1773">
        <f t="shared" si="106"/>
        <v>592.27391081898622</v>
      </c>
      <c r="H191" s="1773">
        <f t="shared" si="106"/>
        <v>19.567048934945319</v>
      </c>
      <c r="I191" s="1773">
        <f t="shared" si="106"/>
        <v>58.624778763884365</v>
      </c>
      <c r="J191" s="1773">
        <f t="shared" si="106"/>
        <v>82.31365148016198</v>
      </c>
      <c r="K191" s="1773">
        <f t="shared" si="106"/>
        <v>175.94747932461212</v>
      </c>
      <c r="L191" s="1773">
        <f t="shared" si="106"/>
        <v>64.098061083239827</v>
      </c>
      <c r="M191" s="1773">
        <f t="shared" si="106"/>
        <v>74.019126119879729</v>
      </c>
      <c r="N191" s="1773">
        <f t="shared" si="106"/>
        <v>32.157690270581469</v>
      </c>
      <c r="O191" s="1773">
        <f t="shared" si="106"/>
        <v>16.482674726540012</v>
      </c>
      <c r="P191" s="1773">
        <f t="shared" si="106"/>
        <v>20.130196315486458</v>
      </c>
      <c r="Q191" s="1773">
        <f t="shared" si="106"/>
        <v>16.272402417962013</v>
      </c>
      <c r="R191" s="1773">
        <f t="shared" si="106"/>
        <v>16.94409383995395</v>
      </c>
      <c r="S191" s="1773">
        <f t="shared" si="106"/>
        <v>15.716707541738629</v>
      </c>
    </row>
    <row r="192" spans="2:20" x14ac:dyDescent="0.25">
      <c r="C192" s="1771" t="s">
        <v>2241</v>
      </c>
      <c r="E192" s="1041">
        <f t="shared" ref="E192:T193" si="107">E173-E176-E182</f>
        <v>-1173.53</v>
      </c>
      <c r="F192" s="1041">
        <f t="shared" si="107"/>
        <v>-102.21</v>
      </c>
      <c r="G192" s="1041">
        <f t="shared" si="107"/>
        <v>186.33699999999976</v>
      </c>
      <c r="H192" s="1041">
        <f t="shared" si="107"/>
        <v>7.3819999999999979</v>
      </c>
      <c r="I192" s="1041">
        <f t="shared" si="107"/>
        <v>17.400000000000006</v>
      </c>
      <c r="J192" s="1041">
        <f t="shared" si="107"/>
        <v>31.128999999999991</v>
      </c>
      <c r="K192" s="1041">
        <f t="shared" si="107"/>
        <v>49.994</v>
      </c>
      <c r="L192" s="1041">
        <f t="shared" si="107"/>
        <v>13.712999999999994</v>
      </c>
      <c r="M192" s="1041">
        <f t="shared" si="107"/>
        <v>24.153999999999996</v>
      </c>
      <c r="N192" s="1041">
        <f t="shared" si="107"/>
        <v>13.504000000000005</v>
      </c>
      <c r="O192" s="1041">
        <f t="shared" si="107"/>
        <v>7.6129999999999995</v>
      </c>
      <c r="P192" s="1041">
        <f t="shared" si="107"/>
        <v>7.482999999999997</v>
      </c>
      <c r="Q192" s="1041">
        <f t="shared" si="107"/>
        <v>4.3490000000000038</v>
      </c>
      <c r="R192" s="1041">
        <f t="shared" si="107"/>
        <v>4.213000000000001</v>
      </c>
      <c r="S192" s="1041">
        <f t="shared" si="107"/>
        <v>5.4029999999999987</v>
      </c>
    </row>
    <row r="193" spans="2:20" x14ac:dyDescent="0.25">
      <c r="C193" s="1771" t="s">
        <v>2242</v>
      </c>
      <c r="E193" s="1041">
        <f t="shared" si="107"/>
        <v>-7465.34</v>
      </c>
      <c r="F193" s="1041">
        <f t="shared" si="107"/>
        <v>620.21999999999991</v>
      </c>
      <c r="G193" s="1041">
        <f t="shared" si="107"/>
        <v>405.93691081898669</v>
      </c>
      <c r="H193" s="1041">
        <f t="shared" si="107"/>
        <v>12.185048934945314</v>
      </c>
      <c r="I193" s="1041">
        <f t="shared" si="107"/>
        <v>41.224778763884387</v>
      </c>
      <c r="J193" s="1041">
        <f t="shared" si="107"/>
        <v>51.184651480161904</v>
      </c>
      <c r="K193" s="1041">
        <f t="shared" si="107"/>
        <v>125.95347932461232</v>
      </c>
      <c r="L193" s="1041">
        <f t="shared" si="107"/>
        <v>50.385061083239918</v>
      </c>
      <c r="M193" s="1041">
        <f t="shared" si="107"/>
        <v>49.865126119879847</v>
      </c>
      <c r="N193" s="1041">
        <f t="shared" si="107"/>
        <v>18.65369027058145</v>
      </c>
      <c r="O193" s="1041">
        <f t="shared" si="107"/>
        <v>8.8696747265400191</v>
      </c>
      <c r="P193" s="1041">
        <f t="shared" si="107"/>
        <v>12.647196315486468</v>
      </c>
      <c r="Q193" s="1041">
        <f t="shared" si="107"/>
        <v>11.923402417962009</v>
      </c>
      <c r="R193" s="1041">
        <f t="shared" si="107"/>
        <v>12.731093839953942</v>
      </c>
      <c r="S193" s="1041">
        <f t="shared" si="107"/>
        <v>10.313707541738637</v>
      </c>
      <c r="T193" s="1041">
        <f t="shared" si="107"/>
        <v>0</v>
      </c>
    </row>
    <row r="195" spans="2:20" x14ac:dyDescent="0.25">
      <c r="E195" s="1041">
        <f t="shared" ref="E195:S195" si="108">E48</f>
        <v>1945.7600000000002</v>
      </c>
      <c r="F195" s="1041">
        <f t="shared" si="108"/>
        <v>528.68999999999994</v>
      </c>
      <c r="G195" s="1041">
        <f t="shared" si="108"/>
        <v>862.11599999999987</v>
      </c>
      <c r="H195" s="1041">
        <f t="shared" si="108"/>
        <v>24.520000000000003</v>
      </c>
      <c r="I195" s="1041">
        <f t="shared" si="108"/>
        <v>88.509999999999991</v>
      </c>
      <c r="J195" s="1041">
        <f t="shared" si="108"/>
        <v>119.91000000000001</v>
      </c>
      <c r="K195" s="1041">
        <f t="shared" si="108"/>
        <v>269.25</v>
      </c>
      <c r="L195" s="1041">
        <f t="shared" si="108"/>
        <v>101.27999999999997</v>
      </c>
      <c r="M195" s="1041">
        <f t="shared" si="108"/>
        <v>110.4</v>
      </c>
      <c r="N195" s="1041">
        <f t="shared" si="108"/>
        <v>39.74</v>
      </c>
      <c r="O195" s="1041">
        <f t="shared" si="108"/>
        <v>20.088000000000001</v>
      </c>
      <c r="P195" s="1041">
        <f t="shared" si="108"/>
        <v>25.271000000000001</v>
      </c>
      <c r="Q195" s="1041">
        <f t="shared" si="108"/>
        <v>21.119</v>
      </c>
      <c r="R195" s="1041">
        <f t="shared" si="108"/>
        <v>22.119</v>
      </c>
      <c r="S195" s="1041">
        <f t="shared" si="108"/>
        <v>19.908999999999999</v>
      </c>
    </row>
    <row r="196" spans="2:20" x14ac:dyDescent="0.25">
      <c r="E196" s="1041">
        <f t="shared" ref="E196:S196" si="109">E50</f>
        <v>0</v>
      </c>
      <c r="F196" s="1041">
        <f t="shared" si="109"/>
        <v>0</v>
      </c>
      <c r="G196" s="1041">
        <f t="shared" si="109"/>
        <v>186.33699999999996</v>
      </c>
      <c r="H196" s="1041">
        <f t="shared" si="109"/>
        <v>7.3819999999999997</v>
      </c>
      <c r="I196" s="1041">
        <f t="shared" si="109"/>
        <v>17.399999999999999</v>
      </c>
      <c r="J196" s="1041">
        <f t="shared" si="109"/>
        <v>31.129000000000001</v>
      </c>
      <c r="K196" s="1041">
        <f t="shared" si="109"/>
        <v>49.994</v>
      </c>
      <c r="L196" s="1041">
        <f t="shared" si="109"/>
        <v>13.712999999999999</v>
      </c>
      <c r="M196" s="1041">
        <f t="shared" si="109"/>
        <v>24.154</v>
      </c>
      <c r="N196" s="1041">
        <f t="shared" si="109"/>
        <v>13.504</v>
      </c>
      <c r="O196" s="1041">
        <f t="shared" si="109"/>
        <v>7.6130000000000004</v>
      </c>
      <c r="P196" s="1041">
        <f t="shared" si="109"/>
        <v>7.4829999999999997</v>
      </c>
      <c r="Q196" s="1041">
        <f t="shared" si="109"/>
        <v>4.3490000000000002</v>
      </c>
      <c r="R196" s="1041">
        <f t="shared" si="109"/>
        <v>4.2130000000000001</v>
      </c>
      <c r="S196" s="1041">
        <f t="shared" si="109"/>
        <v>5.4029999999999996</v>
      </c>
    </row>
    <row r="197" spans="2:20" x14ac:dyDescent="0.25">
      <c r="E197" s="1041">
        <f t="shared" ref="E197:S197" si="110">E58</f>
        <v>0</v>
      </c>
      <c r="F197" s="1041">
        <f t="shared" si="110"/>
        <v>0</v>
      </c>
      <c r="G197" s="1041">
        <f t="shared" si="110"/>
        <v>675.77899999999988</v>
      </c>
      <c r="H197" s="1041">
        <f t="shared" si="110"/>
        <v>17.138000000000002</v>
      </c>
      <c r="I197" s="1041">
        <f t="shared" si="110"/>
        <v>71.11</v>
      </c>
      <c r="J197" s="1041">
        <f t="shared" si="110"/>
        <v>88.781000000000006</v>
      </c>
      <c r="K197" s="1041">
        <f t="shared" si="110"/>
        <v>219.25599999999997</v>
      </c>
      <c r="L197" s="1041">
        <f t="shared" si="110"/>
        <v>87.566999999999979</v>
      </c>
      <c r="M197" s="1041">
        <f t="shared" si="110"/>
        <v>86.246000000000009</v>
      </c>
      <c r="N197" s="1041">
        <f t="shared" si="110"/>
        <v>26.236000000000001</v>
      </c>
      <c r="O197" s="1041">
        <f t="shared" si="110"/>
        <v>12.475</v>
      </c>
      <c r="P197" s="1041">
        <f t="shared" si="110"/>
        <v>17.788</v>
      </c>
      <c r="Q197" s="1041">
        <f t="shared" si="110"/>
        <v>16.77</v>
      </c>
      <c r="R197" s="1041">
        <f t="shared" si="110"/>
        <v>17.905999999999999</v>
      </c>
      <c r="S197" s="1041">
        <f t="shared" si="110"/>
        <v>14.506</v>
      </c>
    </row>
    <row r="200" spans="2:20" s="2076" customFormat="1" ht="14.25" x14ac:dyDescent="0.2">
      <c r="B200" s="2074"/>
      <c r="C200" s="2075" t="s">
        <v>2737</v>
      </c>
      <c r="D200" s="2075"/>
      <c r="E200" s="2078">
        <f>E72</f>
        <v>0</v>
      </c>
      <c r="F200" s="2078">
        <f>F72</f>
        <v>0</v>
      </c>
      <c r="G200" s="2078">
        <f t="shared" ref="G200:N200" si="111">G73</f>
        <v>1914.2734936866668</v>
      </c>
      <c r="H200" s="2078">
        <f t="shared" si="111"/>
        <v>21.786799999999999</v>
      </c>
      <c r="I200" s="2078">
        <f t="shared" si="111"/>
        <v>280.35824535999996</v>
      </c>
      <c r="J200" s="2078">
        <f t="shared" si="111"/>
        <v>364.37924933333329</v>
      </c>
      <c r="K200" s="2078">
        <f t="shared" si="111"/>
        <v>436.00793199999987</v>
      </c>
      <c r="L200" s="2078">
        <f t="shared" si="111"/>
        <v>361.90890558666661</v>
      </c>
      <c r="M200" s="2078">
        <f t="shared" si="111"/>
        <v>321.92276140666661</v>
      </c>
      <c r="N200" s="2078">
        <f t="shared" si="111"/>
        <v>21.084</v>
      </c>
      <c r="O200" s="2075"/>
      <c r="P200" s="2075"/>
      <c r="Q200" s="2075"/>
      <c r="R200" s="2075"/>
      <c r="S200" s="2075"/>
    </row>
    <row r="201" spans="2:20" s="2073" customFormat="1" x14ac:dyDescent="0.25">
      <c r="B201" s="2071"/>
      <c r="C201" s="2072" t="s">
        <v>632</v>
      </c>
      <c r="D201" s="2072"/>
      <c r="E201" s="2072"/>
      <c r="F201" s="2072"/>
      <c r="G201" s="2072">
        <f>G200/(G$24-G$39)*(G$28+G$31+G$34+G$37)</f>
        <v>560.21020063310391</v>
      </c>
      <c r="H201" s="2072">
        <f t="shared" ref="H201:N201" si="112">H200/(H24-H39)*(H28+H31+H34+H37)</f>
        <v>10.676282905468186</v>
      </c>
      <c r="I201" s="2072">
        <f t="shared" si="112"/>
        <v>71.06627190381883</v>
      </c>
      <c r="J201" s="2072">
        <f t="shared" si="112"/>
        <v>91.905219952533173</v>
      </c>
      <c r="K201" s="2072">
        <f t="shared" si="112"/>
        <v>104.01444876039005</v>
      </c>
      <c r="L201" s="2072">
        <f t="shared" si="112"/>
        <v>83.290094206002578</v>
      </c>
      <c r="M201" s="2072">
        <f t="shared" si="112"/>
        <v>81.147826643870303</v>
      </c>
      <c r="N201" s="2072">
        <f t="shared" si="112"/>
        <v>10.313709096605205</v>
      </c>
      <c r="O201" s="2072"/>
      <c r="P201" s="2072"/>
      <c r="Q201" s="2072"/>
      <c r="R201" s="2072"/>
      <c r="S201" s="2072"/>
    </row>
    <row r="202" spans="2:20" s="2073" customFormat="1" x14ac:dyDescent="0.25">
      <c r="B202" s="2071"/>
      <c r="C202" s="2072" t="s">
        <v>631</v>
      </c>
      <c r="D202" s="2072"/>
      <c r="E202" s="2072"/>
      <c r="F202" s="2072"/>
      <c r="G202" s="2072">
        <f>G200/(G$24-G$39)*(G$29+G$32+G$35+G$38)</f>
        <v>1354.0632930535628</v>
      </c>
      <c r="H202" s="2072">
        <f t="shared" ref="H202:N202" si="113">H200/(H24-H39)*(H29+H32+H35+H38)</f>
        <v>11.110517094531811</v>
      </c>
      <c r="I202" s="2072">
        <f t="shared" si="113"/>
        <v>209.29197345618113</v>
      </c>
      <c r="J202" s="2072">
        <f t="shared" si="113"/>
        <v>272.47402938080012</v>
      </c>
      <c r="K202" s="2072">
        <f t="shared" si="113"/>
        <v>331.99348323960987</v>
      </c>
      <c r="L202" s="2072">
        <f t="shared" si="113"/>
        <v>278.618811380664</v>
      </c>
      <c r="M202" s="2072">
        <f t="shared" si="113"/>
        <v>240.77493476279633</v>
      </c>
      <c r="N202" s="2072">
        <f t="shared" si="113"/>
        <v>10.770290903394793</v>
      </c>
      <c r="O202" s="2072"/>
      <c r="P202" s="2072"/>
      <c r="Q202" s="2072"/>
      <c r="R202" s="2072"/>
      <c r="S202" s="2072"/>
    </row>
    <row r="203" spans="2:20" s="1764" customFormat="1" x14ac:dyDescent="0.25">
      <c r="B203" s="1762"/>
      <c r="C203" s="2077" t="s">
        <v>2739</v>
      </c>
      <c r="D203" s="1763"/>
      <c r="E203" s="1763"/>
      <c r="F203" s="1763"/>
      <c r="G203" s="1763">
        <f>'Розрахунки Річного плану'!C151</f>
        <v>269.8420891810141</v>
      </c>
      <c r="H203" s="1763">
        <f>'Розрахунки Річного плану'!D151</f>
        <v>93.302520675387754</v>
      </c>
      <c r="I203" s="1763">
        <f>'Розрахунки Річного плану'!E151</f>
        <v>37.181938916760181</v>
      </c>
      <c r="J203" s="1763">
        <f>'Розрахунки Річного плану'!F151</f>
        <v>36.380873880120205</v>
      </c>
      <c r="K203" s="1763">
        <f>'Розрахунки Річного плану'!G151</f>
        <v>7.5823097294185375</v>
      </c>
      <c r="L203" s="1763">
        <f>'Розрахунки Річного плану'!H151</f>
        <v>3.6053252734599881</v>
      </c>
      <c r="M203" s="1763">
        <f>'Розрахунки Річного плану'!I151</f>
        <v>5.1408036845135285</v>
      </c>
      <c r="N203" s="1763">
        <f>'Розрахунки Річного плану'!J151</f>
        <v>4.8465975820379956</v>
      </c>
      <c r="O203" s="1763"/>
      <c r="P203" s="1763"/>
      <c r="Q203" s="1763"/>
      <c r="R203" s="1763"/>
      <c r="S203" s="1763"/>
    </row>
    <row r="204" spans="2:20" x14ac:dyDescent="0.25">
      <c r="C204" s="2072" t="s">
        <v>632</v>
      </c>
      <c r="G204" s="2072">
        <f>G203/(G$24-G$39)*(G$28+G$31+G$34+G$37)</f>
        <v>78.969014311648536</v>
      </c>
      <c r="H204" s="2072">
        <f t="shared" ref="H204:N204" si="114">H203/(H24-H42)*(H31+H34+H37+H40)</f>
        <v>37.871153378349149</v>
      </c>
      <c r="I204" s="2072">
        <f t="shared" si="114"/>
        <v>6.1154778627943323</v>
      </c>
      <c r="J204" s="2072">
        <f t="shared" si="114"/>
        <v>5.9229158963810153</v>
      </c>
      <c r="K204" s="2072">
        <f t="shared" si="114"/>
        <v>1.1565113282755355</v>
      </c>
      <c r="L204" s="2072">
        <f t="shared" si="114"/>
        <v>0.52912558344626826</v>
      </c>
      <c r="M204" s="2072">
        <f t="shared" si="114"/>
        <v>0.83837328682432155</v>
      </c>
      <c r="N204" s="2072">
        <f t="shared" si="114"/>
        <v>1.9631853908576689</v>
      </c>
    </row>
    <row r="205" spans="2:20" x14ac:dyDescent="0.25">
      <c r="C205" s="2072" t="s">
        <v>2738</v>
      </c>
      <c r="G205" s="2072">
        <f>G203/(G$24-G$39)*(G$29+G$32+G$35+G$38)</f>
        <v>190.87307486936558</v>
      </c>
      <c r="H205" s="2072">
        <f t="shared" ref="H205:N205" si="115">H203/(H24-H42)*(H32+H35+H38+H41)</f>
        <v>55.431367297038605</v>
      </c>
      <c r="I205" s="2072">
        <f t="shared" si="115"/>
        <v>31.066461053965853</v>
      </c>
      <c r="J205" s="2072">
        <f t="shared" si="115"/>
        <v>30.457957983739192</v>
      </c>
      <c r="K205" s="2072">
        <f t="shared" si="115"/>
        <v>6.4257984011430018</v>
      </c>
      <c r="L205" s="2072">
        <f t="shared" si="115"/>
        <v>3.0761996900137198</v>
      </c>
      <c r="M205" s="2072">
        <f t="shared" si="115"/>
        <v>4.302430397689208</v>
      </c>
      <c r="N205" s="2072">
        <f t="shared" si="115"/>
        <v>2.8834121911803261</v>
      </c>
    </row>
    <row r="206" spans="2:20" x14ac:dyDescent="0.25">
      <c r="C206" s="2077" t="s">
        <v>2740</v>
      </c>
      <c r="G206" s="2046">
        <f t="shared" ref="G206:N206" si="116">G112</f>
        <v>1.5265</v>
      </c>
      <c r="H206" s="2046">
        <f t="shared" si="116"/>
        <v>1.5265</v>
      </c>
      <c r="I206" s="2046">
        <f t="shared" si="116"/>
        <v>1.5265</v>
      </c>
      <c r="J206" s="2046">
        <f t="shared" si="116"/>
        <v>1.5265</v>
      </c>
      <c r="K206" s="2046">
        <f t="shared" si="116"/>
        <v>1.5265</v>
      </c>
      <c r="L206" s="2046">
        <f t="shared" si="116"/>
        <v>1.5265</v>
      </c>
      <c r="M206" s="2046">
        <f t="shared" si="116"/>
        <v>1.5265</v>
      </c>
      <c r="N206" s="2046">
        <f t="shared" si="116"/>
        <v>1.5265</v>
      </c>
    </row>
    <row r="207" spans="2:20" x14ac:dyDescent="0.25">
      <c r="C207" s="2072" t="s">
        <v>632</v>
      </c>
      <c r="G207" s="2072">
        <f>G206/(G$24-G$39)*(G$28+G$31+G$34+G$37)</f>
        <v>0.44672868014250849</v>
      </c>
      <c r="H207" s="2072">
        <f t="shared" ref="H207:N207" si="117">H206/(H24-H39)*(H34+H37+H40+H43)</f>
        <v>0.74803761246246303</v>
      </c>
      <c r="I207" s="2072">
        <f t="shared" si="117"/>
        <v>0.38694301257977981</v>
      </c>
      <c r="J207" s="2072">
        <f t="shared" si="117"/>
        <v>0.38502005400752631</v>
      </c>
      <c r="K207" s="2072">
        <f t="shared" si="117"/>
        <v>0.3641632281880951</v>
      </c>
      <c r="L207" s="2072">
        <f t="shared" si="117"/>
        <v>0.3513103072149078</v>
      </c>
      <c r="M207" s="2072">
        <f t="shared" si="117"/>
        <v>0.38478844065141271</v>
      </c>
      <c r="N207" s="2072">
        <f t="shared" si="117"/>
        <v>0.74672153936481911</v>
      </c>
    </row>
    <row r="208" spans="2:20" x14ac:dyDescent="0.25">
      <c r="C208" s="2072" t="s">
        <v>2738</v>
      </c>
      <c r="G208" s="2072">
        <f>G206/(G$24-G$39)*(G$29+G$32+G$35+G$38)</f>
        <v>1.0797713198574916</v>
      </c>
      <c r="H208" s="2072">
        <f t="shared" ref="H208:N208" si="118">H206/(H24-H39)*(H35+H38+H41+H44)</f>
        <v>1.0948900138888273</v>
      </c>
      <c r="I208" s="2072">
        <f t="shared" si="118"/>
        <v>1.9656599696889823</v>
      </c>
      <c r="J208" s="2072">
        <f t="shared" si="118"/>
        <v>1.9799242185801671</v>
      </c>
      <c r="K208" s="2072">
        <f t="shared" si="118"/>
        <v>2.0233606297098268</v>
      </c>
      <c r="L208" s="2072">
        <f t="shared" si="118"/>
        <v>2.0424275294238674</v>
      </c>
      <c r="M208" s="2072">
        <f t="shared" si="118"/>
        <v>1.9746877790071784</v>
      </c>
      <c r="N208" s="2072">
        <f t="shared" si="118"/>
        <v>1.096741041395392</v>
      </c>
    </row>
    <row r="210" spans="3:20" x14ac:dyDescent="0.25">
      <c r="C210" s="2085" t="s">
        <v>2743</v>
      </c>
      <c r="D210" s="2085" t="s">
        <v>1381</v>
      </c>
      <c r="E210" s="2086" t="s">
        <v>2259</v>
      </c>
      <c r="F210" s="2086" t="s">
        <v>2260</v>
      </c>
      <c r="G210" s="2086" t="s">
        <v>1099</v>
      </c>
      <c r="H210" s="2086" t="s">
        <v>2201</v>
      </c>
      <c r="T210" s="2"/>
    </row>
    <row r="211" spans="3:20" x14ac:dyDescent="0.25">
      <c r="C211" s="2085" t="s">
        <v>2120</v>
      </c>
      <c r="D211" s="2087">
        <f>G39+(G172-G175)</f>
        <v>6675.9097458333326</v>
      </c>
      <c r="E211" s="2085">
        <f>ROUND($D$211/($G$26-$G$39)*$G$27,1)</f>
        <v>0</v>
      </c>
      <c r="F211" s="2085">
        <f>ROUND($D$211/($G$26-$G$39)*$G$30,5)</f>
        <v>0</v>
      </c>
      <c r="G211" s="2085">
        <f>ROUND($D$211/($G$26-$G$39)*$G$33,1)</f>
        <v>0</v>
      </c>
      <c r="H211" s="2085">
        <f>ROUND($D$211/($G$26-$G$39)*$G$36,1)</f>
        <v>6675.9</v>
      </c>
    </row>
    <row r="212" spans="3:20" x14ac:dyDescent="0.25">
      <c r="C212" s="2085" t="s">
        <v>2741</v>
      </c>
      <c r="D212" s="2092">
        <f>G95-G112</f>
        <v>4.5153999999999996</v>
      </c>
      <c r="E212" s="2085">
        <f>ROUND($D$212/($G$26-$G$39)*$G$27,4)</f>
        <v>0</v>
      </c>
      <c r="F212" s="2085">
        <f>ROUND($D$212/($G$26-$G$39)*$G$30,5)</f>
        <v>0</v>
      </c>
      <c r="G212" s="2085">
        <f>ROUND($D$212/($G$26-$G$39)*$G$33,4)</f>
        <v>0</v>
      </c>
      <c r="H212" s="2085">
        <f>ROUND($D$212/($G$26-$G$39)*$G$36,4)</f>
        <v>4.5153999999999996</v>
      </c>
    </row>
    <row r="213" spans="3:20" x14ac:dyDescent="0.25">
      <c r="C213" s="2085"/>
      <c r="D213" s="2085"/>
      <c r="E213" s="2089">
        <f>E211/$D$211</f>
        <v>0</v>
      </c>
      <c r="F213" s="2089">
        <f t="shared" ref="F213:H213" si="119">F211/$D$211</f>
        <v>0</v>
      </c>
      <c r="G213" s="2089">
        <f t="shared" si="119"/>
        <v>0</v>
      </c>
      <c r="H213" s="2089">
        <f t="shared" si="119"/>
        <v>0.99999854014902778</v>
      </c>
    </row>
    <row r="214" spans="3:20" x14ac:dyDescent="0.25">
      <c r="C214" s="2085"/>
      <c r="D214" s="2085"/>
      <c r="E214" s="2089">
        <f>E212/$D$212</f>
        <v>0</v>
      </c>
      <c r="F214" s="2089">
        <f t="shared" ref="F214:H214" si="120">F212/$D$212</f>
        <v>0</v>
      </c>
      <c r="G214" s="2089">
        <f t="shared" si="120"/>
        <v>0</v>
      </c>
      <c r="H214" s="2089">
        <f t="shared" si="120"/>
        <v>1</v>
      </c>
    </row>
    <row r="215" spans="3:20" x14ac:dyDescent="0.25">
      <c r="E215" s="2046">
        <f>E212-E217</f>
        <v>0</v>
      </c>
      <c r="F215" s="2046">
        <f t="shared" ref="F215:H215" si="121">F212-F217</f>
        <v>0</v>
      </c>
      <c r="G215" s="2046">
        <f t="shared" si="121"/>
        <v>0</v>
      </c>
      <c r="H215" s="2046">
        <f t="shared" si="121"/>
        <v>0</v>
      </c>
    </row>
    <row r="216" spans="3:20" x14ac:dyDescent="0.25">
      <c r="D216" s="2088">
        <f>G112</f>
        <v>1.5265</v>
      </c>
      <c r="E216" s="2085">
        <f>ROUND($D$216/($G$26-$G$39)*$G$27,4)</f>
        <v>0</v>
      </c>
      <c r="F216" s="2085">
        <f>ROUND($D$216/($G$26-$G$39)*$G$30,4)</f>
        <v>0</v>
      </c>
      <c r="G216" s="2085">
        <f>ROUND($D$216/($G$26-$G$39)*$G$33,4)</f>
        <v>0</v>
      </c>
      <c r="H216" s="2085">
        <f>ROUND($D$216/($G$26-$G$39)*$G$36,4)</f>
        <v>1.5265</v>
      </c>
    </row>
    <row r="217" spans="3:20" x14ac:dyDescent="0.25">
      <c r="D217" s="2046">
        <f>SUM(E217:H217)</f>
        <v>4.5153999999999996</v>
      </c>
      <c r="E217" s="2046">
        <f>G96</f>
        <v>0</v>
      </c>
      <c r="F217" s="2091">
        <f>G103</f>
        <v>0</v>
      </c>
      <c r="G217" s="2091">
        <f>G106</f>
        <v>0</v>
      </c>
      <c r="H217" s="2046">
        <f>G109</f>
        <v>4.5153999999999996</v>
      </c>
    </row>
    <row r="218" spans="3:20" x14ac:dyDescent="0.25">
      <c r="D218" s="2090">
        <f>SUM(E218:H218)</f>
        <v>6.0419</v>
      </c>
      <c r="E218" s="2090">
        <f>E216+E217</f>
        <v>0</v>
      </c>
      <c r="F218" s="2090">
        <f t="shared" ref="F218:H218" si="122">F216+F217</f>
        <v>0</v>
      </c>
      <c r="G218" s="2090">
        <f t="shared" si="122"/>
        <v>0</v>
      </c>
      <c r="H218" s="2090">
        <f t="shared" si="122"/>
        <v>6.0419</v>
      </c>
    </row>
    <row r="219" spans="3:20" x14ac:dyDescent="0.25">
      <c r="E219" s="2089">
        <f>E218/$D$218</f>
        <v>0</v>
      </c>
      <c r="F219" s="2089">
        <f>F218/$D$218</f>
        <v>0</v>
      </c>
      <c r="G219" s="2089">
        <f>G218/$D$218</f>
        <v>0</v>
      </c>
      <c r="H219" s="2089">
        <f>H218/$D$218</f>
        <v>1</v>
      </c>
    </row>
    <row r="220" spans="3:20" x14ac:dyDescent="0.25">
      <c r="E220" s="2089">
        <f>E217/$D$217</f>
        <v>0</v>
      </c>
      <c r="F220" s="2089">
        <f t="shared" ref="F220:H220" si="123">F217/$D$217</f>
        <v>0</v>
      </c>
      <c r="G220" s="2089">
        <f t="shared" si="123"/>
        <v>0</v>
      </c>
      <c r="H220" s="2089">
        <f t="shared" si="123"/>
        <v>1</v>
      </c>
    </row>
    <row r="221" spans="3:20" x14ac:dyDescent="0.25">
      <c r="C221" s="2238"/>
      <c r="D221" s="2238" t="s">
        <v>2913</v>
      </c>
      <c r="E221" s="2238" t="s">
        <v>2121</v>
      </c>
    </row>
    <row r="222" spans="3:20" x14ac:dyDescent="0.25">
      <c r="C222" s="2238" t="s">
        <v>2724</v>
      </c>
      <c r="D222" s="1041">
        <f>G39</f>
        <v>2184.1155828676801</v>
      </c>
      <c r="E222" s="1041">
        <f>G115</f>
        <v>3899.5202521466667</v>
      </c>
    </row>
    <row r="223" spans="3:20" x14ac:dyDescent="0.25">
      <c r="C223" s="2238" t="s">
        <v>2259</v>
      </c>
      <c r="D223" s="2">
        <f>D$222/E$222*E223</f>
        <v>0</v>
      </c>
      <c r="E223" s="1041">
        <f>G117</f>
        <v>0</v>
      </c>
    </row>
    <row r="224" spans="3:20" x14ac:dyDescent="0.25">
      <c r="C224" s="2238" t="s">
        <v>2914</v>
      </c>
      <c r="D224" s="2">
        <f t="shared" ref="D224:D226" si="124">D$222/E$222*E224</f>
        <v>0</v>
      </c>
      <c r="E224" s="1041">
        <f>G124</f>
        <v>0</v>
      </c>
    </row>
    <row r="225" spans="3:5" x14ac:dyDescent="0.25">
      <c r="C225" s="2238" t="s">
        <v>1099</v>
      </c>
      <c r="D225" s="2">
        <f>D$222/E$222*E225</f>
        <v>0</v>
      </c>
      <c r="E225" s="1041">
        <f>G127</f>
        <v>0</v>
      </c>
    </row>
    <row r="226" spans="3:5" x14ac:dyDescent="0.25">
      <c r="C226" s="2238" t="s">
        <v>1100</v>
      </c>
      <c r="D226" s="2">
        <f t="shared" si="124"/>
        <v>2184.1155828676801</v>
      </c>
      <c r="E226" s="1041">
        <f>G130+G143</f>
        <v>3899.5202521466667</v>
      </c>
    </row>
  </sheetData>
  <mergeCells count="17">
    <mergeCell ref="C152:E152"/>
    <mergeCell ref="C10:C12"/>
    <mergeCell ref="D10:D12"/>
    <mergeCell ref="E10:E11"/>
    <mergeCell ref="G153:J153"/>
    <mergeCell ref="O153:R153"/>
    <mergeCell ref="G152:J152"/>
    <mergeCell ref="O152:R152"/>
    <mergeCell ref="H10:S10"/>
    <mergeCell ref="G10:G11"/>
    <mergeCell ref="F10:F11"/>
    <mergeCell ref="F9:K9"/>
    <mergeCell ref="G4:L4"/>
    <mergeCell ref="D5:O5"/>
    <mergeCell ref="O1:S2"/>
    <mergeCell ref="F6:M6"/>
    <mergeCell ref="E8:N8"/>
  </mergeCells>
  <conditionalFormatting sqref="C8:D8 O8:S8">
    <cfRule type="cellIs" dxfId="44" priority="2" operator="equal">
      <formula>0</formula>
    </cfRule>
  </conditionalFormatting>
  <pageMargins left="0.31496062992125984" right="0.15748031496062992" top="0.78740157480314965" bottom="0.31496062992125984" header="0.31496062992125984" footer="0.31496062992125984"/>
  <pageSetup paperSize="9" scale="7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pageSetUpPr fitToPage="1"/>
  </sheetPr>
  <dimension ref="B1:AI163"/>
  <sheetViews>
    <sheetView view="pageBreakPreview" topLeftCell="A40" zoomScaleNormal="130" zoomScaleSheetLayoutView="100" workbookViewId="0">
      <selection activeCell="B52" sqref="B52:D52"/>
    </sheetView>
  </sheetViews>
  <sheetFormatPr defaultColWidth="9.140625" defaultRowHeight="15" x14ac:dyDescent="0.25"/>
  <cols>
    <col min="1" max="1" width="2.28515625" style="3" customWidth="1"/>
    <col min="2" max="2" width="38.5703125" style="24" customWidth="1"/>
    <col min="3" max="3" width="12.140625" style="24" customWidth="1"/>
    <col min="4" max="4" width="13.42578125" style="24" customWidth="1"/>
    <col min="5" max="10" width="12.140625" style="24" customWidth="1"/>
    <col min="11" max="11" width="11.85546875" style="3" customWidth="1"/>
    <col min="12" max="12" width="18.85546875" style="3" customWidth="1"/>
    <col min="13" max="13" width="13" style="3" bestFit="1" customWidth="1"/>
    <col min="14" max="14" width="12.140625" style="3" bestFit="1" customWidth="1"/>
    <col min="15" max="15" width="9.28515625" style="3" bestFit="1" customWidth="1"/>
    <col min="16" max="16" width="12" style="3" bestFit="1" customWidth="1"/>
    <col min="17" max="16384" width="9.140625" style="3"/>
  </cols>
  <sheetData>
    <row r="1" spans="2:16" ht="27" customHeight="1" x14ac:dyDescent="0.25">
      <c r="G1" s="3846" t="s">
        <v>3241</v>
      </c>
      <c r="H1" s="3846"/>
      <c r="I1" s="3846"/>
      <c r="J1" s="3846"/>
      <c r="K1" s="170"/>
    </row>
    <row r="2" spans="2:16" ht="14.45" customHeight="1" x14ac:dyDescent="0.25">
      <c r="G2" s="3844" t="str">
        <f>'Вхідні дані'!F1</f>
        <v>станом на 01.08.2023 року</v>
      </c>
      <c r="H2" s="3844"/>
      <c r="I2" s="3844"/>
      <c r="J2" s="199"/>
      <c r="K2" s="170"/>
    </row>
    <row r="3" spans="2:16" ht="14.45" customHeight="1" x14ac:dyDescent="0.25">
      <c r="G3" s="2878"/>
      <c r="H3" s="2878"/>
      <c r="I3" s="2878"/>
      <c r="J3" s="199"/>
      <c r="K3" s="170"/>
    </row>
    <row r="4" spans="2:16" ht="18" customHeight="1" x14ac:dyDescent="0.25">
      <c r="B4" s="3847" t="s">
        <v>451</v>
      </c>
      <c r="C4" s="3847"/>
      <c r="D4" s="3847"/>
      <c r="E4" s="3847"/>
      <c r="F4" s="3847"/>
      <c r="G4" s="3847"/>
      <c r="H4" s="3847"/>
      <c r="I4" s="3847"/>
      <c r="J4" s="3847"/>
      <c r="K4" s="170"/>
      <c r="L4" s="2184"/>
      <c r="M4" s="2185"/>
    </row>
    <row r="5" spans="2:16" ht="17.45" customHeight="1" x14ac:dyDescent="0.25">
      <c r="B5" s="3838" t="s">
        <v>819</v>
      </c>
      <c r="C5" s="3848"/>
      <c r="D5" s="3848"/>
      <c r="E5" s="3848"/>
      <c r="F5" s="3848"/>
      <c r="G5" s="3848"/>
      <c r="H5" s="3848"/>
      <c r="I5" s="3848"/>
      <c r="J5" s="3848"/>
      <c r="K5" s="170"/>
      <c r="L5" s="2183"/>
      <c r="M5" s="2185"/>
    </row>
    <row r="6" spans="2:16" x14ac:dyDescent="0.25">
      <c r="C6" s="1202"/>
      <c r="D6" s="1202"/>
      <c r="E6" s="1202"/>
      <c r="F6" s="1202"/>
      <c r="G6" s="1202"/>
      <c r="H6" s="1202"/>
      <c r="I6" s="1202"/>
      <c r="J6" s="1202"/>
      <c r="L6" s="2182"/>
      <c r="M6" s="2185"/>
      <c r="N6" s="216"/>
      <c r="O6" s="2186"/>
    </row>
    <row r="7" spans="2:16" ht="15.75" thickBot="1" x14ac:dyDescent="0.25">
      <c r="B7" s="3849" t="s">
        <v>221</v>
      </c>
      <c r="C7" s="3850"/>
      <c r="D7" s="3850"/>
      <c r="E7" s="3850"/>
      <c r="F7" s="3850"/>
      <c r="G7" s="3850"/>
      <c r="H7" s="3850"/>
      <c r="I7" s="3850"/>
      <c r="J7" s="3850"/>
      <c r="L7" s="2182"/>
    </row>
    <row r="8" spans="2:16" ht="70.5" customHeight="1" thickBot="1" x14ac:dyDescent="0.3">
      <c r="B8" s="1203" t="s">
        <v>129</v>
      </c>
      <c r="C8" s="191" t="s">
        <v>130</v>
      </c>
      <c r="D8" s="191" t="s">
        <v>2858</v>
      </c>
      <c r="E8" s="191" t="s">
        <v>131</v>
      </c>
      <c r="F8" s="191" t="s">
        <v>132</v>
      </c>
      <c r="G8" s="191" t="s">
        <v>133</v>
      </c>
      <c r="H8" s="191" t="s">
        <v>134</v>
      </c>
      <c r="I8" s="191" t="s">
        <v>135</v>
      </c>
      <c r="J8" s="192" t="s">
        <v>136</v>
      </c>
      <c r="L8" s="8">
        <f>G10*(F10/7000)</f>
        <v>432.29170289999996</v>
      </c>
    </row>
    <row r="9" spans="2:16" ht="15.75" thickBot="1" x14ac:dyDescent="0.3">
      <c r="B9" s="3841" t="s">
        <v>823</v>
      </c>
      <c r="C9" s="3842"/>
      <c r="D9" s="3842"/>
      <c r="E9" s="3842"/>
      <c r="F9" s="3842"/>
      <c r="G9" s="3842"/>
      <c r="H9" s="3842"/>
      <c r="I9" s="3842"/>
      <c r="J9" s="3843"/>
      <c r="K9" s="226"/>
      <c r="L9" s="8"/>
    </row>
    <row r="10" spans="2:16" x14ac:dyDescent="0.25">
      <c r="B10" s="1204" t="s">
        <v>137</v>
      </c>
      <c r="C10" s="2420">
        <f>'Д 7_РП'!G26</f>
        <v>6675.9097458333326</v>
      </c>
      <c r="D10" s="2420">
        <f>E10/C10*1000</f>
        <v>64.753976515306888</v>
      </c>
      <c r="E10" s="2420">
        <f>432291.7029/1000</f>
        <v>432.29170289999996</v>
      </c>
      <c r="F10" s="2420">
        <v>8306</v>
      </c>
      <c r="G10" s="2420">
        <f>E10/(F10/7000)</f>
        <v>364.32000003611842</v>
      </c>
      <c r="H10" s="2420">
        <f>'Вхідні дані'!$D$24</f>
        <v>29854.99</v>
      </c>
      <c r="I10" s="2420">
        <f>SUM(I11:I14)</f>
        <v>10876.769957878316</v>
      </c>
      <c r="J10" s="217">
        <f>I10/E10*1000</f>
        <v>25160.718757524679</v>
      </c>
      <c r="M10" s="198" t="s">
        <v>704</v>
      </c>
      <c r="N10" s="3">
        <f>I10/C10*1000</f>
        <v>1629.2565915329947</v>
      </c>
    </row>
    <row r="11" spans="2:16" x14ac:dyDescent="0.25">
      <c r="B11" s="243" t="s">
        <v>3</v>
      </c>
      <c r="C11" s="2421">
        <f>'Д 7_РП'!G27+D74</f>
        <v>0</v>
      </c>
      <c r="D11" s="2422">
        <v>0</v>
      </c>
      <c r="E11" s="3598">
        <v>0</v>
      </c>
      <c r="F11" s="2421">
        <v>0</v>
      </c>
      <c r="G11" s="2421">
        <v>0</v>
      </c>
      <c r="H11" s="2421">
        <f>'Вхідні дані'!$D$22</f>
        <v>0</v>
      </c>
      <c r="I11" s="2421">
        <f t="shared" ref="I11:I18" si="0">G11*H11/1000</f>
        <v>0</v>
      </c>
      <c r="J11" s="218">
        <v>0</v>
      </c>
      <c r="K11" s="216"/>
      <c r="L11" s="224"/>
      <c r="O11" s="2113"/>
    </row>
    <row r="12" spans="2:16" x14ac:dyDescent="0.25">
      <c r="B12" s="243" t="s">
        <v>174</v>
      </c>
      <c r="C12" s="2421">
        <f>'Д 7_РП'!G30+D75</f>
        <v>0</v>
      </c>
      <c r="D12" s="2422">
        <f>D11</f>
        <v>0</v>
      </c>
      <c r="E12" s="2514">
        <v>0</v>
      </c>
      <c r="F12" s="2421">
        <f>F11</f>
        <v>0</v>
      </c>
      <c r="G12" s="2421">
        <v>0</v>
      </c>
      <c r="H12" s="2421">
        <v>0</v>
      </c>
      <c r="I12" s="2421">
        <v>0</v>
      </c>
      <c r="J12" s="218">
        <v>0</v>
      </c>
      <c r="O12" s="2113"/>
    </row>
    <row r="13" spans="2:16" x14ac:dyDescent="0.25">
      <c r="B13" s="243" t="s">
        <v>98</v>
      </c>
      <c r="C13" s="2421">
        <f>'Д 7_РП'!G35+'Д 8_Паливо'!D76</f>
        <v>0</v>
      </c>
      <c r="D13" s="2421">
        <v>0</v>
      </c>
      <c r="E13" s="2427">
        <f>C13*D13/1000</f>
        <v>0</v>
      </c>
      <c r="F13" s="2421">
        <v>0</v>
      </c>
      <c r="G13" s="2421">
        <v>0</v>
      </c>
      <c r="H13" s="2421">
        <v>0</v>
      </c>
      <c r="I13" s="2421">
        <f>G13*H13/1000</f>
        <v>0</v>
      </c>
      <c r="J13" s="218">
        <v>0</v>
      </c>
      <c r="K13" s="170"/>
      <c r="L13" s="216"/>
      <c r="N13" s="3">
        <v>0</v>
      </c>
      <c r="P13" s="3">
        <f>P11-P12</f>
        <v>0</v>
      </c>
    </row>
    <row r="14" spans="2:16" ht="15.75" thickBot="1" x14ac:dyDescent="0.3">
      <c r="B14" s="1205" t="s">
        <v>99</v>
      </c>
      <c r="C14" s="2423">
        <f>'Д 7_РП'!G36+D77</f>
        <v>6675.9097458333326</v>
      </c>
      <c r="D14" s="2421">
        <f>D10</f>
        <v>64.753976515306888</v>
      </c>
      <c r="E14" s="2427">
        <f>C14*D14/1000</f>
        <v>432.29170289999996</v>
      </c>
      <c r="F14" s="2423">
        <f>F10</f>
        <v>8306</v>
      </c>
      <c r="G14" s="2423">
        <f>E14/(F14/7000)</f>
        <v>364.32000003611842</v>
      </c>
      <c r="H14" s="2423">
        <f>'Вхідні дані'!$D$24</f>
        <v>29854.99</v>
      </c>
      <c r="I14" s="2423">
        <f>G14*H14/1000</f>
        <v>10876.769957878316</v>
      </c>
      <c r="J14" s="219">
        <f>I14/E14*1000</f>
        <v>25160.718757524679</v>
      </c>
      <c r="N14" s="3">
        <f>I14/C14*1000</f>
        <v>1629.2565915329947</v>
      </c>
    </row>
    <row r="15" spans="2:16" ht="15.75" thickBot="1" x14ac:dyDescent="0.3">
      <c r="B15" s="3841" t="s">
        <v>824</v>
      </c>
      <c r="C15" s="3842"/>
      <c r="D15" s="3842"/>
      <c r="E15" s="3842"/>
      <c r="F15" s="3842"/>
      <c r="G15" s="3842"/>
      <c r="H15" s="3842"/>
      <c r="I15" s="3842"/>
      <c r="J15" s="3843"/>
      <c r="K15" s="226"/>
    </row>
    <row r="16" spans="2:16" x14ac:dyDescent="0.25">
      <c r="B16" s="1204" t="s">
        <v>137</v>
      </c>
      <c r="C16" s="2420">
        <f>C10</f>
        <v>6675.9097458333326</v>
      </c>
      <c r="D16" s="2420">
        <f>D10</f>
        <v>64.753976515306888</v>
      </c>
      <c r="E16" s="2513">
        <f>E10</f>
        <v>432.29170289999996</v>
      </c>
      <c r="F16" s="2420">
        <f>F10</f>
        <v>8306</v>
      </c>
      <c r="G16" s="2420">
        <f>G10</f>
        <v>364.32000003611842</v>
      </c>
      <c r="H16" s="2424">
        <f>'Вхідні дані'!$D$25</f>
        <v>136.58000000000001</v>
      </c>
      <c r="I16" s="2420">
        <f>G16*H16/1000</f>
        <v>49.758825604933058</v>
      </c>
      <c r="J16" s="2425">
        <f>I16/E16*1000</f>
        <v>115.10474355887311</v>
      </c>
      <c r="K16" s="226"/>
      <c r="M16" s="198"/>
      <c r="N16" s="3">
        <f>I16/C10*1000</f>
        <v>7.4534898612116907</v>
      </c>
    </row>
    <row r="17" spans="2:17" x14ac:dyDescent="0.25">
      <c r="B17" s="243" t="s">
        <v>3</v>
      </c>
      <c r="C17" s="2421">
        <f t="shared" ref="C17:F20" si="1">C11</f>
        <v>0</v>
      </c>
      <c r="D17" s="2421">
        <f t="shared" si="1"/>
        <v>0</v>
      </c>
      <c r="E17" s="2421">
        <f t="shared" si="1"/>
        <v>0</v>
      </c>
      <c r="F17" s="2421">
        <v>0</v>
      </c>
      <c r="G17" s="2421">
        <f>G11</f>
        <v>0</v>
      </c>
      <c r="H17" s="2421">
        <v>0</v>
      </c>
      <c r="I17" s="2421">
        <f t="shared" si="0"/>
        <v>0</v>
      </c>
      <c r="J17" s="2426">
        <v>0</v>
      </c>
      <c r="K17" s="226"/>
      <c r="L17" s="224"/>
    </row>
    <row r="18" spans="2:17" x14ac:dyDescent="0.25">
      <c r="B18" s="243" t="s">
        <v>174</v>
      </c>
      <c r="C18" s="2421">
        <f t="shared" si="1"/>
        <v>0</v>
      </c>
      <c r="D18" s="2421">
        <f t="shared" si="1"/>
        <v>0</v>
      </c>
      <c r="E18" s="2421">
        <f t="shared" si="1"/>
        <v>0</v>
      </c>
      <c r="F18" s="2421">
        <v>0</v>
      </c>
      <c r="G18" s="2421">
        <f>G12</f>
        <v>0</v>
      </c>
      <c r="H18" s="2421">
        <v>0</v>
      </c>
      <c r="I18" s="2421">
        <f t="shared" si="0"/>
        <v>0</v>
      </c>
      <c r="J18" s="2426">
        <v>0</v>
      </c>
      <c r="K18" s="226"/>
    </row>
    <row r="19" spans="2:17" x14ac:dyDescent="0.25">
      <c r="B19" s="243" t="s">
        <v>98</v>
      </c>
      <c r="C19" s="2421">
        <f>C13</f>
        <v>0</v>
      </c>
      <c r="D19" s="2421">
        <f t="shared" si="1"/>
        <v>0</v>
      </c>
      <c r="E19" s="2421">
        <f t="shared" si="1"/>
        <v>0</v>
      </c>
      <c r="F19" s="2421">
        <f t="shared" si="1"/>
        <v>0</v>
      </c>
      <c r="G19" s="2421">
        <f>G13</f>
        <v>0</v>
      </c>
      <c r="H19" s="2421">
        <v>0</v>
      </c>
      <c r="I19" s="2421">
        <f>G19*H19/1000</f>
        <v>0</v>
      </c>
      <c r="J19" s="2426">
        <v>0</v>
      </c>
      <c r="K19" s="226"/>
      <c r="L19" s="216"/>
      <c r="N19" s="3" t="e">
        <f>I19/C13*1000</f>
        <v>#DIV/0!</v>
      </c>
    </row>
    <row r="20" spans="2:17" ht="15.75" thickBot="1" x14ac:dyDescent="0.3">
      <c r="B20" s="1205" t="s">
        <v>99</v>
      </c>
      <c r="C20" s="2423">
        <f t="shared" si="1"/>
        <v>6675.9097458333326</v>
      </c>
      <c r="D20" s="2423">
        <f t="shared" si="1"/>
        <v>64.753976515306888</v>
      </c>
      <c r="E20" s="2423">
        <f>E14</f>
        <v>432.29170289999996</v>
      </c>
      <c r="F20" s="2423">
        <f t="shared" si="1"/>
        <v>8306</v>
      </c>
      <c r="G20" s="2423">
        <f>G14</f>
        <v>364.32000003611842</v>
      </c>
      <c r="H20" s="2427">
        <f>'Вхідні дані'!$D$25</f>
        <v>136.58000000000001</v>
      </c>
      <c r="I20" s="2423">
        <f>G20*H20/1000</f>
        <v>49.758825604933058</v>
      </c>
      <c r="J20" s="2428">
        <f>I20/E20*1000</f>
        <v>115.10474355887311</v>
      </c>
      <c r="K20" s="226"/>
      <c r="N20" s="3">
        <f>I20/C14*1000</f>
        <v>7.4534898612116907</v>
      </c>
    </row>
    <row r="21" spans="2:17" ht="15.75" thickBot="1" x14ac:dyDescent="0.3">
      <c r="B21" s="3841" t="s">
        <v>826</v>
      </c>
      <c r="C21" s="3842"/>
      <c r="D21" s="3842"/>
      <c r="E21" s="3842"/>
      <c r="F21" s="3842"/>
      <c r="G21" s="3842"/>
      <c r="H21" s="3842"/>
      <c r="I21" s="3842"/>
      <c r="J21" s="3843"/>
      <c r="K21" s="226"/>
    </row>
    <row r="22" spans="2:17" x14ac:dyDescent="0.25">
      <c r="B22" s="1204" t="s">
        <v>137</v>
      </c>
      <c r="C22" s="2420" t="s">
        <v>327</v>
      </c>
      <c r="D22" s="2420" t="s">
        <v>327</v>
      </c>
      <c r="E22" s="2420" t="s">
        <v>327</v>
      </c>
      <c r="F22" s="2420" t="s">
        <v>327</v>
      </c>
      <c r="G22" s="2420">
        <f>G10</f>
        <v>364.32000003611842</v>
      </c>
      <c r="H22" s="2420">
        <f>'Вхідні дані'!$D$26</f>
        <v>1090</v>
      </c>
      <c r="I22" s="2424">
        <f>G22*H22/1000</f>
        <v>397.1088000393691</v>
      </c>
      <c r="J22" s="2425" t="s">
        <v>327</v>
      </c>
      <c r="K22" s="226"/>
      <c r="L22" s="1477"/>
      <c r="M22" s="1477"/>
      <c r="N22" s="1477"/>
      <c r="O22" s="1477"/>
      <c r="P22" s="1478"/>
      <c r="Q22" s="1479"/>
    </row>
    <row r="23" spans="2:17" x14ac:dyDescent="0.25">
      <c r="B23" s="243" t="s">
        <v>3</v>
      </c>
      <c r="C23" s="2421" t="s">
        <v>327</v>
      </c>
      <c r="D23" s="2421" t="s">
        <v>327</v>
      </c>
      <c r="E23" s="2421" t="s">
        <v>327</v>
      </c>
      <c r="F23" s="2421" t="s">
        <v>327</v>
      </c>
      <c r="G23" s="2421">
        <f>G22*(C11/C10)</f>
        <v>0</v>
      </c>
      <c r="H23" s="2421">
        <v>0</v>
      </c>
      <c r="I23" s="2421">
        <f>G23*H23/1000</f>
        <v>0</v>
      </c>
      <c r="J23" s="2426" t="s">
        <v>327</v>
      </c>
      <c r="K23" s="226"/>
      <c r="L23" s="1477"/>
      <c r="M23" s="1477"/>
      <c r="N23" s="1477"/>
      <c r="O23" s="1477"/>
      <c r="P23" s="1478"/>
      <c r="Q23" s="1479"/>
    </row>
    <row r="24" spans="2:17" x14ac:dyDescent="0.25">
      <c r="B24" s="243" t="s">
        <v>174</v>
      </c>
      <c r="C24" s="2421" t="s">
        <v>327</v>
      </c>
      <c r="D24" s="2421" t="s">
        <v>327</v>
      </c>
      <c r="E24" s="2421" t="s">
        <v>327</v>
      </c>
      <c r="F24" s="2421" t="s">
        <v>327</v>
      </c>
      <c r="G24" s="2421">
        <f>G22*(C12/C10)</f>
        <v>0</v>
      </c>
      <c r="H24" s="2421">
        <v>0</v>
      </c>
      <c r="I24" s="2421">
        <f>G24*H24/1000</f>
        <v>0</v>
      </c>
      <c r="J24" s="2426" t="s">
        <v>327</v>
      </c>
      <c r="K24" s="226"/>
      <c r="L24" s="1477"/>
      <c r="M24" s="1477"/>
      <c r="N24" s="1477"/>
      <c r="O24" s="1477"/>
      <c r="P24" s="1478"/>
      <c r="Q24" s="1479"/>
    </row>
    <row r="25" spans="2:17" x14ac:dyDescent="0.25">
      <c r="B25" s="243" t="s">
        <v>98</v>
      </c>
      <c r="C25" s="2421" t="s">
        <v>327</v>
      </c>
      <c r="D25" s="2421" t="s">
        <v>327</v>
      </c>
      <c r="E25" s="2421" t="s">
        <v>327</v>
      </c>
      <c r="F25" s="2421" t="s">
        <v>327</v>
      </c>
      <c r="G25" s="2514">
        <f>G22*(C13/C10)</f>
        <v>0</v>
      </c>
      <c r="H25" s="2421">
        <v>0</v>
      </c>
      <c r="I25" s="2421">
        <f>G25*H25/1000</f>
        <v>0</v>
      </c>
      <c r="J25" s="2426" t="s">
        <v>327</v>
      </c>
      <c r="K25" s="226"/>
      <c r="L25" s="1477"/>
      <c r="M25" s="1477"/>
      <c r="N25" s="1477"/>
      <c r="O25" s="1477"/>
      <c r="P25" s="1478"/>
      <c r="Q25" s="1479"/>
    </row>
    <row r="26" spans="2:17" ht="15.75" thickBot="1" x14ac:dyDescent="0.3">
      <c r="B26" s="1205" t="s">
        <v>99</v>
      </c>
      <c r="C26" s="2423" t="s">
        <v>327</v>
      </c>
      <c r="D26" s="2423" t="s">
        <v>327</v>
      </c>
      <c r="E26" s="2423" t="s">
        <v>327</v>
      </c>
      <c r="F26" s="2423" t="s">
        <v>327</v>
      </c>
      <c r="G26" s="2421">
        <f>G22*(C14/C10)</f>
        <v>364.32000003611842</v>
      </c>
      <c r="H26" s="2423">
        <f>'Вхідні дані'!$D$26</f>
        <v>1090</v>
      </c>
      <c r="I26" s="2427">
        <f>G26*H26/1000</f>
        <v>397.1088000393691</v>
      </c>
      <c r="J26" s="2428" t="s">
        <v>327</v>
      </c>
      <c r="K26" s="226"/>
      <c r="L26" s="1477"/>
      <c r="M26" s="1477"/>
      <c r="N26" s="1477"/>
      <c r="O26" s="1477"/>
      <c r="P26" s="1478"/>
      <c r="Q26" s="1479"/>
    </row>
    <row r="27" spans="2:17" x14ac:dyDescent="0.25">
      <c r="B27" s="1204" t="s">
        <v>3224</v>
      </c>
      <c r="C27" s="2420">
        <f>C10</f>
        <v>6675.9097458333326</v>
      </c>
      <c r="D27" s="2420">
        <f>D10</f>
        <v>64.753976515306888</v>
      </c>
      <c r="E27" s="2513">
        <f>E10</f>
        <v>432.29170289999996</v>
      </c>
      <c r="F27" s="2420">
        <f>F10</f>
        <v>8306</v>
      </c>
      <c r="G27" s="2420" t="s">
        <v>327</v>
      </c>
      <c r="H27" s="2420" t="s">
        <v>327</v>
      </c>
      <c r="I27" s="2420">
        <f>I10+I16+I22</f>
        <v>11323.637583522617</v>
      </c>
      <c r="J27" s="2425">
        <f>I27/E27*1000</f>
        <v>26194.436551890198</v>
      </c>
      <c r="K27" s="226"/>
    </row>
    <row r="28" spans="2:17" x14ac:dyDescent="0.25">
      <c r="B28" s="243" t="s">
        <v>3</v>
      </c>
      <c r="C28" s="2421">
        <f t="shared" ref="C28:E31" si="2">C11</f>
        <v>0</v>
      </c>
      <c r="D28" s="2421">
        <f t="shared" si="2"/>
        <v>0</v>
      </c>
      <c r="E28" s="2421">
        <f t="shared" si="2"/>
        <v>0</v>
      </c>
      <c r="F28" s="2421">
        <f>F11</f>
        <v>0</v>
      </c>
      <c r="G28" s="2421" t="s">
        <v>327</v>
      </c>
      <c r="H28" s="2421" t="s">
        <v>327</v>
      </c>
      <c r="I28" s="2421">
        <f>I11+I17+I23</f>
        <v>0</v>
      </c>
      <c r="J28" s="2426">
        <v>0</v>
      </c>
      <c r="K28" s="226"/>
    </row>
    <row r="29" spans="2:17" x14ac:dyDescent="0.25">
      <c r="B29" s="243" t="s">
        <v>174</v>
      </c>
      <c r="C29" s="2421">
        <f t="shared" si="2"/>
        <v>0</v>
      </c>
      <c r="D29" s="2421">
        <f t="shared" si="2"/>
        <v>0</v>
      </c>
      <c r="E29" s="2421">
        <f t="shared" si="2"/>
        <v>0</v>
      </c>
      <c r="F29" s="2421">
        <f>F12</f>
        <v>0</v>
      </c>
      <c r="G29" s="2421" t="s">
        <v>327</v>
      </c>
      <c r="H29" s="2421" t="s">
        <v>327</v>
      </c>
      <c r="I29" s="2421">
        <f>I12+I18+I24</f>
        <v>0</v>
      </c>
      <c r="J29" s="2426">
        <v>0</v>
      </c>
      <c r="K29" s="226"/>
    </row>
    <row r="30" spans="2:17" x14ac:dyDescent="0.25">
      <c r="B30" s="243" t="s">
        <v>98</v>
      </c>
      <c r="C30" s="2421">
        <f t="shared" si="2"/>
        <v>0</v>
      </c>
      <c r="D30" s="2421">
        <f t="shared" si="2"/>
        <v>0</v>
      </c>
      <c r="E30" s="2514">
        <f t="shared" si="2"/>
        <v>0</v>
      </c>
      <c r="F30" s="2421">
        <f>F13</f>
        <v>0</v>
      </c>
      <c r="G30" s="2421" t="s">
        <v>327</v>
      </c>
      <c r="H30" s="2421" t="s">
        <v>327</v>
      </c>
      <c r="I30" s="2421">
        <f>I13+I19+I25</f>
        <v>0</v>
      </c>
      <c r="J30" s="2426">
        <v>0</v>
      </c>
      <c r="K30" s="226"/>
    </row>
    <row r="31" spans="2:17" ht="15.75" thickBot="1" x14ac:dyDescent="0.3">
      <c r="B31" s="1205" t="s">
        <v>99</v>
      </c>
      <c r="C31" s="2423">
        <f t="shared" si="2"/>
        <v>6675.9097458333326</v>
      </c>
      <c r="D31" s="2423">
        <f t="shared" si="2"/>
        <v>64.753976515306888</v>
      </c>
      <c r="E31" s="2515">
        <f t="shared" si="2"/>
        <v>432.29170289999996</v>
      </c>
      <c r="F31" s="2423">
        <f>F14</f>
        <v>8306</v>
      </c>
      <c r="G31" s="2423" t="s">
        <v>327</v>
      </c>
      <c r="H31" s="2423" t="s">
        <v>327</v>
      </c>
      <c r="I31" s="2423">
        <f>I14+I20+I26</f>
        <v>11323.637583522617</v>
      </c>
      <c r="J31" s="2428">
        <f>I31/E31*1000</f>
        <v>26194.436551890198</v>
      </c>
      <c r="K31" s="226"/>
    </row>
    <row r="32" spans="2:17" x14ac:dyDescent="0.25">
      <c r="B32" s="1206" t="s">
        <v>279</v>
      </c>
      <c r="C32" s="2427">
        <v>0</v>
      </c>
      <c r="D32" s="2427">
        <v>0</v>
      </c>
      <c r="E32" s="2427">
        <v>0</v>
      </c>
      <c r="F32" s="2427">
        <v>0</v>
      </c>
      <c r="G32" s="2427">
        <v>0</v>
      </c>
      <c r="H32" s="2427">
        <v>0</v>
      </c>
      <c r="I32" s="2427">
        <v>0</v>
      </c>
      <c r="J32" s="2429">
        <v>0</v>
      </c>
    </row>
    <row r="33" spans="2:10" x14ac:dyDescent="0.25">
      <c r="B33" s="243" t="s">
        <v>3</v>
      </c>
      <c r="C33" s="2421">
        <v>0</v>
      </c>
      <c r="D33" s="2421">
        <v>0</v>
      </c>
      <c r="E33" s="2421">
        <v>0</v>
      </c>
      <c r="F33" s="2421">
        <v>0</v>
      </c>
      <c r="G33" s="2421">
        <v>0</v>
      </c>
      <c r="H33" s="2421">
        <v>0</v>
      </c>
      <c r="I33" s="2421">
        <v>0</v>
      </c>
      <c r="J33" s="2426">
        <v>0</v>
      </c>
    </row>
    <row r="34" spans="2:10" x14ac:dyDescent="0.25">
      <c r="B34" s="243" t="s">
        <v>174</v>
      </c>
      <c r="C34" s="2421">
        <v>0</v>
      </c>
      <c r="D34" s="2421">
        <v>0</v>
      </c>
      <c r="E34" s="2421">
        <v>0</v>
      </c>
      <c r="F34" s="2421">
        <v>0</v>
      </c>
      <c r="G34" s="2421">
        <v>0</v>
      </c>
      <c r="H34" s="2421">
        <v>0</v>
      </c>
      <c r="I34" s="2421">
        <v>0</v>
      </c>
      <c r="J34" s="2426">
        <v>0</v>
      </c>
    </row>
    <row r="35" spans="2:10" x14ac:dyDescent="0.25">
      <c r="B35" s="243" t="s">
        <v>98</v>
      </c>
      <c r="C35" s="2421">
        <v>0</v>
      </c>
      <c r="D35" s="2421">
        <v>0</v>
      </c>
      <c r="E35" s="2421">
        <v>0</v>
      </c>
      <c r="F35" s="2421">
        <v>0</v>
      </c>
      <c r="G35" s="2421">
        <v>0</v>
      </c>
      <c r="H35" s="2421">
        <v>0</v>
      </c>
      <c r="I35" s="2421">
        <v>0</v>
      </c>
      <c r="J35" s="2426">
        <v>0</v>
      </c>
    </row>
    <row r="36" spans="2:10" x14ac:dyDescent="0.25">
      <c r="B36" s="243" t="s">
        <v>99</v>
      </c>
      <c r="C36" s="2421">
        <v>0</v>
      </c>
      <c r="D36" s="2421">
        <v>0</v>
      </c>
      <c r="E36" s="2421">
        <v>0</v>
      </c>
      <c r="F36" s="2421">
        <v>0</v>
      </c>
      <c r="G36" s="2421">
        <v>0</v>
      </c>
      <c r="H36" s="2421">
        <v>0</v>
      </c>
      <c r="I36" s="2421">
        <v>0</v>
      </c>
      <c r="J36" s="2426">
        <v>0</v>
      </c>
    </row>
    <row r="37" spans="2:10" x14ac:dyDescent="0.25">
      <c r="B37" s="243" t="s">
        <v>280</v>
      </c>
      <c r="C37" s="2421">
        <v>0</v>
      </c>
      <c r="D37" s="2421">
        <v>0</v>
      </c>
      <c r="E37" s="2421">
        <v>0</v>
      </c>
      <c r="F37" s="2421">
        <v>0</v>
      </c>
      <c r="G37" s="2421">
        <v>0</v>
      </c>
      <c r="H37" s="2421">
        <v>0</v>
      </c>
      <c r="I37" s="2421">
        <v>0</v>
      </c>
      <c r="J37" s="2426">
        <v>0</v>
      </c>
    </row>
    <row r="38" spans="2:10" x14ac:dyDescent="0.25">
      <c r="B38" s="243" t="s">
        <v>3</v>
      </c>
      <c r="C38" s="2421">
        <v>0</v>
      </c>
      <c r="D38" s="2421">
        <v>0</v>
      </c>
      <c r="E38" s="2421">
        <v>0</v>
      </c>
      <c r="F38" s="2421">
        <v>0</v>
      </c>
      <c r="G38" s="2421">
        <v>0</v>
      </c>
      <c r="H38" s="2421">
        <v>0</v>
      </c>
      <c r="I38" s="2421">
        <v>0</v>
      </c>
      <c r="J38" s="2426">
        <v>0</v>
      </c>
    </row>
    <row r="39" spans="2:10" x14ac:dyDescent="0.25">
      <c r="B39" s="243" t="s">
        <v>174</v>
      </c>
      <c r="C39" s="2421">
        <v>0</v>
      </c>
      <c r="D39" s="2421">
        <v>0</v>
      </c>
      <c r="E39" s="2421">
        <v>0</v>
      </c>
      <c r="F39" s="2421">
        <v>0</v>
      </c>
      <c r="G39" s="2421">
        <v>0</v>
      </c>
      <c r="H39" s="2421">
        <v>0</v>
      </c>
      <c r="I39" s="2421">
        <v>0</v>
      </c>
      <c r="J39" s="2426">
        <v>0</v>
      </c>
    </row>
    <row r="40" spans="2:10" x14ac:dyDescent="0.25">
      <c r="B40" s="243" t="s">
        <v>98</v>
      </c>
      <c r="C40" s="2421">
        <v>0</v>
      </c>
      <c r="D40" s="2421">
        <v>0</v>
      </c>
      <c r="E40" s="2421">
        <v>0</v>
      </c>
      <c r="F40" s="2421">
        <v>0</v>
      </c>
      <c r="G40" s="2421">
        <v>0</v>
      </c>
      <c r="H40" s="2421">
        <v>0</v>
      </c>
      <c r="I40" s="2421">
        <v>0</v>
      </c>
      <c r="J40" s="2426">
        <v>0</v>
      </c>
    </row>
    <row r="41" spans="2:10" x14ac:dyDescent="0.25">
      <c r="B41" s="243" t="s">
        <v>99</v>
      </c>
      <c r="C41" s="2421">
        <v>0</v>
      </c>
      <c r="D41" s="2421">
        <v>0</v>
      </c>
      <c r="E41" s="2421">
        <v>0</v>
      </c>
      <c r="F41" s="2421">
        <v>0</v>
      </c>
      <c r="G41" s="2421">
        <v>0</v>
      </c>
      <c r="H41" s="2421">
        <v>0</v>
      </c>
      <c r="I41" s="2421">
        <v>0</v>
      </c>
      <c r="J41" s="2426">
        <v>0</v>
      </c>
    </row>
    <row r="42" spans="2:10" ht="13.9" customHeight="1" x14ac:dyDescent="0.25">
      <c r="B42" s="243" t="s">
        <v>281</v>
      </c>
      <c r="C42" s="2421">
        <v>0</v>
      </c>
      <c r="D42" s="2421">
        <v>0</v>
      </c>
      <c r="E42" s="2421">
        <v>0</v>
      </c>
      <c r="F42" s="2421">
        <v>0</v>
      </c>
      <c r="G42" s="2421">
        <v>0</v>
      </c>
      <c r="H42" s="2421">
        <v>0</v>
      </c>
      <c r="I42" s="2421">
        <v>0</v>
      </c>
      <c r="J42" s="2426">
        <v>0</v>
      </c>
    </row>
    <row r="43" spans="2:10" x14ac:dyDescent="0.25">
      <c r="B43" s="243" t="s">
        <v>3</v>
      </c>
      <c r="C43" s="2421">
        <v>0</v>
      </c>
      <c r="D43" s="2421">
        <v>0</v>
      </c>
      <c r="E43" s="2421">
        <v>0</v>
      </c>
      <c r="F43" s="2421">
        <v>0</v>
      </c>
      <c r="G43" s="2421">
        <v>0</v>
      </c>
      <c r="H43" s="2421">
        <v>0</v>
      </c>
      <c r="I43" s="2421">
        <v>0</v>
      </c>
      <c r="J43" s="2426">
        <v>0</v>
      </c>
    </row>
    <row r="44" spans="2:10" x14ac:dyDescent="0.25">
      <c r="B44" s="243" t="s">
        <v>174</v>
      </c>
      <c r="C44" s="2421">
        <v>0</v>
      </c>
      <c r="D44" s="2421">
        <v>0</v>
      </c>
      <c r="E44" s="2421">
        <v>0</v>
      </c>
      <c r="F44" s="2421">
        <v>0</v>
      </c>
      <c r="G44" s="2421">
        <v>0</v>
      </c>
      <c r="H44" s="2421">
        <v>0</v>
      </c>
      <c r="I44" s="2421">
        <v>0</v>
      </c>
      <c r="J44" s="2426">
        <v>0</v>
      </c>
    </row>
    <row r="45" spans="2:10" x14ac:dyDescent="0.25">
      <c r="B45" s="243" t="s">
        <v>98</v>
      </c>
      <c r="C45" s="2421">
        <v>0</v>
      </c>
      <c r="D45" s="2421">
        <v>0</v>
      </c>
      <c r="E45" s="2421">
        <v>0</v>
      </c>
      <c r="F45" s="2421">
        <v>0</v>
      </c>
      <c r="G45" s="2421">
        <v>0</v>
      </c>
      <c r="H45" s="2421">
        <v>0</v>
      </c>
      <c r="I45" s="2421">
        <v>0</v>
      </c>
      <c r="J45" s="2426">
        <v>0</v>
      </c>
    </row>
    <row r="46" spans="2:10" ht="15.75" thickBot="1" x14ac:dyDescent="0.3">
      <c r="B46" s="1207" t="s">
        <v>99</v>
      </c>
      <c r="C46" s="2430"/>
      <c r="D46" s="2430"/>
      <c r="E46" s="2430"/>
      <c r="F46" s="2430"/>
      <c r="G46" s="2430"/>
      <c r="H46" s="2430"/>
      <c r="I46" s="2430"/>
      <c r="J46" s="2431"/>
    </row>
    <row r="47" spans="2:10" ht="25.5" x14ac:dyDescent="0.25">
      <c r="B47" s="1208" t="s">
        <v>282</v>
      </c>
      <c r="C47" s="2432">
        <f>C27+C32+C37+C42</f>
        <v>6675.9097458333326</v>
      </c>
      <c r="D47" s="2432">
        <f>E47/C47*1000</f>
        <v>64.753976515306888</v>
      </c>
      <c r="E47" s="2516">
        <f>E27+E32+E37+E42</f>
        <v>432.29170289999996</v>
      </c>
      <c r="F47" s="2420" t="s">
        <v>327</v>
      </c>
      <c r="G47" s="2420" t="s">
        <v>327</v>
      </c>
      <c r="H47" s="2420" t="s">
        <v>327</v>
      </c>
      <c r="I47" s="2432">
        <f>I27+I32+I37+I42</f>
        <v>11323.637583522617</v>
      </c>
      <c r="J47" s="2433">
        <f>I47/E47*1000</f>
        <v>26194.436551890198</v>
      </c>
    </row>
    <row r="48" spans="2:10" x14ac:dyDescent="0.25">
      <c r="B48" s="243" t="s">
        <v>3</v>
      </c>
      <c r="C48" s="2421">
        <f t="shared" ref="C48:E51" si="3">C28+C33+C38+C43</f>
        <v>0</v>
      </c>
      <c r="D48" s="2421">
        <v>0</v>
      </c>
      <c r="E48" s="2421">
        <f t="shared" si="3"/>
        <v>0</v>
      </c>
      <c r="F48" s="2421" t="s">
        <v>327</v>
      </c>
      <c r="G48" s="2421" t="s">
        <v>327</v>
      </c>
      <c r="H48" s="2421" t="s">
        <v>327</v>
      </c>
      <c r="I48" s="2421">
        <f>I28+I33+I38+I43</f>
        <v>0</v>
      </c>
      <c r="J48" s="2426">
        <v>0</v>
      </c>
    </row>
    <row r="49" spans="2:10" x14ac:dyDescent="0.25">
      <c r="B49" s="243" t="s">
        <v>174</v>
      </c>
      <c r="C49" s="2421">
        <f t="shared" si="3"/>
        <v>0</v>
      </c>
      <c r="D49" s="2421">
        <v>0</v>
      </c>
      <c r="E49" s="2421">
        <f t="shared" si="3"/>
        <v>0</v>
      </c>
      <c r="F49" s="2421" t="s">
        <v>327</v>
      </c>
      <c r="G49" s="2421" t="s">
        <v>327</v>
      </c>
      <c r="H49" s="2421" t="s">
        <v>327</v>
      </c>
      <c r="I49" s="2421">
        <f>I29+I34+I39+I44</f>
        <v>0</v>
      </c>
      <c r="J49" s="2426">
        <v>0</v>
      </c>
    </row>
    <row r="50" spans="2:10" x14ac:dyDescent="0.25">
      <c r="B50" s="243" t="s">
        <v>98</v>
      </c>
      <c r="C50" s="2421">
        <f t="shared" si="3"/>
        <v>0</v>
      </c>
      <c r="D50" s="2421">
        <v>0</v>
      </c>
      <c r="E50" s="2514">
        <f t="shared" si="3"/>
        <v>0</v>
      </c>
      <c r="F50" s="2421" t="s">
        <v>327</v>
      </c>
      <c r="G50" s="2421" t="s">
        <v>327</v>
      </c>
      <c r="H50" s="2421" t="s">
        <v>327</v>
      </c>
      <c r="I50" s="2421">
        <f>I30+I35+I40+I45</f>
        <v>0</v>
      </c>
      <c r="J50" s="2426">
        <v>0</v>
      </c>
    </row>
    <row r="51" spans="2:10" ht="15.75" thickBot="1" x14ac:dyDescent="0.3">
      <c r="B51" s="1205" t="s">
        <v>99</v>
      </c>
      <c r="C51" s="2423">
        <f t="shared" si="3"/>
        <v>6675.9097458333326</v>
      </c>
      <c r="D51" s="2423">
        <f>E51/C51*1000</f>
        <v>64.753976515306888</v>
      </c>
      <c r="E51" s="2515">
        <f t="shared" si="3"/>
        <v>432.29170289999996</v>
      </c>
      <c r="F51" s="2423" t="s">
        <v>327</v>
      </c>
      <c r="G51" s="2423" t="s">
        <v>327</v>
      </c>
      <c r="H51" s="2423" t="s">
        <v>327</v>
      </c>
      <c r="I51" s="2423">
        <f>I31+I36+I41+I46</f>
        <v>11323.637583522617</v>
      </c>
      <c r="J51" s="2428">
        <f>I51/E51*1000</f>
        <v>26194.436551890198</v>
      </c>
    </row>
    <row r="52" spans="2:10" ht="15" customHeight="1" x14ac:dyDescent="0.25">
      <c r="B52" s="3851"/>
      <c r="C52" s="3851"/>
      <c r="D52" s="3851"/>
      <c r="E52" s="3851"/>
      <c r="F52" s="3851"/>
      <c r="G52" s="3851"/>
      <c r="H52" s="3851"/>
      <c r="I52" s="3851"/>
      <c r="J52" s="3851"/>
    </row>
    <row r="53" spans="2:10" ht="15" customHeight="1" x14ac:dyDescent="0.25">
      <c r="B53" s="2698"/>
      <c r="C53" s="2698"/>
      <c r="D53" s="2698"/>
      <c r="E53" s="2698"/>
      <c r="F53" s="2698"/>
      <c r="G53" s="2698"/>
      <c r="H53" s="2698"/>
      <c r="I53" s="2698"/>
      <c r="J53" s="2698"/>
    </row>
    <row r="54" spans="2:10" x14ac:dyDescent="0.25">
      <c r="B54" s="4"/>
      <c r="C54" s="4"/>
      <c r="D54" s="4"/>
    </row>
    <row r="55" spans="2:10" ht="33" customHeight="1" x14ac:dyDescent="0.25">
      <c r="B55" s="3837" t="str">
        <f>'Вхідні дані'!B14</f>
        <v>Заступник начальника Адміністрації морського порту Чорноморськ з технічних питань та розвитку</v>
      </c>
      <c r="C55" s="3837"/>
      <c r="D55" s="3655"/>
      <c r="E55" s="3840" t="s">
        <v>138</v>
      </c>
      <c r="F55" s="3840"/>
      <c r="G55" s="2689"/>
      <c r="H55" s="3852" t="str">
        <f>'Вхідні дані'!F14</f>
        <v>Віталій ЛІПСКИЙ</v>
      </c>
      <c r="I55" s="3852"/>
      <c r="J55" s="3852"/>
    </row>
    <row r="56" spans="2:10" x14ac:dyDescent="0.25">
      <c r="B56" s="2690" t="s">
        <v>3253</v>
      </c>
      <c r="C56" s="2691"/>
      <c r="D56" s="2691"/>
      <c r="E56" s="3840" t="s">
        <v>101</v>
      </c>
      <c r="F56" s="3840"/>
      <c r="G56" s="2689"/>
      <c r="H56" s="3840" t="s">
        <v>278</v>
      </c>
      <c r="I56" s="3840"/>
      <c r="J56" s="3840"/>
    </row>
    <row r="57" spans="2:10" x14ac:dyDescent="0.25">
      <c r="B57" s="4"/>
      <c r="C57" s="25"/>
      <c r="D57" s="25"/>
    </row>
    <row r="59" spans="2:10" ht="30" x14ac:dyDescent="0.25">
      <c r="D59" s="24" t="s">
        <v>834</v>
      </c>
    </row>
    <row r="61" spans="2:10" ht="51.75" customHeight="1" x14ac:dyDescent="0.25">
      <c r="B61" s="3839" t="s">
        <v>827</v>
      </c>
      <c r="C61" s="3839"/>
      <c r="D61" s="3839"/>
      <c r="E61" s="201"/>
      <c r="F61" s="201"/>
    </row>
    <row r="62" spans="2:10" ht="30.75" thickBot="1" x14ac:dyDescent="0.3">
      <c r="E62" s="2064" t="s">
        <v>2732</v>
      </c>
      <c r="F62" s="2064" t="s">
        <v>2733</v>
      </c>
      <c r="G62" s="3845" t="s">
        <v>2734</v>
      </c>
      <c r="H62" s="3845"/>
    </row>
    <row r="63" spans="2:10" ht="31.5" customHeight="1" thickBot="1" x14ac:dyDescent="0.3">
      <c r="B63" s="205" t="s">
        <v>8</v>
      </c>
      <c r="C63" s="205" t="s">
        <v>828</v>
      </c>
      <c r="D63" s="210" t="str">
        <f>'Вхідні дані'!F6</f>
        <v>2023-2024</v>
      </c>
      <c r="E63" s="210" t="str">
        <f>'Вхідні дані'!F6</f>
        <v>2023-2024</v>
      </c>
      <c r="F63" s="210" t="str">
        <f>'Вхідні дані'!F6</f>
        <v>2023-2024</v>
      </c>
      <c r="G63" s="206" t="s">
        <v>2241</v>
      </c>
      <c r="H63" s="2061" t="s">
        <v>2242</v>
      </c>
      <c r="I63" s="232" t="s">
        <v>2731</v>
      </c>
    </row>
    <row r="64" spans="2:10" ht="28.5" x14ac:dyDescent="0.25">
      <c r="B64" s="232" t="s">
        <v>2731</v>
      </c>
      <c r="C64" s="203" t="s">
        <v>22</v>
      </c>
      <c r="D64" s="233">
        <f>D65+D66+D67+D68</f>
        <v>4491.7941629656525</v>
      </c>
      <c r="E64" s="2059">
        <f>SUM(E65:E68)</f>
        <v>1314.5190159799997</v>
      </c>
      <c r="F64" s="2059">
        <f>SUM(F65:F68)</f>
        <v>3177.275146985653</v>
      </c>
      <c r="G64" s="2059">
        <f t="shared" ref="G64:H64" si="4">SUM(G65:G68)</f>
        <v>1314.5190159799997</v>
      </c>
      <c r="H64" s="2059">
        <f t="shared" si="4"/>
        <v>3447.1172361666672</v>
      </c>
      <c r="I64" s="2065">
        <f>G64+H64</f>
        <v>4761.6362521466672</v>
      </c>
      <c r="J64" s="211"/>
    </row>
    <row r="65" spans="2:35" x14ac:dyDescent="0.25">
      <c r="B65" s="213" t="s">
        <v>3</v>
      </c>
      <c r="C65" s="203" t="s">
        <v>22</v>
      </c>
      <c r="D65" s="209">
        <f>'Д 7_РП'!G27</f>
        <v>0</v>
      </c>
      <c r="E65" s="2059">
        <f>'Д 7_РП'!G28</f>
        <v>0</v>
      </c>
      <c r="F65" s="2060">
        <f>'Д 7_РП'!G29</f>
        <v>0</v>
      </c>
      <c r="G65" s="209">
        <f>E65+K74</f>
        <v>0</v>
      </c>
      <c r="H65" s="2062">
        <f>F65+J74</f>
        <v>0</v>
      </c>
      <c r="I65" s="2065">
        <f>G65+H65</f>
        <v>0</v>
      </c>
      <c r="J65" s="211"/>
    </row>
    <row r="66" spans="2:35" x14ac:dyDescent="0.25">
      <c r="B66" s="213" t="s">
        <v>170</v>
      </c>
      <c r="C66" s="203" t="s">
        <v>22</v>
      </c>
      <c r="D66" s="209">
        <f>'Д 7_РП'!G30</f>
        <v>0</v>
      </c>
      <c r="E66" s="2059">
        <f>'Д 7_РП'!G31</f>
        <v>0</v>
      </c>
      <c r="F66" s="2060">
        <f>'Д 7_РП'!G32</f>
        <v>0</v>
      </c>
      <c r="G66" s="2067">
        <f t="shared" ref="G66:G67" si="5">E66+K75</f>
        <v>0</v>
      </c>
      <c r="H66" s="2062">
        <f t="shared" ref="H66" si="6">F66+J75</f>
        <v>0</v>
      </c>
      <c r="I66" s="2065">
        <f>G66+H66</f>
        <v>0</v>
      </c>
      <c r="J66" s="211"/>
    </row>
    <row r="67" spans="2:35" x14ac:dyDescent="0.25">
      <c r="B67" s="213" t="s">
        <v>754</v>
      </c>
      <c r="C67" s="203" t="s">
        <v>22</v>
      </c>
      <c r="D67" s="209">
        <f>'Д 7_РП'!G33</f>
        <v>0</v>
      </c>
      <c r="E67" s="2059">
        <f>'Д 7_РП'!G34</f>
        <v>0</v>
      </c>
      <c r="F67" s="209">
        <f>'Д 7_РП'!G35</f>
        <v>0</v>
      </c>
      <c r="G67" s="209">
        <f t="shared" si="5"/>
        <v>0</v>
      </c>
      <c r="H67" s="2062">
        <f>F67+J76</f>
        <v>0</v>
      </c>
      <c r="I67" s="2065">
        <f>G67+H67</f>
        <v>0</v>
      </c>
      <c r="J67" s="211"/>
    </row>
    <row r="68" spans="2:35" x14ac:dyDescent="0.25">
      <c r="B68" s="213" t="s">
        <v>163</v>
      </c>
      <c r="C68" s="203" t="s">
        <v>22</v>
      </c>
      <c r="D68" s="209">
        <f>'Д 7_РП'!G36</f>
        <v>4491.7941629656525</v>
      </c>
      <c r="E68" s="2059">
        <f>'Д 7_РП'!G37</f>
        <v>1314.5190159799997</v>
      </c>
      <c r="F68" s="209">
        <f>'Д 7_РП'!G38</f>
        <v>3177.275146985653</v>
      </c>
      <c r="G68" s="209">
        <f>E68+K77</f>
        <v>1314.5190159799997</v>
      </c>
      <c r="H68" s="2062">
        <f>F68+J77</f>
        <v>3447.1172361666672</v>
      </c>
      <c r="I68" s="2065">
        <f>G68+H68</f>
        <v>4761.6362521466672</v>
      </c>
      <c r="J68" s="211"/>
    </row>
    <row r="69" spans="2:35" x14ac:dyDescent="0.25">
      <c r="B69" s="227" t="s">
        <v>3</v>
      </c>
      <c r="C69" s="203" t="s">
        <v>4</v>
      </c>
      <c r="D69" s="212">
        <f>D65/D$64</f>
        <v>0</v>
      </c>
      <c r="E69" s="212">
        <f t="shared" ref="E69:H69" si="7">E65/E$64</f>
        <v>0</v>
      </c>
      <c r="F69" s="212">
        <f t="shared" si="7"/>
        <v>0</v>
      </c>
      <c r="G69" s="212">
        <f t="shared" si="7"/>
        <v>0</v>
      </c>
      <c r="H69" s="212">
        <f t="shared" si="7"/>
        <v>0</v>
      </c>
      <c r="I69" s="2066">
        <f t="shared" ref="I69:I72" si="8">ROUND(I65/I$64,7)</f>
        <v>0</v>
      </c>
      <c r="J69" s="2066"/>
    </row>
    <row r="70" spans="2:35" x14ac:dyDescent="0.25">
      <c r="B70" s="227" t="s">
        <v>170</v>
      </c>
      <c r="C70" s="203" t="s">
        <v>4</v>
      </c>
      <c r="D70" s="212">
        <f>D66/$D$64</f>
        <v>0</v>
      </c>
      <c r="E70" s="212">
        <f t="shared" ref="E70:H70" si="9">E66/E$64</f>
        <v>0</v>
      </c>
      <c r="F70" s="212">
        <f t="shared" si="9"/>
        <v>0</v>
      </c>
      <c r="G70" s="212">
        <f t="shared" si="9"/>
        <v>0</v>
      </c>
      <c r="H70" s="212">
        <f t="shared" si="9"/>
        <v>0</v>
      </c>
      <c r="I70" s="2066">
        <f t="shared" si="8"/>
        <v>0</v>
      </c>
      <c r="J70" s="2066"/>
    </row>
    <row r="71" spans="2:35" x14ac:dyDescent="0.25">
      <c r="B71" s="227" t="s">
        <v>754</v>
      </c>
      <c r="C71" s="203" t="s">
        <v>4</v>
      </c>
      <c r="D71" s="212">
        <f>D67/$D$64</f>
        <v>0</v>
      </c>
      <c r="E71" s="212">
        <f t="shared" ref="E71:H71" si="10">E67/E$64</f>
        <v>0</v>
      </c>
      <c r="F71" s="212">
        <f t="shared" si="10"/>
        <v>0</v>
      </c>
      <c r="G71" s="212">
        <f t="shared" si="10"/>
        <v>0</v>
      </c>
      <c r="H71" s="212">
        <f t="shared" si="10"/>
        <v>0</v>
      </c>
      <c r="I71" s="2066">
        <f>ROUND(I67/I$64,7)</f>
        <v>0</v>
      </c>
      <c r="J71" s="2066"/>
      <c r="AH71" s="24"/>
      <c r="AI71" s="24"/>
    </row>
    <row r="72" spans="2:35" ht="15.75" thickBot="1" x14ac:dyDescent="0.3">
      <c r="B72" s="227" t="s">
        <v>163</v>
      </c>
      <c r="C72" s="203" t="s">
        <v>4</v>
      </c>
      <c r="D72" s="212">
        <f>D68/$D$64</f>
        <v>1</v>
      </c>
      <c r="E72" s="212">
        <f t="shared" ref="E72:H72" si="11">E68/E$64</f>
        <v>1</v>
      </c>
      <c r="F72" s="212">
        <f t="shared" si="11"/>
        <v>1</v>
      </c>
      <c r="G72" s="2063">
        <f t="shared" si="11"/>
        <v>1</v>
      </c>
      <c r="H72" s="2063">
        <f t="shared" si="11"/>
        <v>1</v>
      </c>
      <c r="I72" s="2066">
        <f t="shared" si="8"/>
        <v>1</v>
      </c>
      <c r="J72" s="2066"/>
      <c r="K72" s="2058" t="s">
        <v>2241</v>
      </c>
      <c r="AH72" s="24"/>
      <c r="AI72" s="24"/>
    </row>
    <row r="73" spans="2:35" ht="42.75" x14ac:dyDescent="0.25">
      <c r="B73" s="232" t="s">
        <v>2130</v>
      </c>
      <c r="C73" s="202" t="s">
        <v>22</v>
      </c>
      <c r="D73" s="2512">
        <f>'Д 7_РП'!G39</f>
        <v>2184.1155828676801</v>
      </c>
      <c r="E73" s="233">
        <f>D73/D64*E64</f>
        <v>639.17921494475229</v>
      </c>
      <c r="F73" s="2084">
        <f>D73/D64*F64</f>
        <v>1544.936367922928</v>
      </c>
      <c r="G73" s="24">
        <f>AG73</f>
        <v>1.5265</v>
      </c>
      <c r="H73" s="24">
        <f t="shared" ref="H73:I77" si="12">AH73</f>
        <v>269.8420891810141</v>
      </c>
      <c r="I73" s="24">
        <f t="shared" si="12"/>
        <v>1914.2734936866659</v>
      </c>
      <c r="J73" s="211">
        <f>'Д 7_РП'!G63</f>
        <v>269.8420891810141</v>
      </c>
      <c r="K73" s="216">
        <f>'Д 7_РП'!G55</f>
        <v>0</v>
      </c>
      <c r="L73" s="3">
        <f>G73/H73*J73</f>
        <v>1.5265</v>
      </c>
      <c r="M73" s="3">
        <f>G73/H73*K73</f>
        <v>0</v>
      </c>
      <c r="N73" s="3">
        <v>188.67239333826899</v>
      </c>
      <c r="AG73" s="3">
        <f>E114</f>
        <v>1.5265</v>
      </c>
      <c r="AH73" s="216">
        <f>'Д 7_РП'!G55+'Д 7_РП'!G63</f>
        <v>269.8420891810141</v>
      </c>
      <c r="AI73" s="216">
        <f>D73-AH73</f>
        <v>1914.2734936866659</v>
      </c>
    </row>
    <row r="74" spans="2:35" x14ac:dyDescent="0.25">
      <c r="B74" s="213" t="s">
        <v>3</v>
      </c>
      <c r="C74" s="203" t="s">
        <v>22</v>
      </c>
      <c r="D74" s="2067">
        <f>'Д 7_РП'!D223</f>
        <v>0</v>
      </c>
      <c r="E74" s="209">
        <f>E$73/E$64*E65</f>
        <v>0</v>
      </c>
      <c r="F74" s="209">
        <f>F$73/F$64*F65</f>
        <v>0</v>
      </c>
      <c r="H74" s="24">
        <f t="shared" si="12"/>
        <v>0</v>
      </c>
      <c r="I74" s="24">
        <f t="shared" si="12"/>
        <v>0</v>
      </c>
      <c r="J74" s="24">
        <f>J$73*F69</f>
        <v>0</v>
      </c>
      <c r="K74" s="24">
        <f>K$73*E69</f>
        <v>0</v>
      </c>
      <c r="N74" s="3">
        <v>153.36333836218</v>
      </c>
      <c r="AH74" s="1092">
        <f>$AH$73*D69</f>
        <v>0</v>
      </c>
      <c r="AI74" s="211">
        <f>$AI$73*D69</f>
        <v>0</v>
      </c>
    </row>
    <row r="75" spans="2:35" x14ac:dyDescent="0.25">
      <c r="B75" s="213" t="s">
        <v>170</v>
      </c>
      <c r="C75" s="203" t="s">
        <v>22</v>
      </c>
      <c r="D75" s="2067">
        <f t="shared" ref="D75" si="13">D$73/D$64*D66</f>
        <v>0</v>
      </c>
      <c r="E75" s="209">
        <f t="shared" ref="E75:F77" si="14">E$73/E$64*E66</f>
        <v>0</v>
      </c>
      <c r="F75" s="209">
        <f t="shared" si="14"/>
        <v>0</v>
      </c>
      <c r="H75" s="24">
        <f t="shared" si="12"/>
        <v>0</v>
      </c>
      <c r="I75" s="24">
        <f t="shared" si="12"/>
        <v>0</v>
      </c>
      <c r="J75" s="24">
        <f t="shared" ref="J75:J77" si="15">J$73*F70</f>
        <v>0</v>
      </c>
      <c r="K75" s="24">
        <f t="shared" ref="K75:K77" si="16">K$73*E70</f>
        <v>0</v>
      </c>
      <c r="N75" s="3">
        <v>2.4826971101601099E-2</v>
      </c>
      <c r="AH75" s="1092">
        <f>$AH$73*D70</f>
        <v>0</v>
      </c>
      <c r="AI75" s="211">
        <f>$AI$73*D70</f>
        <v>0</v>
      </c>
    </row>
    <row r="76" spans="2:35" x14ac:dyDescent="0.25">
      <c r="B76" s="213" t="s">
        <v>754</v>
      </c>
      <c r="C76" s="203" t="s">
        <v>22</v>
      </c>
      <c r="D76" s="2067">
        <f>D73/D64*D67</f>
        <v>0</v>
      </c>
      <c r="E76" s="209">
        <f t="shared" si="14"/>
        <v>0</v>
      </c>
      <c r="F76" s="209">
        <f t="shared" si="14"/>
        <v>0</v>
      </c>
      <c r="H76" s="24">
        <f t="shared" si="12"/>
        <v>0</v>
      </c>
      <c r="I76" s="24">
        <f t="shared" si="12"/>
        <v>0</v>
      </c>
      <c r="J76" s="24">
        <f>J$73*F71</f>
        <v>0</v>
      </c>
      <c r="K76" s="24">
        <f t="shared" si="16"/>
        <v>0</v>
      </c>
      <c r="N76" s="3">
        <v>19.748899953146399</v>
      </c>
      <c r="AH76" s="1092">
        <f>$AH$73*D71</f>
        <v>0</v>
      </c>
      <c r="AI76" s="211">
        <f>$AI$73*D71</f>
        <v>0</v>
      </c>
    </row>
    <row r="77" spans="2:35" ht="15.75" thickBot="1" x14ac:dyDescent="0.3">
      <c r="B77" s="228" t="s">
        <v>163</v>
      </c>
      <c r="C77" s="204" t="s">
        <v>22</v>
      </c>
      <c r="D77" s="2067">
        <f>D73/D64*D68</f>
        <v>2184.1155828676801</v>
      </c>
      <c r="E77" s="209">
        <f t="shared" si="14"/>
        <v>639.17921494475229</v>
      </c>
      <c r="F77" s="209">
        <f t="shared" si="14"/>
        <v>1544.936367922928</v>
      </c>
      <c r="H77" s="24">
        <f t="shared" si="12"/>
        <v>269.8420891810141</v>
      </c>
      <c r="I77" s="24">
        <f t="shared" si="12"/>
        <v>1914.2734936866659</v>
      </c>
      <c r="J77" s="24">
        <f t="shared" si="15"/>
        <v>269.8420891810141</v>
      </c>
      <c r="K77" s="24">
        <f t="shared" si="16"/>
        <v>0</v>
      </c>
      <c r="N77" s="3">
        <v>15.535328051841301</v>
      </c>
      <c r="AH77" s="1092">
        <f>$AH$73*D72</f>
        <v>269.8420891810141</v>
      </c>
      <c r="AI77" s="211">
        <f>$AI$73*D72</f>
        <v>1914.2734936866659</v>
      </c>
    </row>
    <row r="78" spans="2:35" ht="42.75" hidden="1" x14ac:dyDescent="0.25">
      <c r="B78" s="1175" t="s">
        <v>832</v>
      </c>
      <c r="C78" s="203" t="s">
        <v>829</v>
      </c>
      <c r="D78" s="2067">
        <f>'Д 7_РП'!D227</f>
        <v>0</v>
      </c>
      <c r="E78" s="3"/>
    </row>
    <row r="79" spans="2:35" hidden="1" x14ac:dyDescent="0.25">
      <c r="B79" s="213" t="s">
        <v>3</v>
      </c>
      <c r="C79" s="203" t="s">
        <v>829</v>
      </c>
      <c r="D79" s="2067">
        <f>'Д 7_РП'!D228</f>
        <v>0</v>
      </c>
      <c r="E79" s="3"/>
    </row>
    <row r="80" spans="2:35" hidden="1" x14ac:dyDescent="0.25">
      <c r="B80" s="213" t="s">
        <v>170</v>
      </c>
      <c r="C80" s="203" t="s">
        <v>829</v>
      </c>
      <c r="D80" s="2067">
        <f>'Д 7_РП'!D229</f>
        <v>0</v>
      </c>
      <c r="E80" s="3"/>
    </row>
    <row r="81" spans="2:9" hidden="1" x14ac:dyDescent="0.25">
      <c r="B81" s="213" t="s">
        <v>754</v>
      </c>
      <c r="C81" s="203" t="s">
        <v>829</v>
      </c>
      <c r="D81" s="2067">
        <f>'Д 7_РП'!D230</f>
        <v>0</v>
      </c>
      <c r="E81" s="3"/>
    </row>
    <row r="82" spans="2:9" ht="15.75" hidden="1" thickBot="1" x14ac:dyDescent="0.3">
      <c r="B82" s="228" t="s">
        <v>163</v>
      </c>
      <c r="C82" s="204" t="s">
        <v>829</v>
      </c>
      <c r="D82" s="2067">
        <f>'Д 7_РП'!D231</f>
        <v>0</v>
      </c>
      <c r="E82" s="3"/>
    </row>
    <row r="83" spans="2:9" ht="28.5" hidden="1" x14ac:dyDescent="0.25">
      <c r="B83" s="232" t="s">
        <v>833</v>
      </c>
      <c r="C83" s="202" t="s">
        <v>829</v>
      </c>
      <c r="D83" s="2067">
        <f>'Д 7_РП'!D232</f>
        <v>0</v>
      </c>
      <c r="E83" s="3"/>
      <c r="F83" s="3"/>
      <c r="G83" s="3"/>
      <c r="H83" s="3"/>
      <c r="I83" s="3"/>
    </row>
    <row r="84" spans="2:9" hidden="1" x14ac:dyDescent="0.25">
      <c r="B84" s="213" t="s">
        <v>3</v>
      </c>
      <c r="C84" s="203" t="s">
        <v>829</v>
      </c>
      <c r="D84" s="2067">
        <f>'Д 7_РП'!D233</f>
        <v>0</v>
      </c>
      <c r="E84" s="3"/>
    </row>
    <row r="85" spans="2:9" hidden="1" x14ac:dyDescent="0.25">
      <c r="B85" s="213" t="s">
        <v>170</v>
      </c>
      <c r="C85" s="203" t="s">
        <v>829</v>
      </c>
      <c r="D85" s="2067">
        <f>'Д 7_РП'!D234</f>
        <v>0</v>
      </c>
      <c r="E85" s="3"/>
    </row>
    <row r="86" spans="2:9" hidden="1" x14ac:dyDescent="0.25">
      <c r="B86" s="213" t="s">
        <v>754</v>
      </c>
      <c r="C86" s="203" t="s">
        <v>829</v>
      </c>
      <c r="D86" s="2067">
        <f>'Д 7_РП'!D235</f>
        <v>0</v>
      </c>
      <c r="E86" s="3"/>
    </row>
    <row r="87" spans="2:9" ht="15.75" hidden="1" thickBot="1" x14ac:dyDescent="0.3">
      <c r="B87" s="228" t="s">
        <v>163</v>
      </c>
      <c r="C87" s="204" t="s">
        <v>829</v>
      </c>
      <c r="D87" s="2067">
        <f>'Д 7_РП'!D236</f>
        <v>0</v>
      </c>
      <c r="E87" s="3"/>
    </row>
    <row r="88" spans="2:9" x14ac:dyDescent="0.25">
      <c r="B88" s="229"/>
      <c r="C88" s="211"/>
      <c r="E88" s="3"/>
    </row>
    <row r="89" spans="2:9" x14ac:dyDescent="0.25">
      <c r="D89" s="211">
        <f>D64+D73</f>
        <v>6675.9097458333326</v>
      </c>
      <c r="E89" s="211"/>
      <c r="F89" s="211"/>
      <c r="G89" s="24">
        <v>153.32824873022301</v>
      </c>
    </row>
    <row r="90" spans="2:9" x14ac:dyDescent="0.25">
      <c r="G90" s="24">
        <v>2.4859221599508301E-2</v>
      </c>
    </row>
    <row r="91" spans="2:9" x14ac:dyDescent="0.25">
      <c r="G91" s="24">
        <v>19.781090170412799</v>
      </c>
    </row>
    <row r="92" spans="2:9" x14ac:dyDescent="0.25">
      <c r="G92" s="24">
        <v>15.538195216033399</v>
      </c>
    </row>
    <row r="93" spans="2:9" x14ac:dyDescent="0.25">
      <c r="D93" s="24" t="s">
        <v>835</v>
      </c>
    </row>
    <row r="95" spans="2:9" ht="15" customHeight="1" x14ac:dyDescent="0.25">
      <c r="B95" s="201" t="s">
        <v>820</v>
      </c>
      <c r="C95" s="215">
        <f>'Вхідні дані'!F7</f>
        <v>2022</v>
      </c>
      <c r="D95" s="201" t="s">
        <v>462</v>
      </c>
    </row>
    <row r="96" spans="2:9" ht="15.75" thickBot="1" x14ac:dyDescent="0.3">
      <c r="B96" s="3"/>
      <c r="C96" s="3"/>
      <c r="D96" s="3"/>
    </row>
    <row r="97" spans="2:15" ht="30.75" thickBot="1" x14ac:dyDescent="0.3">
      <c r="B97" s="205" t="s">
        <v>8</v>
      </c>
      <c r="C97" s="206" t="s">
        <v>828</v>
      </c>
      <c r="D97" s="206" t="s">
        <v>3374</v>
      </c>
    </row>
    <row r="98" spans="2:15" ht="30" x14ac:dyDescent="0.25">
      <c r="B98" s="220" t="s">
        <v>3372</v>
      </c>
      <c r="C98" s="230"/>
      <c r="D98" s="234">
        <v>1372431</v>
      </c>
    </row>
    <row r="99" spans="2:15" ht="30" x14ac:dyDescent="0.25">
      <c r="B99" s="221" t="s">
        <v>3373</v>
      </c>
      <c r="C99" s="207"/>
      <c r="D99" s="214">
        <v>426256</v>
      </c>
      <c r="F99" s="24">
        <f>O110*D73</f>
        <v>0</v>
      </c>
    </row>
    <row r="100" spans="2:15" x14ac:dyDescent="0.25">
      <c r="B100" s="221" t="s">
        <v>821</v>
      </c>
      <c r="C100" s="231"/>
      <c r="D100" s="223">
        <f>D98/D99</f>
        <v>3.2197341503697308</v>
      </c>
    </row>
    <row r="101" spans="2:15" ht="30" x14ac:dyDescent="0.25">
      <c r="B101" s="221" t="s">
        <v>830</v>
      </c>
      <c r="C101" s="207"/>
      <c r="D101" s="207">
        <v>1.171</v>
      </c>
    </row>
    <row r="102" spans="2:15" ht="36" customHeight="1" thickBot="1" x14ac:dyDescent="0.3">
      <c r="B102" s="222" t="s">
        <v>831</v>
      </c>
      <c r="C102" s="208"/>
      <c r="D102" s="225">
        <f>D101*7000</f>
        <v>8197</v>
      </c>
    </row>
    <row r="106" spans="2:15" x14ac:dyDescent="0.25">
      <c r="B106" s="237"/>
      <c r="C106" s="237"/>
      <c r="D106" s="237"/>
    </row>
    <row r="108" spans="2:15" ht="15.75" thickBot="1" x14ac:dyDescent="0.3">
      <c r="B108" s="24" t="s">
        <v>2730</v>
      </c>
      <c r="F108" s="24" t="s">
        <v>2241</v>
      </c>
      <c r="G108" s="24" t="s">
        <v>2242</v>
      </c>
      <c r="H108" s="2079" t="s">
        <v>2736</v>
      </c>
      <c r="I108" s="2079" t="s">
        <v>2120</v>
      </c>
      <c r="M108" s="2058" t="s">
        <v>2735</v>
      </c>
      <c r="N108" s="2058" t="s">
        <v>4</v>
      </c>
      <c r="O108" s="2082" t="s">
        <v>2742</v>
      </c>
    </row>
    <row r="109" spans="2:15" x14ac:dyDescent="0.25">
      <c r="B109" s="1204" t="s">
        <v>137</v>
      </c>
      <c r="C109" s="211">
        <f>C10</f>
        <v>6675.9097458333326</v>
      </c>
      <c r="D109" s="211">
        <f>C109-E73</f>
        <v>6036.7305308885807</v>
      </c>
      <c r="E109" s="24">
        <f>'Д 7_РП'!G95-E114</f>
        <v>4.5153999999999996</v>
      </c>
      <c r="F109" s="24">
        <f>SUM(F110:F113)</f>
        <v>0</v>
      </c>
      <c r="G109" s="24">
        <f>SUM(G110:G113)</f>
        <v>3.29</v>
      </c>
      <c r="H109" s="2080">
        <f>SUM(H110:H113)</f>
        <v>1</v>
      </c>
      <c r="I109" s="2081">
        <f>SUM(I110:I113)</f>
        <v>1</v>
      </c>
      <c r="J109" s="2069">
        <f>G73</f>
        <v>1.5265</v>
      </c>
      <c r="K109" s="2070">
        <f>L73</f>
        <v>1.5265</v>
      </c>
      <c r="L109" s="2070">
        <f>M73</f>
        <v>0</v>
      </c>
      <c r="M109" s="3">
        <f>E109+J109</f>
        <v>6.0419</v>
      </c>
      <c r="N109" s="2068">
        <f>SUM(N110:N113)</f>
        <v>0.74729999999999996</v>
      </c>
      <c r="O109" s="2083">
        <f>H109-I109</f>
        <v>0</v>
      </c>
    </row>
    <row r="110" spans="2:15" x14ac:dyDescent="0.25">
      <c r="B110" s="243" t="s">
        <v>3</v>
      </c>
      <c r="C110" s="211">
        <f>C11</f>
        <v>0</v>
      </c>
      <c r="D110" s="211">
        <f t="shared" ref="D110:D113" si="17">C110-E74</f>
        <v>0</v>
      </c>
      <c r="E110" s="24">
        <f>'Д 7_РП'!G96</f>
        <v>0</v>
      </c>
      <c r="F110" s="24">
        <f>'Д 7_РП'!G97</f>
        <v>0</v>
      </c>
      <c r="G110" s="24">
        <f>'Д 7_РП'!G100</f>
        <v>0</v>
      </c>
      <c r="H110" s="2080">
        <f>ROUND(E110/E$109,7)</f>
        <v>0</v>
      </c>
      <c r="I110" s="2081">
        <f>I69</f>
        <v>0</v>
      </c>
      <c r="J110" s="2069">
        <f>K110+L110</f>
        <v>0</v>
      </c>
      <c r="K110" s="2070">
        <v>0</v>
      </c>
      <c r="L110" s="2070">
        <f>L$109/G$109*G110</f>
        <v>0</v>
      </c>
      <c r="M110" s="3">
        <f t="shared" ref="M110:M113" si="18">E110+J110</f>
        <v>0</v>
      </c>
      <c r="N110" s="2068">
        <f>ROUND(M110/M$109,4)</f>
        <v>0</v>
      </c>
      <c r="O110" s="2083">
        <f t="shared" ref="O110:O113" si="19">H110-I110</f>
        <v>0</v>
      </c>
    </row>
    <row r="111" spans="2:15" x14ac:dyDescent="0.25">
      <c r="B111" s="243" t="s">
        <v>174</v>
      </c>
      <c r="C111" s="211">
        <f>C12</f>
        <v>0</v>
      </c>
      <c r="D111" s="211">
        <f t="shared" si="17"/>
        <v>0</v>
      </c>
      <c r="E111" s="24">
        <f>'Д 7_РП'!G103</f>
        <v>0</v>
      </c>
      <c r="F111" s="24">
        <f>'Д 7_РП'!G104</f>
        <v>0</v>
      </c>
      <c r="G111" s="24">
        <f>'Д 7_РП'!G105</f>
        <v>0</v>
      </c>
      <c r="H111" s="2080">
        <f>ROUND(E111/E$109,7)</f>
        <v>0</v>
      </c>
      <c r="I111" s="2081">
        <f t="shared" ref="I111:I113" si="20">I70</f>
        <v>0</v>
      </c>
      <c r="J111" s="2069">
        <f t="shared" ref="J111:J113" si="21">K111+L111</f>
        <v>0</v>
      </c>
      <c r="K111" s="2070">
        <v>0</v>
      </c>
      <c r="L111" s="2070">
        <f t="shared" ref="L111:L113" si="22">L$109/G$109*G111</f>
        <v>0</v>
      </c>
      <c r="M111" s="3">
        <f t="shared" si="18"/>
        <v>0</v>
      </c>
      <c r="N111" s="2068">
        <f>ROUND(M111/M$109,4)</f>
        <v>0</v>
      </c>
      <c r="O111" s="2083">
        <f t="shared" si="19"/>
        <v>0</v>
      </c>
    </row>
    <row r="112" spans="2:15" x14ac:dyDescent="0.25">
      <c r="B112" s="243" t="s">
        <v>98</v>
      </c>
      <c r="C112" s="211">
        <f>C13</f>
        <v>0</v>
      </c>
      <c r="D112" s="211">
        <f t="shared" si="17"/>
        <v>0</v>
      </c>
      <c r="E112" s="24">
        <f>'Д 7_РП'!G106</f>
        <v>0</v>
      </c>
      <c r="F112" s="24">
        <f>'Д 7_РП'!G107</f>
        <v>0</v>
      </c>
      <c r="G112" s="24">
        <f>'Д 7_РП'!G108</f>
        <v>0</v>
      </c>
      <c r="H112" s="2080">
        <f>ROUND(E112/E$109,5)</f>
        <v>0</v>
      </c>
      <c r="I112" s="2081">
        <f t="shared" si="20"/>
        <v>0</v>
      </c>
      <c r="J112" s="2069">
        <f t="shared" si="21"/>
        <v>0</v>
      </c>
      <c r="K112" s="2070">
        <v>0</v>
      </c>
      <c r="L112" s="2070">
        <f t="shared" si="22"/>
        <v>0</v>
      </c>
      <c r="M112" s="3">
        <f t="shared" si="18"/>
        <v>0</v>
      </c>
      <c r="N112" s="2068">
        <f>ROUND(M112/M$109,4)</f>
        <v>0</v>
      </c>
      <c r="O112" s="2083">
        <f t="shared" si="19"/>
        <v>0</v>
      </c>
    </row>
    <row r="113" spans="2:15" ht="15.75" thickBot="1" x14ac:dyDescent="0.3">
      <c r="B113" s="1205" t="s">
        <v>99</v>
      </c>
      <c r="C113" s="211">
        <f>C14</f>
        <v>6675.9097458333326</v>
      </c>
      <c r="D113" s="211">
        <f t="shared" si="17"/>
        <v>6036.7305308885807</v>
      </c>
      <c r="E113" s="24">
        <f>'Д 7_РП'!G109</f>
        <v>4.5153999999999996</v>
      </c>
      <c r="F113" s="24">
        <f>'Д 7_РП'!G113</f>
        <v>0</v>
      </c>
      <c r="G113" s="24">
        <f>'Д 7_РП'!G111</f>
        <v>3.29</v>
      </c>
      <c r="H113" s="2080">
        <f>ROUND(E113/E$109,7)</f>
        <v>1</v>
      </c>
      <c r="I113" s="2081">
        <f t="shared" si="20"/>
        <v>1</v>
      </c>
      <c r="J113" s="2069">
        <f t="shared" si="21"/>
        <v>0</v>
      </c>
      <c r="K113" s="2070">
        <v>0</v>
      </c>
      <c r="L113" s="2070">
        <f t="shared" si="22"/>
        <v>0</v>
      </c>
      <c r="M113" s="3">
        <f t="shared" si="18"/>
        <v>4.5153999999999996</v>
      </c>
      <c r="N113" s="2068">
        <f>ROUND(M113/M$109,4)</f>
        <v>0.74729999999999996</v>
      </c>
      <c r="O113" s="2083">
        <f t="shared" si="19"/>
        <v>0</v>
      </c>
    </row>
    <row r="114" spans="2:15" x14ac:dyDescent="0.25">
      <c r="E114" s="24">
        <f>'Д 7_РП'!G112</f>
        <v>1.5265</v>
      </c>
    </row>
    <row r="118" spans="2:15" x14ac:dyDescent="0.25">
      <c r="B118" s="2214" t="s">
        <v>2884</v>
      </c>
      <c r="C118" s="2215">
        <f>SUM(C119:C122)</f>
        <v>12363.514519188533</v>
      </c>
      <c r="D118" s="2216">
        <f>SUM(D119:D122)</f>
        <v>1</v>
      </c>
    </row>
    <row r="119" spans="2:15" x14ac:dyDescent="0.25">
      <c r="B119" s="2214" t="str">
        <f>B9</f>
        <v>Постачання природного газу</v>
      </c>
      <c r="C119" s="2215">
        <f>I10</f>
        <v>10876.769957878316</v>
      </c>
      <c r="D119" s="2216">
        <f>C119/C118</f>
        <v>0.87974741656163002</v>
      </c>
    </row>
    <row r="120" spans="2:15" x14ac:dyDescent="0.25">
      <c r="B120" s="2214" t="str">
        <f>B15</f>
        <v>Транспортування природного газу</v>
      </c>
      <c r="C120" s="2215">
        <f>I16</f>
        <v>49.758825604933058</v>
      </c>
      <c r="D120" s="2216">
        <f>C120/C118</f>
        <v>4.0246505577120418E-3</v>
      </c>
    </row>
    <row r="121" spans="2:15" x14ac:dyDescent="0.25">
      <c r="B121" s="2214" t="str">
        <f>B21</f>
        <v>Розподіл природного газу</v>
      </c>
      <c r="C121" s="2215">
        <f>I22</f>
        <v>397.1088000393691</v>
      </c>
      <c r="D121" s="2216">
        <f>C121/C118</f>
        <v>3.2119410659731479E-2</v>
      </c>
    </row>
    <row r="122" spans="2:15" x14ac:dyDescent="0.25">
      <c r="B122" s="2214" t="s">
        <v>2223</v>
      </c>
      <c r="C122" s="2215">
        <f>'Д 9_ЕЕ'!D208</f>
        <v>1039.8769356659159</v>
      </c>
      <c r="D122" s="2216">
        <f>C122/C118</f>
        <v>8.4108522220926477E-2</v>
      </c>
    </row>
    <row r="135" spans="2:10" x14ac:dyDescent="0.25">
      <c r="B135" s="3839" t="s">
        <v>2888</v>
      </c>
      <c r="C135" s="3839"/>
      <c r="D135" s="3839"/>
      <c r="E135" s="3839"/>
      <c r="F135" s="3839"/>
    </row>
    <row r="136" spans="2:10" ht="15.75" thickBot="1" x14ac:dyDescent="0.3">
      <c r="E136" s="2218" t="s">
        <v>996</v>
      </c>
    </row>
    <row r="137" spans="2:10" ht="64.5" thickBot="1" x14ac:dyDescent="0.3">
      <c r="B137" s="1203" t="s">
        <v>129</v>
      </c>
      <c r="C137" s="191" t="s">
        <v>130</v>
      </c>
      <c r="D137" s="191" t="s">
        <v>133</v>
      </c>
      <c r="E137" s="191" t="s">
        <v>2890</v>
      </c>
      <c r="F137" s="191" t="s">
        <v>135</v>
      </c>
      <c r="G137" s="3"/>
      <c r="H137" s="3"/>
      <c r="I137" s="3"/>
      <c r="J137" s="3"/>
    </row>
    <row r="138" spans="2:10" ht="15.75" thickBot="1" x14ac:dyDescent="0.3">
      <c r="B138" s="3841" t="s">
        <v>823</v>
      </c>
      <c r="C138" s="3842"/>
      <c r="D138" s="3842"/>
      <c r="E138" s="3842"/>
      <c r="F138" s="3843"/>
      <c r="G138" s="3509"/>
      <c r="H138" s="3509"/>
      <c r="I138" s="3509"/>
      <c r="J138" s="3509"/>
    </row>
    <row r="139" spans="2:10" x14ac:dyDescent="0.25">
      <c r="B139" s="3510" t="s">
        <v>137</v>
      </c>
      <c r="C139" s="3511">
        <f>C10</f>
        <v>6675.9097458333326</v>
      </c>
      <c r="D139" s="3511">
        <f>G10</f>
        <v>364.32000003611842</v>
      </c>
      <c r="E139" s="3511">
        <f>'Вхідні дані'!$D$23</f>
        <v>0</v>
      </c>
      <c r="F139" s="3511">
        <f>I10</f>
        <v>10876.769957878316</v>
      </c>
      <c r="G139" s="3"/>
      <c r="H139" s="3"/>
      <c r="I139" s="3"/>
      <c r="J139" s="3"/>
    </row>
    <row r="140" spans="2:10" x14ac:dyDescent="0.25">
      <c r="B140" s="2221" t="s">
        <v>2885</v>
      </c>
      <c r="C140" s="2517">
        <f>C11</f>
        <v>0</v>
      </c>
      <c r="D140" s="2517">
        <f>G11</f>
        <v>0</v>
      </c>
      <c r="E140" s="2517">
        <v>0</v>
      </c>
      <c r="F140" s="2517">
        <f>I11</f>
        <v>0</v>
      </c>
      <c r="G140" s="3"/>
      <c r="H140" s="3"/>
      <c r="I140" s="3"/>
      <c r="J140" s="3"/>
    </row>
    <row r="141" spans="2:10" x14ac:dyDescent="0.25">
      <c r="B141" s="2222" t="s">
        <v>2886</v>
      </c>
      <c r="C141" s="2518"/>
      <c r="D141" s="2518">
        <v>0</v>
      </c>
      <c r="E141" s="2518">
        <f>E140</f>
        <v>0</v>
      </c>
      <c r="F141" s="2519">
        <f>D141*E141/1000</f>
        <v>0</v>
      </c>
      <c r="G141" s="3"/>
      <c r="H141" s="3"/>
      <c r="I141" s="3"/>
      <c r="J141" s="3"/>
    </row>
    <row r="142" spans="2:10" x14ac:dyDescent="0.25">
      <c r="B142" s="2222" t="s">
        <v>2887</v>
      </c>
      <c r="C142" s="2518"/>
      <c r="D142" s="2518">
        <f>L6</f>
        <v>0</v>
      </c>
      <c r="E142" s="2518">
        <v>0</v>
      </c>
      <c r="F142" s="2519">
        <f>D142*E142/1000</f>
        <v>0</v>
      </c>
      <c r="G142" s="3"/>
      <c r="H142" s="3"/>
      <c r="I142" s="3"/>
      <c r="J142" s="3"/>
    </row>
    <row r="143" spans="2:10" x14ac:dyDescent="0.25">
      <c r="B143" s="2221" t="s">
        <v>174</v>
      </c>
      <c r="C143" s="2517">
        <f>C12</f>
        <v>0</v>
      </c>
      <c r="D143" s="2517">
        <f>G12</f>
        <v>0</v>
      </c>
      <c r="E143" s="2517">
        <v>0</v>
      </c>
      <c r="F143" s="2517">
        <f t="shared" ref="F143:F145" si="23">D143*E143/1000</f>
        <v>0</v>
      </c>
      <c r="G143" s="3"/>
      <c r="H143" s="3"/>
      <c r="I143" s="3"/>
      <c r="J143" s="3"/>
    </row>
    <row r="144" spans="2:10" x14ac:dyDescent="0.25">
      <c r="B144" s="2221" t="s">
        <v>98</v>
      </c>
      <c r="C144" s="2517">
        <f t="shared" ref="C144:C157" si="24">C13</f>
        <v>0</v>
      </c>
      <c r="D144" s="2517">
        <f t="shared" ref="D144:D145" si="25">G13</f>
        <v>0</v>
      </c>
      <c r="E144" s="2517">
        <f>'Вхідні дані'!$D$24</f>
        <v>29854.99</v>
      </c>
      <c r="F144" s="2517">
        <f>D144*E144/1000</f>
        <v>0</v>
      </c>
      <c r="G144" s="3"/>
      <c r="H144" s="3"/>
      <c r="I144" s="3"/>
      <c r="J144" s="3"/>
    </row>
    <row r="145" spans="2:10" x14ac:dyDescent="0.25">
      <c r="B145" s="2221" t="s">
        <v>99</v>
      </c>
      <c r="C145" s="2517">
        <f t="shared" si="24"/>
        <v>6675.9097458333326</v>
      </c>
      <c r="D145" s="2517">
        <f t="shared" si="25"/>
        <v>364.32000003611842</v>
      </c>
      <c r="E145" s="2517">
        <f>'Вхідні дані'!$D$24</f>
        <v>29854.99</v>
      </c>
      <c r="F145" s="2517">
        <f t="shared" si="23"/>
        <v>10876.769957878316</v>
      </c>
      <c r="G145" s="3"/>
      <c r="H145" s="3"/>
      <c r="I145" s="3"/>
      <c r="J145" s="3"/>
    </row>
    <row r="146" spans="2:10" x14ac:dyDescent="0.25">
      <c r="B146" s="3838" t="str">
        <f>B15</f>
        <v>Транспортування природного газу</v>
      </c>
      <c r="C146" s="3838"/>
      <c r="D146" s="3838"/>
      <c r="E146" s="3838"/>
      <c r="F146" s="3838"/>
    </row>
    <row r="147" spans="2:10" x14ac:dyDescent="0.25">
      <c r="B147" s="2221" t="s">
        <v>137</v>
      </c>
      <c r="C147" s="2517">
        <f t="shared" si="24"/>
        <v>6675.9097458333326</v>
      </c>
      <c r="D147" s="2517">
        <f t="shared" ref="D147:D151" si="26">G16</f>
        <v>364.32000003611842</v>
      </c>
      <c r="E147" s="2517">
        <f>H16</f>
        <v>136.58000000000001</v>
      </c>
      <c r="F147" s="2517">
        <f>I16</f>
        <v>49.758825604933058</v>
      </c>
    </row>
    <row r="148" spans="2:10" x14ac:dyDescent="0.25">
      <c r="B148" s="2221" t="s">
        <v>3</v>
      </c>
      <c r="C148" s="2517">
        <f t="shared" si="24"/>
        <v>0</v>
      </c>
      <c r="D148" s="2517">
        <f t="shared" si="26"/>
        <v>0</v>
      </c>
      <c r="E148" s="2517">
        <f t="shared" ref="E148:E151" si="27">H17</f>
        <v>0</v>
      </c>
      <c r="F148" s="2517">
        <f t="shared" ref="F148:F151" si="28">I17</f>
        <v>0</v>
      </c>
    </row>
    <row r="149" spans="2:10" x14ac:dyDescent="0.25">
      <c r="B149" s="2221" t="s">
        <v>174</v>
      </c>
      <c r="C149" s="2517">
        <f t="shared" si="24"/>
        <v>0</v>
      </c>
      <c r="D149" s="2517">
        <f t="shared" si="26"/>
        <v>0</v>
      </c>
      <c r="E149" s="2517">
        <f t="shared" si="27"/>
        <v>0</v>
      </c>
      <c r="F149" s="2517">
        <f t="shared" si="28"/>
        <v>0</v>
      </c>
    </row>
    <row r="150" spans="2:10" x14ac:dyDescent="0.25">
      <c r="B150" s="2221" t="s">
        <v>98</v>
      </c>
      <c r="C150" s="2517">
        <f t="shared" si="24"/>
        <v>0</v>
      </c>
      <c r="D150" s="2517">
        <f t="shared" si="26"/>
        <v>0</v>
      </c>
      <c r="E150" s="2517">
        <f t="shared" si="27"/>
        <v>0</v>
      </c>
      <c r="F150" s="2517">
        <f t="shared" si="28"/>
        <v>0</v>
      </c>
    </row>
    <row r="151" spans="2:10" x14ac:dyDescent="0.25">
      <c r="B151" s="2221" t="s">
        <v>99</v>
      </c>
      <c r="C151" s="2517">
        <f t="shared" si="24"/>
        <v>6675.9097458333326</v>
      </c>
      <c r="D151" s="2517">
        <f t="shared" si="26"/>
        <v>364.32000003611842</v>
      </c>
      <c r="E151" s="2517">
        <f t="shared" si="27"/>
        <v>136.58000000000001</v>
      </c>
      <c r="F151" s="2517">
        <f t="shared" si="28"/>
        <v>49.758825604933058</v>
      </c>
    </row>
    <row r="152" spans="2:10" x14ac:dyDescent="0.25">
      <c r="B152" s="3839" t="str">
        <f>B21</f>
        <v>Розподіл природного газу</v>
      </c>
      <c r="C152" s="3839"/>
      <c r="D152" s="3839"/>
      <c r="E152" s="3839"/>
      <c r="F152" s="3839"/>
    </row>
    <row r="153" spans="2:10" x14ac:dyDescent="0.25">
      <c r="B153" s="2221" t="s">
        <v>137</v>
      </c>
      <c r="C153" s="200" t="str">
        <f t="shared" si="24"/>
        <v>х</v>
      </c>
      <c r="D153" s="2517">
        <f t="shared" ref="D153:D157" si="29">G22</f>
        <v>364.32000003611842</v>
      </c>
      <c r="E153" s="2517">
        <f>H22</f>
        <v>1090</v>
      </c>
      <c r="F153" s="2517">
        <f>I22</f>
        <v>397.1088000393691</v>
      </c>
    </row>
    <row r="154" spans="2:10" x14ac:dyDescent="0.25">
      <c r="B154" s="2221" t="s">
        <v>3</v>
      </c>
      <c r="C154" s="200" t="str">
        <f t="shared" si="24"/>
        <v>х</v>
      </c>
      <c r="D154" s="2517">
        <f t="shared" si="29"/>
        <v>0</v>
      </c>
      <c r="E154" s="2517">
        <f t="shared" ref="E154:E157" si="30">H23</f>
        <v>0</v>
      </c>
      <c r="F154" s="2517">
        <f t="shared" ref="F154:F157" si="31">I23</f>
        <v>0</v>
      </c>
    </row>
    <row r="155" spans="2:10" x14ac:dyDescent="0.25">
      <c r="B155" s="2221" t="s">
        <v>174</v>
      </c>
      <c r="C155" s="200" t="str">
        <f t="shared" si="24"/>
        <v>х</v>
      </c>
      <c r="D155" s="2517">
        <f t="shared" si="29"/>
        <v>0</v>
      </c>
      <c r="E155" s="2517">
        <f t="shared" si="30"/>
        <v>0</v>
      </c>
      <c r="F155" s="2517">
        <f t="shared" si="31"/>
        <v>0</v>
      </c>
    </row>
    <row r="156" spans="2:10" x14ac:dyDescent="0.25">
      <c r="B156" s="2221" t="s">
        <v>98</v>
      </c>
      <c r="C156" s="200" t="str">
        <f t="shared" si="24"/>
        <v>х</v>
      </c>
      <c r="D156" s="2517">
        <f t="shared" si="29"/>
        <v>0</v>
      </c>
      <c r="E156" s="2517">
        <f t="shared" si="30"/>
        <v>0</v>
      </c>
      <c r="F156" s="2517">
        <f t="shared" si="31"/>
        <v>0</v>
      </c>
    </row>
    <row r="157" spans="2:10" x14ac:dyDescent="0.25">
      <c r="B157" s="2221" t="s">
        <v>99</v>
      </c>
      <c r="C157" s="200" t="str">
        <f t="shared" si="24"/>
        <v>х</v>
      </c>
      <c r="D157" s="2517">
        <f t="shared" si="29"/>
        <v>364.32000003611842</v>
      </c>
      <c r="E157" s="2517">
        <f t="shared" si="30"/>
        <v>1090</v>
      </c>
      <c r="F157" s="2517">
        <f t="shared" si="31"/>
        <v>397.1088000393691</v>
      </c>
    </row>
    <row r="158" spans="2:10" x14ac:dyDescent="0.25">
      <c r="B158" s="3839" t="s">
        <v>2889</v>
      </c>
      <c r="C158" s="3839"/>
      <c r="D158" s="3839"/>
      <c r="E158" s="3839"/>
      <c r="F158" s="3839"/>
    </row>
    <row r="159" spans="2:10" s="2219" customFormat="1" x14ac:dyDescent="0.25">
      <c r="B159" s="2220" t="s">
        <v>137</v>
      </c>
      <c r="C159" s="2520">
        <f>C27</f>
        <v>6675.9097458333326</v>
      </c>
      <c r="D159" s="2520" t="str">
        <f>G27</f>
        <v>х</v>
      </c>
      <c r="E159" s="2520" t="str">
        <f>H27</f>
        <v>х</v>
      </c>
      <c r="F159" s="2520">
        <f>I27</f>
        <v>11323.637583522617</v>
      </c>
      <c r="G159" s="2217"/>
      <c r="H159" s="2217"/>
      <c r="I159" s="2217"/>
      <c r="J159" s="2217"/>
    </row>
    <row r="160" spans="2:10" x14ac:dyDescent="0.25">
      <c r="B160" s="2221" t="s">
        <v>3</v>
      </c>
      <c r="C160" s="2520">
        <f t="shared" ref="C160:C163" si="32">C28</f>
        <v>0</v>
      </c>
      <c r="D160" s="2520" t="str">
        <f t="shared" ref="D160:D163" si="33">G28</f>
        <v>х</v>
      </c>
      <c r="E160" s="2520" t="str">
        <f t="shared" ref="E160:E163" si="34">H28</f>
        <v>х</v>
      </c>
      <c r="F160" s="2517">
        <f t="shared" ref="F160:F163" si="35">I28</f>
        <v>0</v>
      </c>
    </row>
    <row r="161" spans="2:6" x14ac:dyDescent="0.25">
      <c r="B161" s="2221" t="s">
        <v>174</v>
      </c>
      <c r="C161" s="2520">
        <f t="shared" si="32"/>
        <v>0</v>
      </c>
      <c r="D161" s="2520" t="str">
        <f t="shared" si="33"/>
        <v>х</v>
      </c>
      <c r="E161" s="2520" t="str">
        <f t="shared" si="34"/>
        <v>х</v>
      </c>
      <c r="F161" s="2517">
        <f t="shared" si="35"/>
        <v>0</v>
      </c>
    </row>
    <row r="162" spans="2:6" x14ac:dyDescent="0.25">
      <c r="B162" s="2221" t="s">
        <v>98</v>
      </c>
      <c r="C162" s="2520">
        <f t="shared" si="32"/>
        <v>0</v>
      </c>
      <c r="D162" s="2520" t="str">
        <f t="shared" si="33"/>
        <v>х</v>
      </c>
      <c r="E162" s="2520" t="str">
        <f t="shared" si="34"/>
        <v>х</v>
      </c>
      <c r="F162" s="2517">
        <f t="shared" si="35"/>
        <v>0</v>
      </c>
    </row>
    <row r="163" spans="2:6" x14ac:dyDescent="0.25">
      <c r="B163" s="2221" t="s">
        <v>99</v>
      </c>
      <c r="C163" s="2520">
        <f t="shared" si="32"/>
        <v>6675.9097458333326</v>
      </c>
      <c r="D163" s="2520" t="str">
        <f t="shared" si="33"/>
        <v>х</v>
      </c>
      <c r="E163" s="2520" t="str">
        <f t="shared" si="34"/>
        <v>х</v>
      </c>
      <c r="F163" s="2517">
        <f t="shared" si="35"/>
        <v>11323.637583522617</v>
      </c>
    </row>
  </sheetData>
  <mergeCells count="23">
    <mergeCell ref="G2:I2"/>
    <mergeCell ref="G62:H62"/>
    <mergeCell ref="G1:J1"/>
    <mergeCell ref="B4:J4"/>
    <mergeCell ref="B5:J5"/>
    <mergeCell ref="B7:J7"/>
    <mergeCell ref="B61:D61"/>
    <mergeCell ref="B9:J9"/>
    <mergeCell ref="B15:J15"/>
    <mergeCell ref="B21:J21"/>
    <mergeCell ref="E55:F55"/>
    <mergeCell ref="E56:F56"/>
    <mergeCell ref="B52:D52"/>
    <mergeCell ref="E52:G52"/>
    <mergeCell ref="H52:J52"/>
    <mergeCell ref="H55:J55"/>
    <mergeCell ref="B55:C55"/>
    <mergeCell ref="B146:F146"/>
    <mergeCell ref="B152:F152"/>
    <mergeCell ref="B158:F158"/>
    <mergeCell ref="H56:J56"/>
    <mergeCell ref="B135:F135"/>
    <mergeCell ref="B138:F138"/>
  </mergeCells>
  <printOptions horizontalCentered="1"/>
  <pageMargins left="0.43307086614173229" right="0.27559055118110237" top="0.78740157480314965" bottom="0" header="0.62992125984251968" footer="0.31496062992125984"/>
  <pageSetup paperSize="9" fitToHeight="0" orientation="landscape" r:id="rId1"/>
  <headerFooter differentFirst="1">
    <oddHeader>&amp;Rпродовження додатку 8</oddHead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pageSetUpPr fitToPage="1"/>
  </sheetPr>
  <dimension ref="A1:AE223"/>
  <sheetViews>
    <sheetView view="pageBreakPreview" topLeftCell="A91" zoomScale="118" zoomScaleNormal="118" zoomScaleSheetLayoutView="118" workbookViewId="0">
      <selection activeCell="E87" sqref="E87"/>
    </sheetView>
  </sheetViews>
  <sheetFormatPr defaultColWidth="9.140625" defaultRowHeight="18.75" x14ac:dyDescent="0.3"/>
  <cols>
    <col min="1" max="1" width="2.42578125" style="26" customWidth="1"/>
    <col min="2" max="2" width="31.28515625" style="26" customWidth="1"/>
    <col min="3" max="3" width="14.5703125" style="26" customWidth="1"/>
    <col min="4" max="4" width="13.7109375" style="26" customWidth="1"/>
    <col min="5" max="6" width="11" style="26" customWidth="1"/>
    <col min="7" max="7" width="10.5703125" style="26" customWidth="1"/>
    <col min="8" max="8" width="9.7109375" style="26" customWidth="1"/>
    <col min="9" max="9" width="9.5703125" style="26" customWidth="1"/>
    <col min="10" max="10" width="9.7109375" style="26" customWidth="1"/>
    <col min="11" max="11" width="10.140625" style="26" customWidth="1"/>
    <col min="12" max="12" width="10.7109375" style="26" customWidth="1"/>
    <col min="13" max="13" width="9.85546875" style="26" customWidth="1"/>
    <col min="14" max="14" width="9.28515625" style="26" customWidth="1"/>
    <col min="15" max="15" width="9.7109375" style="26" customWidth="1"/>
    <col min="16" max="16" width="10.7109375" style="26" customWidth="1"/>
    <col min="17" max="17" width="16.42578125" style="26" customWidth="1"/>
    <col min="18" max="18" width="16.140625" style="1511" customWidth="1"/>
    <col min="19" max="19" width="17.7109375" style="26" customWidth="1"/>
    <col min="20" max="20" width="12.85546875" style="1302" customWidth="1"/>
    <col min="21" max="16384" width="9.140625" style="26"/>
  </cols>
  <sheetData>
    <row r="1" spans="1:31" ht="42" customHeight="1" x14ac:dyDescent="0.3">
      <c r="A1" s="2471"/>
      <c r="B1" s="2471"/>
      <c r="C1" s="2471"/>
      <c r="D1" s="2471"/>
      <c r="E1" s="2471"/>
      <c r="F1" s="2471"/>
      <c r="G1" s="2471"/>
      <c r="H1" s="2471"/>
      <c r="I1" s="2471"/>
      <c r="J1" s="2471"/>
      <c r="K1" s="2471"/>
      <c r="L1" s="3761" t="s">
        <v>3414</v>
      </c>
      <c r="M1" s="3761"/>
      <c r="N1" s="3761"/>
      <c r="O1" s="3761"/>
      <c r="P1" s="3761"/>
      <c r="Q1" s="158" t="s">
        <v>644</v>
      </c>
    </row>
    <row r="2" spans="1:31" ht="19.5" customHeight="1" x14ac:dyDescent="0.3">
      <c r="A2" s="2471"/>
      <c r="B2" s="2471"/>
      <c r="C2" s="2471"/>
      <c r="D2" s="2471"/>
      <c r="E2" s="2471"/>
      <c r="F2" s="2471"/>
      <c r="G2" s="2471"/>
      <c r="H2" s="2471"/>
      <c r="I2" s="2471"/>
      <c r="J2" s="2471"/>
      <c r="K2" s="2471"/>
      <c r="L2" s="2471" t="str">
        <f>'Вхідні дані'!F1</f>
        <v>станом на 01.08.2023 року</v>
      </c>
      <c r="M2" s="2471"/>
      <c r="N2" s="2471"/>
      <c r="O2" s="2471"/>
      <c r="P2" s="2471"/>
      <c r="Q2" s="18"/>
    </row>
    <row r="3" spans="1:31" x14ac:dyDescent="0.3">
      <c r="A3" s="2471"/>
      <c r="B3" s="3875" t="s">
        <v>451</v>
      </c>
      <c r="C3" s="3875"/>
      <c r="D3" s="3875"/>
      <c r="E3" s="3875"/>
      <c r="F3" s="3875"/>
      <c r="G3" s="3875"/>
      <c r="H3" s="3875"/>
      <c r="I3" s="3875"/>
      <c r="J3" s="3875"/>
      <c r="K3" s="3759"/>
      <c r="L3" s="3759"/>
      <c r="M3" s="3759"/>
      <c r="N3" s="3759"/>
      <c r="O3" s="3759"/>
      <c r="P3" s="3759"/>
      <c r="Q3" s="158" t="s">
        <v>644</v>
      </c>
    </row>
    <row r="4" spans="1:31" x14ac:dyDescent="0.3">
      <c r="A4" s="2471"/>
      <c r="B4" s="3875" t="s">
        <v>283</v>
      </c>
      <c r="C4" s="3875"/>
      <c r="D4" s="3875"/>
      <c r="E4" s="3875"/>
      <c r="F4" s="3875"/>
      <c r="G4" s="3875"/>
      <c r="H4" s="3875"/>
      <c r="I4" s="3875"/>
      <c r="J4" s="3875"/>
      <c r="K4" s="3875"/>
      <c r="L4" s="3875"/>
      <c r="M4" s="3875"/>
      <c r="N4" s="3875"/>
      <c r="O4" s="3875"/>
      <c r="P4" s="3875"/>
    </row>
    <row r="5" spans="1:31" x14ac:dyDescent="0.3">
      <c r="A5" s="2471"/>
      <c r="B5" s="3876" t="s">
        <v>221</v>
      </c>
      <c r="C5" s="3877"/>
      <c r="D5" s="3877"/>
      <c r="E5" s="3877"/>
      <c r="F5" s="3877"/>
      <c r="G5" s="3877"/>
      <c r="H5" s="3877"/>
      <c r="I5" s="3877"/>
      <c r="J5" s="3877"/>
      <c r="K5" s="3877"/>
      <c r="L5" s="3877"/>
      <c r="M5" s="3877"/>
      <c r="N5" s="3877"/>
      <c r="O5" s="3877"/>
      <c r="P5" s="3877"/>
      <c r="Q5" s="158"/>
    </row>
    <row r="6" spans="1:31" x14ac:dyDescent="0.3">
      <c r="A6" s="2471"/>
      <c r="B6" s="3878" t="s">
        <v>111</v>
      </c>
      <c r="C6" s="3878" t="s">
        <v>35</v>
      </c>
      <c r="D6" s="2525" t="s">
        <v>139</v>
      </c>
      <c r="E6" s="3861" t="s">
        <v>19</v>
      </c>
      <c r="F6" s="3861" t="s">
        <v>20</v>
      </c>
      <c r="G6" s="3861" t="s">
        <v>21</v>
      </c>
      <c r="H6" s="3861" t="s">
        <v>10</v>
      </c>
      <c r="I6" s="3861" t="s">
        <v>11</v>
      </c>
      <c r="J6" s="3861" t="s">
        <v>12</v>
      </c>
      <c r="K6" s="3861" t="s">
        <v>13</v>
      </c>
      <c r="L6" s="3861" t="s">
        <v>140</v>
      </c>
      <c r="M6" s="3861" t="s">
        <v>15</v>
      </c>
      <c r="N6" s="3861" t="s">
        <v>16</v>
      </c>
      <c r="O6" s="3861" t="s">
        <v>17</v>
      </c>
      <c r="P6" s="3861" t="s">
        <v>18</v>
      </c>
      <c r="Q6" s="158" t="s">
        <v>762</v>
      </c>
    </row>
    <row r="7" spans="1:31" x14ac:dyDescent="0.3">
      <c r="A7" s="2471"/>
      <c r="B7" s="3879"/>
      <c r="C7" s="3879"/>
      <c r="D7" s="2525" t="str">
        <f>'Вхідні дані'!$F$6</f>
        <v>2023-2024</v>
      </c>
      <c r="E7" s="3862"/>
      <c r="F7" s="3862"/>
      <c r="G7" s="3862"/>
      <c r="H7" s="3862"/>
      <c r="I7" s="3862"/>
      <c r="J7" s="3862"/>
      <c r="K7" s="3862"/>
      <c r="L7" s="3862"/>
      <c r="M7" s="3862"/>
      <c r="N7" s="3862"/>
      <c r="O7" s="3862"/>
      <c r="P7" s="3862"/>
      <c r="Q7" s="158"/>
    </row>
    <row r="8" spans="1:31" x14ac:dyDescent="0.3">
      <c r="A8" s="2471"/>
      <c r="B8" s="2947">
        <v>1</v>
      </c>
      <c r="C8" s="2525">
        <v>2</v>
      </c>
      <c r="D8" s="2525">
        <v>3</v>
      </c>
      <c r="E8" s="2525">
        <v>4</v>
      </c>
      <c r="F8" s="2525">
        <v>5</v>
      </c>
      <c r="G8" s="2525">
        <v>6</v>
      </c>
      <c r="H8" s="2525">
        <v>7</v>
      </c>
      <c r="I8" s="2525">
        <v>8</v>
      </c>
      <c r="J8" s="2525">
        <v>9</v>
      </c>
      <c r="K8" s="2525">
        <v>10</v>
      </c>
      <c r="L8" s="2525">
        <v>11</v>
      </c>
      <c r="M8" s="2525">
        <v>12</v>
      </c>
      <c r="N8" s="2525">
        <v>13</v>
      </c>
      <c r="O8" s="2525">
        <v>14</v>
      </c>
      <c r="P8" s="2525">
        <v>15</v>
      </c>
    </row>
    <row r="9" spans="1:31" x14ac:dyDescent="0.3">
      <c r="A9" s="2471"/>
      <c r="B9" s="3866" t="s">
        <v>194</v>
      </c>
      <c r="C9" s="3867"/>
      <c r="D9" s="3867"/>
      <c r="E9" s="3867"/>
      <c r="F9" s="3867"/>
      <c r="G9" s="3867"/>
      <c r="H9" s="3867"/>
      <c r="I9" s="3867"/>
      <c r="J9" s="3867"/>
      <c r="K9" s="3867"/>
      <c r="L9" s="3867"/>
      <c r="M9" s="3867"/>
      <c r="N9" s="3867"/>
      <c r="O9" s="3867"/>
      <c r="P9" s="3868"/>
    </row>
    <row r="10" spans="1:31" ht="25.5" x14ac:dyDescent="0.3">
      <c r="A10" s="2471"/>
      <c r="B10" s="2528" t="s">
        <v>186</v>
      </c>
      <c r="C10" s="2525" t="s">
        <v>22</v>
      </c>
      <c r="D10" s="2948">
        <f>'Д 7_РП'!G24</f>
        <v>6675.9097458333326</v>
      </c>
      <c r="E10" s="2948">
        <f>'Д 7_РП'!H24</f>
        <v>155.73680000000002</v>
      </c>
      <c r="F10" s="2948">
        <f>'Д 7_РП'!I24</f>
        <v>883.52144999999985</v>
      </c>
      <c r="G10" s="2948">
        <f>'Д 7_РП'!J24</f>
        <v>1133.8259666666665</v>
      </c>
      <c r="H10" s="2948">
        <f>'Д 7_РП'!K24</f>
        <v>1467.7192999999997</v>
      </c>
      <c r="I10" s="2948">
        <f>'Д 7_РП'!L24</f>
        <v>1101.5650083333333</v>
      </c>
      <c r="J10" s="2948">
        <f>'Д 7_РП'!M24</f>
        <v>1014.9256208333331</v>
      </c>
      <c r="K10" s="2948">
        <f>'Д 7_РП'!N24</f>
        <v>166.72400000000002</v>
      </c>
      <c r="L10" s="2948">
        <f>'Д 7_РП'!O24</f>
        <v>151.3048</v>
      </c>
      <c r="M10" s="2948">
        <f>'Д 7_РП'!P24</f>
        <v>152.255</v>
      </c>
      <c r="N10" s="2948">
        <f>'Д 7_РП'!Q24</f>
        <v>152.33580000000001</v>
      </c>
      <c r="O10" s="2948">
        <f>'Д 7_РП'!R24</f>
        <v>149.10300000000001</v>
      </c>
      <c r="P10" s="2948">
        <f>'Д 7_РП'!S24</f>
        <v>146.893</v>
      </c>
      <c r="S10" s="3895" t="s">
        <v>19</v>
      </c>
      <c r="T10" s="3895" t="s">
        <v>20</v>
      </c>
      <c r="U10" s="3895" t="s">
        <v>21</v>
      </c>
      <c r="V10" s="3895" t="s">
        <v>10</v>
      </c>
      <c r="W10" s="3895" t="s">
        <v>11</v>
      </c>
      <c r="X10" s="3895" t="s">
        <v>12</v>
      </c>
      <c r="Y10" s="3895" t="s">
        <v>13</v>
      </c>
      <c r="Z10" s="3895" t="s">
        <v>140</v>
      </c>
      <c r="AA10" s="3895" t="s">
        <v>15</v>
      </c>
      <c r="AB10" s="3895" t="s">
        <v>16</v>
      </c>
      <c r="AC10" s="3895" t="s">
        <v>17</v>
      </c>
      <c r="AD10" s="3895" t="s">
        <v>18</v>
      </c>
    </row>
    <row r="11" spans="1:31" ht="38.25" x14ac:dyDescent="0.3">
      <c r="A11" s="2471"/>
      <c r="B11" s="2528" t="s">
        <v>141</v>
      </c>
      <c r="C11" s="2525" t="s">
        <v>78</v>
      </c>
      <c r="D11" s="2948">
        <f>D12/D10*1000</f>
        <v>5.3696951224323755</v>
      </c>
      <c r="E11" s="2948">
        <f>E12/E10*1000</f>
        <v>3.4712412223700495</v>
      </c>
      <c r="F11" s="2948">
        <f t="shared" ref="F11:P11" si="0">F12/F10*1000</f>
        <v>4.1108226631056901</v>
      </c>
      <c r="G11" s="2948">
        <f t="shared" si="0"/>
        <v>7.5538929710523774</v>
      </c>
      <c r="H11" s="2948">
        <f t="shared" si="0"/>
        <v>4.007850819976273</v>
      </c>
      <c r="I11" s="2948">
        <f t="shared" si="0"/>
        <v>4.5892888406548202</v>
      </c>
      <c r="J11" s="2948">
        <f t="shared" si="0"/>
        <v>5.8705779790127419</v>
      </c>
      <c r="K11" s="2948">
        <f t="shared" si="0"/>
        <v>13.383795974184881</v>
      </c>
      <c r="L11" s="2948">
        <f t="shared" si="0"/>
        <v>2.3198206534095416</v>
      </c>
      <c r="M11" s="2948">
        <f t="shared" si="0"/>
        <v>1.9519884404453058</v>
      </c>
      <c r="N11" s="2948">
        <f t="shared" si="0"/>
        <v>11.303974508946681</v>
      </c>
      <c r="O11" s="2948">
        <f t="shared" si="0"/>
        <v>7.3694023594428009</v>
      </c>
      <c r="P11" s="2948">
        <f t="shared" si="0"/>
        <v>3.4977841013526856</v>
      </c>
      <c r="S11" s="3896"/>
      <c r="T11" s="3896"/>
      <c r="U11" s="3896"/>
      <c r="V11" s="3896"/>
      <c r="W11" s="3896"/>
      <c r="X11" s="3896"/>
      <c r="Y11" s="3896"/>
      <c r="Z11" s="3896"/>
      <c r="AA11" s="3896"/>
      <c r="AB11" s="3896"/>
      <c r="AC11" s="3896"/>
      <c r="AD11" s="3896"/>
    </row>
    <row r="12" spans="1:31" ht="25.5" x14ac:dyDescent="0.3">
      <c r="A12" s="2471"/>
      <c r="B12" s="2528" t="s">
        <v>142</v>
      </c>
      <c r="C12" s="2525" t="s">
        <v>143</v>
      </c>
      <c r="D12" s="2948">
        <f>E12+F12+G12+H12+I12+J12+K12+L12+M12+N12+O12+P12</f>
        <v>35.847600000000007</v>
      </c>
      <c r="E12" s="2948">
        <f>2.703*0.2</f>
        <v>0.54059999999999997</v>
      </c>
      <c r="F12" s="2948">
        <f>18.16*0.2</f>
        <v>3.6320000000000001</v>
      </c>
      <c r="G12" s="2948">
        <f>42.824*0.2</f>
        <v>8.5648</v>
      </c>
      <c r="H12" s="2948">
        <f>29.412*0.2</f>
        <v>5.8824000000000005</v>
      </c>
      <c r="I12" s="2948">
        <f>25.277*0.2</f>
        <v>5.0554000000000006</v>
      </c>
      <c r="J12" s="2948">
        <f>29.791*0.2</f>
        <v>5.9582000000000006</v>
      </c>
      <c r="K12" s="2948">
        <f>11.157*0.2</f>
        <v>2.2314000000000003</v>
      </c>
      <c r="L12" s="2948">
        <f>1.755*0.2</f>
        <v>0.35099999999999998</v>
      </c>
      <c r="M12" s="2948">
        <f>1.486*0.2</f>
        <v>0.29720000000000002</v>
      </c>
      <c r="N12" s="2948">
        <f>8.61*0.2</f>
        <v>1.722</v>
      </c>
      <c r="O12" s="2948">
        <f>5.494*0.2</f>
        <v>1.0988</v>
      </c>
      <c r="P12" s="2948">
        <f>2.569*0.2</f>
        <v>0.51380000000000003</v>
      </c>
      <c r="Q12" s="158"/>
      <c r="R12" s="1513"/>
      <c r="S12" s="2476">
        <f>E12</f>
        <v>0.54059999999999997</v>
      </c>
      <c r="T12" s="2476">
        <f t="shared" ref="T12:AD12" si="1">F12</f>
        <v>3.6320000000000001</v>
      </c>
      <c r="U12" s="2476">
        <f t="shared" si="1"/>
        <v>8.5648</v>
      </c>
      <c r="V12" s="2476">
        <f t="shared" si="1"/>
        <v>5.8824000000000005</v>
      </c>
      <c r="W12" s="2476">
        <f t="shared" si="1"/>
        <v>5.0554000000000006</v>
      </c>
      <c r="X12" s="2476">
        <f t="shared" si="1"/>
        <v>5.9582000000000006</v>
      </c>
      <c r="Y12" s="2476">
        <f t="shared" si="1"/>
        <v>2.2314000000000003</v>
      </c>
      <c r="Z12" s="2476">
        <f t="shared" si="1"/>
        <v>0.35099999999999998</v>
      </c>
      <c r="AA12" s="2476">
        <f t="shared" si="1"/>
        <v>0.29720000000000002</v>
      </c>
      <c r="AB12" s="2476">
        <f t="shared" si="1"/>
        <v>1.722</v>
      </c>
      <c r="AC12" s="2476">
        <f t="shared" si="1"/>
        <v>1.0988</v>
      </c>
      <c r="AD12" s="2476">
        <f t="shared" si="1"/>
        <v>0.51380000000000003</v>
      </c>
    </row>
    <row r="13" spans="1:31" ht="25.5" x14ac:dyDescent="0.3">
      <c r="A13" s="2471"/>
      <c r="B13" s="2949" t="str">
        <f>'Вхідні дані'!$B$29</f>
        <v>Тариф на електричну енергію, без ПДВ</v>
      </c>
      <c r="C13" s="2525" t="s">
        <v>764</v>
      </c>
      <c r="D13" s="2950">
        <f>'Ціна ее'!C14</f>
        <v>3.6727299999999996</v>
      </c>
      <c r="E13" s="2950">
        <f>'Ціна ее'!C14</f>
        <v>3.6727299999999996</v>
      </c>
      <c r="F13" s="2950">
        <f>'Ціна ее'!C14</f>
        <v>3.6727299999999996</v>
      </c>
      <c r="G13" s="2950">
        <f>'Ціна ее'!C14</f>
        <v>3.6727299999999996</v>
      </c>
      <c r="H13" s="2950">
        <f>'Ціна ее'!C14</f>
        <v>3.6727299999999996</v>
      </c>
      <c r="I13" s="2950">
        <f>'Ціна ее'!C14</f>
        <v>3.6727299999999996</v>
      </c>
      <c r="J13" s="2950">
        <f>'Ціна ее'!C14</f>
        <v>3.6727299999999996</v>
      </c>
      <c r="K13" s="2950">
        <f>'Ціна ее'!C14</f>
        <v>3.6727299999999996</v>
      </c>
      <c r="L13" s="2950">
        <f>'Ціна ее'!C14</f>
        <v>3.6727299999999996</v>
      </c>
      <c r="M13" s="2950">
        <f>'Ціна ее'!C14</f>
        <v>3.6727299999999996</v>
      </c>
      <c r="N13" s="2950">
        <f>'Ціна ее'!C14</f>
        <v>3.6727299999999996</v>
      </c>
      <c r="O13" s="2950">
        <f>'Ціна ее'!C14</f>
        <v>3.6727299999999996</v>
      </c>
      <c r="P13" s="2950">
        <f>'Ціна ее'!C14</f>
        <v>3.6727299999999996</v>
      </c>
      <c r="Q13" s="158" t="s">
        <v>644</v>
      </c>
      <c r="R13" s="1511">
        <f>SUM(S13:AD13)</f>
        <v>35847.600000000006</v>
      </c>
      <c r="S13" s="3603">
        <f>S12*1000</f>
        <v>540.6</v>
      </c>
      <c r="T13" s="3603">
        <f t="shared" ref="T13:AD13" si="2">T12*1000</f>
        <v>3632</v>
      </c>
      <c r="U13" s="3603">
        <f t="shared" si="2"/>
        <v>8564.7999999999993</v>
      </c>
      <c r="V13" s="3603">
        <f t="shared" si="2"/>
        <v>5882.4000000000005</v>
      </c>
      <c r="W13" s="3603">
        <f t="shared" si="2"/>
        <v>5055.4000000000005</v>
      </c>
      <c r="X13" s="3603">
        <f t="shared" si="2"/>
        <v>5958.2000000000007</v>
      </c>
      <c r="Y13" s="3603">
        <f t="shared" si="2"/>
        <v>2231.4</v>
      </c>
      <c r="Z13" s="3603">
        <f t="shared" si="2"/>
        <v>351</v>
      </c>
      <c r="AA13" s="3603">
        <f t="shared" si="2"/>
        <v>297.20000000000005</v>
      </c>
      <c r="AB13" s="3603">
        <f t="shared" si="2"/>
        <v>1722</v>
      </c>
      <c r="AC13" s="3603">
        <f t="shared" si="2"/>
        <v>1098.8</v>
      </c>
      <c r="AD13" s="3603">
        <f t="shared" si="2"/>
        <v>513.80000000000007</v>
      </c>
      <c r="AE13" s="26" t="s">
        <v>3169</v>
      </c>
    </row>
    <row r="14" spans="1:31" ht="25.9" customHeight="1" x14ac:dyDescent="0.3">
      <c r="A14" s="2471"/>
      <c r="B14" s="2949" t="s">
        <v>763</v>
      </c>
      <c r="C14" s="2525" t="s">
        <v>40</v>
      </c>
      <c r="D14" s="2951">
        <f>D12*D13</f>
        <v>131.65855594800001</v>
      </c>
      <c r="E14" s="2951">
        <f>E12*E13</f>
        <v>1.9854778379999998</v>
      </c>
      <c r="F14" s="2951">
        <f t="shared" ref="F14:P14" si="3">F12*F13</f>
        <v>13.339355359999999</v>
      </c>
      <c r="G14" s="2951">
        <f t="shared" si="3"/>
        <v>31.456197903999996</v>
      </c>
      <c r="H14" s="2951">
        <f t="shared" si="3"/>
        <v>21.604466951999999</v>
      </c>
      <c r="I14" s="2951">
        <f t="shared" si="3"/>
        <v>18.567119242</v>
      </c>
      <c r="J14" s="2951">
        <f t="shared" si="3"/>
        <v>21.882859885999999</v>
      </c>
      <c r="K14" s="2951">
        <f t="shared" si="3"/>
        <v>8.1953297220000003</v>
      </c>
      <c r="L14" s="2951">
        <f t="shared" si="3"/>
        <v>1.2891282299999998</v>
      </c>
      <c r="M14" s="2951">
        <f t="shared" si="3"/>
        <v>1.0915353559999998</v>
      </c>
      <c r="N14" s="2951">
        <f t="shared" si="3"/>
        <v>6.3244410599999989</v>
      </c>
      <c r="O14" s="2951">
        <f t="shared" si="3"/>
        <v>4.0355957239999993</v>
      </c>
      <c r="P14" s="2951">
        <f t="shared" si="3"/>
        <v>1.8870486739999999</v>
      </c>
      <c r="Q14" s="158" t="s">
        <v>644</v>
      </c>
    </row>
    <row r="15" spans="1:31" ht="38.25" x14ac:dyDescent="0.3">
      <c r="A15" s="2471"/>
      <c r="B15" s="2949" t="str">
        <f>'Вхідні дані'!$B$31</f>
        <v>Тариф на послуги з розподілу електричної енергії, 2 клас напруги, без ПДВ</v>
      </c>
      <c r="C15" s="2525" t="s">
        <v>764</v>
      </c>
      <c r="D15" s="2952">
        <f>'Ціна ее'!$D$13</f>
        <v>1.6650100000000001</v>
      </c>
      <c r="E15" s="2952">
        <f>'Ціна ее'!$D$13</f>
        <v>1.6650100000000001</v>
      </c>
      <c r="F15" s="2952">
        <f>'Ціна ее'!$D$13</f>
        <v>1.6650100000000001</v>
      </c>
      <c r="G15" s="2952">
        <f>'Ціна ее'!$D$13</f>
        <v>1.6650100000000001</v>
      </c>
      <c r="H15" s="2952">
        <f>'Ціна ее'!$D$13</f>
        <v>1.6650100000000001</v>
      </c>
      <c r="I15" s="2952">
        <f>'Ціна ее'!$D$13</f>
        <v>1.6650100000000001</v>
      </c>
      <c r="J15" s="2952">
        <f>'Ціна ее'!$D$13</f>
        <v>1.6650100000000001</v>
      </c>
      <c r="K15" s="2952">
        <f>'Ціна ее'!$D$13</f>
        <v>1.6650100000000001</v>
      </c>
      <c r="L15" s="2952">
        <f>'Ціна ее'!$D$13</f>
        <v>1.6650100000000001</v>
      </c>
      <c r="M15" s="2952">
        <f>'Ціна ее'!$D$13</f>
        <v>1.6650100000000001</v>
      </c>
      <c r="N15" s="2952">
        <f>'Ціна ее'!$D$13</f>
        <v>1.6650100000000001</v>
      </c>
      <c r="O15" s="2952">
        <f>'Ціна ее'!$D$13</f>
        <v>1.6650100000000001</v>
      </c>
      <c r="P15" s="2952">
        <f>'Ціна ее'!$D$13</f>
        <v>1.6650100000000001</v>
      </c>
      <c r="Q15" s="158" t="s">
        <v>644</v>
      </c>
    </row>
    <row r="16" spans="1:31" x14ac:dyDescent="0.3">
      <c r="A16" s="2471"/>
      <c r="B16" s="2949" t="s">
        <v>765</v>
      </c>
      <c r="C16" s="2525" t="s">
        <v>40</v>
      </c>
      <c r="D16" s="2953">
        <f>D12*D15-X16</f>
        <v>59.686612476000015</v>
      </c>
      <c r="E16" s="2953">
        <f>E12*E15</f>
        <v>0.90010440599999997</v>
      </c>
      <c r="F16" s="2953">
        <f t="shared" ref="F16:P16" si="4">F12*F15</f>
        <v>6.0473163200000002</v>
      </c>
      <c r="G16" s="2953">
        <f t="shared" si="4"/>
        <v>14.260477648</v>
      </c>
      <c r="H16" s="2953">
        <f t="shared" si="4"/>
        <v>9.7942548240000011</v>
      </c>
      <c r="I16" s="2953">
        <f t="shared" si="4"/>
        <v>8.417291554000002</v>
      </c>
      <c r="J16" s="2953">
        <f t="shared" si="4"/>
        <v>9.9204625820000008</v>
      </c>
      <c r="K16" s="2953">
        <f t="shared" si="4"/>
        <v>3.7153033140000007</v>
      </c>
      <c r="L16" s="2953">
        <f t="shared" si="4"/>
        <v>0.58441851</v>
      </c>
      <c r="M16" s="2953">
        <f t="shared" si="4"/>
        <v>0.49484097200000005</v>
      </c>
      <c r="N16" s="2953">
        <f t="shared" si="4"/>
        <v>2.8671472200000001</v>
      </c>
      <c r="O16" s="2953">
        <f t="shared" si="4"/>
        <v>1.8295129880000001</v>
      </c>
      <c r="P16" s="2953">
        <f t="shared" si="4"/>
        <v>0.85548213800000006</v>
      </c>
      <c r="Q16" s="158" t="s">
        <v>644</v>
      </c>
      <c r="T16" s="1517"/>
      <c r="V16" s="1302"/>
      <c r="Z16" s="1302"/>
    </row>
    <row r="17" spans="1:19" ht="25.5" x14ac:dyDescent="0.3">
      <c r="A17" s="2471"/>
      <c r="B17" s="2528" t="s">
        <v>144</v>
      </c>
      <c r="C17" s="2525" t="s">
        <v>40</v>
      </c>
      <c r="D17" s="2954">
        <f>D14+D16</f>
        <v>191.34516842400004</v>
      </c>
      <c r="E17" s="2954">
        <f>E14+E16</f>
        <v>2.8855822439999996</v>
      </c>
      <c r="F17" s="2954">
        <f t="shared" ref="F17:P17" si="5">F14+F16</f>
        <v>19.386671679999999</v>
      </c>
      <c r="G17" s="2954">
        <f t="shared" si="5"/>
        <v>45.716675551999998</v>
      </c>
      <c r="H17" s="2954">
        <f t="shared" si="5"/>
        <v>31.398721776000002</v>
      </c>
      <c r="I17" s="2954">
        <f t="shared" si="5"/>
        <v>26.984410796000002</v>
      </c>
      <c r="J17" s="2954">
        <f t="shared" si="5"/>
        <v>31.803322467999998</v>
      </c>
      <c r="K17" s="2954">
        <f t="shared" si="5"/>
        <v>11.910633036</v>
      </c>
      <c r="L17" s="2954">
        <f t="shared" si="5"/>
        <v>1.8735467399999997</v>
      </c>
      <c r="M17" s="2954">
        <f t="shared" si="5"/>
        <v>1.5863763279999998</v>
      </c>
      <c r="N17" s="2954">
        <f t="shared" si="5"/>
        <v>9.1915882799999995</v>
      </c>
      <c r="O17" s="2954">
        <f t="shared" si="5"/>
        <v>5.8651087119999996</v>
      </c>
      <c r="P17" s="2954">
        <f t="shared" si="5"/>
        <v>2.742530812</v>
      </c>
      <c r="Q17" s="26">
        <v>3277.51676837277</v>
      </c>
      <c r="R17" s="1516">
        <f>Q17-D17</f>
        <v>3086.1715999487701</v>
      </c>
    </row>
    <row r="18" spans="1:19" ht="25.5" x14ac:dyDescent="0.3">
      <c r="A18" s="2471"/>
      <c r="B18" s="2528" t="s">
        <v>187</v>
      </c>
      <c r="C18" s="2955" t="s">
        <v>145</v>
      </c>
      <c r="D18" s="2956">
        <f>D12*$E$102</f>
        <v>23.151813984000004</v>
      </c>
      <c r="E18" s="2956">
        <f t="shared" ref="E18:P18" si="6">E12*$E$102</f>
        <v>0.34914110399999998</v>
      </c>
      <c r="F18" s="2956">
        <f t="shared" si="6"/>
        <v>2.3456908799999998</v>
      </c>
      <c r="G18" s="2956">
        <f t="shared" si="6"/>
        <v>5.531490432</v>
      </c>
      <c r="H18" s="2956">
        <f t="shared" si="6"/>
        <v>3.799089216</v>
      </c>
      <c r="I18" s="2956">
        <f t="shared" si="6"/>
        <v>3.2649795360000002</v>
      </c>
      <c r="J18" s="2956">
        <f t="shared" si="6"/>
        <v>3.8480438880000003</v>
      </c>
      <c r="K18" s="2956">
        <f t="shared" si="6"/>
        <v>1.4411273760000001</v>
      </c>
      <c r="L18" s="2956">
        <f t="shared" si="6"/>
        <v>0.22668983999999998</v>
      </c>
      <c r="M18" s="2956">
        <f t="shared" si="6"/>
        <v>0.19194364799999999</v>
      </c>
      <c r="N18" s="2956">
        <f t="shared" si="6"/>
        <v>1.11213648</v>
      </c>
      <c r="O18" s="2956">
        <f t="shared" si="6"/>
        <v>0.70964899199999998</v>
      </c>
      <c r="P18" s="2956">
        <f t="shared" si="6"/>
        <v>0.33183259199999998</v>
      </c>
      <c r="Q18" s="26">
        <f>D12*E102</f>
        <v>23.151813984000004</v>
      </c>
    </row>
    <row r="19" spans="1:19" ht="38.25" x14ac:dyDescent="0.3">
      <c r="A19" s="2471"/>
      <c r="B19" s="2528" t="str">
        <f>'Вхідні дані'!$B$33</f>
        <v>Тариф для розрахунку плати за перетікання реактивної електроенергії, без ПДВ</v>
      </c>
      <c r="C19" s="2955" t="s">
        <v>766</v>
      </c>
      <c r="D19" s="2957">
        <f>'Ціна ее'!E14</f>
        <v>0.18164666666666665</v>
      </c>
      <c r="E19" s="2957">
        <f>D19</f>
        <v>0.18164666666666665</v>
      </c>
      <c r="F19" s="2957">
        <f t="shared" ref="F19:P19" si="7">E19</f>
        <v>0.18164666666666665</v>
      </c>
      <c r="G19" s="2957">
        <f t="shared" si="7"/>
        <v>0.18164666666666665</v>
      </c>
      <c r="H19" s="2957">
        <f t="shared" si="7"/>
        <v>0.18164666666666665</v>
      </c>
      <c r="I19" s="2957">
        <f t="shared" si="7"/>
        <v>0.18164666666666665</v>
      </c>
      <c r="J19" s="2957">
        <f t="shared" si="7"/>
        <v>0.18164666666666665</v>
      </c>
      <c r="K19" s="2957">
        <f t="shared" si="7"/>
        <v>0.18164666666666665</v>
      </c>
      <c r="L19" s="2957">
        <f t="shared" si="7"/>
        <v>0.18164666666666665</v>
      </c>
      <c r="M19" s="2957">
        <f t="shared" si="7"/>
        <v>0.18164666666666665</v>
      </c>
      <c r="N19" s="2957">
        <f t="shared" si="7"/>
        <v>0.18164666666666665</v>
      </c>
      <c r="O19" s="2957">
        <f t="shared" si="7"/>
        <v>0.18164666666666665</v>
      </c>
      <c r="P19" s="2957">
        <f t="shared" si="7"/>
        <v>0.18164666666666665</v>
      </c>
      <c r="Q19" s="158" t="s">
        <v>644</v>
      </c>
    </row>
    <row r="20" spans="1:19" ht="25.5" x14ac:dyDescent="0.3">
      <c r="A20" s="2471"/>
      <c r="B20" s="2528" t="s">
        <v>785</v>
      </c>
      <c r="C20" s="2525" t="s">
        <v>40</v>
      </c>
      <c r="D20" s="2958">
        <f>D18*D19</f>
        <v>4.2054498374803204</v>
      </c>
      <c r="E20" s="2953">
        <f>E18*E19</f>
        <v>6.3420317737919993E-2</v>
      </c>
      <c r="F20" s="2953">
        <f t="shared" ref="F20:P20" si="8">F18*F19</f>
        <v>0.42608692938239995</v>
      </c>
      <c r="G20" s="2953">
        <f t="shared" si="8"/>
        <v>1.0047767986713598</v>
      </c>
      <c r="H20" s="2953">
        <f t="shared" si="8"/>
        <v>0.69009189245567992</v>
      </c>
      <c r="I20" s="2953">
        <f t="shared" si="8"/>
        <v>0.59307264944927995</v>
      </c>
      <c r="J20" s="2953">
        <f t="shared" si="8"/>
        <v>0.69898434544223997</v>
      </c>
      <c r="K20" s="2953">
        <f t="shared" si="8"/>
        <v>0.26177598409247999</v>
      </c>
      <c r="L20" s="2953">
        <f t="shared" si="8"/>
        <v>4.1177453803199995E-2</v>
      </c>
      <c r="M20" s="2953">
        <f t="shared" si="8"/>
        <v>3.4865923847039994E-2</v>
      </c>
      <c r="N20" s="2953">
        <f t="shared" si="8"/>
        <v>0.20201588447039998</v>
      </c>
      <c r="O20" s="2953">
        <f t="shared" si="8"/>
        <v>0.12890537390015999</v>
      </c>
      <c r="P20" s="2953">
        <f t="shared" si="8"/>
        <v>6.027628422815999E-2</v>
      </c>
      <c r="Q20" s="26">
        <v>21.511892959166701</v>
      </c>
    </row>
    <row r="21" spans="1:19" ht="25.5" x14ac:dyDescent="0.3">
      <c r="A21" s="2471"/>
      <c r="B21" s="2528" t="s">
        <v>784</v>
      </c>
      <c r="C21" s="2955" t="s">
        <v>145</v>
      </c>
      <c r="D21" s="2956">
        <v>0</v>
      </c>
      <c r="E21" s="2956">
        <v>0</v>
      </c>
      <c r="F21" s="2956">
        <v>0</v>
      </c>
      <c r="G21" s="2956">
        <v>0</v>
      </c>
      <c r="H21" s="2956">
        <v>0</v>
      </c>
      <c r="I21" s="2956">
        <v>0</v>
      </c>
      <c r="J21" s="2956">
        <v>0</v>
      </c>
      <c r="K21" s="2956">
        <v>0</v>
      </c>
      <c r="L21" s="2956">
        <v>0</v>
      </c>
      <c r="M21" s="2956">
        <v>0</v>
      </c>
      <c r="N21" s="2956">
        <v>0</v>
      </c>
      <c r="O21" s="2956">
        <v>0</v>
      </c>
      <c r="P21" s="2956">
        <v>0</v>
      </c>
      <c r="Q21" s="158" t="s">
        <v>644</v>
      </c>
    </row>
    <row r="22" spans="1:19" ht="38.25" x14ac:dyDescent="0.3">
      <c r="A22" s="2471"/>
      <c r="B22" s="2528" t="str">
        <f>'Вхідні дані'!$B$35</f>
        <v>Тариф для розрахунку плати за генерацію реактивної електроенергії, без ПДВ</v>
      </c>
      <c r="C22" s="2955" t="s">
        <v>766</v>
      </c>
      <c r="D22" s="2957">
        <f>'Вхідні дані'!$D$35</f>
        <v>0</v>
      </c>
      <c r="E22" s="2957">
        <f>D22</f>
        <v>0</v>
      </c>
      <c r="F22" s="2957">
        <f t="shared" ref="F22:P22" si="9">E22</f>
        <v>0</v>
      </c>
      <c r="G22" s="2957">
        <f t="shared" si="9"/>
        <v>0</v>
      </c>
      <c r="H22" s="2957">
        <f t="shared" si="9"/>
        <v>0</v>
      </c>
      <c r="I22" s="2957">
        <f t="shared" si="9"/>
        <v>0</v>
      </c>
      <c r="J22" s="2957">
        <f t="shared" si="9"/>
        <v>0</v>
      </c>
      <c r="K22" s="2957">
        <f t="shared" si="9"/>
        <v>0</v>
      </c>
      <c r="L22" s="2957">
        <f t="shared" si="9"/>
        <v>0</v>
      </c>
      <c r="M22" s="2957">
        <f t="shared" si="9"/>
        <v>0</v>
      </c>
      <c r="N22" s="2957">
        <f t="shared" si="9"/>
        <v>0</v>
      </c>
      <c r="O22" s="2957">
        <f t="shared" si="9"/>
        <v>0</v>
      </c>
      <c r="P22" s="2957">
        <f t="shared" si="9"/>
        <v>0</v>
      </c>
      <c r="Q22" s="158" t="s">
        <v>644</v>
      </c>
    </row>
    <row r="23" spans="1:19" ht="25.5" x14ac:dyDescent="0.3">
      <c r="A23" s="2471"/>
      <c r="B23" s="2528" t="s">
        <v>786</v>
      </c>
      <c r="C23" s="2525" t="s">
        <v>40</v>
      </c>
      <c r="D23" s="2953">
        <f t="shared" ref="D23:P23" si="10">D21*D22</f>
        <v>0</v>
      </c>
      <c r="E23" s="2953">
        <f t="shared" si="10"/>
        <v>0</v>
      </c>
      <c r="F23" s="2953">
        <f t="shared" si="10"/>
        <v>0</v>
      </c>
      <c r="G23" s="2953">
        <f t="shared" si="10"/>
        <v>0</v>
      </c>
      <c r="H23" s="2953">
        <f t="shared" si="10"/>
        <v>0</v>
      </c>
      <c r="I23" s="2953">
        <f t="shared" si="10"/>
        <v>0</v>
      </c>
      <c r="J23" s="2953">
        <f t="shared" si="10"/>
        <v>0</v>
      </c>
      <c r="K23" s="2953">
        <f t="shared" si="10"/>
        <v>0</v>
      </c>
      <c r="L23" s="2953">
        <f t="shared" si="10"/>
        <v>0</v>
      </c>
      <c r="M23" s="2953">
        <f t="shared" si="10"/>
        <v>0</v>
      </c>
      <c r="N23" s="2953">
        <f t="shared" si="10"/>
        <v>0</v>
      </c>
      <c r="O23" s="2953">
        <f t="shared" si="10"/>
        <v>0</v>
      </c>
      <c r="P23" s="2953">
        <f t="shared" si="10"/>
        <v>0</v>
      </c>
      <c r="Q23" s="158" t="s">
        <v>644</v>
      </c>
    </row>
    <row r="24" spans="1:19" ht="25.5" x14ac:dyDescent="0.3">
      <c r="A24" s="2471"/>
      <c r="B24" s="2528" t="s">
        <v>844</v>
      </c>
      <c r="C24" s="2525" t="s">
        <v>40</v>
      </c>
      <c r="D24" s="2954">
        <f>D23+D20</f>
        <v>4.2054498374803204</v>
      </c>
      <c r="E24" s="2954">
        <f>E23+E20</f>
        <v>6.3420317737919993E-2</v>
      </c>
      <c r="F24" s="2954">
        <f t="shared" ref="F24:P24" si="11">F23+F20</f>
        <v>0.42608692938239995</v>
      </c>
      <c r="G24" s="2954">
        <f t="shared" si="11"/>
        <v>1.0047767986713598</v>
      </c>
      <c r="H24" s="2954">
        <f t="shared" si="11"/>
        <v>0.69009189245567992</v>
      </c>
      <c r="I24" s="2954">
        <f t="shared" si="11"/>
        <v>0.59307264944927995</v>
      </c>
      <c r="J24" s="2954">
        <f t="shared" si="11"/>
        <v>0.69898434544223997</v>
      </c>
      <c r="K24" s="2954">
        <f t="shared" si="11"/>
        <v>0.26177598409247999</v>
      </c>
      <c r="L24" s="2954">
        <f t="shared" si="11"/>
        <v>4.1177453803199995E-2</v>
      </c>
      <c r="M24" s="2954">
        <f t="shared" si="11"/>
        <v>3.4865923847039994E-2</v>
      </c>
      <c r="N24" s="2954">
        <f t="shared" si="11"/>
        <v>0.20201588447039998</v>
      </c>
      <c r="O24" s="2954">
        <f t="shared" si="11"/>
        <v>0.12890537390015999</v>
      </c>
      <c r="P24" s="2954">
        <f t="shared" si="11"/>
        <v>6.027628422815999E-2</v>
      </c>
      <c r="Q24" s="158">
        <v>29.828108736250002</v>
      </c>
      <c r="R24" s="1512">
        <f>Q24-D24</f>
        <v>25.622658898769682</v>
      </c>
    </row>
    <row r="25" spans="1:19" ht="38.25" x14ac:dyDescent="0.3">
      <c r="A25" s="2471"/>
      <c r="B25" s="2528" t="s">
        <v>188</v>
      </c>
      <c r="C25" s="2525" t="s">
        <v>40</v>
      </c>
      <c r="D25" s="2959">
        <f>D17+D24</f>
        <v>195.55061826148037</v>
      </c>
      <c r="E25" s="2959">
        <f t="shared" ref="E25:P25" si="12">E17+E24</f>
        <v>2.9490025617379194</v>
      </c>
      <c r="F25" s="2959">
        <f t="shared" si="12"/>
        <v>19.812758609382399</v>
      </c>
      <c r="G25" s="2959">
        <f t="shared" si="12"/>
        <v>46.721452350671356</v>
      </c>
      <c r="H25" s="2959">
        <f t="shared" si="12"/>
        <v>32.088813668455686</v>
      </c>
      <c r="I25" s="2959">
        <f t="shared" si="12"/>
        <v>27.577483445449282</v>
      </c>
      <c r="J25" s="2959">
        <f t="shared" si="12"/>
        <v>32.502306813442239</v>
      </c>
      <c r="K25" s="2959">
        <f t="shared" si="12"/>
        <v>12.172409020092481</v>
      </c>
      <c r="L25" s="2959">
        <f t="shared" si="12"/>
        <v>1.9147241938031996</v>
      </c>
      <c r="M25" s="2959">
        <f t="shared" si="12"/>
        <v>1.6212422518470397</v>
      </c>
      <c r="N25" s="2959">
        <f t="shared" si="12"/>
        <v>9.3936041644703998</v>
      </c>
      <c r="O25" s="2959">
        <f t="shared" si="12"/>
        <v>5.9940140859001598</v>
      </c>
      <c r="P25" s="2959">
        <f t="shared" si="12"/>
        <v>2.8028070962281602</v>
      </c>
      <c r="Q25" s="1302">
        <v>3303.63</v>
      </c>
      <c r="R25" s="1512">
        <f>Q25-D25</f>
        <v>3108.0793817385197</v>
      </c>
    </row>
    <row r="26" spans="1:19" ht="15" customHeight="1" x14ac:dyDescent="0.3">
      <c r="A26" s="2471"/>
      <c r="B26" s="3863" t="s">
        <v>189</v>
      </c>
      <c r="C26" s="3864"/>
      <c r="D26" s="3864"/>
      <c r="E26" s="3864"/>
      <c r="F26" s="3864"/>
      <c r="G26" s="3864"/>
      <c r="H26" s="3864"/>
      <c r="I26" s="3864"/>
      <c r="J26" s="3864"/>
      <c r="K26" s="3864"/>
      <c r="L26" s="3864"/>
      <c r="M26" s="3864"/>
      <c r="N26" s="3864"/>
      <c r="O26" s="3864"/>
      <c r="P26" s="3865"/>
    </row>
    <row r="27" spans="1:19" ht="38.25" x14ac:dyDescent="0.3">
      <c r="A27" s="2471"/>
      <c r="B27" s="2528" t="s">
        <v>2727</v>
      </c>
      <c r="C27" s="2960" t="s">
        <v>190</v>
      </c>
      <c r="D27" s="2956">
        <f t="shared" ref="D27:P27" si="13">D28+D29</f>
        <v>3899.5202521466663</v>
      </c>
      <c r="E27" s="2961">
        <f t="shared" si="13"/>
        <v>109.43</v>
      </c>
      <c r="F27" s="2962">
        <f t="shared" si="13"/>
        <v>514.65320464000001</v>
      </c>
      <c r="G27" s="2962">
        <f t="shared" si="13"/>
        <v>649.53671733333317</v>
      </c>
      <c r="H27" s="2962">
        <f t="shared" si="13"/>
        <v>762.46136799999999</v>
      </c>
      <c r="I27" s="2962">
        <f t="shared" si="13"/>
        <v>638.37610274666667</v>
      </c>
      <c r="J27" s="2962">
        <f t="shared" si="13"/>
        <v>582.60285942666656</v>
      </c>
      <c r="K27" s="2962">
        <f t="shared" si="13"/>
        <v>105.9</v>
      </c>
      <c r="L27" s="2962">
        <f t="shared" si="13"/>
        <v>109.43</v>
      </c>
      <c r="M27" s="2962">
        <f t="shared" si="13"/>
        <v>105.9</v>
      </c>
      <c r="N27" s="2962">
        <f t="shared" si="13"/>
        <v>109.43</v>
      </c>
      <c r="O27" s="2962">
        <f t="shared" si="13"/>
        <v>105.9</v>
      </c>
      <c r="P27" s="2962">
        <f t="shared" si="13"/>
        <v>105.9</v>
      </c>
      <c r="S27" s="1518"/>
    </row>
    <row r="28" spans="1:19" x14ac:dyDescent="0.3">
      <c r="A28" s="2471"/>
      <c r="B28" s="2963" t="s">
        <v>632</v>
      </c>
      <c r="C28" s="2960" t="s">
        <v>190</v>
      </c>
      <c r="D28" s="2956">
        <f>'Д 7_РП'!G77+'Д 7_РП'!G85+'Д 7_РП'!G89+'Д 7_РП'!G93</f>
        <v>1128.18201598</v>
      </c>
      <c r="E28" s="2956">
        <f>'Д 7_РП'!H77+'Д 7_РП'!H85+'Д 7_РП'!H89+'Д 7_РП'!H93</f>
        <v>55.831000000000003</v>
      </c>
      <c r="F28" s="2956">
        <f>'Д 7_РП'!I77+'Д 7_РП'!I85+'Д 7_РП'!I89+'Д 7_РП'!I93</f>
        <v>127.91667863999999</v>
      </c>
      <c r="G28" s="2956">
        <f>'Д 7_РП'!J77+'Д 7_РП'!J85+'Д 7_РП'!J89+'Д 7_РП'!J93</f>
        <v>153.46128399999998</v>
      </c>
      <c r="H28" s="2956">
        <f>'Д 7_РП'!K77+'Д 7_РП'!K85+'Д 7_РП'!K89+'Д 7_РП'!K93</f>
        <v>173.87366800000001</v>
      </c>
      <c r="I28" s="2956">
        <f>'Д 7_РП'!L77+'Д 7_РП'!L85+'Д 7_РП'!L89+'Д 7_РП'!L93</f>
        <v>147.95513907999998</v>
      </c>
      <c r="J28" s="2956">
        <f>'Д 7_РП'!M77+'Д 7_РП'!M85+'Д 7_РП'!M89+'Д 7_РП'!M93</f>
        <v>141.36224626000001</v>
      </c>
      <c r="K28" s="2956">
        <f>'Д 7_РП'!N77+'Д 7_РП'!N85+'Д 7_РП'!N89+'Д 7_РП'!N93</f>
        <v>54.03</v>
      </c>
      <c r="L28" s="2956">
        <f>'Д 7_РП'!O77+'Д 7_РП'!O85+'Д 7_РП'!O89+'Д 7_РП'!O93</f>
        <v>55.831000000000003</v>
      </c>
      <c r="M28" s="2956">
        <f>'Д 7_РП'!P77+'Д 7_РП'!P85+'Д 7_РП'!P89+'Д 7_РП'!P93</f>
        <v>54.03</v>
      </c>
      <c r="N28" s="2956">
        <f>'Д 7_РП'!Q77+'Д 7_РП'!Q85+'Д 7_РП'!Q89+'Д 7_РП'!Q93</f>
        <v>55.831000000000003</v>
      </c>
      <c r="O28" s="2956">
        <f>'Д 7_РП'!R77+'Д 7_РП'!R85+'Д 7_РП'!R89+'Д 7_РП'!R93</f>
        <v>54.03</v>
      </c>
      <c r="P28" s="2956">
        <f>'Д 7_РП'!S77+'Д 7_РП'!S85+'Д 7_РП'!S89+'Д 7_РП'!S93</f>
        <v>54.03</v>
      </c>
      <c r="Q28" s="158" t="s">
        <v>837</v>
      </c>
      <c r="S28" s="1518"/>
    </row>
    <row r="29" spans="1:19" x14ac:dyDescent="0.3">
      <c r="A29" s="2471"/>
      <c r="B29" s="2963" t="s">
        <v>631</v>
      </c>
      <c r="C29" s="2960" t="s">
        <v>190</v>
      </c>
      <c r="D29" s="2956">
        <f>'Д 7_РП'!G80+'Д 7_РП'!G86+'Д 7_РП'!G90+'Д 7_РП'!G94</f>
        <v>2771.3382361666663</v>
      </c>
      <c r="E29" s="2956">
        <f>'Д 7_РП'!H80+'Д 7_РП'!H86+'Д 7_РП'!H90+'Д 7_РП'!H94</f>
        <v>53.599000000000004</v>
      </c>
      <c r="F29" s="2956">
        <f>'Д 7_РП'!I80+'Д 7_РП'!I86+'Д 7_РП'!I90+'Д 7_РП'!I94</f>
        <v>386.73652599999997</v>
      </c>
      <c r="G29" s="2956">
        <f>'Д 7_РП'!J80+'Д 7_РП'!J86+'Д 7_РП'!J90+'Д 7_РП'!J94</f>
        <v>496.07543333333325</v>
      </c>
      <c r="H29" s="2956">
        <f>'Д 7_РП'!K80+'Д 7_РП'!K86+'Д 7_РП'!K90+'Д 7_РП'!K94</f>
        <v>588.58769999999993</v>
      </c>
      <c r="I29" s="2956">
        <f>'Д 7_РП'!L80+'Д 7_РП'!L86+'Д 7_РП'!L90+'Д 7_РП'!L94</f>
        <v>490.42096366666664</v>
      </c>
      <c r="J29" s="2956">
        <f>'Д 7_РП'!M80+'Д 7_РП'!M86+'Д 7_РП'!M90+'Д 7_РП'!M94</f>
        <v>441.24061316666661</v>
      </c>
      <c r="K29" s="2956">
        <f>'Д 7_РП'!N80+'Д 7_РП'!N86+'Д 7_РП'!N90+'Д 7_РП'!N94</f>
        <v>51.870000000000005</v>
      </c>
      <c r="L29" s="2956">
        <f>'Д 7_РП'!O80+'Д 7_РП'!O86+'Д 7_РП'!O90+'Д 7_РП'!O94</f>
        <v>53.599000000000004</v>
      </c>
      <c r="M29" s="2956">
        <f>'Д 7_РП'!P80+'Д 7_РП'!P86+'Д 7_РП'!P90+'Д 7_РП'!P94</f>
        <v>51.870000000000005</v>
      </c>
      <c r="N29" s="2956">
        <f>'Д 7_РП'!Q80+'Д 7_РП'!Q86+'Д 7_РП'!Q90+'Д 7_РП'!Q94</f>
        <v>53.599000000000004</v>
      </c>
      <c r="O29" s="2956">
        <f>'Д 7_РП'!R80+'Д 7_РП'!R86+'Д 7_РП'!R90+'Д 7_РП'!R94</f>
        <v>51.870000000000005</v>
      </c>
      <c r="P29" s="2956">
        <f>'Д 7_РП'!S80+'Д 7_РП'!S86+'Д 7_РП'!S90+'Д 7_РП'!S94</f>
        <v>51.870000000000005</v>
      </c>
      <c r="Q29" s="158" t="s">
        <v>837</v>
      </c>
      <c r="S29" s="1518"/>
    </row>
    <row r="30" spans="1:19" ht="38.25" x14ac:dyDescent="0.3">
      <c r="A30" s="2471"/>
      <c r="B30" s="2528" t="s">
        <v>789</v>
      </c>
      <c r="C30" s="2525" t="s">
        <v>191</v>
      </c>
      <c r="D30" s="2964">
        <f>D33/D27*1000</f>
        <v>36.771292550939904</v>
      </c>
      <c r="E30" s="2964">
        <f t="shared" ref="E30:P30" si="14">E33/E27*1000</f>
        <v>19.760577538152241</v>
      </c>
      <c r="F30" s="2964">
        <f t="shared" si="14"/>
        <v>28.228717647182119</v>
      </c>
      <c r="G30" s="2964">
        <f t="shared" si="14"/>
        <v>52.744054471086436</v>
      </c>
      <c r="H30" s="2964">
        <f t="shared" si="14"/>
        <v>30.860055325452244</v>
      </c>
      <c r="I30" s="2964">
        <f t="shared" si="14"/>
        <v>31.676624348867179</v>
      </c>
      <c r="J30" s="2964">
        <f t="shared" si="14"/>
        <v>40.907454562536152</v>
      </c>
      <c r="K30" s="2964">
        <f t="shared" si="14"/>
        <v>84.283286118980158</v>
      </c>
      <c r="L30" s="2964">
        <f t="shared" si="14"/>
        <v>12.830119711230925</v>
      </c>
      <c r="M30" s="2964">
        <f t="shared" si="14"/>
        <v>11.225684608120869</v>
      </c>
      <c r="N30" s="2964">
        <f t="shared" si="14"/>
        <v>62.944347985013252</v>
      </c>
      <c r="O30" s="2964">
        <f t="shared" si="14"/>
        <v>41.50330500472144</v>
      </c>
      <c r="P30" s="2964">
        <f t="shared" si="14"/>
        <v>19.406987724268173</v>
      </c>
      <c r="Q30" s="26" t="s">
        <v>644</v>
      </c>
    </row>
    <row r="31" spans="1:19" x14ac:dyDescent="0.3">
      <c r="A31" s="2471"/>
      <c r="B31" s="2963" t="s">
        <v>632</v>
      </c>
      <c r="C31" s="2525" t="s">
        <v>191</v>
      </c>
      <c r="D31" s="2964">
        <f t="shared" ref="D31:P32" si="15">D34/D28*1000</f>
        <v>37.167812097682642</v>
      </c>
      <c r="E31" s="2964">
        <f t="shared" si="15"/>
        <v>16.008151096702228</v>
      </c>
      <c r="F31" s="2964">
        <f t="shared" si="15"/>
        <v>26.655328704067511</v>
      </c>
      <c r="G31" s="2964">
        <f t="shared" si="15"/>
        <v>66.251334610786984</v>
      </c>
      <c r="H31" s="2964">
        <f t="shared" si="15"/>
        <v>41.536060227550777</v>
      </c>
      <c r="I31" s="2964">
        <f t="shared" si="15"/>
        <v>44.936829634277025</v>
      </c>
      <c r="J31" s="2964">
        <f t="shared" si="15"/>
        <v>38.737437153462835</v>
      </c>
      <c r="K31" s="2964">
        <f t="shared" si="15"/>
        <v>68.787416573451651</v>
      </c>
      <c r="L31" s="2964">
        <f t="shared" si="15"/>
        <v>5.5701582034516077</v>
      </c>
      <c r="M31" s="2964">
        <f t="shared" si="15"/>
        <v>4.3324169398165564</v>
      </c>
      <c r="N31" s="2964">
        <f t="shared" si="15"/>
        <v>50.076375439298978</v>
      </c>
      <c r="O31" s="2964">
        <f t="shared" si="15"/>
        <v>13.379566421199305</v>
      </c>
      <c r="P31" s="2964">
        <f t="shared" si="15"/>
        <v>6.1927216927450655</v>
      </c>
      <c r="Q31" s="158" t="s">
        <v>837</v>
      </c>
    </row>
    <row r="32" spans="1:19" x14ac:dyDescent="0.3">
      <c r="A32" s="2471"/>
      <c r="B32" s="2963" t="s">
        <v>631</v>
      </c>
      <c r="C32" s="2525" t="s">
        <v>191</v>
      </c>
      <c r="D32" s="2964">
        <f t="shared" si="15"/>
        <v>36.609873704340195</v>
      </c>
      <c r="E32" s="2964">
        <f t="shared" si="15"/>
        <v>23.669264652699074</v>
      </c>
      <c r="F32" s="2964">
        <f t="shared" si="15"/>
        <v>28.749130575057784</v>
      </c>
      <c r="G32" s="2964">
        <f t="shared" si="15"/>
        <v>48.565567865414678</v>
      </c>
      <c r="H32" s="2964">
        <f t="shared" si="15"/>
        <v>27.706275299274576</v>
      </c>
      <c r="I32" s="2964">
        <f t="shared" si="15"/>
        <v>27.676151973943067</v>
      </c>
      <c r="J32" s="2964">
        <f t="shared" si="15"/>
        <v>41.602672831698598</v>
      </c>
      <c r="K32" s="2964">
        <f t="shared" si="15"/>
        <v>100.4244434651322</v>
      </c>
      <c r="L32" s="2964">
        <f t="shared" si="15"/>
        <v>20.392404659473002</v>
      </c>
      <c r="M32" s="2964">
        <f t="shared" si="15"/>
        <v>18.406005643757691</v>
      </c>
      <c r="N32" s="2964">
        <f t="shared" si="15"/>
        <v>76.348175951948704</v>
      </c>
      <c r="O32" s="2964">
        <f t="shared" si="15"/>
        <v>70.798188283450983</v>
      </c>
      <c r="P32" s="2964">
        <f t="shared" si="15"/>
        <v>33.171529727028798</v>
      </c>
      <c r="Q32" s="158" t="s">
        <v>837</v>
      </c>
    </row>
    <row r="33" spans="1:22" ht="25.5" x14ac:dyDescent="0.3">
      <c r="A33" s="2471"/>
      <c r="B33" s="2528" t="s">
        <v>788</v>
      </c>
      <c r="C33" s="2525" t="s">
        <v>193</v>
      </c>
      <c r="D33" s="2962">
        <f>D34+D35</f>
        <v>143.3904</v>
      </c>
      <c r="E33" s="2962">
        <f t="shared" ref="E33:P33" si="16">E34+E35</f>
        <v>2.1623999999999999</v>
      </c>
      <c r="F33" s="2962">
        <f t="shared" si="16"/>
        <v>14.528</v>
      </c>
      <c r="G33" s="2962">
        <f t="shared" si="16"/>
        <v>34.2592</v>
      </c>
      <c r="H33" s="2962">
        <f t="shared" si="16"/>
        <v>23.529600000000002</v>
      </c>
      <c r="I33" s="2962">
        <f t="shared" si="16"/>
        <v>20.221599999999999</v>
      </c>
      <c r="J33" s="2962">
        <f t="shared" si="16"/>
        <v>23.832799999999999</v>
      </c>
      <c r="K33" s="2962">
        <f t="shared" si="16"/>
        <v>8.9255999999999993</v>
      </c>
      <c r="L33" s="2962">
        <f t="shared" si="16"/>
        <v>1.4040000000000001</v>
      </c>
      <c r="M33" s="2962">
        <f t="shared" si="16"/>
        <v>1.1888000000000001</v>
      </c>
      <c r="N33" s="2962">
        <f t="shared" si="16"/>
        <v>6.8879999999999999</v>
      </c>
      <c r="O33" s="2962">
        <f t="shared" si="16"/>
        <v>4.3952000000000009</v>
      </c>
      <c r="P33" s="2962">
        <f t="shared" si="16"/>
        <v>2.0551999999999997</v>
      </c>
      <c r="S33" s="1302">
        <f>R33-D33</f>
        <v>-143.3904</v>
      </c>
    </row>
    <row r="34" spans="1:22" x14ac:dyDescent="0.3">
      <c r="A34" s="2471"/>
      <c r="B34" s="2963" t="s">
        <v>632</v>
      </c>
      <c r="C34" s="2525" t="s">
        <v>193</v>
      </c>
      <c r="D34" s="2962">
        <f>SUM(E34:P34)</f>
        <v>41.932057181929437</v>
      </c>
      <c r="E34" s="2962">
        <f t="shared" ref="E34:P34" si="17">E134/1000</f>
        <v>0.89375108387998203</v>
      </c>
      <c r="F34" s="2962">
        <f t="shared" si="17"/>
        <v>3.4096611158817711</v>
      </c>
      <c r="G34" s="2962">
        <f t="shared" si="17"/>
        <v>10.167014876085009</v>
      </c>
      <c r="H34" s="2962">
        <f t="shared" si="17"/>
        <v>7.2220271460331684</v>
      </c>
      <c r="I34" s="2962">
        <f t="shared" si="17"/>
        <v>6.6486348783537217</v>
      </c>
      <c r="J34" s="2962">
        <f t="shared" si="17"/>
        <v>5.4760111303690868</v>
      </c>
      <c r="K34" s="2962">
        <f t="shared" si="17"/>
        <v>3.7165841174635927</v>
      </c>
      <c r="L34" s="2962">
        <f t="shared" si="17"/>
        <v>0.31098750265690672</v>
      </c>
      <c r="M34" s="2962">
        <f t="shared" si="17"/>
        <v>0.23408048725828853</v>
      </c>
      <c r="N34" s="2962">
        <f t="shared" si="17"/>
        <v>2.7958141171515014</v>
      </c>
      <c r="O34" s="2962">
        <f t="shared" si="17"/>
        <v>0.7228979737373985</v>
      </c>
      <c r="P34" s="2962">
        <f t="shared" si="17"/>
        <v>0.33459275305901587</v>
      </c>
      <c r="Q34" s="158" t="s">
        <v>837</v>
      </c>
      <c r="S34" s="1519">
        <f>R34-D34</f>
        <v>-41.932057181929437</v>
      </c>
    </row>
    <row r="35" spans="1:22" x14ac:dyDescent="0.3">
      <c r="A35" s="2471"/>
      <c r="B35" s="2963" t="s">
        <v>631</v>
      </c>
      <c r="C35" s="2525" t="s">
        <v>193</v>
      </c>
      <c r="D35" s="2962">
        <f>SUM(E35:P35)</f>
        <v>101.45834281807058</v>
      </c>
      <c r="E35" s="2962">
        <f>E135/1000</f>
        <v>1.2686489161200178</v>
      </c>
      <c r="F35" s="2962">
        <f t="shared" ref="F35:P35" si="18">F135/1000</f>
        <v>11.118338884118229</v>
      </c>
      <c r="G35" s="2962">
        <f t="shared" si="18"/>
        <v>24.092185123914991</v>
      </c>
      <c r="H35" s="2962">
        <f t="shared" si="18"/>
        <v>16.307572853966832</v>
      </c>
      <c r="I35" s="2962">
        <f t="shared" si="18"/>
        <v>13.572965121646277</v>
      </c>
      <c r="J35" s="2962">
        <f t="shared" si="18"/>
        <v>18.356788869630911</v>
      </c>
      <c r="K35" s="2962">
        <f t="shared" si="18"/>
        <v>5.2090158825364075</v>
      </c>
      <c r="L35" s="2962">
        <f t="shared" si="18"/>
        <v>1.0930124973430935</v>
      </c>
      <c r="M35" s="2962">
        <f t="shared" si="18"/>
        <v>0.95471951274171152</v>
      </c>
      <c r="N35" s="2962">
        <f t="shared" si="18"/>
        <v>4.0921858828484989</v>
      </c>
      <c r="O35" s="2962">
        <f t="shared" si="18"/>
        <v>3.6723020262626025</v>
      </c>
      <c r="P35" s="2962">
        <f t="shared" si="18"/>
        <v>1.7206072469409839</v>
      </c>
      <c r="Q35" s="158" t="s">
        <v>837</v>
      </c>
      <c r="S35" s="1519">
        <f>R35-D35</f>
        <v>-101.45834281807058</v>
      </c>
    </row>
    <row r="36" spans="1:22" ht="25.5" x14ac:dyDescent="0.3">
      <c r="A36" s="2471"/>
      <c r="B36" s="2949" t="str">
        <f>'Вхідні дані'!$B$29</f>
        <v>Тариф на електричну енергію, без ПДВ</v>
      </c>
      <c r="C36" s="2525" t="s">
        <v>764</v>
      </c>
      <c r="D36" s="2950">
        <f>D13</f>
        <v>3.6727299999999996</v>
      </c>
      <c r="E36" s="2950">
        <f t="shared" ref="E36:P36" si="19">E13</f>
        <v>3.6727299999999996</v>
      </c>
      <c r="F36" s="2950">
        <f t="shared" si="19"/>
        <v>3.6727299999999996</v>
      </c>
      <c r="G36" s="2950">
        <f t="shared" si="19"/>
        <v>3.6727299999999996</v>
      </c>
      <c r="H36" s="2950">
        <f t="shared" si="19"/>
        <v>3.6727299999999996</v>
      </c>
      <c r="I36" s="2950">
        <f t="shared" si="19"/>
        <v>3.6727299999999996</v>
      </c>
      <c r="J36" s="2950">
        <f t="shared" si="19"/>
        <v>3.6727299999999996</v>
      </c>
      <c r="K36" s="2950">
        <f t="shared" si="19"/>
        <v>3.6727299999999996</v>
      </c>
      <c r="L36" s="2950">
        <f t="shared" si="19"/>
        <v>3.6727299999999996</v>
      </c>
      <c r="M36" s="2950">
        <f t="shared" si="19"/>
        <v>3.6727299999999996</v>
      </c>
      <c r="N36" s="2950">
        <f t="shared" si="19"/>
        <v>3.6727299999999996</v>
      </c>
      <c r="O36" s="2950">
        <f t="shared" si="19"/>
        <v>3.6727299999999996</v>
      </c>
      <c r="P36" s="2950">
        <f t="shared" si="19"/>
        <v>3.6727299999999996</v>
      </c>
      <c r="Q36" s="158" t="s">
        <v>644</v>
      </c>
    </row>
    <row r="37" spans="1:22" ht="25.5" x14ac:dyDescent="0.3">
      <c r="A37" s="2471"/>
      <c r="B37" s="2949" t="s">
        <v>807</v>
      </c>
      <c r="C37" s="2525" t="s">
        <v>40</v>
      </c>
      <c r="D37" s="2951">
        <f>D33*D36</f>
        <v>526.63422379199994</v>
      </c>
      <c r="E37" s="2951">
        <f t="shared" ref="E37:P37" si="20">E33*E36</f>
        <v>7.9419113519999991</v>
      </c>
      <c r="F37" s="2951">
        <f t="shared" si="20"/>
        <v>53.357421439999996</v>
      </c>
      <c r="G37" s="2951">
        <f t="shared" si="20"/>
        <v>125.82479161599998</v>
      </c>
      <c r="H37" s="2951">
        <f t="shared" si="20"/>
        <v>86.417867807999997</v>
      </c>
      <c r="I37" s="2951">
        <f t="shared" si="20"/>
        <v>74.268476967999987</v>
      </c>
      <c r="J37" s="2951">
        <f t="shared" si="20"/>
        <v>87.53143954399998</v>
      </c>
      <c r="K37" s="2951">
        <f t="shared" si="20"/>
        <v>32.781318887999994</v>
      </c>
      <c r="L37" s="2951">
        <f t="shared" si="20"/>
        <v>5.1565129199999999</v>
      </c>
      <c r="M37" s="2951">
        <f t="shared" si="20"/>
        <v>4.3661414239999994</v>
      </c>
      <c r="N37" s="2951">
        <f t="shared" si="20"/>
        <v>25.297764239999996</v>
      </c>
      <c r="O37" s="2951">
        <f t="shared" si="20"/>
        <v>16.142382896000001</v>
      </c>
      <c r="P37" s="2951">
        <f t="shared" si="20"/>
        <v>7.5481946959999977</v>
      </c>
      <c r="Q37" s="158" t="s">
        <v>644</v>
      </c>
      <c r="R37" s="1511">
        <v>5037.10976603974</v>
      </c>
    </row>
    <row r="38" spans="1:22" x14ac:dyDescent="0.3">
      <c r="A38" s="2471"/>
      <c r="B38" s="2963" t="s">
        <v>632</v>
      </c>
      <c r="C38" s="2525" t="s">
        <v>40</v>
      </c>
      <c r="D38" s="2948">
        <f>D34*D36</f>
        <v>154.00512437378768</v>
      </c>
      <c r="E38" s="2948">
        <f t="shared" ref="E38:P38" si="21">E34*E36</f>
        <v>3.2825064182985262</v>
      </c>
      <c r="F38" s="2948">
        <f t="shared" si="21"/>
        <v>12.522764670132457</v>
      </c>
      <c r="G38" s="2948">
        <f t="shared" si="21"/>
        <v>37.340700545843688</v>
      </c>
      <c r="H38" s="2948">
        <f t="shared" si="21"/>
        <v>26.524555760050397</v>
      </c>
      <c r="I38" s="2948">
        <f t="shared" si="21"/>
        <v>24.418640776776062</v>
      </c>
      <c r="J38" s="2948">
        <f t="shared" si="21"/>
        <v>20.111910358840454</v>
      </c>
      <c r="K38" s="2948">
        <f t="shared" si="21"/>
        <v>13.65000998573206</v>
      </c>
      <c r="L38" s="2948">
        <f t="shared" si="21"/>
        <v>1.1421731306331009</v>
      </c>
      <c r="M38" s="2948">
        <f t="shared" si="21"/>
        <v>0.85971442796813391</v>
      </c>
      <c r="N38" s="2948">
        <f t="shared" si="21"/>
        <v>10.268270382485833</v>
      </c>
      <c r="O38" s="2948">
        <f t="shared" si="21"/>
        <v>2.6550090750845552</v>
      </c>
      <c r="P38" s="2948">
        <f t="shared" si="21"/>
        <v>1.2288688419424392</v>
      </c>
      <c r="Q38" s="158" t="s">
        <v>837</v>
      </c>
    </row>
    <row r="39" spans="1:22" x14ac:dyDescent="0.3">
      <c r="A39" s="2471"/>
      <c r="B39" s="2963" t="s">
        <v>631</v>
      </c>
      <c r="C39" s="2525" t="s">
        <v>40</v>
      </c>
      <c r="D39" s="2948">
        <f>D35*D36</f>
        <v>372.62909941821232</v>
      </c>
      <c r="E39" s="2948">
        <f t="shared" ref="E39:P39" si="22">E35*E36</f>
        <v>4.6594049337014729</v>
      </c>
      <c r="F39" s="2948">
        <f t="shared" si="22"/>
        <v>40.834656769867536</v>
      </c>
      <c r="G39" s="2948">
        <f t="shared" si="22"/>
        <v>88.484091070156296</v>
      </c>
      <c r="H39" s="2948">
        <f t="shared" si="22"/>
        <v>59.893312047949593</v>
      </c>
      <c r="I39" s="2948">
        <f t="shared" si="22"/>
        <v>49.849836191223929</v>
      </c>
      <c r="J39" s="2948">
        <f t="shared" si="22"/>
        <v>67.419529185159533</v>
      </c>
      <c r="K39" s="2948">
        <f t="shared" si="22"/>
        <v>19.131308902267939</v>
      </c>
      <c r="L39" s="2948">
        <f t="shared" si="22"/>
        <v>4.0143397893668995</v>
      </c>
      <c r="M39" s="2948">
        <f t="shared" si="22"/>
        <v>3.5064269960318657</v>
      </c>
      <c r="N39" s="2948">
        <f t="shared" si="22"/>
        <v>15.029493857514165</v>
      </c>
      <c r="O39" s="2948">
        <f t="shared" si="22"/>
        <v>13.487373820915447</v>
      </c>
      <c r="P39" s="2948">
        <f t="shared" si="22"/>
        <v>6.319325854057559</v>
      </c>
      <c r="Q39" s="158" t="s">
        <v>837</v>
      </c>
    </row>
    <row r="40" spans="1:22" ht="38.25" x14ac:dyDescent="0.3">
      <c r="A40" s="2471"/>
      <c r="B40" s="2949" t="str">
        <f>'Вхідні дані'!$B$31</f>
        <v>Тариф на послуги з розподілу електричної енергії, 2 клас напруги, без ПДВ</v>
      </c>
      <c r="C40" s="2525" t="s">
        <v>764</v>
      </c>
      <c r="D40" s="2952">
        <f>'Вхідні дані'!$D$31</f>
        <v>1.6650100000000001</v>
      </c>
      <c r="E40" s="2952">
        <f>D40</f>
        <v>1.6650100000000001</v>
      </c>
      <c r="F40" s="2952">
        <f t="shared" ref="F40:P40" si="23">E40</f>
        <v>1.6650100000000001</v>
      </c>
      <c r="G40" s="2952">
        <f t="shared" si="23"/>
        <v>1.6650100000000001</v>
      </c>
      <c r="H40" s="2952">
        <f t="shared" si="23"/>
        <v>1.6650100000000001</v>
      </c>
      <c r="I40" s="2952">
        <f t="shared" si="23"/>
        <v>1.6650100000000001</v>
      </c>
      <c r="J40" s="2952">
        <f t="shared" si="23"/>
        <v>1.6650100000000001</v>
      </c>
      <c r="K40" s="2952">
        <f t="shared" si="23"/>
        <v>1.6650100000000001</v>
      </c>
      <c r="L40" s="2952">
        <f t="shared" si="23"/>
        <v>1.6650100000000001</v>
      </c>
      <c r="M40" s="2952">
        <f t="shared" si="23"/>
        <v>1.6650100000000001</v>
      </c>
      <c r="N40" s="2952">
        <f t="shared" si="23"/>
        <v>1.6650100000000001</v>
      </c>
      <c r="O40" s="2952">
        <f t="shared" si="23"/>
        <v>1.6650100000000001</v>
      </c>
      <c r="P40" s="2952">
        <f t="shared" si="23"/>
        <v>1.6650100000000001</v>
      </c>
      <c r="Q40" s="158" t="s">
        <v>644</v>
      </c>
    </row>
    <row r="41" spans="1:22" ht="25.5" x14ac:dyDescent="0.3">
      <c r="A41" s="2471"/>
      <c r="B41" s="2949" t="s">
        <v>808</v>
      </c>
      <c r="C41" s="2525" t="s">
        <v>40</v>
      </c>
      <c r="D41" s="2953">
        <f>D33*D40-X41</f>
        <v>238.746449904</v>
      </c>
      <c r="E41" s="2953">
        <f t="shared" ref="E41:P41" si="24">E33*E40</f>
        <v>3.6004176239999999</v>
      </c>
      <c r="F41" s="2953">
        <f t="shared" si="24"/>
        <v>24.189265280000001</v>
      </c>
      <c r="G41" s="2953">
        <f t="shared" si="24"/>
        <v>57.041910592000001</v>
      </c>
      <c r="H41" s="2953">
        <f t="shared" si="24"/>
        <v>39.177019296000005</v>
      </c>
      <c r="I41" s="2953">
        <f t="shared" si="24"/>
        <v>33.669166216000001</v>
      </c>
      <c r="J41" s="2953">
        <f t="shared" si="24"/>
        <v>39.681850328000003</v>
      </c>
      <c r="K41" s="2953">
        <f t="shared" si="24"/>
        <v>14.861213255999999</v>
      </c>
      <c r="L41" s="2953">
        <f t="shared" si="24"/>
        <v>2.3376740400000005</v>
      </c>
      <c r="M41" s="2953">
        <f t="shared" si="24"/>
        <v>1.9793638880000002</v>
      </c>
      <c r="N41" s="2953">
        <f t="shared" si="24"/>
        <v>11.46858888</v>
      </c>
      <c r="O41" s="2953">
        <f t="shared" si="24"/>
        <v>7.318051952000002</v>
      </c>
      <c r="P41" s="2953">
        <f t="shared" si="24"/>
        <v>3.4219285519999998</v>
      </c>
      <c r="Q41" s="158" t="s">
        <v>644</v>
      </c>
      <c r="V41" s="1302"/>
    </row>
    <row r="42" spans="1:22" x14ac:dyDescent="0.3">
      <c r="A42" s="2471"/>
      <c r="B42" s="2963" t="s">
        <v>632</v>
      </c>
      <c r="C42" s="2525" t="s">
        <v>40</v>
      </c>
      <c r="D42" s="2956">
        <f>D34*D40</f>
        <v>69.817294528484339</v>
      </c>
      <c r="E42" s="2956">
        <f t="shared" ref="E42:P42" si="25">E34*E40</f>
        <v>1.4881044921710089</v>
      </c>
      <c r="F42" s="2956">
        <f t="shared" si="25"/>
        <v>5.6771198545543085</v>
      </c>
      <c r="G42" s="2956">
        <f t="shared" si="25"/>
        <v>16.9281814388303</v>
      </c>
      <c r="H42" s="2956">
        <f t="shared" si="25"/>
        <v>12.024747418416686</v>
      </c>
      <c r="I42" s="2956">
        <f t="shared" si="25"/>
        <v>11.070043558807731</v>
      </c>
      <c r="J42" s="2956">
        <f t="shared" si="25"/>
        <v>9.1176132921758342</v>
      </c>
      <c r="K42" s="2956">
        <f t="shared" si="25"/>
        <v>6.188149721418057</v>
      </c>
      <c r="L42" s="2956">
        <f t="shared" si="25"/>
        <v>0.51779730179877625</v>
      </c>
      <c r="M42" s="2956">
        <f t="shared" si="25"/>
        <v>0.38974635208992303</v>
      </c>
      <c r="N42" s="2956">
        <f t="shared" si="25"/>
        <v>4.6550584631984213</v>
      </c>
      <c r="O42" s="2956">
        <f t="shared" si="25"/>
        <v>1.2036323552525059</v>
      </c>
      <c r="P42" s="2956">
        <f t="shared" si="25"/>
        <v>0.55710027977079202</v>
      </c>
      <c r="Q42" s="158" t="s">
        <v>837</v>
      </c>
    </row>
    <row r="43" spans="1:22" x14ac:dyDescent="0.3">
      <c r="A43" s="2471"/>
      <c r="B43" s="2963" t="s">
        <v>631</v>
      </c>
      <c r="C43" s="2525" t="s">
        <v>40</v>
      </c>
      <c r="D43" s="2956">
        <f>D35*D40</f>
        <v>168.92915537551571</v>
      </c>
      <c r="E43" s="2956">
        <f t="shared" ref="E43:P43" si="26">E35*E40</f>
        <v>2.1123131318289912</v>
      </c>
      <c r="F43" s="2956">
        <f t="shared" si="26"/>
        <v>18.512145425445695</v>
      </c>
      <c r="G43" s="2956">
        <f t="shared" si="26"/>
        <v>40.1137291531697</v>
      </c>
      <c r="H43" s="2956">
        <f t="shared" si="26"/>
        <v>27.152271877583317</v>
      </c>
      <c r="I43" s="2956">
        <f t="shared" si="26"/>
        <v>22.599122657192268</v>
      </c>
      <c r="J43" s="2956">
        <f t="shared" si="26"/>
        <v>30.564237035824164</v>
      </c>
      <c r="K43" s="2956">
        <f t="shared" si="26"/>
        <v>8.673063534581944</v>
      </c>
      <c r="L43" s="2956">
        <f t="shared" si="26"/>
        <v>1.8198767382012242</v>
      </c>
      <c r="M43" s="2956">
        <f t="shared" si="26"/>
        <v>1.5896175359100773</v>
      </c>
      <c r="N43" s="2956">
        <f t="shared" si="26"/>
        <v>6.81353041680158</v>
      </c>
      <c r="O43" s="2956">
        <f t="shared" si="26"/>
        <v>6.1144195967474966</v>
      </c>
      <c r="P43" s="2956">
        <f t="shared" si="26"/>
        <v>2.8648282722292078</v>
      </c>
      <c r="Q43" s="158" t="s">
        <v>837</v>
      </c>
    </row>
    <row r="44" spans="1:22" ht="25.5" x14ac:dyDescent="0.3">
      <c r="A44" s="2471"/>
      <c r="B44" s="2528" t="s">
        <v>838</v>
      </c>
      <c r="C44" s="2525" t="s">
        <v>40</v>
      </c>
      <c r="D44" s="2954">
        <f>D37+D41</f>
        <v>765.38067369599992</v>
      </c>
      <c r="E44" s="2954">
        <f t="shared" ref="E44:P44" si="27">E37+E41</f>
        <v>11.542328975999999</v>
      </c>
      <c r="F44" s="2954">
        <f t="shared" si="27"/>
        <v>77.546686719999997</v>
      </c>
      <c r="G44" s="2954">
        <f t="shared" si="27"/>
        <v>182.86670220799999</v>
      </c>
      <c r="H44" s="2954">
        <f t="shared" si="27"/>
        <v>125.59488710400001</v>
      </c>
      <c r="I44" s="2954">
        <f t="shared" si="27"/>
        <v>107.937643184</v>
      </c>
      <c r="J44" s="2954">
        <f t="shared" si="27"/>
        <v>127.21328987199999</v>
      </c>
      <c r="K44" s="2954">
        <f t="shared" si="27"/>
        <v>47.642532143999993</v>
      </c>
      <c r="L44" s="2954">
        <f t="shared" si="27"/>
        <v>7.4941869600000004</v>
      </c>
      <c r="M44" s="2954">
        <f t="shared" si="27"/>
        <v>6.3455053119999993</v>
      </c>
      <c r="N44" s="2954">
        <f t="shared" si="27"/>
        <v>36.766353119999998</v>
      </c>
      <c r="O44" s="2954">
        <f t="shared" si="27"/>
        <v>23.460434848000002</v>
      </c>
      <c r="P44" s="2954">
        <f t="shared" si="27"/>
        <v>10.970123247999997</v>
      </c>
      <c r="Q44" s="158" t="s">
        <v>644</v>
      </c>
      <c r="R44" s="1511">
        <v>7319.8803239470999</v>
      </c>
      <c r="S44" s="1302">
        <f>D44-R44</f>
        <v>-6554.4996502511003</v>
      </c>
    </row>
    <row r="45" spans="1:22" x14ac:dyDescent="0.3">
      <c r="A45" s="2471"/>
      <c r="B45" s="2963" t="s">
        <v>632</v>
      </c>
      <c r="C45" s="2525" t="s">
        <v>40</v>
      </c>
      <c r="D45" s="2956">
        <f t="shared" ref="D45:P46" si="28">D38+D42</f>
        <v>223.82241890227203</v>
      </c>
      <c r="E45" s="2956">
        <f t="shared" si="28"/>
        <v>4.7706109104695349</v>
      </c>
      <c r="F45" s="2956">
        <f t="shared" si="28"/>
        <v>18.199884524686766</v>
      </c>
      <c r="G45" s="2956">
        <f t="shared" si="28"/>
        <v>54.268881984673989</v>
      </c>
      <c r="H45" s="2956">
        <f t="shared" si="28"/>
        <v>38.549303178467085</v>
      </c>
      <c r="I45" s="2956">
        <f t="shared" si="28"/>
        <v>35.488684335583791</v>
      </c>
      <c r="J45" s="2956">
        <f t="shared" si="28"/>
        <v>29.229523651016287</v>
      </c>
      <c r="K45" s="2956">
        <f t="shared" si="28"/>
        <v>19.838159707150119</v>
      </c>
      <c r="L45" s="2956">
        <f t="shared" si="28"/>
        <v>1.6599704324318771</v>
      </c>
      <c r="M45" s="2956">
        <f t="shared" si="28"/>
        <v>1.2494607800580568</v>
      </c>
      <c r="N45" s="2956">
        <f t="shared" si="28"/>
        <v>14.923328845684253</v>
      </c>
      <c r="O45" s="2956">
        <f t="shared" si="28"/>
        <v>3.8586414303370611</v>
      </c>
      <c r="P45" s="2956">
        <f t="shared" si="28"/>
        <v>1.7859691217132312</v>
      </c>
      <c r="Q45" s="158" t="s">
        <v>837</v>
      </c>
    </row>
    <row r="46" spans="1:22" x14ac:dyDescent="0.3">
      <c r="A46" s="2471"/>
      <c r="B46" s="2963" t="s">
        <v>631</v>
      </c>
      <c r="C46" s="2525" t="s">
        <v>40</v>
      </c>
      <c r="D46" s="2956">
        <f t="shared" si="28"/>
        <v>541.558254793728</v>
      </c>
      <c r="E46" s="2956">
        <f t="shared" si="28"/>
        <v>6.7717180655304645</v>
      </c>
      <c r="F46" s="2956">
        <f t="shared" si="28"/>
        <v>59.346802195313231</v>
      </c>
      <c r="G46" s="2956">
        <f t="shared" si="28"/>
        <v>128.59782022332598</v>
      </c>
      <c r="H46" s="2956">
        <f t="shared" si="28"/>
        <v>87.04558392553291</v>
      </c>
      <c r="I46" s="2956">
        <f t="shared" si="28"/>
        <v>72.448958848416197</v>
      </c>
      <c r="J46" s="2956">
        <f t="shared" si="28"/>
        <v>97.983766220983696</v>
      </c>
      <c r="K46" s="2956">
        <f t="shared" si="28"/>
        <v>27.804372436849881</v>
      </c>
      <c r="L46" s="2956">
        <f t="shared" si="28"/>
        <v>5.8342165275681239</v>
      </c>
      <c r="M46" s="2956">
        <f t="shared" si="28"/>
        <v>5.096044531941943</v>
      </c>
      <c r="N46" s="2956">
        <f t="shared" si="28"/>
        <v>21.843024274315745</v>
      </c>
      <c r="O46" s="2956">
        <f t="shared" si="28"/>
        <v>19.601793417662943</v>
      </c>
      <c r="P46" s="2956">
        <f t="shared" si="28"/>
        <v>9.1841541262867672</v>
      </c>
      <c r="Q46" s="158" t="s">
        <v>837</v>
      </c>
    </row>
    <row r="47" spans="1:22" ht="25.5" x14ac:dyDescent="0.3">
      <c r="A47" s="2471"/>
      <c r="B47" s="2528" t="s">
        <v>840</v>
      </c>
      <c r="C47" s="2955" t="s">
        <v>145</v>
      </c>
      <c r="D47" s="2956">
        <f t="shared" ref="D47:F49" si="29">D33*$F$102</f>
        <v>7.4649042240000005</v>
      </c>
      <c r="E47" s="2956">
        <f t="shared" si="29"/>
        <v>0.112574544</v>
      </c>
      <c r="F47" s="2956">
        <f t="shared" si="29"/>
        <v>0.75632768000000006</v>
      </c>
      <c r="G47" s="2956">
        <f t="shared" ref="G47:P47" si="30">G33*$F$102</f>
        <v>1.783533952</v>
      </c>
      <c r="H47" s="2956">
        <f t="shared" si="30"/>
        <v>1.2249509760000001</v>
      </c>
      <c r="I47" s="2956">
        <f t="shared" si="30"/>
        <v>1.0527364960000001</v>
      </c>
      <c r="J47" s="2956">
        <f t="shared" si="30"/>
        <v>1.2407355680000001</v>
      </c>
      <c r="K47" s="2956">
        <f t="shared" si="30"/>
        <v>0.46466673599999997</v>
      </c>
      <c r="L47" s="2956">
        <f t="shared" si="30"/>
        <v>7.3092240000000017E-2</v>
      </c>
      <c r="M47" s="2956">
        <f t="shared" si="30"/>
        <v>6.188892800000001E-2</v>
      </c>
      <c r="N47" s="2956">
        <f t="shared" si="30"/>
        <v>0.35858928000000001</v>
      </c>
      <c r="O47" s="2956">
        <f t="shared" si="30"/>
        <v>0.22881411200000004</v>
      </c>
      <c r="P47" s="2956">
        <f t="shared" si="30"/>
        <v>0.10699371199999999</v>
      </c>
      <c r="Q47" s="158" t="s">
        <v>644</v>
      </c>
    </row>
    <row r="48" spans="1:22" x14ac:dyDescent="0.3">
      <c r="A48" s="2471"/>
      <c r="B48" s="2963" t="s">
        <v>632</v>
      </c>
      <c r="C48" s="2955" t="s">
        <v>145</v>
      </c>
      <c r="D48" s="2956">
        <f t="shared" si="29"/>
        <v>2.1829828968912466</v>
      </c>
      <c r="E48" s="2956">
        <f t="shared" si="29"/>
        <v>4.6528681426791868E-2</v>
      </c>
      <c r="F48" s="2956">
        <f t="shared" si="29"/>
        <v>0.177506957692805</v>
      </c>
      <c r="G48" s="2956">
        <f t="shared" ref="G48:P48" si="31">G34*$F$102</f>
        <v>0.52929479444898564</v>
      </c>
      <c r="H48" s="2956">
        <f t="shared" si="31"/>
        <v>0.37597873322248676</v>
      </c>
      <c r="I48" s="2956">
        <f t="shared" si="31"/>
        <v>0.34612793176709478</v>
      </c>
      <c r="J48" s="2956">
        <f t="shared" si="31"/>
        <v>0.28508113944701469</v>
      </c>
      <c r="K48" s="2956">
        <f t="shared" si="31"/>
        <v>0.19348536915515466</v>
      </c>
      <c r="L48" s="2956">
        <f t="shared" si="31"/>
        <v>1.6190009388318563E-2</v>
      </c>
      <c r="M48" s="2956">
        <f t="shared" si="31"/>
        <v>1.2186230166666501E-2</v>
      </c>
      <c r="N48" s="2956">
        <f t="shared" si="31"/>
        <v>0.14555008293890717</v>
      </c>
      <c r="O48" s="2956">
        <f t="shared" si="31"/>
        <v>3.7634068512768966E-2</v>
      </c>
      <c r="P48" s="2956">
        <f t="shared" si="31"/>
        <v>1.7418898724252369E-2</v>
      </c>
      <c r="Q48" s="158" t="s">
        <v>837</v>
      </c>
    </row>
    <row r="49" spans="1:19" x14ac:dyDescent="0.3">
      <c r="A49" s="2471"/>
      <c r="B49" s="2963" t="s">
        <v>631</v>
      </c>
      <c r="C49" s="2955" t="s">
        <v>145</v>
      </c>
      <c r="D49" s="2956">
        <f t="shared" si="29"/>
        <v>5.2819213271087548</v>
      </c>
      <c r="E49" s="2956">
        <f t="shared" si="29"/>
        <v>6.6045862573208131E-2</v>
      </c>
      <c r="F49" s="2956">
        <f t="shared" si="29"/>
        <v>0.57882072230719506</v>
      </c>
      <c r="G49" s="2956">
        <f t="shared" ref="G49:P49" si="32">G35*$F$102</f>
        <v>1.2542391575510146</v>
      </c>
      <c r="H49" s="2956">
        <f t="shared" si="32"/>
        <v>0.84897224277751326</v>
      </c>
      <c r="I49" s="2956">
        <f t="shared" si="32"/>
        <v>0.70660856423290519</v>
      </c>
      <c r="J49" s="2956">
        <f t="shared" si="32"/>
        <v>0.95565442855298532</v>
      </c>
      <c r="K49" s="2956">
        <f t="shared" si="32"/>
        <v>0.2711813668448454</v>
      </c>
      <c r="L49" s="2956">
        <f t="shared" si="32"/>
        <v>5.6902230611681447E-2</v>
      </c>
      <c r="M49" s="2956">
        <f t="shared" si="32"/>
        <v>4.9702697833333503E-2</v>
      </c>
      <c r="N49" s="2956">
        <f t="shared" si="32"/>
        <v>0.21303919706109287</v>
      </c>
      <c r="O49" s="2956">
        <f t="shared" si="32"/>
        <v>0.19118004348723108</v>
      </c>
      <c r="P49" s="2956">
        <f t="shared" si="32"/>
        <v>8.9574813275747622E-2</v>
      </c>
      <c r="Q49" s="158" t="s">
        <v>837</v>
      </c>
    </row>
    <row r="50" spans="1:19" ht="38.25" x14ac:dyDescent="0.3">
      <c r="A50" s="2471"/>
      <c r="B50" s="2528" t="str">
        <f>'Вхідні дані'!$B$33</f>
        <v>Тариф для розрахунку плати за перетікання реактивної електроенергії, без ПДВ</v>
      </c>
      <c r="C50" s="2972" t="s">
        <v>766</v>
      </c>
      <c r="D50" s="2957">
        <f>'Вхідні дані'!$D$33</f>
        <v>0.18164666666666665</v>
      </c>
      <c r="E50" s="2957">
        <f>D50</f>
        <v>0.18164666666666665</v>
      </c>
      <c r="F50" s="2957">
        <f t="shared" ref="F50:P50" si="33">E50</f>
        <v>0.18164666666666665</v>
      </c>
      <c r="G50" s="2957">
        <f t="shared" si="33"/>
        <v>0.18164666666666665</v>
      </c>
      <c r="H50" s="2957">
        <f t="shared" si="33"/>
        <v>0.18164666666666665</v>
      </c>
      <c r="I50" s="2957">
        <f t="shared" si="33"/>
        <v>0.18164666666666665</v>
      </c>
      <c r="J50" s="2957">
        <f t="shared" si="33"/>
        <v>0.18164666666666665</v>
      </c>
      <c r="K50" s="2957">
        <f t="shared" si="33"/>
        <v>0.18164666666666665</v>
      </c>
      <c r="L50" s="2957">
        <f t="shared" si="33"/>
        <v>0.18164666666666665</v>
      </c>
      <c r="M50" s="2957">
        <f t="shared" si="33"/>
        <v>0.18164666666666665</v>
      </c>
      <c r="N50" s="2957">
        <f t="shared" si="33"/>
        <v>0.18164666666666665</v>
      </c>
      <c r="O50" s="2957">
        <f t="shared" si="33"/>
        <v>0.18164666666666665</v>
      </c>
      <c r="P50" s="2957">
        <f t="shared" si="33"/>
        <v>0.18164666666666665</v>
      </c>
      <c r="Q50" s="158" t="s">
        <v>644</v>
      </c>
    </row>
    <row r="51" spans="1:19" ht="38.25" x14ac:dyDescent="0.3">
      <c r="A51" s="2471"/>
      <c r="B51" s="2528" t="s">
        <v>839</v>
      </c>
      <c r="C51" s="2525" t="s">
        <v>40</v>
      </c>
      <c r="D51" s="2953">
        <f t="shared" ref="D51:P51" si="34">D47*D50</f>
        <v>1.3559749692755201</v>
      </c>
      <c r="E51" s="2953">
        <f t="shared" si="34"/>
        <v>2.0448790669119997E-2</v>
      </c>
      <c r="F51" s="2953">
        <f t="shared" si="34"/>
        <v>0.13738440197973334</v>
      </c>
      <c r="G51" s="2953">
        <f t="shared" si="34"/>
        <v>0.32397299726762663</v>
      </c>
      <c r="H51" s="2953">
        <f t="shared" si="34"/>
        <v>0.22250826162048001</v>
      </c>
      <c r="I51" s="2953">
        <f t="shared" si="34"/>
        <v>0.19122607537674666</v>
      </c>
      <c r="J51" s="2953">
        <f t="shared" si="34"/>
        <v>0.22537548014197334</v>
      </c>
      <c r="K51" s="2953">
        <f t="shared" si="34"/>
        <v>8.4405163705279992E-2</v>
      </c>
      <c r="L51" s="2953">
        <f t="shared" si="34"/>
        <v>1.3276961755200002E-2</v>
      </c>
      <c r="M51" s="2953">
        <f t="shared" si="34"/>
        <v>1.1241917474773334E-2</v>
      </c>
      <c r="N51" s="2953">
        <f t="shared" si="34"/>
        <v>6.513654741439999E-2</v>
      </c>
      <c r="O51" s="2953">
        <f t="shared" si="34"/>
        <v>4.1563320731093339E-2</v>
      </c>
      <c r="P51" s="2953">
        <f t="shared" si="34"/>
        <v>1.9435051139093329E-2</v>
      </c>
      <c r="Q51" s="158" t="s">
        <v>644</v>
      </c>
    </row>
    <row r="52" spans="1:19" x14ac:dyDescent="0.3">
      <c r="A52" s="2471"/>
      <c r="B52" s="2963" t="s">
        <v>632</v>
      </c>
      <c r="C52" s="2525" t="s">
        <v>40</v>
      </c>
      <c r="D52" s="2956">
        <f>D48*D50</f>
        <v>0.3965315666106386</v>
      </c>
      <c r="E52" s="2956">
        <f t="shared" ref="E52:P52" si="35">E48*E50</f>
        <v>8.4517798855719868E-3</v>
      </c>
      <c r="F52" s="2956">
        <f t="shared" si="35"/>
        <v>3.224354717503905E-2</v>
      </c>
      <c r="G52" s="2956">
        <f t="shared" si="35"/>
        <v>9.6144635095676736E-2</v>
      </c>
      <c r="H52" s="2956">
        <f t="shared" si="35"/>
        <v>6.8295283627420642E-2</v>
      </c>
      <c r="I52" s="2956">
        <f t="shared" si="35"/>
        <v>6.2872985045720198E-2</v>
      </c>
      <c r="J52" s="2956">
        <f t="shared" si="35"/>
        <v>5.1784038710085391E-2</v>
      </c>
      <c r="K52" s="2956">
        <f t="shared" si="35"/>
        <v>3.5145972355803322E-2</v>
      </c>
      <c r="L52" s="2956">
        <f t="shared" si="35"/>
        <v>2.9408612386901058E-3</v>
      </c>
      <c r="M52" s="2956">
        <f t="shared" si="35"/>
        <v>2.2135880890077476E-3</v>
      </c>
      <c r="N52" s="2956">
        <f t="shared" si="35"/>
        <v>2.6438687398909356E-2</v>
      </c>
      <c r="O52" s="2956">
        <f t="shared" si="35"/>
        <v>6.8361030984494392E-3</v>
      </c>
      <c r="P52" s="2956">
        <f t="shared" si="35"/>
        <v>3.164084890264695E-3</v>
      </c>
      <c r="Q52" s="158" t="s">
        <v>837</v>
      </c>
    </row>
    <row r="53" spans="1:19" x14ac:dyDescent="0.3">
      <c r="A53" s="2471"/>
      <c r="B53" s="2963" t="s">
        <v>631</v>
      </c>
      <c r="C53" s="2525" t="s">
        <v>40</v>
      </c>
      <c r="D53" s="2956">
        <f>D49*D50</f>
        <v>0.95944340266488148</v>
      </c>
      <c r="E53" s="2956">
        <f t="shared" ref="E53:P53" si="36">E49*E50</f>
        <v>1.1997010783548012E-2</v>
      </c>
      <c r="F53" s="2956">
        <f t="shared" si="36"/>
        <v>0.10514085480469428</v>
      </c>
      <c r="G53" s="2956">
        <f t="shared" si="36"/>
        <v>0.22782836217194993</v>
      </c>
      <c r="H53" s="2956">
        <f t="shared" si="36"/>
        <v>0.15421297799305936</v>
      </c>
      <c r="I53" s="2956">
        <f t="shared" si="36"/>
        <v>0.12835309033102643</v>
      </c>
      <c r="J53" s="2956">
        <f t="shared" si="36"/>
        <v>0.17359144143188793</v>
      </c>
      <c r="K53" s="2956">
        <f t="shared" si="36"/>
        <v>4.9259191349476678E-2</v>
      </c>
      <c r="L53" s="2956">
        <f t="shared" si="36"/>
        <v>1.0336100516509895E-2</v>
      </c>
      <c r="M53" s="2956">
        <f t="shared" si="36"/>
        <v>9.028329385765586E-3</v>
      </c>
      <c r="N53" s="2956">
        <f t="shared" si="36"/>
        <v>3.8697860015490644E-2</v>
      </c>
      <c r="O53" s="2956">
        <f t="shared" si="36"/>
        <v>3.47272176326439E-2</v>
      </c>
      <c r="P53" s="2956">
        <f t="shared" si="36"/>
        <v>1.6270966248828636E-2</v>
      </c>
      <c r="Q53" s="158" t="s">
        <v>837</v>
      </c>
    </row>
    <row r="54" spans="1:19" ht="25.5" x14ac:dyDescent="0.3">
      <c r="A54" s="2471"/>
      <c r="B54" s="2528" t="s">
        <v>841</v>
      </c>
      <c r="C54" s="2955" t="s">
        <v>145</v>
      </c>
      <c r="D54" s="2956">
        <f>D33*$F$103</f>
        <v>1.8640752E-2</v>
      </c>
      <c r="E54" s="2956">
        <f t="shared" ref="E54:P54" si="37">E33*$F$103</f>
        <v>2.8111199999999997E-4</v>
      </c>
      <c r="F54" s="2956">
        <f t="shared" si="37"/>
        <v>1.8886399999999998E-3</v>
      </c>
      <c r="G54" s="2956">
        <f t="shared" si="37"/>
        <v>4.4536959999999992E-3</v>
      </c>
      <c r="H54" s="2956">
        <f t="shared" si="37"/>
        <v>3.0588479999999999E-3</v>
      </c>
      <c r="I54" s="2956">
        <f t="shared" si="37"/>
        <v>2.6288079999999994E-3</v>
      </c>
      <c r="J54" s="2956">
        <f t="shared" si="37"/>
        <v>3.0982639999999994E-3</v>
      </c>
      <c r="K54" s="2956">
        <f t="shared" si="37"/>
        <v>1.1603279999999998E-3</v>
      </c>
      <c r="L54" s="2956">
        <f t="shared" si="37"/>
        <v>1.8252000000000001E-4</v>
      </c>
      <c r="M54" s="2956">
        <f t="shared" si="37"/>
        <v>1.54544E-4</v>
      </c>
      <c r="N54" s="2956">
        <f t="shared" si="37"/>
        <v>8.9543999999999995E-4</v>
      </c>
      <c r="O54" s="2956">
        <f t="shared" si="37"/>
        <v>5.7137600000000007E-4</v>
      </c>
      <c r="P54" s="2956">
        <f t="shared" si="37"/>
        <v>2.6717599999999994E-4</v>
      </c>
      <c r="Q54" s="158" t="s">
        <v>644</v>
      </c>
    </row>
    <row r="55" spans="1:19" x14ac:dyDescent="0.3">
      <c r="A55" s="2471"/>
      <c r="B55" s="2963" t="s">
        <v>632</v>
      </c>
      <c r="C55" s="2955" t="s">
        <v>145</v>
      </c>
      <c r="D55" s="2956">
        <f>D34*$F$103</f>
        <v>5.451167433650826E-3</v>
      </c>
      <c r="E55" s="2956">
        <f t="shared" ref="E55:P55" si="38">E34*$F$103</f>
        <v>1.1618764090439766E-4</v>
      </c>
      <c r="F55" s="2956">
        <f t="shared" si="38"/>
        <v>4.4325594506463022E-4</v>
      </c>
      <c r="G55" s="2956">
        <f t="shared" si="38"/>
        <v>1.321711933891051E-3</v>
      </c>
      <c r="H55" s="2956">
        <f t="shared" si="38"/>
        <v>9.3886352898431182E-4</v>
      </c>
      <c r="I55" s="2956">
        <f t="shared" si="38"/>
        <v>8.6432253418598369E-4</v>
      </c>
      <c r="J55" s="2956">
        <f t="shared" si="38"/>
        <v>7.1188144694798127E-4</v>
      </c>
      <c r="K55" s="2956">
        <f t="shared" si="38"/>
        <v>4.8315593527026703E-4</v>
      </c>
      <c r="L55" s="2956">
        <f t="shared" si="38"/>
        <v>4.042837534539787E-5</v>
      </c>
      <c r="M55" s="2956">
        <f t="shared" si="38"/>
        <v>3.0430463343577507E-5</v>
      </c>
      <c r="N55" s="2956">
        <f t="shared" si="38"/>
        <v>3.6345583522969513E-4</v>
      </c>
      <c r="O55" s="2956">
        <f t="shared" si="38"/>
        <v>9.3976736585861799E-5</v>
      </c>
      <c r="P55" s="2956">
        <f t="shared" si="38"/>
        <v>4.3497057897672056E-5</v>
      </c>
      <c r="Q55" s="158" t="s">
        <v>837</v>
      </c>
    </row>
    <row r="56" spans="1:19" x14ac:dyDescent="0.3">
      <c r="A56" s="2471"/>
      <c r="B56" s="2963" t="s">
        <v>631</v>
      </c>
      <c r="C56" s="2955" t="s">
        <v>145</v>
      </c>
      <c r="D56" s="2956">
        <f>D35*$F$103</f>
        <v>1.3189584566349173E-2</v>
      </c>
      <c r="E56" s="2956">
        <f t="shared" ref="E56:P56" si="39">E35*$F$103</f>
        <v>1.6492435909560232E-4</v>
      </c>
      <c r="F56" s="2956">
        <f t="shared" si="39"/>
        <v>1.4453840549353697E-3</v>
      </c>
      <c r="G56" s="2956">
        <f t="shared" si="39"/>
        <v>3.1319840661089486E-3</v>
      </c>
      <c r="H56" s="2956">
        <f t="shared" si="39"/>
        <v>2.1199844710156879E-3</v>
      </c>
      <c r="I56" s="2956">
        <f t="shared" si="39"/>
        <v>1.7644854658140159E-3</v>
      </c>
      <c r="J56" s="2956">
        <f t="shared" si="39"/>
        <v>2.3863825530520181E-3</v>
      </c>
      <c r="K56" s="2956">
        <f t="shared" si="39"/>
        <v>6.7717206472973294E-4</v>
      </c>
      <c r="L56" s="2956">
        <f t="shared" si="39"/>
        <v>1.4209162465460214E-4</v>
      </c>
      <c r="M56" s="2956">
        <f t="shared" si="39"/>
        <v>1.2411353665642248E-4</v>
      </c>
      <c r="N56" s="2956">
        <f t="shared" si="39"/>
        <v>5.3198416477030482E-4</v>
      </c>
      <c r="O56" s="2956">
        <f t="shared" si="39"/>
        <v>4.7739926341413831E-4</v>
      </c>
      <c r="P56" s="2956">
        <f t="shared" si="39"/>
        <v>2.2367894210232789E-4</v>
      </c>
      <c r="Q56" s="158" t="s">
        <v>837</v>
      </c>
    </row>
    <row r="57" spans="1:19" ht="38.25" x14ac:dyDescent="0.3">
      <c r="A57" s="2471"/>
      <c r="B57" s="2528" t="str">
        <f>'Вхідні дані'!$B$35</f>
        <v>Тариф для розрахунку плати за генерацію реактивної електроенергії, без ПДВ</v>
      </c>
      <c r="C57" s="2972" t="s">
        <v>766</v>
      </c>
      <c r="D57" s="2957">
        <f>'Вхідні дані'!$D$35</f>
        <v>0</v>
      </c>
      <c r="E57" s="2957">
        <f t="shared" ref="E57:P57" si="40">D57</f>
        <v>0</v>
      </c>
      <c r="F57" s="2957">
        <f t="shared" si="40"/>
        <v>0</v>
      </c>
      <c r="G57" s="2957">
        <f t="shared" si="40"/>
        <v>0</v>
      </c>
      <c r="H57" s="2957">
        <f t="shared" si="40"/>
        <v>0</v>
      </c>
      <c r="I57" s="2957">
        <f t="shared" si="40"/>
        <v>0</v>
      </c>
      <c r="J57" s="2957">
        <f t="shared" si="40"/>
        <v>0</v>
      </c>
      <c r="K57" s="2957">
        <f t="shared" si="40"/>
        <v>0</v>
      </c>
      <c r="L57" s="2957">
        <f t="shared" si="40"/>
        <v>0</v>
      </c>
      <c r="M57" s="2957">
        <f t="shared" si="40"/>
        <v>0</v>
      </c>
      <c r="N57" s="2957">
        <f t="shared" si="40"/>
        <v>0</v>
      </c>
      <c r="O57" s="2957">
        <f t="shared" si="40"/>
        <v>0</v>
      </c>
      <c r="P57" s="2957">
        <f t="shared" si="40"/>
        <v>0</v>
      </c>
      <c r="Q57" s="158" t="s">
        <v>644</v>
      </c>
    </row>
    <row r="58" spans="1:19" ht="38.25" x14ac:dyDescent="0.3">
      <c r="A58" s="2471"/>
      <c r="B58" s="2528" t="s">
        <v>842</v>
      </c>
      <c r="C58" s="2525" t="s">
        <v>40</v>
      </c>
      <c r="D58" s="2953">
        <f>D54*D57</f>
        <v>0</v>
      </c>
      <c r="E58" s="2953">
        <f t="shared" ref="E58:P58" si="41">E54*E57</f>
        <v>0</v>
      </c>
      <c r="F58" s="2953">
        <f t="shared" si="41"/>
        <v>0</v>
      </c>
      <c r="G58" s="2953">
        <f t="shared" si="41"/>
        <v>0</v>
      </c>
      <c r="H58" s="2953">
        <f t="shared" si="41"/>
        <v>0</v>
      </c>
      <c r="I58" s="2953">
        <f t="shared" si="41"/>
        <v>0</v>
      </c>
      <c r="J58" s="2953">
        <f t="shared" si="41"/>
        <v>0</v>
      </c>
      <c r="K58" s="2953">
        <f t="shared" si="41"/>
        <v>0</v>
      </c>
      <c r="L58" s="2953">
        <f t="shared" si="41"/>
        <v>0</v>
      </c>
      <c r="M58" s="2953">
        <f t="shared" si="41"/>
        <v>0</v>
      </c>
      <c r="N58" s="2953">
        <f t="shared" si="41"/>
        <v>0</v>
      </c>
      <c r="O58" s="2953">
        <f t="shared" si="41"/>
        <v>0</v>
      </c>
      <c r="P58" s="2953">
        <f t="shared" si="41"/>
        <v>0</v>
      </c>
    </row>
    <row r="59" spans="1:19" x14ac:dyDescent="0.3">
      <c r="A59" s="2471"/>
      <c r="B59" s="2963" t="s">
        <v>632</v>
      </c>
      <c r="C59" s="2525" t="s">
        <v>40</v>
      </c>
      <c r="D59" s="2956">
        <f>D55*D57</f>
        <v>0</v>
      </c>
      <c r="E59" s="2956">
        <f t="shared" ref="E59:O59" si="42">E55*E57</f>
        <v>0</v>
      </c>
      <c r="F59" s="2956">
        <f t="shared" si="42"/>
        <v>0</v>
      </c>
      <c r="G59" s="2956">
        <f t="shared" si="42"/>
        <v>0</v>
      </c>
      <c r="H59" s="2956">
        <f t="shared" si="42"/>
        <v>0</v>
      </c>
      <c r="I59" s="2956">
        <f t="shared" si="42"/>
        <v>0</v>
      </c>
      <c r="J59" s="2956">
        <f t="shared" si="42"/>
        <v>0</v>
      </c>
      <c r="K59" s="2956">
        <f t="shared" si="42"/>
        <v>0</v>
      </c>
      <c r="L59" s="2956">
        <f t="shared" si="42"/>
        <v>0</v>
      </c>
      <c r="M59" s="2956">
        <f t="shared" si="42"/>
        <v>0</v>
      </c>
      <c r="N59" s="2956">
        <f t="shared" si="42"/>
        <v>0</v>
      </c>
      <c r="O59" s="2956">
        <f t="shared" si="42"/>
        <v>0</v>
      </c>
      <c r="P59" s="2956">
        <f>P55*P57</f>
        <v>0</v>
      </c>
    </row>
    <row r="60" spans="1:19" x14ac:dyDescent="0.3">
      <c r="A60" s="2471"/>
      <c r="B60" s="2963" t="s">
        <v>631</v>
      </c>
      <c r="C60" s="2525" t="s">
        <v>40</v>
      </c>
      <c r="D60" s="2956">
        <f>D56*D57</f>
        <v>0</v>
      </c>
      <c r="E60" s="2956">
        <f t="shared" ref="E60:P60" si="43">E56*E57</f>
        <v>0</v>
      </c>
      <c r="F60" s="2956">
        <f t="shared" si="43"/>
        <v>0</v>
      </c>
      <c r="G60" s="2956">
        <f t="shared" si="43"/>
        <v>0</v>
      </c>
      <c r="H60" s="2956">
        <f t="shared" si="43"/>
        <v>0</v>
      </c>
      <c r="I60" s="2956">
        <f t="shared" si="43"/>
        <v>0</v>
      </c>
      <c r="J60" s="2956">
        <f t="shared" si="43"/>
        <v>0</v>
      </c>
      <c r="K60" s="2956">
        <f t="shared" si="43"/>
        <v>0</v>
      </c>
      <c r="L60" s="2956">
        <f t="shared" si="43"/>
        <v>0</v>
      </c>
      <c r="M60" s="2956">
        <f t="shared" si="43"/>
        <v>0</v>
      </c>
      <c r="N60" s="2956">
        <f t="shared" si="43"/>
        <v>0</v>
      </c>
      <c r="O60" s="2956">
        <f t="shared" si="43"/>
        <v>0</v>
      </c>
      <c r="P60" s="2956">
        <f t="shared" si="43"/>
        <v>0</v>
      </c>
    </row>
    <row r="61" spans="1:19" ht="25.5" x14ac:dyDescent="0.3">
      <c r="A61" s="2471"/>
      <c r="B61" s="2528" t="s">
        <v>845</v>
      </c>
      <c r="C61" s="2525" t="s">
        <v>40</v>
      </c>
      <c r="D61" s="2954">
        <f>D51+D58</f>
        <v>1.3559749692755201</v>
      </c>
      <c r="E61" s="2954">
        <f t="shared" ref="E61:P61" si="44">E51+E58</f>
        <v>2.0448790669119997E-2</v>
      </c>
      <c r="F61" s="2954">
        <f t="shared" si="44"/>
        <v>0.13738440197973334</v>
      </c>
      <c r="G61" s="2954">
        <f t="shared" si="44"/>
        <v>0.32397299726762663</v>
      </c>
      <c r="H61" s="2954">
        <f t="shared" si="44"/>
        <v>0.22250826162048001</v>
      </c>
      <c r="I61" s="2954">
        <f t="shared" si="44"/>
        <v>0.19122607537674666</v>
      </c>
      <c r="J61" s="2954">
        <f t="shared" si="44"/>
        <v>0.22537548014197334</v>
      </c>
      <c r="K61" s="2954">
        <f t="shared" si="44"/>
        <v>8.4405163705279992E-2</v>
      </c>
      <c r="L61" s="2954">
        <f t="shared" si="44"/>
        <v>1.3276961755200002E-2</v>
      </c>
      <c r="M61" s="2954">
        <f t="shared" si="44"/>
        <v>1.1241917474773334E-2</v>
      </c>
      <c r="N61" s="2954">
        <f t="shared" si="44"/>
        <v>6.513654741439999E-2</v>
      </c>
      <c r="O61" s="2954">
        <f t="shared" si="44"/>
        <v>4.1563320731093339E-2</v>
      </c>
      <c r="P61" s="2954">
        <f t="shared" si="44"/>
        <v>1.9435051139093329E-2</v>
      </c>
    </row>
    <row r="62" spans="1:19" x14ac:dyDescent="0.3">
      <c r="A62" s="2471"/>
      <c r="B62" s="2963" t="s">
        <v>632</v>
      </c>
      <c r="C62" s="2525" t="s">
        <v>40</v>
      </c>
      <c r="D62" s="2956">
        <f>D52+D59</f>
        <v>0.3965315666106386</v>
      </c>
      <c r="E62" s="2956">
        <f t="shared" ref="E62:P63" si="45">E52+E59</f>
        <v>8.4517798855719868E-3</v>
      </c>
      <c r="F62" s="2956">
        <f t="shared" si="45"/>
        <v>3.224354717503905E-2</v>
      </c>
      <c r="G62" s="2956">
        <f t="shared" si="45"/>
        <v>9.6144635095676736E-2</v>
      </c>
      <c r="H62" s="2956">
        <f t="shared" si="45"/>
        <v>6.8295283627420642E-2</v>
      </c>
      <c r="I62" s="2956">
        <f t="shared" si="45"/>
        <v>6.2872985045720198E-2</v>
      </c>
      <c r="J62" s="2956">
        <f t="shared" si="45"/>
        <v>5.1784038710085391E-2</v>
      </c>
      <c r="K62" s="2956">
        <f t="shared" si="45"/>
        <v>3.5145972355803322E-2</v>
      </c>
      <c r="L62" s="2956">
        <f t="shared" si="45"/>
        <v>2.9408612386901058E-3</v>
      </c>
      <c r="M62" s="2956">
        <f t="shared" si="45"/>
        <v>2.2135880890077476E-3</v>
      </c>
      <c r="N62" s="2956">
        <f t="shared" si="45"/>
        <v>2.6438687398909356E-2</v>
      </c>
      <c r="O62" s="2956">
        <f t="shared" si="45"/>
        <v>6.8361030984494392E-3</v>
      </c>
      <c r="P62" s="2956">
        <f t="shared" si="45"/>
        <v>3.164084890264695E-3</v>
      </c>
    </row>
    <row r="63" spans="1:19" x14ac:dyDescent="0.3">
      <c r="A63" s="2471"/>
      <c r="B63" s="2963" t="s">
        <v>631</v>
      </c>
      <c r="C63" s="2525" t="s">
        <v>40</v>
      </c>
      <c r="D63" s="2956">
        <f>D53+D60</f>
        <v>0.95944340266488148</v>
      </c>
      <c r="E63" s="2956">
        <f t="shared" si="45"/>
        <v>1.1997010783548012E-2</v>
      </c>
      <c r="F63" s="2956">
        <f t="shared" si="45"/>
        <v>0.10514085480469428</v>
      </c>
      <c r="G63" s="2956">
        <f t="shared" si="45"/>
        <v>0.22782836217194993</v>
      </c>
      <c r="H63" s="2956">
        <f t="shared" si="45"/>
        <v>0.15421297799305936</v>
      </c>
      <c r="I63" s="2956">
        <f t="shared" si="45"/>
        <v>0.12835309033102643</v>
      </c>
      <c r="J63" s="2956">
        <f t="shared" si="45"/>
        <v>0.17359144143188793</v>
      </c>
      <c r="K63" s="2956">
        <f t="shared" si="45"/>
        <v>4.9259191349476678E-2</v>
      </c>
      <c r="L63" s="2956">
        <f t="shared" si="45"/>
        <v>1.0336100516509895E-2</v>
      </c>
      <c r="M63" s="2956">
        <f t="shared" si="45"/>
        <v>9.028329385765586E-3</v>
      </c>
      <c r="N63" s="2956">
        <f t="shared" si="45"/>
        <v>3.8697860015490644E-2</v>
      </c>
      <c r="O63" s="2956">
        <f t="shared" si="45"/>
        <v>3.47272176326439E-2</v>
      </c>
      <c r="P63" s="2956">
        <f t="shared" si="45"/>
        <v>1.6270966248828636E-2</v>
      </c>
    </row>
    <row r="64" spans="1:19" ht="38.25" x14ac:dyDescent="0.3">
      <c r="A64" s="2471"/>
      <c r="B64" s="2528" t="s">
        <v>843</v>
      </c>
      <c r="C64" s="2525" t="s">
        <v>40</v>
      </c>
      <c r="D64" s="2959">
        <f>D61+D44</f>
        <v>766.73664866527542</v>
      </c>
      <c r="E64" s="2959">
        <f t="shared" ref="E64:P64" si="46">E61+E44</f>
        <v>11.562777766669118</v>
      </c>
      <c r="F64" s="2959">
        <f t="shared" si="46"/>
        <v>77.684071121979727</v>
      </c>
      <c r="G64" s="2959">
        <f t="shared" si="46"/>
        <v>183.19067520526761</v>
      </c>
      <c r="H64" s="2959">
        <f t="shared" si="46"/>
        <v>125.81739536562048</v>
      </c>
      <c r="I64" s="2959">
        <f t="shared" si="46"/>
        <v>108.12886925937674</v>
      </c>
      <c r="J64" s="2959">
        <f t="shared" si="46"/>
        <v>127.43866535214197</v>
      </c>
      <c r="K64" s="2959">
        <f t="shared" si="46"/>
        <v>47.726937307705271</v>
      </c>
      <c r="L64" s="2959">
        <f t="shared" si="46"/>
        <v>7.5074639217552006</v>
      </c>
      <c r="M64" s="2959">
        <f t="shared" si="46"/>
        <v>6.3567472294747729</v>
      </c>
      <c r="N64" s="2959">
        <f t="shared" si="46"/>
        <v>36.831489667414395</v>
      </c>
      <c r="O64" s="2959">
        <f t="shared" si="46"/>
        <v>23.501998168731095</v>
      </c>
      <c r="P64" s="2959">
        <f t="shared" si="46"/>
        <v>10.989558299139089</v>
      </c>
      <c r="R64" s="1513">
        <f>Q64-D64</f>
        <v>-766.73664866527542</v>
      </c>
      <c r="S64" s="26">
        <f>D64/D27*1000</f>
        <v>196.62332776530414</v>
      </c>
    </row>
    <row r="65" spans="1:22" x14ac:dyDescent="0.3">
      <c r="A65" s="2471"/>
      <c r="B65" s="2963" t="s">
        <v>632</v>
      </c>
      <c r="C65" s="2525" t="s">
        <v>40</v>
      </c>
      <c r="D65" s="2962">
        <f>D62+D45</f>
        <v>224.21895046888267</v>
      </c>
      <c r="E65" s="2962">
        <f t="shared" ref="E65:P66" si="47">E62+E45</f>
        <v>4.779062690355107</v>
      </c>
      <c r="F65" s="2962">
        <f t="shared" si="47"/>
        <v>18.232128071861805</v>
      </c>
      <c r="G65" s="2962">
        <f t="shared" si="47"/>
        <v>54.365026619769665</v>
      </c>
      <c r="H65" s="2962">
        <f t="shared" si="47"/>
        <v>38.617598462094506</v>
      </c>
      <c r="I65" s="2962">
        <f t="shared" si="47"/>
        <v>35.551557320629513</v>
      </c>
      <c r="J65" s="2962">
        <f t="shared" si="47"/>
        <v>29.281307689726372</v>
      </c>
      <c r="K65" s="2962">
        <f t="shared" si="47"/>
        <v>19.873305679505922</v>
      </c>
      <c r="L65" s="2962">
        <f t="shared" si="47"/>
        <v>1.6629112936705672</v>
      </c>
      <c r="M65" s="2962">
        <f t="shared" si="47"/>
        <v>1.2516743681470646</v>
      </c>
      <c r="N65" s="2962">
        <f t="shared" si="47"/>
        <v>14.949767533083163</v>
      </c>
      <c r="O65" s="2962">
        <f t="shared" si="47"/>
        <v>3.8654775334355107</v>
      </c>
      <c r="P65" s="2962">
        <f t="shared" si="47"/>
        <v>1.789133206603496</v>
      </c>
      <c r="R65" s="1513">
        <f>Q65-D65</f>
        <v>-224.21895046888267</v>
      </c>
      <c r="S65" s="26">
        <f>D65/D28*1000</f>
        <v>198.74359570792657</v>
      </c>
    </row>
    <row r="66" spans="1:22" x14ac:dyDescent="0.3">
      <c r="A66" s="2471"/>
      <c r="B66" s="2963" t="s">
        <v>631</v>
      </c>
      <c r="C66" s="2525" t="s">
        <v>40</v>
      </c>
      <c r="D66" s="2962">
        <f>D63+D46</f>
        <v>542.51769819639287</v>
      </c>
      <c r="E66" s="2962">
        <f t="shared" si="47"/>
        <v>6.7837150763140128</v>
      </c>
      <c r="F66" s="2962">
        <f t="shared" si="47"/>
        <v>59.451943050117926</v>
      </c>
      <c r="G66" s="2962">
        <f t="shared" si="47"/>
        <v>128.82564858549793</v>
      </c>
      <c r="H66" s="2962">
        <f t="shared" si="47"/>
        <v>87.199796903525964</v>
      </c>
      <c r="I66" s="2962">
        <f t="shared" si="47"/>
        <v>72.577311938747229</v>
      </c>
      <c r="J66" s="2962">
        <f t="shared" si="47"/>
        <v>98.157357662415578</v>
      </c>
      <c r="K66" s="2962">
        <f t="shared" si="47"/>
        <v>27.853631628199359</v>
      </c>
      <c r="L66" s="2962">
        <f t="shared" si="47"/>
        <v>5.8445526280846334</v>
      </c>
      <c r="M66" s="2962">
        <f t="shared" si="47"/>
        <v>5.1050728613277085</v>
      </c>
      <c r="N66" s="2962">
        <f t="shared" si="47"/>
        <v>21.881722134331234</v>
      </c>
      <c r="O66" s="2962">
        <f t="shared" si="47"/>
        <v>19.636520635295586</v>
      </c>
      <c r="P66" s="2962">
        <f t="shared" si="47"/>
        <v>9.2004250925355961</v>
      </c>
      <c r="R66" s="1513">
        <f>Q66-D66</f>
        <v>-542.51769819639287</v>
      </c>
      <c r="S66" s="26">
        <f>D66/D29*1000</f>
        <v>195.76018946962137</v>
      </c>
    </row>
    <row r="67" spans="1:22" x14ac:dyDescent="0.3">
      <c r="A67" s="2471"/>
      <c r="B67" s="3863" t="s">
        <v>284</v>
      </c>
      <c r="C67" s="3864"/>
      <c r="D67" s="3864"/>
      <c r="E67" s="3864"/>
      <c r="F67" s="3864"/>
      <c r="G67" s="3864"/>
      <c r="H67" s="3864"/>
      <c r="I67" s="3864"/>
      <c r="J67" s="3864"/>
      <c r="K67" s="3864"/>
      <c r="L67" s="3864"/>
      <c r="M67" s="3864"/>
      <c r="N67" s="3864"/>
      <c r="O67" s="3864"/>
      <c r="P67" s="3865"/>
    </row>
    <row r="68" spans="1:22" ht="38.25" x14ac:dyDescent="0.3">
      <c r="A68" s="2471"/>
      <c r="B68" s="2528" t="s">
        <v>2727</v>
      </c>
      <c r="C68" s="2525" t="s">
        <v>190</v>
      </c>
      <c r="D68" s="2962">
        <f>D27</f>
        <v>3899.5202521466663</v>
      </c>
      <c r="E68" s="2962">
        <f t="shared" ref="E68:P68" si="48">E27</f>
        <v>109.43</v>
      </c>
      <c r="F68" s="2962">
        <f t="shared" si="48"/>
        <v>514.65320464000001</v>
      </c>
      <c r="G68" s="2962">
        <f t="shared" si="48"/>
        <v>649.53671733333317</v>
      </c>
      <c r="H68" s="2962">
        <f t="shared" si="48"/>
        <v>762.46136799999999</v>
      </c>
      <c r="I68" s="2962">
        <f t="shared" si="48"/>
        <v>638.37610274666667</v>
      </c>
      <c r="J68" s="2962">
        <f t="shared" si="48"/>
        <v>582.60285942666656</v>
      </c>
      <c r="K68" s="2962">
        <f t="shared" si="48"/>
        <v>105.9</v>
      </c>
      <c r="L68" s="2962">
        <f t="shared" si="48"/>
        <v>109.43</v>
      </c>
      <c r="M68" s="2962">
        <f t="shared" si="48"/>
        <v>105.9</v>
      </c>
      <c r="N68" s="2962">
        <f t="shared" si="48"/>
        <v>109.43</v>
      </c>
      <c r="O68" s="2962">
        <f t="shared" si="48"/>
        <v>105.9</v>
      </c>
      <c r="P68" s="2962">
        <f t="shared" si="48"/>
        <v>105.9</v>
      </c>
    </row>
    <row r="69" spans="1:22" ht="38.25" x14ac:dyDescent="0.3">
      <c r="A69" s="2471"/>
      <c r="B69" s="2528" t="s">
        <v>285</v>
      </c>
      <c r="C69" s="2525" t="s">
        <v>191</v>
      </c>
      <c r="D69" s="2965">
        <f>D70/D68*1000</f>
        <v>0.15386508113907166</v>
      </c>
      <c r="E69" s="2965">
        <f t="shared" ref="E69:K69" si="49">E70/E68*1000</f>
        <v>0.45691309512930639</v>
      </c>
      <c r="F69" s="2965">
        <f t="shared" si="49"/>
        <v>9.7152800272515563E-2</v>
      </c>
      <c r="G69" s="2965">
        <f t="shared" si="49"/>
        <v>7.6977942379107572E-2</v>
      </c>
      <c r="H69" s="2965">
        <f t="shared" si="49"/>
        <v>6.5577092949842417E-2</v>
      </c>
      <c r="I69" s="2965">
        <f t="shared" si="49"/>
        <v>7.8323733900549877E-2</v>
      </c>
      <c r="J69" s="2965">
        <f t="shared" si="49"/>
        <v>8.5821755233409749E-2</v>
      </c>
      <c r="K69" s="2965">
        <f t="shared" si="49"/>
        <v>0.47214353163361666</v>
      </c>
      <c r="L69" s="2965">
        <v>0</v>
      </c>
      <c r="M69" s="2965">
        <v>0</v>
      </c>
      <c r="N69" s="2965">
        <v>0</v>
      </c>
      <c r="O69" s="2965">
        <v>0</v>
      </c>
      <c r="P69" s="2965">
        <v>0</v>
      </c>
      <c r="Q69" s="26" t="s">
        <v>856</v>
      </c>
    </row>
    <row r="70" spans="1:22" ht="25.5" x14ac:dyDescent="0.3">
      <c r="A70" s="2471"/>
      <c r="B70" s="2528" t="s">
        <v>192</v>
      </c>
      <c r="C70" s="2525" t="s">
        <v>193</v>
      </c>
      <c r="D70" s="2962">
        <f>SUM(E70:P70)</f>
        <v>0.6</v>
      </c>
      <c r="E70" s="2962">
        <f>(O186+P186)/1000</f>
        <v>0.05</v>
      </c>
      <c r="F70" s="2962">
        <f>Q186/1000</f>
        <v>0.05</v>
      </c>
      <c r="G70" s="2962">
        <f>R186/1000</f>
        <v>0.05</v>
      </c>
      <c r="H70" s="2962">
        <f>E186/1000</f>
        <v>0.05</v>
      </c>
      <c r="I70" s="2962">
        <f t="shared" ref="I70:J70" si="50">F186/1000</f>
        <v>0.05</v>
      </c>
      <c r="J70" s="2962">
        <f t="shared" si="50"/>
        <v>0.05</v>
      </c>
      <c r="K70" s="2962">
        <f>(H186+I186)/1000</f>
        <v>0.05</v>
      </c>
      <c r="L70" s="2962">
        <f>J186/1000</f>
        <v>0.05</v>
      </c>
      <c r="M70" s="2962">
        <f t="shared" ref="M70:P70" si="51">K186/1000</f>
        <v>0.05</v>
      </c>
      <c r="N70" s="2962">
        <f t="shared" si="51"/>
        <v>0.05</v>
      </c>
      <c r="O70" s="2962">
        <f t="shared" si="51"/>
        <v>0.05</v>
      </c>
      <c r="P70" s="2962">
        <f t="shared" si="51"/>
        <v>0.05</v>
      </c>
    </row>
    <row r="71" spans="1:22" ht="25.5" x14ac:dyDescent="0.3">
      <c r="A71" s="2471"/>
      <c r="B71" s="2949" t="str">
        <f>'Вхідні дані'!$B$29</f>
        <v>Тариф на електричну енергію, без ПДВ</v>
      </c>
      <c r="C71" s="2525" t="s">
        <v>764</v>
      </c>
      <c r="D71" s="2950">
        <f>'Вхідні дані'!$D$29</f>
        <v>3.6727299999999996</v>
      </c>
      <c r="E71" s="2950">
        <f t="shared" ref="E71:P71" si="52">D71</f>
        <v>3.6727299999999996</v>
      </c>
      <c r="F71" s="2950">
        <f t="shared" si="52"/>
        <v>3.6727299999999996</v>
      </c>
      <c r="G71" s="2950">
        <f t="shared" si="52"/>
        <v>3.6727299999999996</v>
      </c>
      <c r="H71" s="2950">
        <f t="shared" si="52"/>
        <v>3.6727299999999996</v>
      </c>
      <c r="I71" s="2950">
        <f t="shared" si="52"/>
        <v>3.6727299999999996</v>
      </c>
      <c r="J71" s="2950">
        <f t="shared" si="52"/>
        <v>3.6727299999999996</v>
      </c>
      <c r="K71" s="2950">
        <f t="shared" si="52"/>
        <v>3.6727299999999996</v>
      </c>
      <c r="L71" s="2950">
        <f t="shared" si="52"/>
        <v>3.6727299999999996</v>
      </c>
      <c r="M71" s="2950">
        <f t="shared" si="52"/>
        <v>3.6727299999999996</v>
      </c>
      <c r="N71" s="2950">
        <f t="shared" si="52"/>
        <v>3.6727299999999996</v>
      </c>
      <c r="O71" s="2950">
        <f t="shared" si="52"/>
        <v>3.6727299999999996</v>
      </c>
      <c r="P71" s="2950">
        <f t="shared" si="52"/>
        <v>3.6727299999999996</v>
      </c>
      <c r="Q71" s="158" t="s">
        <v>644</v>
      </c>
    </row>
    <row r="72" spans="1:22" x14ac:dyDescent="0.3">
      <c r="A72" s="2471"/>
      <c r="B72" s="2949" t="s">
        <v>763</v>
      </c>
      <c r="C72" s="2525" t="s">
        <v>40</v>
      </c>
      <c r="D72" s="2951">
        <f>D70*D71</f>
        <v>2.2036379999999998</v>
      </c>
      <c r="E72" s="2951">
        <f t="shared" ref="E72:P72" si="53">E70*E71</f>
        <v>0.18363649999999998</v>
      </c>
      <c r="F72" s="2951">
        <f t="shared" si="53"/>
        <v>0.18363649999999998</v>
      </c>
      <c r="G72" s="2951">
        <f t="shared" si="53"/>
        <v>0.18363649999999998</v>
      </c>
      <c r="H72" s="2951">
        <f t="shared" si="53"/>
        <v>0.18363649999999998</v>
      </c>
      <c r="I72" s="2951">
        <f t="shared" si="53"/>
        <v>0.18363649999999998</v>
      </c>
      <c r="J72" s="2951">
        <f t="shared" si="53"/>
        <v>0.18363649999999998</v>
      </c>
      <c r="K72" s="2951">
        <f t="shared" si="53"/>
        <v>0.18363649999999998</v>
      </c>
      <c r="L72" s="2951">
        <f t="shared" si="53"/>
        <v>0.18363649999999998</v>
      </c>
      <c r="M72" s="2951">
        <f t="shared" si="53"/>
        <v>0.18363649999999998</v>
      </c>
      <c r="N72" s="2951">
        <f t="shared" si="53"/>
        <v>0.18363649999999998</v>
      </c>
      <c r="O72" s="2951">
        <f t="shared" si="53"/>
        <v>0.18363649999999998</v>
      </c>
      <c r="P72" s="2951">
        <f t="shared" si="53"/>
        <v>0.18363649999999998</v>
      </c>
      <c r="Q72" s="158" t="s">
        <v>644</v>
      </c>
    </row>
    <row r="73" spans="1:22" ht="38.25" x14ac:dyDescent="0.3">
      <c r="A73" s="2471"/>
      <c r="B73" s="2949" t="str">
        <f>'Вхідні дані'!$B$31</f>
        <v>Тариф на послуги з розподілу електричної енергії, 2 клас напруги, без ПДВ</v>
      </c>
      <c r="C73" s="2525" t="s">
        <v>764</v>
      </c>
      <c r="D73" s="2952">
        <f>'Вхідні дані'!$D$31</f>
        <v>1.6650100000000001</v>
      </c>
      <c r="E73" s="2952">
        <f t="shared" ref="E73:P73" si="54">D73</f>
        <v>1.6650100000000001</v>
      </c>
      <c r="F73" s="2952">
        <f t="shared" si="54"/>
        <v>1.6650100000000001</v>
      </c>
      <c r="G73" s="2952">
        <f t="shared" si="54"/>
        <v>1.6650100000000001</v>
      </c>
      <c r="H73" s="2952">
        <f t="shared" si="54"/>
        <v>1.6650100000000001</v>
      </c>
      <c r="I73" s="2952">
        <f t="shared" si="54"/>
        <v>1.6650100000000001</v>
      </c>
      <c r="J73" s="2952">
        <f t="shared" si="54"/>
        <v>1.6650100000000001</v>
      </c>
      <c r="K73" s="2952">
        <f t="shared" si="54"/>
        <v>1.6650100000000001</v>
      </c>
      <c r="L73" s="2952">
        <f t="shared" si="54"/>
        <v>1.6650100000000001</v>
      </c>
      <c r="M73" s="2952">
        <f t="shared" si="54"/>
        <v>1.6650100000000001</v>
      </c>
      <c r="N73" s="2952">
        <f t="shared" si="54"/>
        <v>1.6650100000000001</v>
      </c>
      <c r="O73" s="2952">
        <f t="shared" si="54"/>
        <v>1.6650100000000001</v>
      </c>
      <c r="P73" s="2952">
        <f t="shared" si="54"/>
        <v>1.6650100000000001</v>
      </c>
      <c r="Q73" s="158" t="s">
        <v>644</v>
      </c>
    </row>
    <row r="74" spans="1:22" x14ac:dyDescent="0.3">
      <c r="A74" s="2471"/>
      <c r="B74" s="2949" t="s">
        <v>765</v>
      </c>
      <c r="C74" s="2525" t="s">
        <v>40</v>
      </c>
      <c r="D74" s="2953">
        <f>D70*D73-X74</f>
        <v>0.99900600000000006</v>
      </c>
      <c r="E74" s="2953">
        <f t="shared" ref="E74:P74" si="55">E70*E73</f>
        <v>8.3250500000000005E-2</v>
      </c>
      <c r="F74" s="2953">
        <f t="shared" si="55"/>
        <v>8.3250500000000005E-2</v>
      </c>
      <c r="G74" s="2953">
        <f t="shared" si="55"/>
        <v>8.3250500000000005E-2</v>
      </c>
      <c r="H74" s="2953">
        <f t="shared" si="55"/>
        <v>8.3250500000000005E-2</v>
      </c>
      <c r="I74" s="2953">
        <f t="shared" si="55"/>
        <v>8.3250500000000005E-2</v>
      </c>
      <c r="J74" s="2953">
        <f t="shared" si="55"/>
        <v>8.3250500000000005E-2</v>
      </c>
      <c r="K74" s="2953">
        <f t="shared" si="55"/>
        <v>8.3250500000000005E-2</v>
      </c>
      <c r="L74" s="2953">
        <f t="shared" si="55"/>
        <v>8.3250500000000005E-2</v>
      </c>
      <c r="M74" s="2953">
        <f t="shared" si="55"/>
        <v>8.3250500000000005E-2</v>
      </c>
      <c r="N74" s="2953">
        <f t="shared" si="55"/>
        <v>8.3250500000000005E-2</v>
      </c>
      <c r="O74" s="2953">
        <f t="shared" si="55"/>
        <v>8.3250500000000005E-2</v>
      </c>
      <c r="P74" s="2953">
        <f t="shared" si="55"/>
        <v>8.3250500000000005E-2</v>
      </c>
      <c r="Q74" s="158" t="s">
        <v>644</v>
      </c>
      <c r="T74" s="1517"/>
      <c r="V74" s="1302"/>
    </row>
    <row r="75" spans="1:22" ht="25.5" x14ac:dyDescent="0.3">
      <c r="A75" s="2471"/>
      <c r="B75" s="2528" t="s">
        <v>144</v>
      </c>
      <c r="C75" s="2525" t="s">
        <v>40</v>
      </c>
      <c r="D75" s="2954">
        <f>D72+D74</f>
        <v>3.2026439999999998</v>
      </c>
      <c r="E75" s="2954">
        <f t="shared" ref="E75:P75" si="56">E72+E74</f>
        <v>0.26688699999999999</v>
      </c>
      <c r="F75" s="2954">
        <f t="shared" si="56"/>
        <v>0.26688699999999999</v>
      </c>
      <c r="G75" s="2954">
        <f t="shared" si="56"/>
        <v>0.26688699999999999</v>
      </c>
      <c r="H75" s="2954">
        <f t="shared" si="56"/>
        <v>0.26688699999999999</v>
      </c>
      <c r="I75" s="2954">
        <f t="shared" si="56"/>
        <v>0.26688699999999999</v>
      </c>
      <c r="J75" s="2954">
        <f t="shared" si="56"/>
        <v>0.26688699999999999</v>
      </c>
      <c r="K75" s="2954">
        <f t="shared" si="56"/>
        <v>0.26688699999999999</v>
      </c>
      <c r="L75" s="2954">
        <f t="shared" si="56"/>
        <v>0.26688699999999999</v>
      </c>
      <c r="M75" s="2954">
        <f t="shared" si="56"/>
        <v>0.26688699999999999</v>
      </c>
      <c r="N75" s="2954">
        <f t="shared" si="56"/>
        <v>0.26688699999999999</v>
      </c>
      <c r="O75" s="2954">
        <f t="shared" si="56"/>
        <v>0.26688699999999999</v>
      </c>
      <c r="P75" s="2954">
        <f t="shared" si="56"/>
        <v>0.26688699999999999</v>
      </c>
    </row>
    <row r="76" spans="1:22" ht="25.5" x14ac:dyDescent="0.3">
      <c r="A76" s="2471"/>
      <c r="B76" s="2528" t="s">
        <v>187</v>
      </c>
      <c r="C76" s="2955" t="s">
        <v>145</v>
      </c>
      <c r="D76" s="2956">
        <f>D70*$G$102</f>
        <v>1.5419999999999998E-3</v>
      </c>
      <c r="E76" s="2956">
        <f t="shared" ref="E76:P76" si="57">E70*$G$102</f>
        <v>1.2850000000000001E-4</v>
      </c>
      <c r="F76" s="2956">
        <f t="shared" si="57"/>
        <v>1.2850000000000001E-4</v>
      </c>
      <c r="G76" s="2956">
        <f t="shared" si="57"/>
        <v>1.2850000000000001E-4</v>
      </c>
      <c r="H76" s="2956">
        <f t="shared" si="57"/>
        <v>1.2850000000000001E-4</v>
      </c>
      <c r="I76" s="2956">
        <f t="shared" si="57"/>
        <v>1.2850000000000001E-4</v>
      </c>
      <c r="J76" s="2956">
        <f t="shared" si="57"/>
        <v>1.2850000000000001E-4</v>
      </c>
      <c r="K76" s="2956">
        <f t="shared" si="57"/>
        <v>1.2850000000000001E-4</v>
      </c>
      <c r="L76" s="2956">
        <f t="shared" si="57"/>
        <v>1.2850000000000001E-4</v>
      </c>
      <c r="M76" s="2956">
        <f t="shared" si="57"/>
        <v>1.2850000000000001E-4</v>
      </c>
      <c r="N76" s="2956">
        <f t="shared" si="57"/>
        <v>1.2850000000000001E-4</v>
      </c>
      <c r="O76" s="2956">
        <f t="shared" si="57"/>
        <v>1.2850000000000001E-4</v>
      </c>
      <c r="P76" s="2956">
        <f t="shared" si="57"/>
        <v>1.2850000000000001E-4</v>
      </c>
    </row>
    <row r="77" spans="1:22" ht="38.25" x14ac:dyDescent="0.3">
      <c r="A77" s="2471"/>
      <c r="B77" s="2528" t="str">
        <f>'Вхідні дані'!$B$33</f>
        <v>Тариф для розрахунку плати за перетікання реактивної електроенергії, без ПДВ</v>
      </c>
      <c r="C77" s="2972" t="s">
        <v>766</v>
      </c>
      <c r="D77" s="2957">
        <f>'Вхідні дані'!$D$33</f>
        <v>0.18164666666666665</v>
      </c>
      <c r="E77" s="2957">
        <f t="shared" ref="E77:P77" si="58">D77</f>
        <v>0.18164666666666665</v>
      </c>
      <c r="F77" s="2957">
        <f t="shared" si="58"/>
        <v>0.18164666666666665</v>
      </c>
      <c r="G77" s="2957">
        <f t="shared" si="58"/>
        <v>0.18164666666666665</v>
      </c>
      <c r="H77" s="2957">
        <f t="shared" si="58"/>
        <v>0.18164666666666665</v>
      </c>
      <c r="I77" s="2957">
        <f t="shared" si="58"/>
        <v>0.18164666666666665</v>
      </c>
      <c r="J77" s="2957">
        <f t="shared" si="58"/>
        <v>0.18164666666666665</v>
      </c>
      <c r="K77" s="2957">
        <f t="shared" si="58"/>
        <v>0.18164666666666665</v>
      </c>
      <c r="L77" s="2957">
        <f t="shared" si="58"/>
        <v>0.18164666666666665</v>
      </c>
      <c r="M77" s="2957">
        <f t="shared" si="58"/>
        <v>0.18164666666666665</v>
      </c>
      <c r="N77" s="2957">
        <f t="shared" si="58"/>
        <v>0.18164666666666665</v>
      </c>
      <c r="O77" s="2957">
        <f t="shared" si="58"/>
        <v>0.18164666666666665</v>
      </c>
      <c r="P77" s="2957">
        <f t="shared" si="58"/>
        <v>0.18164666666666665</v>
      </c>
      <c r="Q77" s="158" t="s">
        <v>644</v>
      </c>
    </row>
    <row r="78" spans="1:22" ht="25.5" x14ac:dyDescent="0.3">
      <c r="A78" s="2471"/>
      <c r="B78" s="2528" t="s">
        <v>785</v>
      </c>
      <c r="C78" s="2525" t="s">
        <v>40</v>
      </c>
      <c r="D78" s="2953">
        <f>D76*D77</f>
        <v>2.8009915999999992E-4</v>
      </c>
      <c r="E78" s="2953">
        <f t="shared" ref="E78:P78" si="59">E76*E77</f>
        <v>2.3341596666666666E-5</v>
      </c>
      <c r="F78" s="2953">
        <f t="shared" si="59"/>
        <v>2.3341596666666666E-5</v>
      </c>
      <c r="G78" s="2953">
        <f t="shared" si="59"/>
        <v>2.3341596666666666E-5</v>
      </c>
      <c r="H78" s="2953">
        <f t="shared" si="59"/>
        <v>2.3341596666666666E-5</v>
      </c>
      <c r="I78" s="2953">
        <f t="shared" si="59"/>
        <v>2.3341596666666666E-5</v>
      </c>
      <c r="J78" s="2953">
        <f t="shared" si="59"/>
        <v>2.3341596666666666E-5</v>
      </c>
      <c r="K78" s="2953">
        <f t="shared" si="59"/>
        <v>2.3341596666666666E-5</v>
      </c>
      <c r="L78" s="2953">
        <f t="shared" si="59"/>
        <v>2.3341596666666666E-5</v>
      </c>
      <c r="M78" s="2953">
        <f t="shared" si="59"/>
        <v>2.3341596666666666E-5</v>
      </c>
      <c r="N78" s="2953">
        <f t="shared" si="59"/>
        <v>2.3341596666666666E-5</v>
      </c>
      <c r="O78" s="2953">
        <f t="shared" si="59"/>
        <v>2.3341596666666666E-5</v>
      </c>
      <c r="P78" s="2953">
        <f t="shared" si="59"/>
        <v>2.3341596666666666E-5</v>
      </c>
    </row>
    <row r="79" spans="1:22" ht="25.5" x14ac:dyDescent="0.3">
      <c r="A79" s="2471"/>
      <c r="B79" s="2528" t="s">
        <v>784</v>
      </c>
      <c r="C79" s="2955" t="s">
        <v>145</v>
      </c>
      <c r="D79" s="2956">
        <f t="shared" ref="D79:P79" si="60">D70*$D$103</f>
        <v>1.8557999999999998E-2</v>
      </c>
      <c r="E79" s="2956">
        <f t="shared" si="60"/>
        <v>1.5465000000000001E-3</v>
      </c>
      <c r="F79" s="2956">
        <f t="shared" si="60"/>
        <v>1.5465000000000001E-3</v>
      </c>
      <c r="G79" s="2956">
        <f t="shared" si="60"/>
        <v>1.5465000000000001E-3</v>
      </c>
      <c r="H79" s="2956">
        <f t="shared" si="60"/>
        <v>1.5465000000000001E-3</v>
      </c>
      <c r="I79" s="2956">
        <f t="shared" si="60"/>
        <v>1.5465000000000001E-3</v>
      </c>
      <c r="J79" s="2956">
        <f t="shared" si="60"/>
        <v>1.5465000000000001E-3</v>
      </c>
      <c r="K79" s="2956">
        <f t="shared" si="60"/>
        <v>1.5465000000000001E-3</v>
      </c>
      <c r="L79" s="2956">
        <f t="shared" si="60"/>
        <v>1.5465000000000001E-3</v>
      </c>
      <c r="M79" s="2956">
        <f t="shared" si="60"/>
        <v>1.5465000000000001E-3</v>
      </c>
      <c r="N79" s="2956">
        <f t="shared" si="60"/>
        <v>1.5465000000000001E-3</v>
      </c>
      <c r="O79" s="2956">
        <f t="shared" si="60"/>
        <v>1.5465000000000001E-3</v>
      </c>
      <c r="P79" s="2956">
        <f t="shared" si="60"/>
        <v>1.5465000000000001E-3</v>
      </c>
      <c r="Q79" s="158" t="s">
        <v>644</v>
      </c>
    </row>
    <row r="80" spans="1:22" ht="38.25" x14ac:dyDescent="0.3">
      <c r="A80" s="2471"/>
      <c r="B80" s="2528" t="str">
        <f>'Вхідні дані'!$B$35</f>
        <v>Тариф для розрахунку плати за генерацію реактивної електроенергії, без ПДВ</v>
      </c>
      <c r="C80" s="2972" t="s">
        <v>766</v>
      </c>
      <c r="D80" s="2957">
        <f>'Вхідні дані'!$D$35</f>
        <v>0</v>
      </c>
      <c r="E80" s="2957">
        <f t="shared" ref="E80:P80" si="61">D80</f>
        <v>0</v>
      </c>
      <c r="F80" s="2957">
        <f t="shared" si="61"/>
        <v>0</v>
      </c>
      <c r="G80" s="2957">
        <f t="shared" si="61"/>
        <v>0</v>
      </c>
      <c r="H80" s="2957">
        <f t="shared" si="61"/>
        <v>0</v>
      </c>
      <c r="I80" s="2957">
        <f t="shared" si="61"/>
        <v>0</v>
      </c>
      <c r="J80" s="2957">
        <f t="shared" si="61"/>
        <v>0</v>
      </c>
      <c r="K80" s="2957">
        <f t="shared" si="61"/>
        <v>0</v>
      </c>
      <c r="L80" s="2957">
        <f t="shared" si="61"/>
        <v>0</v>
      </c>
      <c r="M80" s="2957">
        <f t="shared" si="61"/>
        <v>0</v>
      </c>
      <c r="N80" s="2957">
        <f t="shared" si="61"/>
        <v>0</v>
      </c>
      <c r="O80" s="2957">
        <f t="shared" si="61"/>
        <v>0</v>
      </c>
      <c r="P80" s="2957">
        <f t="shared" si="61"/>
        <v>0</v>
      </c>
      <c r="Q80" s="158" t="s">
        <v>644</v>
      </c>
    </row>
    <row r="81" spans="1:18" ht="25.5" x14ac:dyDescent="0.3">
      <c r="A81" s="2471"/>
      <c r="B81" s="2528" t="s">
        <v>786</v>
      </c>
      <c r="C81" s="2525" t="s">
        <v>40</v>
      </c>
      <c r="D81" s="2953">
        <f>D79*D80</f>
        <v>0</v>
      </c>
      <c r="E81" s="2953">
        <f t="shared" ref="E81:P81" si="62">E79*E80</f>
        <v>0</v>
      </c>
      <c r="F81" s="2953">
        <f t="shared" si="62"/>
        <v>0</v>
      </c>
      <c r="G81" s="2953">
        <f t="shared" si="62"/>
        <v>0</v>
      </c>
      <c r="H81" s="2953">
        <f t="shared" si="62"/>
        <v>0</v>
      </c>
      <c r="I81" s="2953">
        <f t="shared" si="62"/>
        <v>0</v>
      </c>
      <c r="J81" s="2953">
        <f t="shared" si="62"/>
        <v>0</v>
      </c>
      <c r="K81" s="2953">
        <f t="shared" si="62"/>
        <v>0</v>
      </c>
      <c r="L81" s="2953">
        <f t="shared" si="62"/>
        <v>0</v>
      </c>
      <c r="M81" s="2953">
        <f t="shared" si="62"/>
        <v>0</v>
      </c>
      <c r="N81" s="2953">
        <f t="shared" si="62"/>
        <v>0</v>
      </c>
      <c r="O81" s="2953">
        <f t="shared" si="62"/>
        <v>0</v>
      </c>
      <c r="P81" s="2953">
        <f t="shared" si="62"/>
        <v>0</v>
      </c>
      <c r="Q81" s="158" t="s">
        <v>644</v>
      </c>
    </row>
    <row r="82" spans="1:18" ht="25.5" x14ac:dyDescent="0.3">
      <c r="A82" s="2471"/>
      <c r="B82" s="2528" t="s">
        <v>844</v>
      </c>
      <c r="C82" s="2525" t="s">
        <v>40</v>
      </c>
      <c r="D82" s="2966">
        <f>D81+D78</f>
        <v>2.8009915999999992E-4</v>
      </c>
      <c r="E82" s="2966">
        <f t="shared" ref="E82:P82" si="63">E81+E78</f>
        <v>2.3341596666666666E-5</v>
      </c>
      <c r="F82" s="2966">
        <f t="shared" si="63"/>
        <v>2.3341596666666666E-5</v>
      </c>
      <c r="G82" s="2966">
        <f t="shared" si="63"/>
        <v>2.3341596666666666E-5</v>
      </c>
      <c r="H82" s="2966">
        <f t="shared" si="63"/>
        <v>2.3341596666666666E-5</v>
      </c>
      <c r="I82" s="2966">
        <f t="shared" si="63"/>
        <v>2.3341596666666666E-5</v>
      </c>
      <c r="J82" s="2966">
        <f t="shared" si="63"/>
        <v>2.3341596666666666E-5</v>
      </c>
      <c r="K82" s="2966">
        <f t="shared" si="63"/>
        <v>2.3341596666666666E-5</v>
      </c>
      <c r="L82" s="2966">
        <f t="shared" si="63"/>
        <v>2.3341596666666666E-5</v>
      </c>
      <c r="M82" s="2966">
        <f t="shared" si="63"/>
        <v>2.3341596666666666E-5</v>
      </c>
      <c r="N82" s="2966">
        <f t="shared" si="63"/>
        <v>2.3341596666666666E-5</v>
      </c>
      <c r="O82" s="2966">
        <f t="shared" si="63"/>
        <v>2.3341596666666666E-5</v>
      </c>
      <c r="P82" s="2966">
        <f t="shared" si="63"/>
        <v>2.3341596666666666E-5</v>
      </c>
      <c r="Q82" s="158"/>
      <c r="R82" s="1511">
        <f>D83/D68*1000</f>
        <v>0.82136362733256885</v>
      </c>
    </row>
    <row r="83" spans="1:18" ht="38.25" x14ac:dyDescent="0.3">
      <c r="A83" s="2471"/>
      <c r="B83" s="2528" t="s">
        <v>1981</v>
      </c>
      <c r="C83" s="2525" t="s">
        <v>40</v>
      </c>
      <c r="D83" s="2967">
        <f>D75+D82</f>
        <v>3.2029240991599996</v>
      </c>
      <c r="E83" s="2959">
        <f t="shared" ref="E83:P83" si="64">E75+E82</f>
        <v>0.26691034159666666</v>
      </c>
      <c r="F83" s="2959">
        <f t="shared" si="64"/>
        <v>0.26691034159666666</v>
      </c>
      <c r="G83" s="2959">
        <f t="shared" si="64"/>
        <v>0.26691034159666666</v>
      </c>
      <c r="H83" s="2959">
        <f t="shared" si="64"/>
        <v>0.26691034159666666</v>
      </c>
      <c r="I83" s="2959">
        <f t="shared" si="64"/>
        <v>0.26691034159666666</v>
      </c>
      <c r="J83" s="2959">
        <f t="shared" si="64"/>
        <v>0.26691034159666666</v>
      </c>
      <c r="K83" s="2959">
        <f t="shared" si="64"/>
        <v>0.26691034159666666</v>
      </c>
      <c r="L83" s="2959">
        <f t="shared" si="64"/>
        <v>0.26691034159666666</v>
      </c>
      <c r="M83" s="2959">
        <f t="shared" si="64"/>
        <v>0.26691034159666666</v>
      </c>
      <c r="N83" s="2959">
        <f t="shared" si="64"/>
        <v>0.26691034159666666</v>
      </c>
      <c r="O83" s="2959">
        <f t="shared" si="64"/>
        <v>0.26691034159666666</v>
      </c>
      <c r="P83" s="2959">
        <f t="shared" si="64"/>
        <v>0.26691034159666666</v>
      </c>
      <c r="Q83" s="158"/>
      <c r="R83" s="1513">
        <f>Q83-D83</f>
        <v>-3.2029240991599996</v>
      </c>
    </row>
    <row r="84" spans="1:18" x14ac:dyDescent="0.3">
      <c r="A84" s="2471"/>
      <c r="B84" s="2968"/>
      <c r="C84" s="2690"/>
      <c r="D84" s="2969"/>
      <c r="E84" s="2969"/>
      <c r="F84" s="2969"/>
      <c r="G84" s="2969"/>
      <c r="H84" s="2969"/>
      <c r="I84" s="2969"/>
      <c r="J84" s="2969"/>
      <c r="K84" s="2969"/>
      <c r="L84" s="2969"/>
      <c r="M84" s="2969"/>
      <c r="N84" s="2969"/>
      <c r="O84" s="2969"/>
      <c r="P84" s="2969"/>
    </row>
    <row r="85" spans="1:18" x14ac:dyDescent="0.3">
      <c r="A85" s="2471"/>
      <c r="B85" s="2968"/>
      <c r="C85" s="2690"/>
      <c r="D85" s="2969"/>
      <c r="E85" s="2969"/>
      <c r="F85" s="2969"/>
      <c r="G85" s="2969"/>
      <c r="H85" s="2969"/>
      <c r="I85" s="2969"/>
      <c r="J85" s="2969"/>
      <c r="K85" s="2969"/>
      <c r="L85" s="2969"/>
      <c r="M85" s="2969"/>
      <c r="N85" s="2969"/>
      <c r="O85" s="2969"/>
      <c r="P85" s="2969"/>
    </row>
    <row r="86" spans="1:18" x14ac:dyDescent="0.3">
      <c r="A86" s="2471"/>
      <c r="B86" s="2968"/>
      <c r="C86" s="2690"/>
      <c r="D86" s="2969"/>
      <c r="E86" s="2969"/>
      <c r="F86" s="2969"/>
      <c r="G86" s="2969"/>
      <c r="H86" s="2969"/>
      <c r="I86" s="2969"/>
      <c r="J86" s="2969"/>
      <c r="K86" s="2969"/>
      <c r="L86" s="2969"/>
      <c r="M86" s="2969"/>
      <c r="N86" s="2969"/>
      <c r="O86" s="2969"/>
      <c r="P86" s="2969"/>
    </row>
    <row r="87" spans="1:18" x14ac:dyDescent="0.3">
      <c r="A87" s="2471"/>
      <c r="B87" s="2471"/>
      <c r="C87" s="2471"/>
      <c r="D87" s="2471"/>
      <c r="E87" s="2471"/>
      <c r="F87" s="2471"/>
      <c r="G87" s="2471"/>
      <c r="H87" s="2471"/>
      <c r="I87" s="2471"/>
      <c r="J87" s="2471"/>
      <c r="K87" s="2471"/>
      <c r="L87" s="2471"/>
      <c r="M87" s="2471"/>
      <c r="N87" s="2471"/>
      <c r="O87" s="2471"/>
      <c r="P87" s="2471"/>
    </row>
    <row r="88" spans="1:18" ht="35.25" customHeight="1" x14ac:dyDescent="0.3">
      <c r="A88" s="2471"/>
      <c r="B88" s="3874" t="str">
        <f>'Вхідні дані'!B14</f>
        <v>Заступник начальника Адміністрації морського порту Чорноморськ з технічних питань та розвитку</v>
      </c>
      <c r="C88" s="3874"/>
      <c r="D88" s="3874"/>
      <c r="E88" s="3656"/>
      <c r="F88" s="2471"/>
      <c r="G88" s="3869" t="s">
        <v>286</v>
      </c>
      <c r="H88" s="3870"/>
      <c r="I88" s="3870"/>
      <c r="J88" s="2471"/>
      <c r="K88" s="2471"/>
      <c r="L88" s="2471"/>
      <c r="M88" s="3871" t="str">
        <f>'Вхідні дані'!F14</f>
        <v>Віталій ЛІПСКИЙ</v>
      </c>
      <c r="N88" s="3871"/>
      <c r="O88" s="3871"/>
      <c r="P88" s="3871"/>
    </row>
    <row r="89" spans="1:18" x14ac:dyDescent="0.3">
      <c r="A89" s="2471"/>
      <c r="B89" s="2471"/>
      <c r="C89" s="2970" t="s">
        <v>242</v>
      </c>
      <c r="D89" s="2971"/>
      <c r="E89" s="2471"/>
      <c r="F89" s="2471"/>
      <c r="G89" s="3869" t="s">
        <v>220</v>
      </c>
      <c r="H89" s="3870"/>
      <c r="I89" s="3870"/>
      <c r="J89" s="2471"/>
      <c r="K89" s="2471"/>
      <c r="L89" s="2471"/>
      <c r="M89" s="3869" t="s">
        <v>240</v>
      </c>
      <c r="N89" s="3869"/>
      <c r="O89" s="3869"/>
      <c r="P89" s="3869"/>
    </row>
    <row r="93" spans="1:18" x14ac:dyDescent="0.3">
      <c r="L93" s="26" t="s">
        <v>834</v>
      </c>
    </row>
    <row r="95" spans="1:18" x14ac:dyDescent="0.3">
      <c r="B95" s="240" t="s">
        <v>790</v>
      </c>
      <c r="C95" s="240"/>
      <c r="D95" s="240"/>
      <c r="E95" s="240"/>
      <c r="F95" s="240"/>
      <c r="H95" s="241">
        <f>'Вхідні дані'!F7</f>
        <v>2022</v>
      </c>
      <c r="I95" s="240" t="s">
        <v>791</v>
      </c>
      <c r="J95" s="240"/>
      <c r="K95" s="240"/>
      <c r="L95" s="240"/>
      <c r="M95" s="240"/>
    </row>
    <row r="96" spans="1:18" ht="19.5" thickBot="1" x14ac:dyDescent="0.35"/>
    <row r="97" spans="2:16" x14ac:dyDescent="0.3">
      <c r="B97" s="3872" t="s">
        <v>8</v>
      </c>
      <c r="C97" s="3854" t="s">
        <v>9</v>
      </c>
      <c r="D97" s="3856" t="s">
        <v>771</v>
      </c>
      <c r="E97" s="3858" t="s">
        <v>772</v>
      </c>
      <c r="F97" s="3859"/>
      <c r="G97" s="3859"/>
      <c r="H97" s="3859"/>
      <c r="I97" s="3859"/>
      <c r="J97" s="3859"/>
      <c r="K97" s="3859"/>
      <c r="L97" s="3859"/>
      <c r="M97" s="3860"/>
    </row>
    <row r="98" spans="2:16" ht="102.75" thickBot="1" x14ac:dyDescent="0.35">
      <c r="B98" s="3873"/>
      <c r="C98" s="3855"/>
      <c r="D98" s="3857"/>
      <c r="E98" s="186" t="s">
        <v>773</v>
      </c>
      <c r="F98" s="186" t="s">
        <v>774</v>
      </c>
      <c r="G98" s="186" t="s">
        <v>778</v>
      </c>
      <c r="H98" s="186" t="s">
        <v>779</v>
      </c>
      <c r="I98" s="186" t="s">
        <v>780</v>
      </c>
      <c r="J98" s="186" t="s">
        <v>775</v>
      </c>
      <c r="K98" s="186" t="s">
        <v>776</v>
      </c>
      <c r="L98" s="186" t="s">
        <v>781</v>
      </c>
      <c r="M98" s="187" t="s">
        <v>777</v>
      </c>
    </row>
    <row r="99" spans="2:16" ht="25.5" x14ac:dyDescent="0.3">
      <c r="B99" s="183" t="s">
        <v>3389</v>
      </c>
      <c r="C99" s="1476" t="s">
        <v>769</v>
      </c>
      <c r="D99" s="1490">
        <f>SUM(E99:M99)</f>
        <v>225391.4</v>
      </c>
      <c r="E99" s="1484">
        <v>33952</v>
      </c>
      <c r="F99" s="1484">
        <f>R115</f>
        <v>125947.4</v>
      </c>
      <c r="G99" s="1484">
        <f>336</f>
        <v>336</v>
      </c>
      <c r="H99" s="1484">
        <v>6157</v>
      </c>
      <c r="I99" s="1484">
        <v>58999</v>
      </c>
      <c r="J99" s="1484">
        <v>0</v>
      </c>
      <c r="K99" s="1484">
        <v>0</v>
      </c>
      <c r="L99" s="1484">
        <v>0</v>
      </c>
      <c r="M99" s="1485">
        <v>0</v>
      </c>
    </row>
    <row r="100" spans="2:16" ht="25.5" x14ac:dyDescent="0.3">
      <c r="B100" s="184" t="s">
        <v>3390</v>
      </c>
      <c r="C100" s="109" t="s">
        <v>770</v>
      </c>
      <c r="D100" s="1486">
        <f t="shared" ref="D100:D101" si="65">SUM(E100:M100)</f>
        <v>25900.04</v>
      </c>
      <c r="E100" s="188">
        <v>5127.04</v>
      </c>
      <c r="F100" s="188">
        <v>20773</v>
      </c>
      <c r="G100" s="188">
        <v>0</v>
      </c>
      <c r="H100" s="188">
        <v>0</v>
      </c>
      <c r="I100" s="188">
        <v>0</v>
      </c>
      <c r="J100" s="188">
        <v>0</v>
      </c>
      <c r="K100" s="188"/>
      <c r="L100" s="188">
        <v>0</v>
      </c>
      <c r="M100" s="1487">
        <v>0</v>
      </c>
    </row>
    <row r="101" spans="2:16" ht="25.5" x14ac:dyDescent="0.3">
      <c r="B101" s="184" t="s">
        <v>3391</v>
      </c>
      <c r="C101" s="109" t="s">
        <v>770</v>
      </c>
      <c r="D101" s="1491">
        <f t="shared" si="65"/>
        <v>0</v>
      </c>
      <c r="E101" s="188">
        <v>0</v>
      </c>
      <c r="F101" s="188">
        <v>0</v>
      </c>
      <c r="G101" s="188">
        <v>0</v>
      </c>
      <c r="H101" s="188">
        <v>0</v>
      </c>
      <c r="I101" s="188">
        <v>0</v>
      </c>
      <c r="J101" s="188">
        <v>0</v>
      </c>
      <c r="K101" s="188"/>
      <c r="L101" s="188">
        <v>0</v>
      </c>
      <c r="M101" s="1487">
        <v>0</v>
      </c>
    </row>
    <row r="102" spans="2:16" ht="38.25" x14ac:dyDescent="0.3">
      <c r="B102" s="184" t="s">
        <v>3392</v>
      </c>
      <c r="C102" s="109"/>
      <c r="D102" s="1488">
        <v>0.23307</v>
      </c>
      <c r="E102" s="1509">
        <v>0.64583999999999997</v>
      </c>
      <c r="F102" s="1509">
        <v>5.2060000000000002E-2</v>
      </c>
      <c r="G102" s="1509">
        <v>2.5699999999999998E-3</v>
      </c>
      <c r="H102" s="1509">
        <f>H100/H99</f>
        <v>0</v>
      </c>
      <c r="I102" s="1509">
        <f>I100/I99</f>
        <v>0</v>
      </c>
      <c r="J102" s="1509">
        <v>0</v>
      </c>
      <c r="K102" s="1509">
        <v>0</v>
      </c>
      <c r="L102" s="1509">
        <v>0</v>
      </c>
      <c r="M102" s="1509">
        <v>0</v>
      </c>
    </row>
    <row r="103" spans="2:16" ht="26.25" thickBot="1" x14ac:dyDescent="0.35">
      <c r="B103" s="185" t="s">
        <v>3393</v>
      </c>
      <c r="C103" s="189"/>
      <c r="D103" s="1489">
        <v>3.0929999999999999E-2</v>
      </c>
      <c r="E103" s="1527">
        <v>0.10109</v>
      </c>
      <c r="F103" s="1527">
        <v>1.2999999999999999E-4</v>
      </c>
      <c r="G103" s="1527">
        <f t="shared" ref="G103:I103" si="66">G101/G99</f>
        <v>0</v>
      </c>
      <c r="H103" s="1527">
        <f t="shared" si="66"/>
        <v>0</v>
      </c>
      <c r="I103" s="1527">
        <f t="shared" si="66"/>
        <v>0</v>
      </c>
      <c r="J103" s="1527">
        <v>0</v>
      </c>
      <c r="K103" s="1527">
        <v>0</v>
      </c>
      <c r="L103" s="1527">
        <v>0</v>
      </c>
      <c r="M103" s="1527">
        <v>0</v>
      </c>
    </row>
    <row r="105" spans="2:16" x14ac:dyDescent="0.3">
      <c r="E105" s="1302"/>
    </row>
    <row r="106" spans="2:16" x14ac:dyDescent="0.3">
      <c r="B106" s="1520"/>
      <c r="C106" s="1520"/>
      <c r="D106" s="1520"/>
      <c r="E106" s="1510"/>
      <c r="F106" s="1520"/>
    </row>
    <row r="108" spans="2:16" x14ac:dyDescent="0.3">
      <c r="N108" s="26" t="s">
        <v>834</v>
      </c>
    </row>
    <row r="110" spans="2:16" ht="31.5" customHeight="1" x14ac:dyDescent="0.3">
      <c r="B110" s="3853" t="s">
        <v>847</v>
      </c>
      <c r="C110" s="3853"/>
      <c r="D110" s="3853"/>
      <c r="E110" s="3853"/>
      <c r="F110" s="3853"/>
      <c r="G110" s="3853"/>
      <c r="H110" s="3853"/>
      <c r="I110" s="3853"/>
      <c r="J110" s="3853"/>
      <c r="K110" s="3853"/>
      <c r="L110" s="3853"/>
      <c r="M110" s="3853"/>
      <c r="N110" s="3853"/>
      <c r="O110" s="3853"/>
      <c r="P110" s="3853"/>
    </row>
    <row r="111" spans="2:16" ht="19.5" thickBot="1" x14ac:dyDescent="0.35"/>
    <row r="112" spans="2:16" ht="31.5" customHeight="1" thickBot="1" x14ac:dyDescent="0.35">
      <c r="B112" s="3512" t="s">
        <v>8</v>
      </c>
      <c r="C112" s="3513" t="s">
        <v>798</v>
      </c>
      <c r="D112" s="3514" t="s">
        <v>792</v>
      </c>
      <c r="E112" s="3515" t="s">
        <v>19</v>
      </c>
      <c r="F112" s="3516" t="s">
        <v>20</v>
      </c>
      <c r="G112" s="3516" t="s">
        <v>21</v>
      </c>
      <c r="H112" s="3516" t="s">
        <v>10</v>
      </c>
      <c r="I112" s="3516" t="s">
        <v>11</v>
      </c>
      <c r="J112" s="3516" t="s">
        <v>12</v>
      </c>
      <c r="K112" s="3516" t="s">
        <v>13</v>
      </c>
      <c r="L112" s="3516" t="s">
        <v>140</v>
      </c>
      <c r="M112" s="3516" t="s">
        <v>15</v>
      </c>
      <c r="N112" s="3516" t="s">
        <v>16</v>
      </c>
      <c r="O112" s="3516" t="s">
        <v>17</v>
      </c>
      <c r="P112" s="3517" t="s">
        <v>18</v>
      </c>
    </row>
    <row r="113" spans="2:31" ht="27.75" thickBot="1" x14ac:dyDescent="0.35">
      <c r="B113" s="3518" t="s">
        <v>793</v>
      </c>
      <c r="C113" s="3519" t="s">
        <v>3162</v>
      </c>
      <c r="D113" s="3520"/>
      <c r="E113" s="3521"/>
      <c r="F113" s="3522"/>
      <c r="G113" s="3522"/>
      <c r="H113" s="3522"/>
      <c r="I113" s="3522"/>
      <c r="J113" s="3522"/>
      <c r="K113" s="3522"/>
      <c r="L113" s="3522"/>
      <c r="M113" s="3522"/>
      <c r="N113" s="3522"/>
      <c r="O113" s="3522"/>
      <c r="P113" s="3523"/>
    </row>
    <row r="114" spans="2:31" ht="19.5" thickBot="1" x14ac:dyDescent="0.35">
      <c r="B114" s="3524" t="s">
        <v>794</v>
      </c>
      <c r="C114" s="3525" t="s">
        <v>3161</v>
      </c>
      <c r="D114" s="3526">
        <f>SUM(E114:P114)</f>
        <v>17443</v>
      </c>
      <c r="E114" s="2961">
        <v>27</v>
      </c>
      <c r="F114" s="2962">
        <v>1221</v>
      </c>
      <c r="G114" s="2962">
        <v>5482</v>
      </c>
      <c r="H114" s="2962">
        <v>4287</v>
      </c>
      <c r="I114" s="2962">
        <v>4314</v>
      </c>
      <c r="J114" s="2962">
        <v>1899</v>
      </c>
      <c r="K114" s="2962">
        <v>170</v>
      </c>
      <c r="L114" s="2962">
        <v>43</v>
      </c>
      <c r="M114" s="2962">
        <v>0</v>
      </c>
      <c r="N114" s="2962">
        <v>0</v>
      </c>
      <c r="O114" s="2962">
        <v>0</v>
      </c>
      <c r="P114" s="3527">
        <v>0</v>
      </c>
      <c r="Q114" s="2460" t="s">
        <v>3163</v>
      </c>
      <c r="S114" s="194" t="s">
        <v>19</v>
      </c>
      <c r="T114" s="191" t="s">
        <v>20</v>
      </c>
      <c r="U114" s="191" t="s">
        <v>21</v>
      </c>
      <c r="V114" s="191" t="s">
        <v>10</v>
      </c>
      <c r="W114" s="191" t="s">
        <v>11</v>
      </c>
      <c r="X114" s="191" t="s">
        <v>12</v>
      </c>
      <c r="Y114" s="191" t="s">
        <v>13</v>
      </c>
      <c r="Z114" s="191" t="s">
        <v>140</v>
      </c>
      <c r="AA114" s="191" t="s">
        <v>15</v>
      </c>
      <c r="AB114" s="191" t="s">
        <v>16</v>
      </c>
      <c r="AC114" s="191" t="s">
        <v>17</v>
      </c>
      <c r="AD114" s="192" t="s">
        <v>18</v>
      </c>
    </row>
    <row r="115" spans="2:31" x14ac:dyDescent="0.3">
      <c r="B115" s="3524" t="s">
        <v>795</v>
      </c>
      <c r="C115" s="3883" t="s">
        <v>3225</v>
      </c>
      <c r="D115" s="3526">
        <f>SUM(E115:P115)</f>
        <v>123428.452</v>
      </c>
      <c r="E115" s="3528">
        <f>S117</f>
        <v>2092.692</v>
      </c>
      <c r="F115" s="3528">
        <f t="shared" ref="F115:P115" si="67">T117</f>
        <v>13040.86</v>
      </c>
      <c r="G115" s="3528">
        <f t="shared" si="67"/>
        <v>28201.655999999999</v>
      </c>
      <c r="H115" s="3528">
        <f t="shared" si="67"/>
        <v>18857.748</v>
      </c>
      <c r="I115" s="3528">
        <f t="shared" si="67"/>
        <v>15589.447999999999</v>
      </c>
      <c r="J115" s="3528">
        <f t="shared" si="67"/>
        <v>21495.124</v>
      </c>
      <c r="K115" s="3528">
        <f t="shared" si="67"/>
        <v>8580.4880000000012</v>
      </c>
      <c r="L115" s="3528">
        <f t="shared" si="67"/>
        <v>1333.78</v>
      </c>
      <c r="M115" s="3528">
        <f t="shared" si="67"/>
        <v>1165.0239999999999</v>
      </c>
      <c r="N115" s="3528">
        <f t="shared" si="67"/>
        <v>6750.24</v>
      </c>
      <c r="O115" s="3528">
        <f t="shared" si="67"/>
        <v>4307.2960000000003</v>
      </c>
      <c r="P115" s="3528">
        <f t="shared" si="67"/>
        <v>2014.0959999999998</v>
      </c>
      <c r="R115" s="1513">
        <f>SUM(S115:AD115)</f>
        <v>125947.4</v>
      </c>
      <c r="S115" s="2469">
        <f>2703-E114-S13</f>
        <v>2135.4</v>
      </c>
      <c r="T115" s="2469">
        <f>18160-F114-T13</f>
        <v>13307</v>
      </c>
      <c r="U115" s="2470">
        <f>42824-G114-U13</f>
        <v>28777.200000000001</v>
      </c>
      <c r="V115" s="2470">
        <f>29412-H114-V13</f>
        <v>19242.599999999999</v>
      </c>
      <c r="W115" s="2470">
        <f>25277-I114-W13</f>
        <v>15907.599999999999</v>
      </c>
      <c r="X115" s="2470">
        <f>29791-J114-X13</f>
        <v>21933.8</v>
      </c>
      <c r="Y115" s="2470">
        <f>11157-K114-Y13</f>
        <v>8755.6</v>
      </c>
      <c r="Z115" s="2470">
        <f>1755-L114-Z13</f>
        <v>1361</v>
      </c>
      <c r="AA115" s="2470">
        <f>1486-M114-AA13</f>
        <v>1188.8</v>
      </c>
      <c r="AB115" s="2470">
        <f>8610-N114-AB13</f>
        <v>6888</v>
      </c>
      <c r="AC115" s="2470">
        <f>5494-O114-AC13</f>
        <v>4395.2</v>
      </c>
      <c r="AD115" s="2470">
        <f>2569-P114-AD13</f>
        <v>2055.1999999999998</v>
      </c>
    </row>
    <row r="116" spans="2:31" x14ac:dyDescent="0.3">
      <c r="B116" s="3524" t="s">
        <v>796</v>
      </c>
      <c r="C116" s="3883"/>
      <c r="D116" s="3526">
        <f>SUM(E116:P116)</f>
        <v>2518.9479999999994</v>
      </c>
      <c r="E116" s="3528">
        <f>S116</f>
        <v>42.708000000000006</v>
      </c>
      <c r="F116" s="3528">
        <f t="shared" ref="F116:P116" si="68">T116</f>
        <v>266.14</v>
      </c>
      <c r="G116" s="3528">
        <f>U116</f>
        <v>575.54399999999998</v>
      </c>
      <c r="H116" s="3528">
        <f t="shared" si="68"/>
        <v>384.85199999999998</v>
      </c>
      <c r="I116" s="3528">
        <f t="shared" si="68"/>
        <v>318.15199999999999</v>
      </c>
      <c r="J116" s="3528">
        <f t="shared" si="68"/>
        <v>438.67599999999999</v>
      </c>
      <c r="K116" s="3528">
        <f t="shared" si="68"/>
        <v>175.11200000000002</v>
      </c>
      <c r="L116" s="3528">
        <f t="shared" si="68"/>
        <v>27.22</v>
      </c>
      <c r="M116" s="3528">
        <f t="shared" si="68"/>
        <v>23.776</v>
      </c>
      <c r="N116" s="3528">
        <f t="shared" si="68"/>
        <v>137.76</v>
      </c>
      <c r="O116" s="3528">
        <f t="shared" si="68"/>
        <v>87.903999999999996</v>
      </c>
      <c r="P116" s="3528">
        <f t="shared" si="68"/>
        <v>41.103999999999999</v>
      </c>
      <c r="R116" s="1513">
        <f>SUM(S116:AD116)</f>
        <v>2518.9479999999994</v>
      </c>
      <c r="S116" s="2469">
        <f>S115*$AE$116</f>
        <v>42.708000000000006</v>
      </c>
      <c r="T116" s="2469">
        <f t="shared" ref="T116:AD116" si="69">T115*$AE$116</f>
        <v>266.14</v>
      </c>
      <c r="U116" s="2469">
        <f t="shared" si="69"/>
        <v>575.54399999999998</v>
      </c>
      <c r="V116" s="2469">
        <f t="shared" si="69"/>
        <v>384.85199999999998</v>
      </c>
      <c r="W116" s="2469">
        <f>W115*$AE$116</f>
        <v>318.15199999999999</v>
      </c>
      <c r="X116" s="2469">
        <f t="shared" si="69"/>
        <v>438.67599999999999</v>
      </c>
      <c r="Y116" s="2469">
        <f t="shared" si="69"/>
        <v>175.11200000000002</v>
      </c>
      <c r="Z116" s="2469">
        <f t="shared" si="69"/>
        <v>27.22</v>
      </c>
      <c r="AA116" s="2469">
        <f t="shared" si="69"/>
        <v>23.776</v>
      </c>
      <c r="AB116" s="2469">
        <f t="shared" si="69"/>
        <v>137.76</v>
      </c>
      <c r="AC116" s="2469">
        <f t="shared" si="69"/>
        <v>87.903999999999996</v>
      </c>
      <c r="AD116" s="2469">
        <f t="shared" si="69"/>
        <v>41.103999999999999</v>
      </c>
      <c r="AE116" s="26">
        <v>0.02</v>
      </c>
    </row>
    <row r="117" spans="2:31" x14ac:dyDescent="0.3">
      <c r="B117" s="3524"/>
      <c r="C117" s="3529"/>
      <c r="D117" s="3526">
        <f>SUM(E117:P117)</f>
        <v>0</v>
      </c>
      <c r="E117" s="3528">
        <v>0</v>
      </c>
      <c r="F117" s="3530">
        <v>0</v>
      </c>
      <c r="G117" s="3530">
        <v>0</v>
      </c>
      <c r="H117" s="3530">
        <v>0</v>
      </c>
      <c r="I117" s="3530">
        <v>0</v>
      </c>
      <c r="J117" s="3530">
        <v>0</v>
      </c>
      <c r="K117" s="3530">
        <v>0</v>
      </c>
      <c r="L117" s="3530">
        <v>0</v>
      </c>
      <c r="M117" s="3530">
        <v>0</v>
      </c>
      <c r="N117" s="3530">
        <v>0</v>
      </c>
      <c r="O117" s="3530">
        <v>0</v>
      </c>
      <c r="P117" s="3531">
        <v>0</v>
      </c>
      <c r="R117" s="1513">
        <f>SUM(S117:AD117)</f>
        <v>123428.452</v>
      </c>
      <c r="S117" s="2469">
        <f>S115-S116</f>
        <v>2092.692</v>
      </c>
      <c r="T117" s="2469">
        <f>T115-T116</f>
        <v>13040.86</v>
      </c>
      <c r="U117" s="2469">
        <f t="shared" ref="U117:AD117" si="70">U115-U116</f>
        <v>28201.655999999999</v>
      </c>
      <c r="V117" s="2469">
        <f t="shared" si="70"/>
        <v>18857.748</v>
      </c>
      <c r="W117" s="2469">
        <f t="shared" si="70"/>
        <v>15589.447999999999</v>
      </c>
      <c r="X117" s="2469">
        <f t="shared" si="70"/>
        <v>21495.124</v>
      </c>
      <c r="Y117" s="2469">
        <f t="shared" si="70"/>
        <v>8580.4880000000012</v>
      </c>
      <c r="Z117" s="2469">
        <f t="shared" si="70"/>
        <v>1333.78</v>
      </c>
      <c r="AA117" s="2469">
        <f t="shared" si="70"/>
        <v>1165.0239999999999</v>
      </c>
      <c r="AB117" s="2469">
        <f t="shared" si="70"/>
        <v>6750.24</v>
      </c>
      <c r="AC117" s="2469">
        <f t="shared" si="70"/>
        <v>4307.2960000000003</v>
      </c>
      <c r="AD117" s="2469">
        <f t="shared" si="70"/>
        <v>2014.0959999999998</v>
      </c>
    </row>
    <row r="118" spans="2:31" x14ac:dyDescent="0.3">
      <c r="B118" s="3532"/>
      <c r="C118" s="3533"/>
      <c r="D118" s="3526">
        <f>SUM(E118:P118)</f>
        <v>0</v>
      </c>
      <c r="E118" s="3528"/>
      <c r="F118" s="3530"/>
      <c r="G118" s="3530"/>
      <c r="H118" s="3530"/>
      <c r="I118" s="3530"/>
      <c r="J118" s="3530"/>
      <c r="K118" s="3530"/>
      <c r="L118" s="3530"/>
      <c r="M118" s="3530"/>
      <c r="N118" s="3530"/>
      <c r="O118" s="3530"/>
      <c r="P118" s="3531"/>
      <c r="R118" s="1513"/>
    </row>
    <row r="119" spans="2:31" x14ac:dyDescent="0.3">
      <c r="B119" s="3534" t="s">
        <v>797</v>
      </c>
      <c r="C119" s="3519" t="s">
        <v>846</v>
      </c>
      <c r="D119" s="3535">
        <f t="shared" ref="D119:P119" si="71">SUM(D114:D118)</f>
        <v>143390.39999999999</v>
      </c>
      <c r="E119" s="3536">
        <f t="shared" si="71"/>
        <v>2162.4</v>
      </c>
      <c r="F119" s="3537">
        <f t="shared" si="71"/>
        <v>14528</v>
      </c>
      <c r="G119" s="3537">
        <f t="shared" si="71"/>
        <v>34259.200000000004</v>
      </c>
      <c r="H119" s="3537">
        <f t="shared" si="71"/>
        <v>23529.599999999999</v>
      </c>
      <c r="I119" s="3537">
        <f t="shared" si="71"/>
        <v>20221.599999999995</v>
      </c>
      <c r="J119" s="3537">
        <f t="shared" si="71"/>
        <v>23832.799999999999</v>
      </c>
      <c r="K119" s="3537">
        <f t="shared" si="71"/>
        <v>8925.6</v>
      </c>
      <c r="L119" s="3537">
        <f t="shared" si="71"/>
        <v>1404</v>
      </c>
      <c r="M119" s="3537">
        <f t="shared" si="71"/>
        <v>1188.8</v>
      </c>
      <c r="N119" s="3537">
        <f t="shared" si="71"/>
        <v>6888</v>
      </c>
      <c r="O119" s="3537">
        <f t="shared" si="71"/>
        <v>4395.2000000000007</v>
      </c>
      <c r="P119" s="3538">
        <f t="shared" si="71"/>
        <v>2055.1999999999998</v>
      </c>
    </row>
    <row r="120" spans="2:31" x14ac:dyDescent="0.3">
      <c r="B120" s="3524" t="s">
        <v>799</v>
      </c>
      <c r="C120" s="3519" t="s">
        <v>846</v>
      </c>
      <c r="D120" s="3526">
        <f>D119*0</f>
        <v>0</v>
      </c>
      <c r="E120" s="3528">
        <f>E119*0</f>
        <v>0</v>
      </c>
      <c r="F120" s="3528">
        <f t="shared" ref="F120:P120" si="72">F119*0</f>
        <v>0</v>
      </c>
      <c r="G120" s="3528">
        <f t="shared" si="72"/>
        <v>0</v>
      </c>
      <c r="H120" s="3528">
        <f t="shared" si="72"/>
        <v>0</v>
      </c>
      <c r="I120" s="3528">
        <f t="shared" si="72"/>
        <v>0</v>
      </c>
      <c r="J120" s="3528">
        <f t="shared" si="72"/>
        <v>0</v>
      </c>
      <c r="K120" s="3528">
        <f t="shared" si="72"/>
        <v>0</v>
      </c>
      <c r="L120" s="3528">
        <f t="shared" si="72"/>
        <v>0</v>
      </c>
      <c r="M120" s="3528">
        <f t="shared" si="72"/>
        <v>0</v>
      </c>
      <c r="N120" s="3528">
        <f t="shared" si="72"/>
        <v>0</v>
      </c>
      <c r="O120" s="3528">
        <f t="shared" si="72"/>
        <v>0</v>
      </c>
      <c r="P120" s="3528">
        <f t="shared" si="72"/>
        <v>0</v>
      </c>
    </row>
    <row r="121" spans="2:31" ht="27.75" thickBot="1" x14ac:dyDescent="0.35">
      <c r="B121" s="3539" t="s">
        <v>800</v>
      </c>
      <c r="C121" s="3519" t="s">
        <v>846</v>
      </c>
      <c r="D121" s="3540">
        <f>D119+D120</f>
        <v>143390.39999999999</v>
      </c>
      <c r="E121" s="3541">
        <f t="shared" ref="E121:P121" si="73">E119+E120</f>
        <v>2162.4</v>
      </c>
      <c r="F121" s="3542">
        <f t="shared" si="73"/>
        <v>14528</v>
      </c>
      <c r="G121" s="3542">
        <f t="shared" si="73"/>
        <v>34259.200000000004</v>
      </c>
      <c r="H121" s="3542">
        <f t="shared" si="73"/>
        <v>23529.599999999999</v>
      </c>
      <c r="I121" s="3542">
        <f t="shared" si="73"/>
        <v>20221.599999999995</v>
      </c>
      <c r="J121" s="3542">
        <f t="shared" si="73"/>
        <v>23832.799999999999</v>
      </c>
      <c r="K121" s="3542">
        <f t="shared" si="73"/>
        <v>8925.6</v>
      </c>
      <c r="L121" s="3542">
        <f t="shared" si="73"/>
        <v>1404</v>
      </c>
      <c r="M121" s="3542">
        <f t="shared" si="73"/>
        <v>1188.8</v>
      </c>
      <c r="N121" s="3542">
        <f t="shared" si="73"/>
        <v>6888</v>
      </c>
      <c r="O121" s="3542">
        <f t="shared" si="73"/>
        <v>4395.2000000000007</v>
      </c>
      <c r="P121" s="3543">
        <f t="shared" si="73"/>
        <v>2055.1999999999998</v>
      </c>
    </row>
    <row r="122" spans="2:31" ht="41.25" customHeight="1" x14ac:dyDescent="0.3">
      <c r="B122" s="3544" t="s">
        <v>3164</v>
      </c>
      <c r="C122" s="3545" t="s">
        <v>22</v>
      </c>
      <c r="D122" s="3546">
        <f>SUM(E122:P122)</f>
        <v>6675.9097458333317</v>
      </c>
      <c r="E122" s="3547">
        <f>E123+E124</f>
        <v>155.73680000000002</v>
      </c>
      <c r="F122" s="3547">
        <f t="shared" ref="F122:P122" si="74">F123+F124</f>
        <v>883.52144999999985</v>
      </c>
      <c r="G122" s="3547">
        <f t="shared" si="74"/>
        <v>1133.8259666666663</v>
      </c>
      <c r="H122" s="3547">
        <f t="shared" si="74"/>
        <v>1467.7193</v>
      </c>
      <c r="I122" s="3547">
        <f t="shared" si="74"/>
        <v>1101.5650083333333</v>
      </c>
      <c r="J122" s="3547">
        <f t="shared" si="74"/>
        <v>1014.9256208333331</v>
      </c>
      <c r="K122" s="3547">
        <f t="shared" si="74"/>
        <v>166.72400000000002</v>
      </c>
      <c r="L122" s="3547">
        <f t="shared" si="74"/>
        <v>151.3048</v>
      </c>
      <c r="M122" s="3547">
        <f t="shared" si="74"/>
        <v>152.255</v>
      </c>
      <c r="N122" s="3547">
        <f t="shared" si="74"/>
        <v>152.33580000000001</v>
      </c>
      <c r="O122" s="3547">
        <f t="shared" si="74"/>
        <v>149.10300000000001</v>
      </c>
      <c r="P122" s="3548">
        <f t="shared" si="74"/>
        <v>146.893</v>
      </c>
    </row>
    <row r="123" spans="2:31" x14ac:dyDescent="0.3">
      <c r="B123" s="3549" t="s">
        <v>632</v>
      </c>
      <c r="C123" s="3550" t="s">
        <v>22</v>
      </c>
      <c r="D123" s="3551">
        <f>SUM(E123:P123)</f>
        <v>1314.5190159799997</v>
      </c>
      <c r="E123" s="3552">
        <f>'Розрахунки Річного плану'!M178</f>
        <v>63.213000000000001</v>
      </c>
      <c r="F123" s="3552">
        <f>'Розрахунки Річного плану'!N178</f>
        <v>145.31667863999999</v>
      </c>
      <c r="G123" s="3552">
        <f>'Розрахунки Річного плану'!O178</f>
        <v>184.59028399999997</v>
      </c>
      <c r="H123" s="3552">
        <f>'Розрахунки Річного плану'!D178</f>
        <v>223.86766800000001</v>
      </c>
      <c r="I123" s="3552">
        <f>'Розрахунки Річного плану'!E178</f>
        <v>161.66813907999997</v>
      </c>
      <c r="J123" s="3552">
        <f>'Розрахунки Річного плану'!F178</f>
        <v>165.51624626</v>
      </c>
      <c r="K123" s="3552">
        <f>'Розрахунки Річного плану'!G178</f>
        <v>67.534000000000006</v>
      </c>
      <c r="L123" s="3552">
        <f>'Розрахунки Річного плану'!H178</f>
        <v>63.444000000000003</v>
      </c>
      <c r="M123" s="3552">
        <f>'Розрахунки Річного плану'!I178</f>
        <v>61.512999999999998</v>
      </c>
      <c r="N123" s="3552">
        <f>'Розрахунки Річного плану'!J178</f>
        <v>60.180000000000007</v>
      </c>
      <c r="O123" s="3552">
        <f>'Розрахунки Річного плану'!K178</f>
        <v>58.243000000000002</v>
      </c>
      <c r="P123" s="3552">
        <f>'Розрахунки Річного плану'!L178</f>
        <v>59.433</v>
      </c>
    </row>
    <row r="124" spans="2:31" x14ac:dyDescent="0.3">
      <c r="B124" s="3549" t="s">
        <v>631</v>
      </c>
      <c r="C124" s="3550" t="s">
        <v>22</v>
      </c>
      <c r="D124" s="3551">
        <f>SUM(E124:P124)</f>
        <v>5361.3907298533322</v>
      </c>
      <c r="E124" s="3552">
        <f>'Розрахунки Річного плану'!M179</f>
        <v>92.523800000000008</v>
      </c>
      <c r="F124" s="3552">
        <f>'Розрахунки Річного плану'!N179</f>
        <v>738.20477135999988</v>
      </c>
      <c r="G124" s="3552">
        <f>'Розрахунки Річного плану'!O179</f>
        <v>949.23568266666643</v>
      </c>
      <c r="H124" s="3552">
        <f>'Розрахунки Річного плану'!D179</f>
        <v>1243.8516319999999</v>
      </c>
      <c r="I124" s="3552">
        <f>'Розрахунки Річного плану'!E179</f>
        <v>939.89686925333331</v>
      </c>
      <c r="J124" s="3552">
        <f>'Розрахунки Річного плану'!F179</f>
        <v>849.40937457333314</v>
      </c>
      <c r="K124" s="3552">
        <f>'Розрахунки Річного плану'!G179</f>
        <v>99.190000000000012</v>
      </c>
      <c r="L124" s="3552">
        <f>'Розрахунки Річного плану'!H179</f>
        <v>87.860799999999998</v>
      </c>
      <c r="M124" s="3552">
        <f>'Розрахунки Річного плану'!I179</f>
        <v>90.742000000000004</v>
      </c>
      <c r="N124" s="3552">
        <f>'Розрахунки Річного плану'!J179</f>
        <v>92.155799999999999</v>
      </c>
      <c r="O124" s="3552">
        <f>'Розрахунки Річного плану'!K179</f>
        <v>90.860000000000014</v>
      </c>
      <c r="P124" s="3552">
        <f>'Розрахунки Річного плану'!L179</f>
        <v>87.460000000000008</v>
      </c>
    </row>
    <row r="125" spans="2:31" x14ac:dyDescent="0.3">
      <c r="B125" s="3549" t="s">
        <v>632</v>
      </c>
      <c r="C125" s="3550" t="s">
        <v>4</v>
      </c>
      <c r="D125" s="3553">
        <f>D123/D122</f>
        <v>0.19690485132763169</v>
      </c>
      <c r="E125" s="3554">
        <f>E123/E122</f>
        <v>0.40589635847147232</v>
      </c>
      <c r="F125" s="3554">
        <f t="shared" ref="F125:K125" si="75">F123/F122</f>
        <v>0.16447442067195994</v>
      </c>
      <c r="G125" s="3554">
        <f t="shared" si="75"/>
        <v>0.16280301336075123</v>
      </c>
      <c r="H125" s="3554">
        <f t="shared" si="75"/>
        <v>0.15252757662858288</v>
      </c>
      <c r="I125" s="3554">
        <f t="shared" si="75"/>
        <v>0.14676223178566983</v>
      </c>
      <c r="J125" s="3554">
        <f t="shared" si="75"/>
        <v>0.16308214401376353</v>
      </c>
      <c r="K125" s="3554">
        <f t="shared" si="75"/>
        <v>0.40506465775773132</v>
      </c>
      <c r="L125" s="3554">
        <f>D125</f>
        <v>0.19690485132763169</v>
      </c>
      <c r="M125" s="3554">
        <f>D125</f>
        <v>0.19690485132763169</v>
      </c>
      <c r="N125" s="3554">
        <f>E125</f>
        <v>0.40589635847147232</v>
      </c>
      <c r="O125" s="3554">
        <f>F125</f>
        <v>0.16447442067195994</v>
      </c>
      <c r="P125" s="3555">
        <f>G125</f>
        <v>0.16280301336075123</v>
      </c>
    </row>
    <row r="126" spans="2:31" x14ac:dyDescent="0.3">
      <c r="B126" s="3549" t="s">
        <v>631</v>
      </c>
      <c r="C126" s="3550" t="s">
        <v>4</v>
      </c>
      <c r="D126" s="3553">
        <f>D124/D122</f>
        <v>0.80309514867236831</v>
      </c>
      <c r="E126" s="3554">
        <f t="shared" ref="E126:K126" si="76">E124/E122</f>
        <v>0.59410364152852757</v>
      </c>
      <c r="F126" s="3554">
        <f t="shared" si="76"/>
        <v>0.83552557932804006</v>
      </c>
      <c r="G126" s="3554">
        <f t="shared" si="76"/>
        <v>0.8371969866392488</v>
      </c>
      <c r="H126" s="3554">
        <f t="shared" si="76"/>
        <v>0.84747242337141704</v>
      </c>
      <c r="I126" s="3554">
        <f t="shared" si="76"/>
        <v>0.85323776821433017</v>
      </c>
      <c r="J126" s="3554">
        <f t="shared" si="76"/>
        <v>0.83691785598623647</v>
      </c>
      <c r="K126" s="3554">
        <f t="shared" si="76"/>
        <v>0.59493534224226863</v>
      </c>
      <c r="L126" s="3554">
        <f>D126</f>
        <v>0.80309514867236831</v>
      </c>
      <c r="M126" s="3554">
        <f>E126</f>
        <v>0.59410364152852757</v>
      </c>
      <c r="N126" s="3554">
        <f>F126</f>
        <v>0.83552557932804006</v>
      </c>
      <c r="O126" s="3554">
        <f>G126</f>
        <v>0.8371969866392488</v>
      </c>
      <c r="P126" s="3555">
        <f>H126</f>
        <v>0.84747242337141704</v>
      </c>
    </row>
    <row r="127" spans="2:31" ht="74.25" customHeight="1" x14ac:dyDescent="0.3">
      <c r="B127" s="3556" t="s">
        <v>3166</v>
      </c>
      <c r="C127" s="3557" t="s">
        <v>846</v>
      </c>
      <c r="D127" s="3551">
        <f t="shared" ref="D127:P127" si="77">D115+D116+D118</f>
        <v>125947.40000000001</v>
      </c>
      <c r="E127" s="3552">
        <f t="shared" si="77"/>
        <v>2135.4</v>
      </c>
      <c r="F127" s="3552">
        <f t="shared" si="77"/>
        <v>13307</v>
      </c>
      <c r="G127" s="3552">
        <f t="shared" si="77"/>
        <v>28777.200000000001</v>
      </c>
      <c r="H127" s="3552">
        <f t="shared" si="77"/>
        <v>19242.599999999999</v>
      </c>
      <c r="I127" s="3552">
        <f t="shared" si="77"/>
        <v>15907.599999999999</v>
      </c>
      <c r="J127" s="3552">
        <f t="shared" si="77"/>
        <v>21933.8</v>
      </c>
      <c r="K127" s="3552">
        <f t="shared" si="77"/>
        <v>8755.6</v>
      </c>
      <c r="L127" s="3552">
        <f t="shared" si="77"/>
        <v>1361</v>
      </c>
      <c r="M127" s="3552">
        <f t="shared" si="77"/>
        <v>1188.8</v>
      </c>
      <c r="N127" s="3552">
        <f t="shared" si="77"/>
        <v>6888</v>
      </c>
      <c r="O127" s="3552">
        <f t="shared" si="77"/>
        <v>4395.2000000000007</v>
      </c>
      <c r="P127" s="3558">
        <f t="shared" si="77"/>
        <v>2055.1999999999998</v>
      </c>
    </row>
    <row r="128" spans="2:31" x14ac:dyDescent="0.3">
      <c r="B128" s="3549" t="s">
        <v>801</v>
      </c>
      <c r="C128" s="3557" t="s">
        <v>846</v>
      </c>
      <c r="D128" s="3551">
        <f>SUM(E128:P128)</f>
        <v>24489.057181929446</v>
      </c>
      <c r="E128" s="3552">
        <f>E127*E125</f>
        <v>866.75108387998205</v>
      </c>
      <c r="F128" s="3552">
        <f t="shared" ref="F128:P128" si="78">F127*F125</f>
        <v>2188.6611158817709</v>
      </c>
      <c r="G128" s="3552">
        <f t="shared" si="78"/>
        <v>4685.0148760850107</v>
      </c>
      <c r="H128" s="3552">
        <f t="shared" si="78"/>
        <v>2935.0271460331687</v>
      </c>
      <c r="I128" s="3552">
        <f t="shared" si="78"/>
        <v>2334.634878353721</v>
      </c>
      <c r="J128" s="3552">
        <f t="shared" si="78"/>
        <v>3577.0111303690865</v>
      </c>
      <c r="K128" s="3552">
        <f t="shared" si="78"/>
        <v>3546.5841174635925</v>
      </c>
      <c r="L128" s="3552">
        <f t="shared" si="78"/>
        <v>267.98750265690671</v>
      </c>
      <c r="M128" s="3552">
        <f t="shared" si="78"/>
        <v>234.08048725828854</v>
      </c>
      <c r="N128" s="3552">
        <f t="shared" si="78"/>
        <v>2795.8141171515013</v>
      </c>
      <c r="O128" s="3552">
        <f t="shared" si="78"/>
        <v>722.8979737373985</v>
      </c>
      <c r="P128" s="3558">
        <f t="shared" si="78"/>
        <v>334.59275305901588</v>
      </c>
    </row>
    <row r="129" spans="2:20" x14ac:dyDescent="0.3">
      <c r="B129" s="3549" t="s">
        <v>802</v>
      </c>
      <c r="C129" s="3557" t="s">
        <v>846</v>
      </c>
      <c r="D129" s="3551">
        <f>SUM(E129:P129)</f>
        <v>101458.34281807055</v>
      </c>
      <c r="E129" s="3552">
        <f t="shared" ref="E129:P129" si="79">E127-E128</f>
        <v>1268.6489161200179</v>
      </c>
      <c r="F129" s="3552">
        <f t="shared" si="79"/>
        <v>11118.33888411823</v>
      </c>
      <c r="G129" s="3552">
        <f t="shared" si="79"/>
        <v>24092.185123914991</v>
      </c>
      <c r="H129" s="3552">
        <f t="shared" si="79"/>
        <v>16307.572853966831</v>
      </c>
      <c r="I129" s="3552">
        <f t="shared" si="79"/>
        <v>13572.965121646277</v>
      </c>
      <c r="J129" s="3552">
        <f t="shared" si="79"/>
        <v>18356.788869630913</v>
      </c>
      <c r="K129" s="3552">
        <f t="shared" si="79"/>
        <v>5209.0158825364078</v>
      </c>
      <c r="L129" s="3552">
        <f t="shared" si="79"/>
        <v>1093.0124973430934</v>
      </c>
      <c r="M129" s="3552">
        <f t="shared" si="79"/>
        <v>954.71951274171147</v>
      </c>
      <c r="N129" s="3552">
        <f t="shared" si="79"/>
        <v>4092.1858828484987</v>
      </c>
      <c r="O129" s="3552">
        <f t="shared" si="79"/>
        <v>3672.3020262626023</v>
      </c>
      <c r="P129" s="3558">
        <f t="shared" si="79"/>
        <v>1720.6072469409839</v>
      </c>
    </row>
    <row r="130" spans="2:20" ht="45.75" customHeight="1" x14ac:dyDescent="0.3">
      <c r="B130" s="3556" t="s">
        <v>3167</v>
      </c>
      <c r="C130" s="3557" t="s">
        <v>846</v>
      </c>
      <c r="D130" s="3559">
        <f t="shared" ref="D130:P130" si="80">D114</f>
        <v>17443</v>
      </c>
      <c r="E130" s="3560">
        <f t="shared" si="80"/>
        <v>27</v>
      </c>
      <c r="F130" s="3560">
        <f t="shared" si="80"/>
        <v>1221</v>
      </c>
      <c r="G130" s="3560">
        <f t="shared" si="80"/>
        <v>5482</v>
      </c>
      <c r="H130" s="3560">
        <f t="shared" si="80"/>
        <v>4287</v>
      </c>
      <c r="I130" s="3560">
        <f t="shared" si="80"/>
        <v>4314</v>
      </c>
      <c r="J130" s="3560">
        <f t="shared" si="80"/>
        <v>1899</v>
      </c>
      <c r="K130" s="3560">
        <f t="shared" si="80"/>
        <v>170</v>
      </c>
      <c r="L130" s="3560">
        <f t="shared" si="80"/>
        <v>43</v>
      </c>
      <c r="M130" s="3560">
        <f t="shared" si="80"/>
        <v>0</v>
      </c>
      <c r="N130" s="3560">
        <f t="shared" si="80"/>
        <v>0</v>
      </c>
      <c r="O130" s="3560">
        <f t="shared" si="80"/>
        <v>0</v>
      </c>
      <c r="P130" s="3561">
        <f t="shared" si="80"/>
        <v>0</v>
      </c>
    </row>
    <row r="131" spans="2:20" x14ac:dyDescent="0.3">
      <c r="B131" s="3556"/>
      <c r="C131" s="3557"/>
      <c r="D131" s="3559">
        <f t="shared" ref="D131:P131" si="81">D117</f>
        <v>0</v>
      </c>
      <c r="E131" s="3560">
        <f t="shared" si="81"/>
        <v>0</v>
      </c>
      <c r="F131" s="3560">
        <f t="shared" si="81"/>
        <v>0</v>
      </c>
      <c r="G131" s="3560">
        <f t="shared" si="81"/>
        <v>0</v>
      </c>
      <c r="H131" s="3560">
        <f t="shared" si="81"/>
        <v>0</v>
      </c>
      <c r="I131" s="3560">
        <f t="shared" si="81"/>
        <v>0</v>
      </c>
      <c r="J131" s="3560">
        <f t="shared" si="81"/>
        <v>0</v>
      </c>
      <c r="K131" s="3560">
        <f t="shared" si="81"/>
        <v>0</v>
      </c>
      <c r="L131" s="3560">
        <f t="shared" si="81"/>
        <v>0</v>
      </c>
      <c r="M131" s="3560">
        <f t="shared" si="81"/>
        <v>0</v>
      </c>
      <c r="N131" s="3560">
        <f t="shared" si="81"/>
        <v>0</v>
      </c>
      <c r="O131" s="3560">
        <f t="shared" si="81"/>
        <v>0</v>
      </c>
      <c r="P131" s="3561">
        <f t="shared" si="81"/>
        <v>0</v>
      </c>
    </row>
    <row r="132" spans="2:20" ht="27" x14ac:dyDescent="0.3">
      <c r="B132" s="3562" t="s">
        <v>803</v>
      </c>
      <c r="C132" s="3557" t="s">
        <v>846</v>
      </c>
      <c r="D132" s="3559">
        <f>D130+D128</f>
        <v>41932.057181929442</v>
      </c>
      <c r="E132" s="3560">
        <f>E130+E128</f>
        <v>893.75108387998205</v>
      </c>
      <c r="F132" s="3560">
        <f t="shared" ref="F132:P132" si="82">F130+F128</f>
        <v>3409.6611158817709</v>
      </c>
      <c r="G132" s="3560">
        <f t="shared" si="82"/>
        <v>10167.01487608501</v>
      </c>
      <c r="H132" s="3560">
        <f t="shared" si="82"/>
        <v>7222.0271460331687</v>
      </c>
      <c r="I132" s="3560">
        <f t="shared" si="82"/>
        <v>6648.6348783537214</v>
      </c>
      <c r="J132" s="3560">
        <f t="shared" si="82"/>
        <v>5476.0111303690865</v>
      </c>
      <c r="K132" s="3560">
        <f t="shared" si="82"/>
        <v>3716.5841174635925</v>
      </c>
      <c r="L132" s="3560">
        <f t="shared" si="82"/>
        <v>310.98750265690671</v>
      </c>
      <c r="M132" s="3560">
        <f t="shared" si="82"/>
        <v>234.08048725828854</v>
      </c>
      <c r="N132" s="3560">
        <f t="shared" si="82"/>
        <v>2795.8141171515013</v>
      </c>
      <c r="O132" s="3560">
        <f t="shared" si="82"/>
        <v>722.8979737373985</v>
      </c>
      <c r="P132" s="3561">
        <f t="shared" si="82"/>
        <v>334.59275305901588</v>
      </c>
    </row>
    <row r="133" spans="2:20" ht="27" x14ac:dyDescent="0.3">
      <c r="B133" s="3562" t="s">
        <v>805</v>
      </c>
      <c r="C133" s="3557" t="s">
        <v>846</v>
      </c>
      <c r="D133" s="3559">
        <f>D129+D131</f>
        <v>101458.34281807055</v>
      </c>
      <c r="E133" s="3560">
        <f>E129+E131</f>
        <v>1268.6489161200179</v>
      </c>
      <c r="F133" s="3560">
        <f t="shared" ref="F133:P133" si="83">F129+F131</f>
        <v>11118.33888411823</v>
      </c>
      <c r="G133" s="3560">
        <f t="shared" si="83"/>
        <v>24092.185123914991</v>
      </c>
      <c r="H133" s="3560">
        <f t="shared" si="83"/>
        <v>16307.572853966831</v>
      </c>
      <c r="I133" s="3560">
        <f t="shared" si="83"/>
        <v>13572.965121646277</v>
      </c>
      <c r="J133" s="3560">
        <f t="shared" si="83"/>
        <v>18356.788869630913</v>
      </c>
      <c r="K133" s="3560">
        <f t="shared" si="83"/>
        <v>5209.0158825364078</v>
      </c>
      <c r="L133" s="3560">
        <f t="shared" si="83"/>
        <v>1093.0124973430934</v>
      </c>
      <c r="M133" s="3560">
        <f t="shared" si="83"/>
        <v>954.71951274171147</v>
      </c>
      <c r="N133" s="3560">
        <f t="shared" si="83"/>
        <v>4092.1858828484987</v>
      </c>
      <c r="O133" s="3560">
        <f t="shared" si="83"/>
        <v>3672.3020262626023</v>
      </c>
      <c r="P133" s="3561">
        <f t="shared" si="83"/>
        <v>1720.6072469409839</v>
      </c>
    </row>
    <row r="134" spans="2:20" ht="27" x14ac:dyDescent="0.3">
      <c r="B134" s="3562" t="s">
        <v>804</v>
      </c>
      <c r="C134" s="3557" t="s">
        <v>846</v>
      </c>
      <c r="D134" s="3563">
        <f>D132</f>
        <v>41932.057181929442</v>
      </c>
      <c r="E134" s="3564">
        <f>E132</f>
        <v>893.75108387998205</v>
      </c>
      <c r="F134" s="3564">
        <f t="shared" ref="F134:P134" si="84">F132</f>
        <v>3409.6611158817709</v>
      </c>
      <c r="G134" s="3564">
        <f t="shared" si="84"/>
        <v>10167.01487608501</v>
      </c>
      <c r="H134" s="3564">
        <f t="shared" si="84"/>
        <v>7222.0271460331687</v>
      </c>
      <c r="I134" s="3564">
        <f t="shared" si="84"/>
        <v>6648.6348783537214</v>
      </c>
      <c r="J134" s="3564">
        <f t="shared" si="84"/>
        <v>5476.0111303690865</v>
      </c>
      <c r="K134" s="3564">
        <f t="shared" si="84"/>
        <v>3716.5841174635925</v>
      </c>
      <c r="L134" s="3564">
        <f t="shared" si="84"/>
        <v>310.98750265690671</v>
      </c>
      <c r="M134" s="3564">
        <f t="shared" si="84"/>
        <v>234.08048725828854</v>
      </c>
      <c r="N134" s="3564">
        <f t="shared" si="84"/>
        <v>2795.8141171515013</v>
      </c>
      <c r="O134" s="3564">
        <f t="shared" si="84"/>
        <v>722.8979737373985</v>
      </c>
      <c r="P134" s="3564">
        <f t="shared" si="84"/>
        <v>334.59275305901588</v>
      </c>
      <c r="R134" s="1513"/>
    </row>
    <row r="135" spans="2:20" ht="27.75" thickBot="1" x14ac:dyDescent="0.35">
      <c r="B135" s="3565" t="s">
        <v>806</v>
      </c>
      <c r="C135" s="3566" t="s">
        <v>846</v>
      </c>
      <c r="D135" s="3567">
        <f>D133</f>
        <v>101458.34281807055</v>
      </c>
      <c r="E135" s="3567">
        <f t="shared" ref="E135:P135" si="85">E133</f>
        <v>1268.6489161200179</v>
      </c>
      <c r="F135" s="3567">
        <f t="shared" si="85"/>
        <v>11118.33888411823</v>
      </c>
      <c r="G135" s="3567">
        <f t="shared" si="85"/>
        <v>24092.185123914991</v>
      </c>
      <c r="H135" s="3567">
        <f t="shared" si="85"/>
        <v>16307.572853966831</v>
      </c>
      <c r="I135" s="3567">
        <f t="shared" si="85"/>
        <v>13572.965121646277</v>
      </c>
      <c r="J135" s="3567">
        <f t="shared" si="85"/>
        <v>18356.788869630913</v>
      </c>
      <c r="K135" s="3567">
        <f t="shared" si="85"/>
        <v>5209.0158825364078</v>
      </c>
      <c r="L135" s="3567">
        <f t="shared" si="85"/>
        <v>1093.0124973430934</v>
      </c>
      <c r="M135" s="3567">
        <f t="shared" si="85"/>
        <v>954.71951274171147</v>
      </c>
      <c r="N135" s="3567">
        <f t="shared" si="85"/>
        <v>4092.1858828484987</v>
      </c>
      <c r="O135" s="3567">
        <f t="shared" si="85"/>
        <v>3672.3020262626023</v>
      </c>
      <c r="P135" s="3567">
        <f t="shared" si="85"/>
        <v>1720.6072469409839</v>
      </c>
      <c r="R135" s="1513"/>
    </row>
    <row r="138" spans="2:20" x14ac:dyDescent="0.3">
      <c r="B138" s="1520"/>
      <c r="C138" s="1520"/>
      <c r="D138" s="1520"/>
      <c r="E138" s="1520"/>
      <c r="F138" s="1520"/>
      <c r="G138" s="1520"/>
      <c r="H138" s="1520"/>
      <c r="I138" s="1520"/>
      <c r="J138" s="1520"/>
      <c r="K138" s="1520"/>
      <c r="L138" s="1520"/>
      <c r="M138" s="1520"/>
      <c r="N138" s="1520"/>
      <c r="O138" s="1520"/>
      <c r="P138" s="1520"/>
    </row>
    <row r="141" spans="2:20" x14ac:dyDescent="0.3">
      <c r="D141" s="1521">
        <f>D134+D135-D121</f>
        <v>0</v>
      </c>
      <c r="E141" s="1521">
        <f>E134+E135-E121</f>
        <v>0</v>
      </c>
      <c r="F141" s="1521">
        <f t="shared" ref="F141:P141" si="86">F134+F135-F121</f>
        <v>0</v>
      </c>
      <c r="G141" s="1521">
        <f t="shared" si="86"/>
        <v>0</v>
      </c>
      <c r="H141" s="1521">
        <f t="shared" si="86"/>
        <v>0</v>
      </c>
      <c r="I141" s="1521">
        <f t="shared" si="86"/>
        <v>0</v>
      </c>
      <c r="J141" s="1521">
        <f t="shared" si="86"/>
        <v>0</v>
      </c>
      <c r="K141" s="1521">
        <f t="shared" si="86"/>
        <v>0</v>
      </c>
      <c r="L141" s="1521">
        <f t="shared" si="86"/>
        <v>0</v>
      </c>
      <c r="M141" s="1521">
        <f t="shared" si="86"/>
        <v>0</v>
      </c>
      <c r="N141" s="1521">
        <f t="shared" si="86"/>
        <v>0</v>
      </c>
      <c r="O141" s="1521">
        <f t="shared" si="86"/>
        <v>0</v>
      </c>
      <c r="P141" s="1521">
        <f t="shared" si="86"/>
        <v>0</v>
      </c>
      <c r="T141" s="1302">
        <v>0</v>
      </c>
    </row>
    <row r="144" spans="2:20" x14ac:dyDescent="0.3">
      <c r="N144" s="26" t="s">
        <v>848</v>
      </c>
    </row>
    <row r="146" spans="2:17" x14ac:dyDescent="0.3">
      <c r="B146" s="3875" t="s">
        <v>451</v>
      </c>
      <c r="C146" s="3875"/>
      <c r="D146" s="3875"/>
      <c r="E146" s="3875"/>
      <c r="F146" s="3875"/>
      <c r="G146" s="3875"/>
      <c r="H146" s="3875"/>
      <c r="I146" s="3875"/>
      <c r="J146" s="3875"/>
      <c r="K146" s="3759"/>
      <c r="L146" s="3759"/>
      <c r="M146" s="3759"/>
      <c r="N146" s="3759"/>
      <c r="O146" s="3759"/>
      <c r="P146" s="3759"/>
      <c r="Q146" s="158"/>
    </row>
    <row r="147" spans="2:17" x14ac:dyDescent="0.3">
      <c r="B147" s="3886" t="s">
        <v>849</v>
      </c>
      <c r="C147" s="3886"/>
      <c r="D147" s="3886"/>
      <c r="E147" s="3886"/>
      <c r="F147" s="3886"/>
      <c r="G147" s="3886"/>
      <c r="H147" s="3886"/>
      <c r="I147" s="3886"/>
      <c r="J147" s="3886"/>
      <c r="K147" s="3886"/>
      <c r="L147" s="3886"/>
      <c r="M147" s="3886"/>
      <c r="N147" s="3886"/>
      <c r="O147" s="3886"/>
      <c r="P147" s="3886"/>
    </row>
    <row r="148" spans="2:17" ht="19.5" thickBot="1" x14ac:dyDescent="0.35">
      <c r="B148" s="3887" t="s">
        <v>221</v>
      </c>
      <c r="C148" s="3888"/>
      <c r="D148" s="3888"/>
      <c r="E148" s="3888"/>
      <c r="F148" s="3888"/>
      <c r="G148" s="3888"/>
      <c r="H148" s="3888"/>
      <c r="I148" s="3888"/>
      <c r="J148" s="3888"/>
      <c r="K148" s="3888"/>
      <c r="L148" s="3888"/>
      <c r="M148" s="3888"/>
      <c r="N148" s="3888"/>
      <c r="O148" s="3888"/>
      <c r="P148" s="3888"/>
      <c r="Q148" s="158"/>
    </row>
    <row r="149" spans="2:17" x14ac:dyDescent="0.3">
      <c r="B149" s="3889" t="s">
        <v>111</v>
      </c>
      <c r="C149" s="3880" t="s">
        <v>35</v>
      </c>
      <c r="D149" s="3568" t="s">
        <v>139</v>
      </c>
      <c r="E149" s="3880" t="s">
        <v>19</v>
      </c>
      <c r="F149" s="3880" t="s">
        <v>20</v>
      </c>
      <c r="G149" s="3880" t="s">
        <v>21</v>
      </c>
      <c r="H149" s="3880" t="s">
        <v>10</v>
      </c>
      <c r="I149" s="3880" t="s">
        <v>11</v>
      </c>
      <c r="J149" s="3880" t="s">
        <v>12</v>
      </c>
      <c r="K149" s="3880" t="s">
        <v>13</v>
      </c>
      <c r="L149" s="3880" t="s">
        <v>140</v>
      </c>
      <c r="M149" s="3880" t="s">
        <v>15</v>
      </c>
      <c r="N149" s="3880" t="s">
        <v>16</v>
      </c>
      <c r="O149" s="3880" t="s">
        <v>17</v>
      </c>
      <c r="P149" s="3884" t="s">
        <v>18</v>
      </c>
      <c r="Q149" s="158"/>
    </row>
    <row r="150" spans="2:17" x14ac:dyDescent="0.3">
      <c r="B150" s="3890"/>
      <c r="C150" s="3861"/>
      <c r="D150" s="2525" t="str">
        <f>'Вхідні дані'!$F$6</f>
        <v>2023-2024</v>
      </c>
      <c r="E150" s="3862"/>
      <c r="F150" s="3862"/>
      <c r="G150" s="3862"/>
      <c r="H150" s="3862"/>
      <c r="I150" s="3862"/>
      <c r="J150" s="3862"/>
      <c r="K150" s="3862"/>
      <c r="L150" s="3862"/>
      <c r="M150" s="3862"/>
      <c r="N150" s="3862"/>
      <c r="O150" s="3862"/>
      <c r="P150" s="3885"/>
      <c r="Q150" s="158"/>
    </row>
    <row r="151" spans="2:17" x14ac:dyDescent="0.3">
      <c r="B151" s="3569">
        <v>1</v>
      </c>
      <c r="C151" s="2525">
        <v>2</v>
      </c>
      <c r="D151" s="2525">
        <v>3</v>
      </c>
      <c r="E151" s="2525">
        <v>4</v>
      </c>
      <c r="F151" s="2525">
        <v>5</v>
      </c>
      <c r="G151" s="2525">
        <v>6</v>
      </c>
      <c r="H151" s="2525">
        <v>7</v>
      </c>
      <c r="I151" s="2525">
        <v>8</v>
      </c>
      <c r="J151" s="2525">
        <v>9</v>
      </c>
      <c r="K151" s="2525">
        <v>10</v>
      </c>
      <c r="L151" s="2525">
        <v>11</v>
      </c>
      <c r="M151" s="2525">
        <v>12</v>
      </c>
      <c r="N151" s="2525">
        <v>13</v>
      </c>
      <c r="O151" s="2525">
        <v>14</v>
      </c>
      <c r="P151" s="3570">
        <v>15</v>
      </c>
    </row>
    <row r="152" spans="2:17" ht="25.5" x14ac:dyDescent="0.3">
      <c r="B152" s="3571" t="s">
        <v>788</v>
      </c>
      <c r="C152" s="2525" t="s">
        <v>193</v>
      </c>
      <c r="D152" s="2962">
        <f>D153+D155+D154</f>
        <v>13.936</v>
      </c>
      <c r="E152" s="2962">
        <f t="shared" ref="E152:P152" si="87">E153+E155+E154</f>
        <v>0.97899999999999998</v>
      </c>
      <c r="F152" s="2962">
        <f t="shared" si="87"/>
        <v>1.698</v>
      </c>
      <c r="G152" s="2962">
        <f t="shared" si="87"/>
        <v>1.504</v>
      </c>
      <c r="H152" s="2962">
        <f t="shared" si="87"/>
        <v>1.1080000000000001</v>
      </c>
      <c r="I152" s="2962">
        <f t="shared" si="87"/>
        <v>1.4710000000000001</v>
      </c>
      <c r="J152" s="2962">
        <f t="shared" si="87"/>
        <v>0.9</v>
      </c>
      <c r="K152" s="2962">
        <f t="shared" si="87"/>
        <v>1.2309999999999999</v>
      </c>
      <c r="L152" s="2962">
        <f t="shared" si="87"/>
        <v>0.84099999999999997</v>
      </c>
      <c r="M152" s="2962">
        <f t="shared" si="87"/>
        <v>0.97599999999999998</v>
      </c>
      <c r="N152" s="2962">
        <f t="shared" si="87"/>
        <v>0.92500000000000004</v>
      </c>
      <c r="O152" s="2962">
        <f t="shared" si="87"/>
        <v>1.159</v>
      </c>
      <c r="P152" s="3527">
        <f t="shared" si="87"/>
        <v>1.1440000000000001</v>
      </c>
    </row>
    <row r="153" spans="2:17" ht="25.5" x14ac:dyDescent="0.3">
      <c r="B153" s="3572" t="s">
        <v>1607</v>
      </c>
      <c r="C153" s="2525" t="s">
        <v>193</v>
      </c>
      <c r="D153" s="2962">
        <f>SUM(E153:P153)</f>
        <v>5.8890000000000002</v>
      </c>
      <c r="E153" s="2962">
        <f>(O187+P187)/1000</f>
        <v>0.48199999999999998</v>
      </c>
      <c r="F153" s="2962">
        <f>Q187/1000</f>
        <v>0.50900000000000001</v>
      </c>
      <c r="G153" s="2962">
        <f>R187/1000</f>
        <v>0.52400000000000002</v>
      </c>
      <c r="H153" s="2962">
        <f>E187/1000</f>
        <v>0.46899999999999997</v>
      </c>
      <c r="I153" s="2962">
        <f t="shared" ref="I153:J153" si="88">F187/1000</f>
        <v>0.59199999999999997</v>
      </c>
      <c r="J153" s="2962">
        <f t="shared" si="88"/>
        <v>0.45900000000000002</v>
      </c>
      <c r="K153" s="2962">
        <f>(H187+I187)/1000</f>
        <v>0.47099999999999997</v>
      </c>
      <c r="L153" s="2962">
        <f>J187/1000</f>
        <v>0.47499999999999998</v>
      </c>
      <c r="M153" s="2962">
        <f t="shared" ref="M153:P153" si="89">K187/1000</f>
        <v>0.48799999999999999</v>
      </c>
      <c r="N153" s="2962">
        <f t="shared" si="89"/>
        <v>0.46</v>
      </c>
      <c r="O153" s="2962">
        <f t="shared" si="89"/>
        <v>0.49</v>
      </c>
      <c r="P153" s="2962">
        <f t="shared" si="89"/>
        <v>0.47</v>
      </c>
      <c r="Q153" s="158"/>
    </row>
    <row r="154" spans="2:17" x14ac:dyDescent="0.3">
      <c r="B154" s="3572" t="s">
        <v>1608</v>
      </c>
      <c r="C154" s="2525" t="s">
        <v>193</v>
      </c>
      <c r="D154" s="2962">
        <f>SUM(E154:P154)</f>
        <v>0</v>
      </c>
      <c r="E154" s="3573">
        <f>E178</f>
        <v>0</v>
      </c>
      <c r="F154" s="3573">
        <f t="shared" ref="F154:P154" si="90">F178</f>
        <v>0</v>
      </c>
      <c r="G154" s="3573">
        <f t="shared" si="90"/>
        <v>0</v>
      </c>
      <c r="H154" s="3573">
        <f t="shared" si="90"/>
        <v>0</v>
      </c>
      <c r="I154" s="3573">
        <f t="shared" si="90"/>
        <v>0</v>
      </c>
      <c r="J154" s="3573">
        <f t="shared" si="90"/>
        <v>0</v>
      </c>
      <c r="K154" s="3573">
        <f t="shared" si="90"/>
        <v>0</v>
      </c>
      <c r="L154" s="3573">
        <f t="shared" si="90"/>
        <v>0</v>
      </c>
      <c r="M154" s="3573">
        <f t="shared" si="90"/>
        <v>0</v>
      </c>
      <c r="N154" s="3573">
        <f t="shared" si="90"/>
        <v>0</v>
      </c>
      <c r="O154" s="3573">
        <f t="shared" si="90"/>
        <v>0</v>
      </c>
      <c r="P154" s="3573">
        <f t="shared" si="90"/>
        <v>0</v>
      </c>
      <c r="Q154" s="158"/>
    </row>
    <row r="155" spans="2:17" x14ac:dyDescent="0.3">
      <c r="B155" s="3572" t="s">
        <v>850</v>
      </c>
      <c r="C155" s="2525" t="s">
        <v>193</v>
      </c>
      <c r="D155" s="2962">
        <f>SUM(E155:P155)</f>
        <v>8.0469999999999988</v>
      </c>
      <c r="E155" s="2962">
        <f>(O188+P188)/1000</f>
        <v>0.497</v>
      </c>
      <c r="F155" s="2962">
        <f>Q188/1000</f>
        <v>1.1890000000000001</v>
      </c>
      <c r="G155" s="2962">
        <f>R188/1000</f>
        <v>0.98</v>
      </c>
      <c r="H155" s="2962">
        <f>E188/1000</f>
        <v>0.63900000000000001</v>
      </c>
      <c r="I155" s="2962">
        <f t="shared" ref="I155:J155" si="91">F188/1000</f>
        <v>0.879</v>
      </c>
      <c r="J155" s="2962">
        <f t="shared" si="91"/>
        <v>0.441</v>
      </c>
      <c r="K155" s="2962">
        <f>(H188+I188)/1000</f>
        <v>0.76</v>
      </c>
      <c r="L155" s="2962">
        <f>J188/1000</f>
        <v>0.36599999999999999</v>
      </c>
      <c r="M155" s="2962">
        <f t="shared" ref="M155:P155" si="92">K188/1000</f>
        <v>0.48799999999999999</v>
      </c>
      <c r="N155" s="2962">
        <f t="shared" si="92"/>
        <v>0.46500000000000002</v>
      </c>
      <c r="O155" s="2962">
        <f t="shared" si="92"/>
        <v>0.66900000000000004</v>
      </c>
      <c r="P155" s="2962">
        <f t="shared" si="92"/>
        <v>0.67400000000000004</v>
      </c>
      <c r="Q155" s="158"/>
    </row>
    <row r="156" spans="2:17" ht="24" customHeight="1" x14ac:dyDescent="0.3">
      <c r="B156" s="3574" t="str">
        <f>'Вхідні дані'!$B$29</f>
        <v>Тариф на електричну енергію, без ПДВ</v>
      </c>
      <c r="C156" s="2525" t="s">
        <v>764</v>
      </c>
      <c r="D156" s="2950">
        <f>'Вхідні дані'!$D$29</f>
        <v>3.6727299999999996</v>
      </c>
      <c r="E156" s="2950">
        <f t="shared" ref="E156:P156" si="93">D156</f>
        <v>3.6727299999999996</v>
      </c>
      <c r="F156" s="2950">
        <f t="shared" si="93"/>
        <v>3.6727299999999996</v>
      </c>
      <c r="G156" s="2950">
        <f t="shared" si="93"/>
        <v>3.6727299999999996</v>
      </c>
      <c r="H156" s="2950">
        <f t="shared" si="93"/>
        <v>3.6727299999999996</v>
      </c>
      <c r="I156" s="2950">
        <f t="shared" si="93"/>
        <v>3.6727299999999996</v>
      </c>
      <c r="J156" s="2950">
        <f t="shared" si="93"/>
        <v>3.6727299999999996</v>
      </c>
      <c r="K156" s="2950">
        <f t="shared" si="93"/>
        <v>3.6727299999999996</v>
      </c>
      <c r="L156" s="2950">
        <f t="shared" si="93"/>
        <v>3.6727299999999996</v>
      </c>
      <c r="M156" s="2950">
        <f t="shared" si="93"/>
        <v>3.6727299999999996</v>
      </c>
      <c r="N156" s="2950">
        <f t="shared" si="93"/>
        <v>3.6727299999999996</v>
      </c>
      <c r="O156" s="2950">
        <f t="shared" si="93"/>
        <v>3.6727299999999996</v>
      </c>
      <c r="P156" s="3575">
        <f t="shared" si="93"/>
        <v>3.6727299999999996</v>
      </c>
      <c r="Q156" s="158"/>
    </row>
    <row r="157" spans="2:17" ht="30" customHeight="1" x14ac:dyDescent="0.3">
      <c r="B157" s="3574" t="s">
        <v>807</v>
      </c>
      <c r="C157" s="2525" t="s">
        <v>40</v>
      </c>
      <c r="D157" s="2948">
        <f>D152*D156</f>
        <v>51.183165279999997</v>
      </c>
      <c r="E157" s="2948">
        <f t="shared" ref="E157:P157" si="94">E152*E156</f>
        <v>3.5956026699999994</v>
      </c>
      <c r="F157" s="2948">
        <f t="shared" si="94"/>
        <v>6.2362955399999995</v>
      </c>
      <c r="G157" s="2948">
        <f t="shared" si="94"/>
        <v>5.523785919999999</v>
      </c>
      <c r="H157" s="2948">
        <f t="shared" si="94"/>
        <v>4.0693848399999997</v>
      </c>
      <c r="I157" s="2948">
        <f t="shared" si="94"/>
        <v>5.4025858299999996</v>
      </c>
      <c r="J157" s="2948">
        <f t="shared" si="94"/>
        <v>3.3054569999999996</v>
      </c>
      <c r="K157" s="2948">
        <f t="shared" si="94"/>
        <v>4.5211306299999992</v>
      </c>
      <c r="L157" s="2948">
        <f t="shared" si="94"/>
        <v>3.0887659299999997</v>
      </c>
      <c r="M157" s="2948">
        <f t="shared" si="94"/>
        <v>3.5845844799999997</v>
      </c>
      <c r="N157" s="2948">
        <f t="shared" si="94"/>
        <v>3.3972752499999999</v>
      </c>
      <c r="O157" s="2948">
        <f t="shared" si="94"/>
        <v>4.25669407</v>
      </c>
      <c r="P157" s="3576">
        <f t="shared" si="94"/>
        <v>4.2016031199999997</v>
      </c>
      <c r="Q157" s="158"/>
    </row>
    <row r="158" spans="2:17" ht="25.5" x14ac:dyDescent="0.3">
      <c r="B158" s="3572" t="str">
        <f>B153</f>
        <v>загальновиробничі потреби, крім ремонтів</v>
      </c>
      <c r="C158" s="2525" t="s">
        <v>40</v>
      </c>
      <c r="D158" s="2948">
        <f>D153*D156</f>
        <v>21.62870697</v>
      </c>
      <c r="E158" s="2948">
        <f>E153*E156</f>
        <v>1.7702558599999998</v>
      </c>
      <c r="F158" s="2948">
        <f t="shared" ref="F158:P158" si="95">F153*F156</f>
        <v>1.8694195699999998</v>
      </c>
      <c r="G158" s="2948">
        <f t="shared" si="95"/>
        <v>1.9245105199999999</v>
      </c>
      <c r="H158" s="2948">
        <f t="shared" si="95"/>
        <v>1.7225103699999997</v>
      </c>
      <c r="I158" s="2948">
        <f t="shared" si="95"/>
        <v>2.1742561599999997</v>
      </c>
      <c r="J158" s="2948">
        <f t="shared" si="95"/>
        <v>1.6857830699999998</v>
      </c>
      <c r="K158" s="2948">
        <f t="shared" si="95"/>
        <v>1.7298558299999998</v>
      </c>
      <c r="L158" s="2948">
        <f t="shared" si="95"/>
        <v>1.7445467499999998</v>
      </c>
      <c r="M158" s="2948">
        <f t="shared" si="95"/>
        <v>1.7922922399999999</v>
      </c>
      <c r="N158" s="2948">
        <f t="shared" si="95"/>
        <v>1.6894558</v>
      </c>
      <c r="O158" s="2948">
        <f t="shared" si="95"/>
        <v>1.7996376999999997</v>
      </c>
      <c r="P158" s="3576">
        <f t="shared" si="95"/>
        <v>1.7261830999999996</v>
      </c>
      <c r="Q158" s="158"/>
    </row>
    <row r="159" spans="2:17" x14ac:dyDescent="0.3">
      <c r="B159" s="3572" t="str">
        <f>B154</f>
        <v>на ремонти</v>
      </c>
      <c r="C159" s="2525" t="s">
        <v>40</v>
      </c>
      <c r="D159" s="2948">
        <f>D154*D156</f>
        <v>0</v>
      </c>
      <c r="E159" s="2948">
        <f t="shared" ref="E159:P159" si="96">E154*E156</f>
        <v>0</v>
      </c>
      <c r="F159" s="2948">
        <f t="shared" si="96"/>
        <v>0</v>
      </c>
      <c r="G159" s="2948">
        <f t="shared" si="96"/>
        <v>0</v>
      </c>
      <c r="H159" s="2948">
        <f t="shared" si="96"/>
        <v>0</v>
      </c>
      <c r="I159" s="2948">
        <f t="shared" si="96"/>
        <v>0</v>
      </c>
      <c r="J159" s="2948">
        <f t="shared" si="96"/>
        <v>0</v>
      </c>
      <c r="K159" s="2948">
        <f t="shared" si="96"/>
        <v>0</v>
      </c>
      <c r="L159" s="2948">
        <f t="shared" si="96"/>
        <v>0</v>
      </c>
      <c r="M159" s="2948">
        <f t="shared" si="96"/>
        <v>0</v>
      </c>
      <c r="N159" s="2948">
        <f t="shared" si="96"/>
        <v>0</v>
      </c>
      <c r="O159" s="2948">
        <f t="shared" si="96"/>
        <v>0</v>
      </c>
      <c r="P159" s="3576">
        <f t="shared" si="96"/>
        <v>0</v>
      </c>
      <c r="Q159" s="158"/>
    </row>
    <row r="160" spans="2:17" x14ac:dyDescent="0.3">
      <c r="B160" s="3572" t="str">
        <f>B155</f>
        <v>загальногосподарські потреби</v>
      </c>
      <c r="C160" s="2525" t="s">
        <v>40</v>
      </c>
      <c r="D160" s="2948">
        <f>D155*D156</f>
        <v>29.554458309999994</v>
      </c>
      <c r="E160" s="2948">
        <f t="shared" ref="E160:P160" si="97">E155*E156</f>
        <v>1.8253468099999999</v>
      </c>
      <c r="F160" s="2948">
        <f t="shared" si="97"/>
        <v>4.3668759699999997</v>
      </c>
      <c r="G160" s="2948">
        <f t="shared" si="97"/>
        <v>3.5992753999999993</v>
      </c>
      <c r="H160" s="2948">
        <f t="shared" si="97"/>
        <v>2.3468744699999999</v>
      </c>
      <c r="I160" s="2948">
        <f t="shared" si="97"/>
        <v>3.2283296699999995</v>
      </c>
      <c r="J160" s="2948">
        <f t="shared" si="97"/>
        <v>1.6196739299999998</v>
      </c>
      <c r="K160" s="2948">
        <f t="shared" si="97"/>
        <v>2.7912747999999996</v>
      </c>
      <c r="L160" s="2948">
        <f t="shared" si="97"/>
        <v>1.3442191799999998</v>
      </c>
      <c r="M160" s="2948">
        <f t="shared" si="97"/>
        <v>1.7922922399999999</v>
      </c>
      <c r="N160" s="2948">
        <f t="shared" si="97"/>
        <v>1.7078194499999999</v>
      </c>
      <c r="O160" s="2948">
        <f t="shared" si="97"/>
        <v>2.4570563700000001</v>
      </c>
      <c r="P160" s="3576">
        <f t="shared" si="97"/>
        <v>2.4754200200000001</v>
      </c>
      <c r="Q160" s="158"/>
    </row>
    <row r="161" spans="2:22" ht="38.25" x14ac:dyDescent="0.3">
      <c r="B161" s="3574" t="str">
        <f>'Вхідні дані'!$B$31</f>
        <v>Тариф на послуги з розподілу електричної енергії, 2 клас напруги, без ПДВ</v>
      </c>
      <c r="C161" s="2525" t="s">
        <v>764</v>
      </c>
      <c r="D161" s="2952">
        <f>'Вхідні дані'!$D$31</f>
        <v>1.6650100000000001</v>
      </c>
      <c r="E161" s="2952">
        <f t="shared" ref="E161:P161" si="98">D161</f>
        <v>1.6650100000000001</v>
      </c>
      <c r="F161" s="2952">
        <f t="shared" si="98"/>
        <v>1.6650100000000001</v>
      </c>
      <c r="G161" s="2952">
        <f t="shared" si="98"/>
        <v>1.6650100000000001</v>
      </c>
      <c r="H161" s="2952">
        <f t="shared" si="98"/>
        <v>1.6650100000000001</v>
      </c>
      <c r="I161" s="2952">
        <f t="shared" si="98"/>
        <v>1.6650100000000001</v>
      </c>
      <c r="J161" s="2952">
        <f t="shared" si="98"/>
        <v>1.6650100000000001</v>
      </c>
      <c r="K161" s="2952">
        <f t="shared" si="98"/>
        <v>1.6650100000000001</v>
      </c>
      <c r="L161" s="2952">
        <f t="shared" si="98"/>
        <v>1.6650100000000001</v>
      </c>
      <c r="M161" s="2952">
        <f t="shared" si="98"/>
        <v>1.6650100000000001</v>
      </c>
      <c r="N161" s="2952">
        <f t="shared" si="98"/>
        <v>1.6650100000000001</v>
      </c>
      <c r="O161" s="2952">
        <f t="shared" si="98"/>
        <v>1.6650100000000001</v>
      </c>
      <c r="P161" s="3577">
        <f t="shared" si="98"/>
        <v>1.6650100000000001</v>
      </c>
      <c r="Q161" s="158"/>
    </row>
    <row r="162" spans="2:22" ht="25.5" x14ac:dyDescent="0.3">
      <c r="B162" s="3574" t="s">
        <v>808</v>
      </c>
      <c r="C162" s="2525" t="s">
        <v>40</v>
      </c>
      <c r="D162" s="2956">
        <f>D152*D161-X162</f>
        <v>23.203579360000003</v>
      </c>
      <c r="E162" s="2956">
        <f t="shared" ref="E162:P162" si="99">E152*E161</f>
        <v>1.6300447900000001</v>
      </c>
      <c r="F162" s="2956">
        <f t="shared" si="99"/>
        <v>2.82718698</v>
      </c>
      <c r="G162" s="2956">
        <f t="shared" si="99"/>
        <v>2.5041750400000002</v>
      </c>
      <c r="H162" s="2956">
        <f t="shared" si="99"/>
        <v>1.8448310800000003</v>
      </c>
      <c r="I162" s="2956">
        <f t="shared" si="99"/>
        <v>2.4492297100000004</v>
      </c>
      <c r="J162" s="2956">
        <f t="shared" si="99"/>
        <v>1.4985090000000001</v>
      </c>
      <c r="K162" s="2956">
        <f t="shared" si="99"/>
        <v>2.04962731</v>
      </c>
      <c r="L162" s="2956">
        <f t="shared" si="99"/>
        <v>1.4002734100000001</v>
      </c>
      <c r="M162" s="2956">
        <f t="shared" si="99"/>
        <v>1.62504976</v>
      </c>
      <c r="N162" s="2956">
        <f t="shared" si="99"/>
        <v>1.5401342500000001</v>
      </c>
      <c r="O162" s="2956">
        <f t="shared" si="99"/>
        <v>1.9297465900000002</v>
      </c>
      <c r="P162" s="3578">
        <f t="shared" si="99"/>
        <v>1.9047714400000004</v>
      </c>
      <c r="Q162" s="158"/>
      <c r="T162" s="1517"/>
      <c r="V162" s="1302"/>
    </row>
    <row r="163" spans="2:22" ht="25.5" x14ac:dyDescent="0.3">
      <c r="B163" s="3572" t="str">
        <f>B153</f>
        <v>загальновиробничі потреби, крім ремонтів</v>
      </c>
      <c r="C163" s="2525" t="s">
        <v>40</v>
      </c>
      <c r="D163" s="2956">
        <f>D153*D161</f>
        <v>9.8052438900000016</v>
      </c>
      <c r="E163" s="2956">
        <f t="shared" ref="E163:P163" si="100">E153*E161</f>
        <v>0.80253481999999998</v>
      </c>
      <c r="F163" s="2956">
        <f t="shared" si="100"/>
        <v>0.84749009000000008</v>
      </c>
      <c r="G163" s="2956">
        <f t="shared" si="100"/>
        <v>0.87246524000000014</v>
      </c>
      <c r="H163" s="2956">
        <f t="shared" si="100"/>
        <v>0.78088968999999997</v>
      </c>
      <c r="I163" s="2956">
        <f t="shared" si="100"/>
        <v>0.98568591999999999</v>
      </c>
      <c r="J163" s="2956">
        <f t="shared" si="100"/>
        <v>0.76423959000000008</v>
      </c>
      <c r="K163" s="2956">
        <f t="shared" si="100"/>
        <v>0.78421971000000001</v>
      </c>
      <c r="L163" s="2956">
        <f t="shared" si="100"/>
        <v>0.79087974999999999</v>
      </c>
      <c r="M163" s="2956">
        <f t="shared" si="100"/>
        <v>0.81252488</v>
      </c>
      <c r="N163" s="2956">
        <f t="shared" si="100"/>
        <v>0.76590460000000005</v>
      </c>
      <c r="O163" s="2956">
        <f t="shared" si="100"/>
        <v>0.81585490000000005</v>
      </c>
      <c r="P163" s="3578">
        <f t="shared" si="100"/>
        <v>0.78255470000000005</v>
      </c>
      <c r="Q163" s="158"/>
      <c r="T163" s="1517"/>
      <c r="V163" s="1302"/>
    </row>
    <row r="164" spans="2:22" x14ac:dyDescent="0.3">
      <c r="B164" s="3572" t="str">
        <f>B154</f>
        <v>на ремонти</v>
      </c>
      <c r="C164" s="2525" t="s">
        <v>40</v>
      </c>
      <c r="D164" s="2956">
        <f>D154*D161</f>
        <v>0</v>
      </c>
      <c r="E164" s="2956">
        <f t="shared" ref="E164:P164" si="101">E154*E161</f>
        <v>0</v>
      </c>
      <c r="F164" s="2956">
        <f t="shared" si="101"/>
        <v>0</v>
      </c>
      <c r="G164" s="2956">
        <f t="shared" si="101"/>
        <v>0</v>
      </c>
      <c r="H164" s="2956">
        <f t="shared" si="101"/>
        <v>0</v>
      </c>
      <c r="I164" s="2956">
        <f t="shared" si="101"/>
        <v>0</v>
      </c>
      <c r="J164" s="2956">
        <f t="shared" si="101"/>
        <v>0</v>
      </c>
      <c r="K164" s="2956">
        <f t="shared" si="101"/>
        <v>0</v>
      </c>
      <c r="L164" s="2956">
        <f t="shared" si="101"/>
        <v>0</v>
      </c>
      <c r="M164" s="2956">
        <f t="shared" si="101"/>
        <v>0</v>
      </c>
      <c r="N164" s="2956">
        <f t="shared" si="101"/>
        <v>0</v>
      </c>
      <c r="O164" s="2956">
        <f t="shared" si="101"/>
        <v>0</v>
      </c>
      <c r="P164" s="3578">
        <f t="shared" si="101"/>
        <v>0</v>
      </c>
      <c r="Q164" s="158"/>
      <c r="T164" s="1517"/>
      <c r="V164" s="1302"/>
    </row>
    <row r="165" spans="2:22" x14ac:dyDescent="0.3">
      <c r="B165" s="3572" t="str">
        <f>B155</f>
        <v>загальногосподарські потреби</v>
      </c>
      <c r="C165" s="2525" t="s">
        <v>40</v>
      </c>
      <c r="D165" s="2956">
        <f>D155*D161</f>
        <v>13.398335469999999</v>
      </c>
      <c r="E165" s="2956">
        <f t="shared" ref="E165:P165" si="102">E155*E161</f>
        <v>0.82750997000000004</v>
      </c>
      <c r="F165" s="2956">
        <f t="shared" si="102"/>
        <v>1.9796968900000003</v>
      </c>
      <c r="G165" s="2956">
        <f t="shared" si="102"/>
        <v>1.6317098000000001</v>
      </c>
      <c r="H165" s="2956">
        <f t="shared" si="102"/>
        <v>1.0639413900000001</v>
      </c>
      <c r="I165" s="2956">
        <f t="shared" si="102"/>
        <v>1.4635437900000001</v>
      </c>
      <c r="J165" s="2956">
        <f t="shared" si="102"/>
        <v>0.73426941000000001</v>
      </c>
      <c r="K165" s="2956">
        <f t="shared" si="102"/>
        <v>1.2654076000000001</v>
      </c>
      <c r="L165" s="2956">
        <f t="shared" si="102"/>
        <v>0.60939366000000006</v>
      </c>
      <c r="M165" s="2956">
        <f t="shared" si="102"/>
        <v>0.81252488</v>
      </c>
      <c r="N165" s="2956">
        <f t="shared" si="102"/>
        <v>0.7742296500000001</v>
      </c>
      <c r="O165" s="2956">
        <f t="shared" si="102"/>
        <v>1.1138916900000002</v>
      </c>
      <c r="P165" s="3578">
        <f t="shared" si="102"/>
        <v>1.12221674</v>
      </c>
      <c r="Q165" s="158"/>
      <c r="T165" s="1517"/>
      <c r="V165" s="1302"/>
    </row>
    <row r="166" spans="2:22" ht="25.5" x14ac:dyDescent="0.3">
      <c r="B166" s="3571" t="s">
        <v>838</v>
      </c>
      <c r="C166" s="2525" t="s">
        <v>40</v>
      </c>
      <c r="D166" s="2956">
        <f>D157+D162</f>
        <v>74.386744640000003</v>
      </c>
      <c r="E166" s="2956">
        <f t="shared" ref="E166:P166" si="103">E157+E162</f>
        <v>5.2256474599999994</v>
      </c>
      <c r="F166" s="2956">
        <f t="shared" si="103"/>
        <v>9.0634825199999991</v>
      </c>
      <c r="G166" s="2956">
        <f t="shared" si="103"/>
        <v>8.0279609599999997</v>
      </c>
      <c r="H166" s="2956">
        <f t="shared" si="103"/>
        <v>5.9142159200000002</v>
      </c>
      <c r="I166" s="2956">
        <f t="shared" si="103"/>
        <v>7.8518155400000005</v>
      </c>
      <c r="J166" s="2956">
        <f t="shared" si="103"/>
        <v>4.803966</v>
      </c>
      <c r="K166" s="2956">
        <f t="shared" si="103"/>
        <v>6.5707579399999991</v>
      </c>
      <c r="L166" s="2956">
        <f t="shared" si="103"/>
        <v>4.4890393399999997</v>
      </c>
      <c r="M166" s="2956">
        <f t="shared" si="103"/>
        <v>5.2096342399999997</v>
      </c>
      <c r="N166" s="2956">
        <f t="shared" si="103"/>
        <v>4.9374095000000002</v>
      </c>
      <c r="O166" s="2956">
        <f t="shared" si="103"/>
        <v>6.1864406600000006</v>
      </c>
      <c r="P166" s="3578">
        <f t="shared" si="103"/>
        <v>6.1063745599999999</v>
      </c>
      <c r="Q166" s="158"/>
    </row>
    <row r="167" spans="2:22" ht="25.5" x14ac:dyDescent="0.3">
      <c r="B167" s="3572" t="str">
        <f>B158</f>
        <v>загальновиробничі потреби, крім ремонтів</v>
      </c>
      <c r="C167" s="2525" t="s">
        <v>40</v>
      </c>
      <c r="D167" s="2956">
        <f t="shared" ref="D167:P168" si="104">D158+D163</f>
        <v>31.433950860000003</v>
      </c>
      <c r="E167" s="2956">
        <f t="shared" si="104"/>
        <v>2.5727906799999998</v>
      </c>
      <c r="F167" s="2956">
        <f t="shared" si="104"/>
        <v>2.7169096599999998</v>
      </c>
      <c r="G167" s="2956">
        <f t="shared" si="104"/>
        <v>2.79697576</v>
      </c>
      <c r="H167" s="2956">
        <f t="shared" si="104"/>
        <v>2.5034000599999997</v>
      </c>
      <c r="I167" s="2956">
        <f t="shared" si="104"/>
        <v>3.1599420799999995</v>
      </c>
      <c r="J167" s="2956">
        <f t="shared" si="104"/>
        <v>2.4500226600000001</v>
      </c>
      <c r="K167" s="2956">
        <f t="shared" si="104"/>
        <v>2.5140755399999999</v>
      </c>
      <c r="L167" s="2956">
        <f t="shared" si="104"/>
        <v>2.5354264999999998</v>
      </c>
      <c r="M167" s="2956">
        <f t="shared" si="104"/>
        <v>2.6048171199999999</v>
      </c>
      <c r="N167" s="2956">
        <f t="shared" si="104"/>
        <v>2.4553604</v>
      </c>
      <c r="O167" s="2956">
        <f t="shared" si="104"/>
        <v>2.6154925999999996</v>
      </c>
      <c r="P167" s="3578">
        <f t="shared" si="104"/>
        <v>2.5087377999999996</v>
      </c>
      <c r="Q167" s="158"/>
    </row>
    <row r="168" spans="2:22" x14ac:dyDescent="0.3">
      <c r="B168" s="3572" t="str">
        <f>B159</f>
        <v>на ремонти</v>
      </c>
      <c r="C168" s="2525" t="s">
        <v>40</v>
      </c>
      <c r="D168" s="2956">
        <f t="shared" si="104"/>
        <v>0</v>
      </c>
      <c r="E168" s="2956">
        <f t="shared" si="104"/>
        <v>0</v>
      </c>
      <c r="F168" s="2956">
        <f t="shared" si="104"/>
        <v>0</v>
      </c>
      <c r="G168" s="2956">
        <f t="shared" si="104"/>
        <v>0</v>
      </c>
      <c r="H168" s="2956">
        <f t="shared" si="104"/>
        <v>0</v>
      </c>
      <c r="I168" s="2956">
        <f t="shared" si="104"/>
        <v>0</v>
      </c>
      <c r="J168" s="2956">
        <f t="shared" si="104"/>
        <v>0</v>
      </c>
      <c r="K168" s="2956">
        <f t="shared" si="104"/>
        <v>0</v>
      </c>
      <c r="L168" s="2956">
        <f t="shared" si="104"/>
        <v>0</v>
      </c>
      <c r="M168" s="2956">
        <f t="shared" si="104"/>
        <v>0</v>
      </c>
      <c r="N168" s="2956">
        <f t="shared" si="104"/>
        <v>0</v>
      </c>
      <c r="O168" s="2956">
        <f t="shared" si="104"/>
        <v>0</v>
      </c>
      <c r="P168" s="3578">
        <f t="shared" si="104"/>
        <v>0</v>
      </c>
      <c r="Q168" s="158"/>
    </row>
    <row r="169" spans="2:22" x14ac:dyDescent="0.3">
      <c r="B169" s="3572" t="str">
        <f>B160</f>
        <v>загальногосподарські потреби</v>
      </c>
      <c r="C169" s="2525" t="s">
        <v>40</v>
      </c>
      <c r="D169" s="2956">
        <f t="shared" ref="D169:P169" si="105">D160+D165</f>
        <v>42.952793779999993</v>
      </c>
      <c r="E169" s="2956">
        <f t="shared" si="105"/>
        <v>2.65285678</v>
      </c>
      <c r="F169" s="2956">
        <f t="shared" si="105"/>
        <v>6.3465728600000002</v>
      </c>
      <c r="G169" s="2956">
        <f t="shared" si="105"/>
        <v>5.2309851999999992</v>
      </c>
      <c r="H169" s="2956">
        <f t="shared" si="105"/>
        <v>3.41081586</v>
      </c>
      <c r="I169" s="2956">
        <f t="shared" si="105"/>
        <v>4.6918734600000001</v>
      </c>
      <c r="J169" s="2956">
        <f t="shared" si="105"/>
        <v>2.3539433399999998</v>
      </c>
      <c r="K169" s="2956">
        <f t="shared" si="105"/>
        <v>4.0566823999999997</v>
      </c>
      <c r="L169" s="2956">
        <f t="shared" si="105"/>
        <v>1.9536128399999999</v>
      </c>
      <c r="M169" s="2956">
        <f t="shared" si="105"/>
        <v>2.6048171199999999</v>
      </c>
      <c r="N169" s="2956">
        <f t="shared" si="105"/>
        <v>2.4820491000000002</v>
      </c>
      <c r="O169" s="2956">
        <f t="shared" si="105"/>
        <v>3.5709480600000001</v>
      </c>
      <c r="P169" s="3578">
        <f t="shared" si="105"/>
        <v>3.5976367600000003</v>
      </c>
      <c r="Q169" s="158"/>
    </row>
    <row r="170" spans="2:22" ht="25.5" x14ac:dyDescent="0.3">
      <c r="B170" s="3571" t="s">
        <v>1611</v>
      </c>
      <c r="C170" s="2955" t="s">
        <v>145</v>
      </c>
      <c r="D170" s="2956">
        <f>D154*$M$102</f>
        <v>0</v>
      </c>
      <c r="E170" s="2956">
        <f t="shared" ref="E170:P170" si="106">E154*$M$102</f>
        <v>0</v>
      </c>
      <c r="F170" s="2956">
        <f t="shared" si="106"/>
        <v>0</v>
      </c>
      <c r="G170" s="2956">
        <f t="shared" si="106"/>
        <v>0</v>
      </c>
      <c r="H170" s="2956">
        <f t="shared" si="106"/>
        <v>0</v>
      </c>
      <c r="I170" s="2956">
        <f t="shared" si="106"/>
        <v>0</v>
      </c>
      <c r="J170" s="2956">
        <f t="shared" si="106"/>
        <v>0</v>
      </c>
      <c r="K170" s="2956">
        <f t="shared" si="106"/>
        <v>0</v>
      </c>
      <c r="L170" s="2956">
        <f t="shared" si="106"/>
        <v>0</v>
      </c>
      <c r="M170" s="2956">
        <f t="shared" si="106"/>
        <v>0</v>
      </c>
      <c r="N170" s="2956">
        <f t="shared" si="106"/>
        <v>0</v>
      </c>
      <c r="O170" s="2956">
        <f t="shared" si="106"/>
        <v>0</v>
      </c>
      <c r="P170" s="2956">
        <f t="shared" si="106"/>
        <v>0</v>
      </c>
    </row>
    <row r="171" spans="2:22" ht="38.25" x14ac:dyDescent="0.3">
      <c r="B171" s="3571" t="str">
        <f>'Вхідні дані'!$B$33</f>
        <v>Тариф для розрахунку плати за перетікання реактивної електроенергії, без ПДВ</v>
      </c>
      <c r="C171" s="2972" t="s">
        <v>766</v>
      </c>
      <c r="D171" s="2957">
        <f>'Вхідні дані'!$D$33</f>
        <v>0.18164666666666665</v>
      </c>
      <c r="E171" s="2957">
        <f t="shared" ref="E171:P171" si="107">D171</f>
        <v>0.18164666666666665</v>
      </c>
      <c r="F171" s="2957">
        <f t="shared" si="107"/>
        <v>0.18164666666666665</v>
      </c>
      <c r="G171" s="2957">
        <f t="shared" si="107"/>
        <v>0.18164666666666665</v>
      </c>
      <c r="H171" s="2957">
        <f t="shared" si="107"/>
        <v>0.18164666666666665</v>
      </c>
      <c r="I171" s="2957">
        <f t="shared" si="107"/>
        <v>0.18164666666666665</v>
      </c>
      <c r="J171" s="2957">
        <f t="shared" si="107"/>
        <v>0.18164666666666665</v>
      </c>
      <c r="K171" s="2957">
        <f t="shared" si="107"/>
        <v>0.18164666666666665</v>
      </c>
      <c r="L171" s="2957">
        <f t="shared" si="107"/>
        <v>0.18164666666666665</v>
      </c>
      <c r="M171" s="2957">
        <f t="shared" si="107"/>
        <v>0.18164666666666665</v>
      </c>
      <c r="N171" s="2957">
        <f t="shared" si="107"/>
        <v>0.18164666666666665</v>
      </c>
      <c r="O171" s="2957">
        <f t="shared" si="107"/>
        <v>0.18164666666666665</v>
      </c>
      <c r="P171" s="3579">
        <f t="shared" si="107"/>
        <v>0.18164666666666665</v>
      </c>
      <c r="Q171" s="158" t="s">
        <v>644</v>
      </c>
    </row>
    <row r="172" spans="2:22" ht="25.5" x14ac:dyDescent="0.3">
      <c r="B172" s="3571" t="s">
        <v>785</v>
      </c>
      <c r="C172" s="2525" t="s">
        <v>40</v>
      </c>
      <c r="D172" s="2956">
        <f>D170*D171</f>
        <v>0</v>
      </c>
      <c r="E172" s="2956">
        <f t="shared" ref="E172:P172" si="108">E170*E171</f>
        <v>0</v>
      </c>
      <c r="F172" s="2956">
        <f t="shared" si="108"/>
        <v>0</v>
      </c>
      <c r="G172" s="2956">
        <f t="shared" si="108"/>
        <v>0</v>
      </c>
      <c r="H172" s="2956">
        <f t="shared" si="108"/>
        <v>0</v>
      </c>
      <c r="I172" s="2956">
        <f t="shared" si="108"/>
        <v>0</v>
      </c>
      <c r="J172" s="2956">
        <f t="shared" si="108"/>
        <v>0</v>
      </c>
      <c r="K172" s="2956">
        <f t="shared" si="108"/>
        <v>0</v>
      </c>
      <c r="L172" s="2956">
        <f t="shared" si="108"/>
        <v>0</v>
      </c>
      <c r="M172" s="2956">
        <f t="shared" si="108"/>
        <v>0</v>
      </c>
      <c r="N172" s="2956">
        <f t="shared" si="108"/>
        <v>0</v>
      </c>
      <c r="O172" s="2956">
        <f t="shared" si="108"/>
        <v>0</v>
      </c>
      <c r="P172" s="3578">
        <f t="shared" si="108"/>
        <v>0</v>
      </c>
    </row>
    <row r="173" spans="2:22" ht="26.25" thickBot="1" x14ac:dyDescent="0.35">
      <c r="B173" s="3580" t="s">
        <v>1612</v>
      </c>
      <c r="C173" s="3581" t="s">
        <v>40</v>
      </c>
      <c r="D173" s="3582">
        <f>D172+D168</f>
        <v>0</v>
      </c>
      <c r="E173" s="3582">
        <f t="shared" ref="E173:P173" si="109">E172+E168</f>
        <v>0</v>
      </c>
      <c r="F173" s="3582">
        <f t="shared" si="109"/>
        <v>0</v>
      </c>
      <c r="G173" s="3582">
        <f t="shared" si="109"/>
        <v>0</v>
      </c>
      <c r="H173" s="3582">
        <f t="shared" si="109"/>
        <v>0</v>
      </c>
      <c r="I173" s="3582">
        <f t="shared" si="109"/>
        <v>0</v>
      </c>
      <c r="J173" s="3582">
        <f t="shared" si="109"/>
        <v>0</v>
      </c>
      <c r="K173" s="3582">
        <f t="shared" si="109"/>
        <v>0</v>
      </c>
      <c r="L173" s="3582">
        <f t="shared" si="109"/>
        <v>0</v>
      </c>
      <c r="M173" s="3582">
        <f t="shared" si="109"/>
        <v>0</v>
      </c>
      <c r="N173" s="3582">
        <f t="shared" si="109"/>
        <v>0</v>
      </c>
      <c r="O173" s="3582">
        <f t="shared" si="109"/>
        <v>0</v>
      </c>
      <c r="P173" s="3583">
        <f t="shared" si="109"/>
        <v>0</v>
      </c>
      <c r="Q173" s="158"/>
    </row>
    <row r="177" spans="2:20" x14ac:dyDescent="0.3">
      <c r="E177" s="26" t="str">
        <f t="shared" ref="E177:P177" si="110">E6</f>
        <v>жовтень</v>
      </c>
      <c r="F177" s="26" t="str">
        <f t="shared" si="110"/>
        <v>листопад</v>
      </c>
      <c r="G177" s="26" t="str">
        <f t="shared" si="110"/>
        <v>грудень</v>
      </c>
      <c r="H177" s="26" t="str">
        <f t="shared" si="110"/>
        <v>січень</v>
      </c>
      <c r="I177" s="26" t="str">
        <f t="shared" si="110"/>
        <v>лютий</v>
      </c>
      <c r="J177" s="26" t="str">
        <f t="shared" si="110"/>
        <v>березень</v>
      </c>
      <c r="K177" s="26" t="str">
        <f t="shared" si="110"/>
        <v>квітень</v>
      </c>
      <c r="L177" s="26" t="str">
        <f t="shared" si="110"/>
        <v>травень</v>
      </c>
      <c r="M177" s="26" t="str">
        <f t="shared" si="110"/>
        <v>червень</v>
      </c>
      <c r="N177" s="26" t="str">
        <f t="shared" si="110"/>
        <v>липень</v>
      </c>
      <c r="O177" s="26" t="str">
        <f t="shared" si="110"/>
        <v>серпень</v>
      </c>
      <c r="P177" s="26" t="str">
        <f t="shared" si="110"/>
        <v>вересень</v>
      </c>
    </row>
    <row r="178" spans="2:20" x14ac:dyDescent="0.3">
      <c r="B178" s="242" t="str">
        <f>B168</f>
        <v>на ремонти</v>
      </c>
      <c r="C178" s="109" t="s">
        <v>193</v>
      </c>
      <c r="D178" s="188">
        <f>D179+D180</f>
        <v>0</v>
      </c>
      <c r="E178" s="190">
        <f>SUM(E179:E180)</f>
        <v>0</v>
      </c>
      <c r="F178" s="190">
        <f t="shared" ref="F178:P178" si="111">SUM(F179:F180)</f>
        <v>0</v>
      </c>
      <c r="G178" s="190">
        <f t="shared" si="111"/>
        <v>0</v>
      </c>
      <c r="H178" s="190">
        <f t="shared" si="111"/>
        <v>0</v>
      </c>
      <c r="I178" s="190">
        <f t="shared" si="111"/>
        <v>0</v>
      </c>
      <c r="J178" s="190">
        <f t="shared" si="111"/>
        <v>0</v>
      </c>
      <c r="K178" s="190">
        <f t="shared" si="111"/>
        <v>0</v>
      </c>
      <c r="L178" s="190">
        <f t="shared" si="111"/>
        <v>0</v>
      </c>
      <c r="M178" s="190">
        <f t="shared" si="111"/>
        <v>0</v>
      </c>
      <c r="N178" s="190">
        <f t="shared" si="111"/>
        <v>0</v>
      </c>
      <c r="O178" s="190">
        <f t="shared" si="111"/>
        <v>0</v>
      </c>
      <c r="P178" s="190">
        <f t="shared" si="111"/>
        <v>0</v>
      </c>
    </row>
    <row r="179" spans="2:20" x14ac:dyDescent="0.3">
      <c r="B179" s="1483" t="s">
        <v>2345</v>
      </c>
      <c r="C179" s="109" t="s">
        <v>193</v>
      </c>
      <c r="D179" s="188">
        <f>SUM(E179:P179)</f>
        <v>0</v>
      </c>
      <c r="E179" s="239">
        <f>(O184+P184)/1000</f>
        <v>0</v>
      </c>
      <c r="F179" s="239">
        <f>Q184/1000</f>
        <v>0</v>
      </c>
      <c r="G179" s="239">
        <f>R184/1000</f>
        <v>0</v>
      </c>
      <c r="H179" s="239">
        <f>E184/1000</f>
        <v>0</v>
      </c>
      <c r="I179" s="239">
        <f t="shared" ref="I179:J179" si="112">F184/1000</f>
        <v>0</v>
      </c>
      <c r="J179" s="239">
        <f t="shared" si="112"/>
        <v>0</v>
      </c>
      <c r="K179" s="239">
        <f>(H184+I184)/1000</f>
        <v>0</v>
      </c>
      <c r="L179" s="239">
        <f>J184/1000</f>
        <v>0</v>
      </c>
      <c r="M179" s="239">
        <f>K184/1000</f>
        <v>0</v>
      </c>
      <c r="N179" s="239">
        <f t="shared" ref="N179:P179" si="113">L184/1000</f>
        <v>0</v>
      </c>
      <c r="O179" s="239">
        <f t="shared" si="113"/>
        <v>0</v>
      </c>
      <c r="P179" s="239">
        <f t="shared" si="113"/>
        <v>0</v>
      </c>
    </row>
    <row r="180" spans="2:20" x14ac:dyDescent="0.3">
      <c r="B180" s="1483" t="s">
        <v>2346</v>
      </c>
      <c r="C180" s="109" t="s">
        <v>193</v>
      </c>
      <c r="D180" s="188">
        <f>SUM(E180:P180)</f>
        <v>0</v>
      </c>
      <c r="E180" s="239">
        <f>(O183+P183)/1000</f>
        <v>0</v>
      </c>
      <c r="F180" s="239">
        <f>Q183/1000</f>
        <v>0</v>
      </c>
      <c r="G180" s="239">
        <f>R183/1000</f>
        <v>0</v>
      </c>
      <c r="H180" s="239">
        <f>E183/1000</f>
        <v>0</v>
      </c>
      <c r="I180" s="239">
        <f t="shared" ref="I180:J180" si="114">F183/1000</f>
        <v>0</v>
      </c>
      <c r="J180" s="239">
        <f t="shared" si="114"/>
        <v>0</v>
      </c>
      <c r="K180" s="239">
        <f>(H183+I183)/1000</f>
        <v>0</v>
      </c>
      <c r="L180" s="239">
        <f>J183/1000</f>
        <v>0</v>
      </c>
      <c r="M180" s="239">
        <f t="shared" ref="M180:P180" si="115">K183/1000</f>
        <v>0</v>
      </c>
      <c r="N180" s="239">
        <f t="shared" si="115"/>
        <v>0</v>
      </c>
      <c r="O180" s="239">
        <f t="shared" si="115"/>
        <v>0</v>
      </c>
      <c r="P180" s="239">
        <f t="shared" si="115"/>
        <v>0</v>
      </c>
    </row>
    <row r="182" spans="2:20" x14ac:dyDescent="0.25">
      <c r="E182" s="1501" t="s">
        <v>10</v>
      </c>
      <c r="F182" s="1501" t="s">
        <v>11</v>
      </c>
      <c r="G182" s="1501" t="s">
        <v>12</v>
      </c>
      <c r="H182" s="1501" t="s">
        <v>2347</v>
      </c>
      <c r="I182" s="1501" t="s">
        <v>2348</v>
      </c>
      <c r="J182" s="1501" t="s">
        <v>140</v>
      </c>
      <c r="K182" s="1501" t="s">
        <v>15</v>
      </c>
      <c r="L182" s="1501" t="s">
        <v>16</v>
      </c>
      <c r="M182" s="1501" t="s">
        <v>17</v>
      </c>
      <c r="N182" s="1501" t="s">
        <v>18</v>
      </c>
      <c r="O182" s="1501" t="s">
        <v>2349</v>
      </c>
      <c r="P182" s="1501" t="s">
        <v>2350</v>
      </c>
      <c r="Q182" s="1501" t="s">
        <v>20</v>
      </c>
      <c r="R182" s="1514" t="s">
        <v>21</v>
      </c>
      <c r="S182" s="1501" t="s">
        <v>462</v>
      </c>
    </row>
    <row r="183" spans="2:20" x14ac:dyDescent="0.3">
      <c r="B183" s="26" t="s">
        <v>2351</v>
      </c>
      <c r="E183" s="26">
        <v>0</v>
      </c>
      <c r="F183" s="26">
        <v>0</v>
      </c>
      <c r="G183" s="26">
        <v>0</v>
      </c>
      <c r="H183" s="26">
        <v>0</v>
      </c>
      <c r="I183" s="26">
        <v>0</v>
      </c>
      <c r="J183" s="26">
        <v>0</v>
      </c>
      <c r="K183" s="26">
        <v>0</v>
      </c>
      <c r="L183" s="26">
        <v>0</v>
      </c>
      <c r="M183" s="26">
        <v>0</v>
      </c>
      <c r="N183" s="26">
        <v>0</v>
      </c>
      <c r="O183" s="26">
        <v>0</v>
      </c>
      <c r="P183" s="26">
        <v>0</v>
      </c>
      <c r="Q183" s="26">
        <v>0</v>
      </c>
      <c r="R183" s="1511">
        <v>0</v>
      </c>
      <c r="S183" s="1502">
        <v>0</v>
      </c>
    </row>
    <row r="184" spans="2:20" ht="15" x14ac:dyDescent="0.25">
      <c r="B184" s="26" t="s">
        <v>2352</v>
      </c>
      <c r="E184" s="26">
        <v>0</v>
      </c>
      <c r="F184" s="26">
        <v>0</v>
      </c>
      <c r="G184" s="26">
        <v>0</v>
      </c>
      <c r="H184" s="26">
        <v>0</v>
      </c>
      <c r="I184" s="26">
        <v>0</v>
      </c>
      <c r="J184" s="26">
        <v>0</v>
      </c>
      <c r="K184" s="26">
        <v>0</v>
      </c>
      <c r="L184" s="26">
        <v>0</v>
      </c>
      <c r="M184" s="26">
        <v>0</v>
      </c>
      <c r="N184" s="26">
        <v>0</v>
      </c>
      <c r="O184" s="26">
        <v>0</v>
      </c>
      <c r="P184" s="26">
        <v>0</v>
      </c>
      <c r="Q184" s="26">
        <v>0</v>
      </c>
      <c r="R184" s="26">
        <v>0</v>
      </c>
      <c r="S184" s="1502">
        <f>SUM(E184:R184)</f>
        <v>0</v>
      </c>
    </row>
    <row r="185" spans="2:20" x14ac:dyDescent="0.25">
      <c r="E185" s="1501" t="s">
        <v>10</v>
      </c>
      <c r="F185" s="1501" t="s">
        <v>11</v>
      </c>
      <c r="G185" s="1501" t="s">
        <v>12</v>
      </c>
      <c r="H185" s="1501" t="s">
        <v>2347</v>
      </c>
      <c r="I185" s="1501" t="s">
        <v>2348</v>
      </c>
      <c r="J185" s="1501" t="s">
        <v>140</v>
      </c>
      <c r="K185" s="1501" t="s">
        <v>15</v>
      </c>
      <c r="L185" s="1501" t="s">
        <v>16</v>
      </c>
      <c r="M185" s="1501" t="s">
        <v>17</v>
      </c>
      <c r="N185" s="1501" t="s">
        <v>18</v>
      </c>
      <c r="O185" s="1501" t="s">
        <v>2349</v>
      </c>
      <c r="P185" s="1501" t="s">
        <v>2350</v>
      </c>
      <c r="Q185" s="1501" t="s">
        <v>20</v>
      </c>
      <c r="R185" s="1514" t="s">
        <v>21</v>
      </c>
      <c r="S185" s="1501" t="s">
        <v>462</v>
      </c>
    </row>
    <row r="186" spans="2:20" ht="15" x14ac:dyDescent="0.25">
      <c r="B186" s="26" t="s">
        <v>2353</v>
      </c>
      <c r="E186" s="26">
        <v>50</v>
      </c>
      <c r="F186" s="26">
        <v>50</v>
      </c>
      <c r="G186" s="26">
        <v>50</v>
      </c>
      <c r="H186" s="26">
        <v>50</v>
      </c>
      <c r="I186" s="26">
        <v>0</v>
      </c>
      <c r="J186" s="26">
        <v>50</v>
      </c>
      <c r="K186" s="26">
        <v>50</v>
      </c>
      <c r="L186" s="26">
        <v>50</v>
      </c>
      <c r="M186" s="26">
        <v>50</v>
      </c>
      <c r="N186" s="26">
        <v>50</v>
      </c>
      <c r="O186" s="26">
        <v>50</v>
      </c>
      <c r="P186" s="26">
        <v>0</v>
      </c>
      <c r="Q186" s="26">
        <v>50</v>
      </c>
      <c r="R186" s="26">
        <v>50</v>
      </c>
      <c r="S186" s="26">
        <f>SUM(E186:R186)</f>
        <v>600</v>
      </c>
      <c r="T186" s="1302" t="s">
        <v>3394</v>
      </c>
    </row>
    <row r="187" spans="2:20" ht="15" x14ac:dyDescent="0.25">
      <c r="B187" s="26" t="s">
        <v>1841</v>
      </c>
      <c r="D187" s="1302">
        <f>D153</f>
        <v>5.8890000000000002</v>
      </c>
      <c r="E187" s="1503">
        <v>469</v>
      </c>
      <c r="F187" s="1503">
        <v>592</v>
      </c>
      <c r="G187" s="1503">
        <v>459</v>
      </c>
      <c r="H187" s="1503">
        <v>471</v>
      </c>
      <c r="I187" s="1503">
        <v>0</v>
      </c>
      <c r="J187" s="1503">
        <v>475</v>
      </c>
      <c r="K187" s="1503">
        <v>488</v>
      </c>
      <c r="L187" s="1503">
        <v>460</v>
      </c>
      <c r="M187" s="1503">
        <v>490</v>
      </c>
      <c r="N187" s="1503">
        <v>470</v>
      </c>
      <c r="O187" s="1503">
        <v>482</v>
      </c>
      <c r="P187" s="1503">
        <v>0</v>
      </c>
      <c r="Q187" s="1503">
        <v>509</v>
      </c>
      <c r="R187" s="1503">
        <v>524</v>
      </c>
      <c r="S187" s="1503">
        <f>SUM(E187:R187)</f>
        <v>5889</v>
      </c>
      <c r="T187" s="1504">
        <f>D187-S187</f>
        <v>-5883.1109999999999</v>
      </c>
    </row>
    <row r="188" spans="2:20" ht="15" x14ac:dyDescent="0.25">
      <c r="B188" s="26" t="s">
        <v>1842</v>
      </c>
      <c r="D188" s="1302">
        <f>D155</f>
        <v>8.0469999999999988</v>
      </c>
      <c r="E188" s="26">
        <v>639</v>
      </c>
      <c r="F188" s="26">
        <v>879</v>
      </c>
      <c r="G188" s="26">
        <v>441</v>
      </c>
      <c r="H188" s="26">
        <v>760</v>
      </c>
      <c r="I188" s="26">
        <v>0</v>
      </c>
      <c r="J188" s="26">
        <v>366</v>
      </c>
      <c r="K188" s="26">
        <v>488</v>
      </c>
      <c r="L188" s="26">
        <v>465</v>
      </c>
      <c r="M188" s="26">
        <v>669</v>
      </c>
      <c r="N188" s="26">
        <v>674</v>
      </c>
      <c r="O188" s="26">
        <v>497</v>
      </c>
      <c r="P188" s="26">
        <v>0</v>
      </c>
      <c r="Q188" s="26">
        <v>1189</v>
      </c>
      <c r="R188" s="26">
        <v>980</v>
      </c>
      <c r="S188" s="26">
        <f>SUM(E188:R188)</f>
        <v>8047</v>
      </c>
      <c r="T188" s="1504">
        <f>D188-S188</f>
        <v>-8038.9530000000004</v>
      </c>
    </row>
    <row r="189" spans="2:20" x14ac:dyDescent="0.3">
      <c r="B189" s="26" t="s">
        <v>1370</v>
      </c>
      <c r="D189" s="26">
        <f>SUM(E189:R189)</f>
        <v>0</v>
      </c>
    </row>
    <row r="190" spans="2:20" ht="19.5" thickBot="1" x14ac:dyDescent="0.35">
      <c r="B190" s="26" t="s">
        <v>1368</v>
      </c>
      <c r="D190" s="26">
        <f>SUM(E190:R190)</f>
        <v>0</v>
      </c>
    </row>
    <row r="191" spans="2:20" x14ac:dyDescent="0.3">
      <c r="B191" s="3891" t="s">
        <v>1833</v>
      </c>
      <c r="C191" s="3892"/>
      <c r="D191" s="3584" t="s">
        <v>139</v>
      </c>
      <c r="E191" s="3881" t="s">
        <v>19</v>
      </c>
      <c r="F191" s="3881" t="s">
        <v>20</v>
      </c>
      <c r="G191" s="3881" t="s">
        <v>21</v>
      </c>
      <c r="H191" s="3881" t="s">
        <v>10</v>
      </c>
      <c r="I191" s="3881" t="s">
        <v>11</v>
      </c>
      <c r="J191" s="3881" t="s">
        <v>12</v>
      </c>
      <c r="K191" s="3881" t="s">
        <v>13</v>
      </c>
      <c r="L191" s="3881" t="s">
        <v>140</v>
      </c>
      <c r="M191" s="3881" t="s">
        <v>15</v>
      </c>
      <c r="N191" s="3881" t="s">
        <v>16</v>
      </c>
      <c r="O191" s="3881" t="s">
        <v>17</v>
      </c>
      <c r="P191" s="3881" t="s">
        <v>18</v>
      </c>
    </row>
    <row r="192" spans="2:20" ht="19.5" thickBot="1" x14ac:dyDescent="0.35">
      <c r="B192" s="3893"/>
      <c r="C192" s="3894"/>
      <c r="D192" s="3584" t="str">
        <f>'Вхідні дані'!$F$6</f>
        <v>2023-2024</v>
      </c>
      <c r="E192" s="3882"/>
      <c r="F192" s="3882"/>
      <c r="G192" s="3882"/>
      <c r="H192" s="3882"/>
      <c r="I192" s="3882"/>
      <c r="J192" s="3882"/>
      <c r="K192" s="3882"/>
      <c r="L192" s="3882"/>
      <c r="M192" s="3882"/>
      <c r="N192" s="3882"/>
      <c r="O192" s="3882"/>
      <c r="P192" s="3882"/>
    </row>
    <row r="193" spans="2:20" s="37" customFormat="1" x14ac:dyDescent="0.3">
      <c r="B193" s="3585" t="s">
        <v>2356</v>
      </c>
      <c r="C193" s="3586" t="s">
        <v>193</v>
      </c>
      <c r="D193" s="3587">
        <f>D194+D195+D198+D199+D200+D201+D202+D203+D204</f>
        <v>193.774</v>
      </c>
      <c r="E193" s="3587">
        <f t="shared" ref="E193:P193" si="116">E194+E195+E198+E199+E200+E201+E202+E203+E204</f>
        <v>3.7319999999999993</v>
      </c>
      <c r="F193" s="3587">
        <f t="shared" si="116"/>
        <v>19.908000000000001</v>
      </c>
      <c r="G193" s="3587">
        <f t="shared" si="116"/>
        <v>44.377999999999993</v>
      </c>
      <c r="H193" s="3587">
        <f t="shared" si="116"/>
        <v>30.570000000000004</v>
      </c>
      <c r="I193" s="3587">
        <f t="shared" si="116"/>
        <v>26.798000000000002</v>
      </c>
      <c r="J193" s="3587">
        <f t="shared" si="116"/>
        <v>30.741</v>
      </c>
      <c r="K193" s="3587">
        <f t="shared" si="116"/>
        <v>12.438000000000001</v>
      </c>
      <c r="L193" s="3587">
        <f t="shared" si="116"/>
        <v>2.6460000000000004</v>
      </c>
      <c r="M193" s="3587">
        <f t="shared" si="116"/>
        <v>2.512</v>
      </c>
      <c r="N193" s="3587">
        <f t="shared" si="116"/>
        <v>9.5850000000000009</v>
      </c>
      <c r="O193" s="3587">
        <f t="shared" si="116"/>
        <v>6.7030000000000012</v>
      </c>
      <c r="P193" s="3587">
        <f t="shared" si="116"/>
        <v>3.7629999999999995</v>
      </c>
      <c r="Q193" s="1505">
        <f>SUM(E193:P193)</f>
        <v>193.774</v>
      </c>
      <c r="R193" s="1515">
        <f>D193-Q193</f>
        <v>0</v>
      </c>
      <c r="S193" s="1506">
        <v>3762.9459999999999</v>
      </c>
      <c r="T193" s="1505">
        <f>S193-Q193</f>
        <v>3569.172</v>
      </c>
    </row>
    <row r="194" spans="2:20" x14ac:dyDescent="0.3">
      <c r="B194" s="3588" t="s">
        <v>885</v>
      </c>
      <c r="C194" s="3589" t="s">
        <v>193</v>
      </c>
      <c r="D194" s="3590">
        <f t="shared" ref="D194:P194" si="117">D12</f>
        <v>35.847600000000007</v>
      </c>
      <c r="E194" s="3590">
        <f t="shared" si="117"/>
        <v>0.54059999999999997</v>
      </c>
      <c r="F194" s="3590">
        <f t="shared" si="117"/>
        <v>3.6320000000000001</v>
      </c>
      <c r="G194" s="3590">
        <f t="shared" si="117"/>
        <v>8.5648</v>
      </c>
      <c r="H194" s="3590">
        <f t="shared" si="117"/>
        <v>5.8824000000000005</v>
      </c>
      <c r="I194" s="3590">
        <f t="shared" si="117"/>
        <v>5.0554000000000006</v>
      </c>
      <c r="J194" s="3590">
        <f t="shared" si="117"/>
        <v>5.9582000000000006</v>
      </c>
      <c r="K194" s="3590">
        <f t="shared" si="117"/>
        <v>2.2314000000000003</v>
      </c>
      <c r="L194" s="3590">
        <f t="shared" si="117"/>
        <v>0.35099999999999998</v>
      </c>
      <c r="M194" s="3590">
        <f t="shared" si="117"/>
        <v>0.29720000000000002</v>
      </c>
      <c r="N194" s="3590">
        <f t="shared" si="117"/>
        <v>1.722</v>
      </c>
      <c r="O194" s="3590">
        <f t="shared" si="117"/>
        <v>1.0988</v>
      </c>
      <c r="P194" s="3590">
        <f t="shared" si="117"/>
        <v>0.51380000000000003</v>
      </c>
      <c r="Q194" s="1505">
        <f t="shared" ref="Q194:Q203" si="118">SUM(E194:P194)</f>
        <v>35.847600000000007</v>
      </c>
      <c r="R194" s="1515">
        <f>D194-Q194</f>
        <v>0</v>
      </c>
    </row>
    <row r="195" spans="2:20" x14ac:dyDescent="0.3">
      <c r="B195" s="3588" t="s">
        <v>1840</v>
      </c>
      <c r="C195" s="3589" t="s">
        <v>193</v>
      </c>
      <c r="D195" s="3590">
        <f t="shared" ref="D195:P195" si="119">D33</f>
        <v>143.3904</v>
      </c>
      <c r="E195" s="3590">
        <f t="shared" si="119"/>
        <v>2.1623999999999999</v>
      </c>
      <c r="F195" s="3590">
        <f t="shared" si="119"/>
        <v>14.528</v>
      </c>
      <c r="G195" s="3590">
        <f t="shared" si="119"/>
        <v>34.2592</v>
      </c>
      <c r="H195" s="3590">
        <f t="shared" si="119"/>
        <v>23.529600000000002</v>
      </c>
      <c r="I195" s="3590">
        <f t="shared" si="119"/>
        <v>20.221599999999999</v>
      </c>
      <c r="J195" s="3590">
        <f t="shared" si="119"/>
        <v>23.832799999999999</v>
      </c>
      <c r="K195" s="3590">
        <f t="shared" si="119"/>
        <v>8.9255999999999993</v>
      </c>
      <c r="L195" s="3590">
        <f t="shared" si="119"/>
        <v>1.4040000000000001</v>
      </c>
      <c r="M195" s="3590">
        <f t="shared" si="119"/>
        <v>1.1888000000000001</v>
      </c>
      <c r="N195" s="3590">
        <f t="shared" si="119"/>
        <v>6.8879999999999999</v>
      </c>
      <c r="O195" s="3590">
        <f t="shared" si="119"/>
        <v>4.3952000000000009</v>
      </c>
      <c r="P195" s="3590">
        <f t="shared" si="119"/>
        <v>2.0551999999999997</v>
      </c>
      <c r="Q195" s="1505">
        <f t="shared" si="118"/>
        <v>143.3904</v>
      </c>
      <c r="R195" s="1515">
        <f t="shared" ref="R195:R203" si="120">D195-Q195</f>
        <v>0</v>
      </c>
    </row>
    <row r="196" spans="2:20" s="1507" customFormat="1" x14ac:dyDescent="0.3">
      <c r="B196" s="3591" t="s">
        <v>2354</v>
      </c>
      <c r="C196" s="3592" t="s">
        <v>193</v>
      </c>
      <c r="D196" s="3593">
        <f t="shared" ref="D196:P196" si="121">D34</f>
        <v>41.932057181929437</v>
      </c>
      <c r="E196" s="3593">
        <f t="shared" si="121"/>
        <v>0.89375108387998203</v>
      </c>
      <c r="F196" s="3593">
        <f t="shared" si="121"/>
        <v>3.4096611158817711</v>
      </c>
      <c r="G196" s="3593">
        <f t="shared" si="121"/>
        <v>10.167014876085009</v>
      </c>
      <c r="H196" s="3593">
        <f t="shared" si="121"/>
        <v>7.2220271460331684</v>
      </c>
      <c r="I196" s="3593">
        <f t="shared" si="121"/>
        <v>6.6486348783537217</v>
      </c>
      <c r="J196" s="3593">
        <f t="shared" si="121"/>
        <v>5.4760111303690868</v>
      </c>
      <c r="K196" s="3593">
        <f t="shared" si="121"/>
        <v>3.7165841174635927</v>
      </c>
      <c r="L196" s="3593">
        <f t="shared" si="121"/>
        <v>0.31098750265690672</v>
      </c>
      <c r="M196" s="3593">
        <f t="shared" si="121"/>
        <v>0.23408048725828853</v>
      </c>
      <c r="N196" s="3593">
        <f t="shared" si="121"/>
        <v>2.7958141171515014</v>
      </c>
      <c r="O196" s="3593">
        <f t="shared" si="121"/>
        <v>0.7228979737373985</v>
      </c>
      <c r="P196" s="3593">
        <f t="shared" si="121"/>
        <v>0.33459275305901587</v>
      </c>
      <c r="Q196" s="1505">
        <f t="shared" si="118"/>
        <v>41.932057181929437</v>
      </c>
      <c r="R196" s="1515">
        <f t="shared" si="120"/>
        <v>0</v>
      </c>
      <c r="T196" s="1508"/>
    </row>
    <row r="197" spans="2:20" s="1507" customFormat="1" x14ac:dyDescent="0.3">
      <c r="B197" s="3591" t="s">
        <v>2355</v>
      </c>
      <c r="C197" s="3592" t="s">
        <v>193</v>
      </c>
      <c r="D197" s="3593">
        <f t="shared" ref="D197:P197" si="122">D35</f>
        <v>101.45834281807058</v>
      </c>
      <c r="E197" s="3593">
        <f t="shared" si="122"/>
        <v>1.2686489161200178</v>
      </c>
      <c r="F197" s="3593">
        <f t="shared" si="122"/>
        <v>11.118338884118229</v>
      </c>
      <c r="G197" s="3593">
        <f t="shared" si="122"/>
        <v>24.092185123914991</v>
      </c>
      <c r="H197" s="3593">
        <f t="shared" si="122"/>
        <v>16.307572853966832</v>
      </c>
      <c r="I197" s="3593">
        <f t="shared" si="122"/>
        <v>13.572965121646277</v>
      </c>
      <c r="J197" s="3593">
        <f t="shared" si="122"/>
        <v>18.356788869630911</v>
      </c>
      <c r="K197" s="3593">
        <f t="shared" si="122"/>
        <v>5.2090158825364075</v>
      </c>
      <c r="L197" s="3593">
        <f t="shared" si="122"/>
        <v>1.0930124973430935</v>
      </c>
      <c r="M197" s="3593">
        <f t="shared" si="122"/>
        <v>0.95471951274171152</v>
      </c>
      <c r="N197" s="3593">
        <f t="shared" si="122"/>
        <v>4.0921858828484989</v>
      </c>
      <c r="O197" s="3593">
        <f t="shared" si="122"/>
        <v>3.6723020262626025</v>
      </c>
      <c r="P197" s="3593">
        <f t="shared" si="122"/>
        <v>1.7206072469409839</v>
      </c>
      <c r="Q197" s="1505">
        <f t="shared" si="118"/>
        <v>101.45834281807058</v>
      </c>
      <c r="R197" s="1515">
        <f t="shared" si="120"/>
        <v>0</v>
      </c>
      <c r="T197" s="1508"/>
    </row>
    <row r="198" spans="2:20" x14ac:dyDescent="0.3">
      <c r="B198" s="3588" t="s">
        <v>2138</v>
      </c>
      <c r="C198" s="3589" t="s">
        <v>193</v>
      </c>
      <c r="D198" s="3590">
        <f t="shared" ref="D198:P198" si="123">D70</f>
        <v>0.6</v>
      </c>
      <c r="E198" s="3590">
        <f t="shared" si="123"/>
        <v>0.05</v>
      </c>
      <c r="F198" s="3590">
        <f t="shared" si="123"/>
        <v>0.05</v>
      </c>
      <c r="G198" s="3590">
        <f t="shared" si="123"/>
        <v>0.05</v>
      </c>
      <c r="H198" s="3590">
        <f t="shared" si="123"/>
        <v>0.05</v>
      </c>
      <c r="I198" s="3590">
        <f t="shared" si="123"/>
        <v>0.05</v>
      </c>
      <c r="J198" s="3590">
        <f t="shared" si="123"/>
        <v>0.05</v>
      </c>
      <c r="K198" s="3590">
        <f t="shared" si="123"/>
        <v>0.05</v>
      </c>
      <c r="L198" s="3590">
        <f t="shared" si="123"/>
        <v>0.05</v>
      </c>
      <c r="M198" s="3590">
        <f t="shared" si="123"/>
        <v>0.05</v>
      </c>
      <c r="N198" s="3590">
        <f t="shared" si="123"/>
        <v>0.05</v>
      </c>
      <c r="O198" s="3590">
        <f t="shared" si="123"/>
        <v>0.05</v>
      </c>
      <c r="P198" s="3590">
        <f t="shared" si="123"/>
        <v>0.05</v>
      </c>
      <c r="Q198" s="1505">
        <f t="shared" si="118"/>
        <v>0.6</v>
      </c>
      <c r="R198" s="1515">
        <f t="shared" si="120"/>
        <v>0</v>
      </c>
    </row>
    <row r="199" spans="2:20" x14ac:dyDescent="0.3">
      <c r="B199" s="3588" t="s">
        <v>1380</v>
      </c>
      <c r="C199" s="3589" t="s">
        <v>193</v>
      </c>
      <c r="D199" s="3590">
        <f>D153</f>
        <v>5.8890000000000002</v>
      </c>
      <c r="E199" s="3590">
        <f t="shared" ref="E199:P199" si="124">E153</f>
        <v>0.48199999999999998</v>
      </c>
      <c r="F199" s="3590">
        <f t="shared" si="124"/>
        <v>0.50900000000000001</v>
      </c>
      <c r="G199" s="3590">
        <f t="shared" si="124"/>
        <v>0.52400000000000002</v>
      </c>
      <c r="H199" s="3590">
        <f t="shared" si="124"/>
        <v>0.46899999999999997</v>
      </c>
      <c r="I199" s="3590">
        <f t="shared" si="124"/>
        <v>0.59199999999999997</v>
      </c>
      <c r="J199" s="3590">
        <f t="shared" si="124"/>
        <v>0.45900000000000002</v>
      </c>
      <c r="K199" s="3590">
        <f t="shared" si="124"/>
        <v>0.47099999999999997</v>
      </c>
      <c r="L199" s="3590">
        <f t="shared" si="124"/>
        <v>0.47499999999999998</v>
      </c>
      <c r="M199" s="3590">
        <f t="shared" si="124"/>
        <v>0.48799999999999999</v>
      </c>
      <c r="N199" s="3590">
        <f t="shared" si="124"/>
        <v>0.46</v>
      </c>
      <c r="O199" s="3590">
        <f t="shared" si="124"/>
        <v>0.49</v>
      </c>
      <c r="P199" s="3590">
        <f t="shared" si="124"/>
        <v>0.47</v>
      </c>
      <c r="Q199" s="1505">
        <f t="shared" si="118"/>
        <v>5.8890000000000002</v>
      </c>
      <c r="R199" s="1515">
        <f t="shared" si="120"/>
        <v>0</v>
      </c>
    </row>
    <row r="200" spans="2:20" x14ac:dyDescent="0.3">
      <c r="B200" s="3588" t="s">
        <v>2146</v>
      </c>
      <c r="C200" s="3589" t="s">
        <v>193</v>
      </c>
      <c r="D200" s="3590">
        <f>D155</f>
        <v>8.0469999999999988</v>
      </c>
      <c r="E200" s="3590">
        <f>E155</f>
        <v>0.497</v>
      </c>
      <c r="F200" s="3590">
        <f>F155</f>
        <v>1.1890000000000001</v>
      </c>
      <c r="G200" s="3590">
        <f t="shared" ref="G200:P200" si="125">G155</f>
        <v>0.98</v>
      </c>
      <c r="H200" s="3590">
        <f t="shared" si="125"/>
        <v>0.63900000000000001</v>
      </c>
      <c r="I200" s="3590">
        <f t="shared" si="125"/>
        <v>0.879</v>
      </c>
      <c r="J200" s="3590">
        <f t="shared" si="125"/>
        <v>0.441</v>
      </c>
      <c r="K200" s="3590">
        <f t="shared" si="125"/>
        <v>0.76</v>
      </c>
      <c r="L200" s="3590">
        <f t="shared" si="125"/>
        <v>0.36599999999999999</v>
      </c>
      <c r="M200" s="3590">
        <f t="shared" si="125"/>
        <v>0.48799999999999999</v>
      </c>
      <c r="N200" s="3590">
        <f t="shared" si="125"/>
        <v>0.46500000000000002</v>
      </c>
      <c r="O200" s="3590">
        <f t="shared" si="125"/>
        <v>0.66900000000000004</v>
      </c>
      <c r="P200" s="3590">
        <f t="shared" si="125"/>
        <v>0.67400000000000004</v>
      </c>
      <c r="Q200" s="1505">
        <f t="shared" si="118"/>
        <v>8.0469999999999988</v>
      </c>
      <c r="R200" s="1515">
        <f t="shared" si="120"/>
        <v>0</v>
      </c>
    </row>
    <row r="201" spans="2:20" x14ac:dyDescent="0.3">
      <c r="B201" s="3588" t="s">
        <v>1334</v>
      </c>
      <c r="C201" s="3589" t="s">
        <v>193</v>
      </c>
      <c r="D201" s="3590">
        <f>D154</f>
        <v>0</v>
      </c>
      <c r="E201" s="3590">
        <f t="shared" ref="E201:P201" si="126">E154</f>
        <v>0</v>
      </c>
      <c r="F201" s="3590">
        <f t="shared" si="126"/>
        <v>0</v>
      </c>
      <c r="G201" s="3590">
        <f t="shared" si="126"/>
        <v>0</v>
      </c>
      <c r="H201" s="3590">
        <f t="shared" si="126"/>
        <v>0</v>
      </c>
      <c r="I201" s="3590">
        <f t="shared" si="126"/>
        <v>0</v>
      </c>
      <c r="J201" s="3590">
        <f t="shared" si="126"/>
        <v>0</v>
      </c>
      <c r="K201" s="3590">
        <f t="shared" si="126"/>
        <v>0</v>
      </c>
      <c r="L201" s="3590">
        <f t="shared" si="126"/>
        <v>0</v>
      </c>
      <c r="M201" s="3590">
        <f t="shared" si="126"/>
        <v>0</v>
      </c>
      <c r="N201" s="3590">
        <f t="shared" si="126"/>
        <v>0</v>
      </c>
      <c r="O201" s="3590">
        <f t="shared" si="126"/>
        <v>0</v>
      </c>
      <c r="P201" s="3590">
        <f t="shared" si="126"/>
        <v>0</v>
      </c>
      <c r="Q201" s="1505">
        <f t="shared" si="118"/>
        <v>0</v>
      </c>
      <c r="R201" s="1515">
        <f t="shared" si="120"/>
        <v>0</v>
      </c>
    </row>
    <row r="202" spans="2:20" x14ac:dyDescent="0.3">
      <c r="B202" s="3588" t="s">
        <v>1379</v>
      </c>
      <c r="C202" s="3589" t="s">
        <v>193</v>
      </c>
      <c r="D202" s="3590">
        <f>D189/1000</f>
        <v>0</v>
      </c>
      <c r="E202" s="3590">
        <f>(O189+P189)/1000</f>
        <v>0</v>
      </c>
      <c r="F202" s="3590">
        <f>Q189/1000</f>
        <v>0</v>
      </c>
      <c r="G202" s="3590">
        <f>R189/1000</f>
        <v>0</v>
      </c>
      <c r="H202" s="3590">
        <f>E189/1000</f>
        <v>0</v>
      </c>
      <c r="I202" s="3590">
        <f t="shared" ref="I202:J203" si="127">F189/1000</f>
        <v>0</v>
      </c>
      <c r="J202" s="3590">
        <f t="shared" si="127"/>
        <v>0</v>
      </c>
      <c r="K202" s="3590">
        <f>(H189+I189)/1000</f>
        <v>0</v>
      </c>
      <c r="L202" s="3590">
        <f>J189/1000</f>
        <v>0</v>
      </c>
      <c r="M202" s="3590">
        <f t="shared" ref="M202:P203" si="128">K189/1000</f>
        <v>0</v>
      </c>
      <c r="N202" s="3590">
        <f t="shared" si="128"/>
        <v>0</v>
      </c>
      <c r="O202" s="3590">
        <f t="shared" si="128"/>
        <v>0</v>
      </c>
      <c r="P202" s="3590">
        <f t="shared" si="128"/>
        <v>0</v>
      </c>
      <c r="Q202" s="1505">
        <f t="shared" si="118"/>
        <v>0</v>
      </c>
      <c r="R202" s="1515">
        <f t="shared" si="120"/>
        <v>0</v>
      </c>
    </row>
    <row r="203" spans="2:20" x14ac:dyDescent="0.3">
      <c r="B203" s="3588" t="s">
        <v>961</v>
      </c>
      <c r="C203" s="3589" t="s">
        <v>193</v>
      </c>
      <c r="D203" s="3590">
        <f>D190/1000</f>
        <v>0</v>
      </c>
      <c r="E203" s="3590">
        <f>(O190+P190)/1000</f>
        <v>0</v>
      </c>
      <c r="F203" s="3590">
        <f>Q190/1000</f>
        <v>0</v>
      </c>
      <c r="G203" s="3590">
        <f>R190/1000</f>
        <v>0</v>
      </c>
      <c r="H203" s="3590">
        <f>E190/1000</f>
        <v>0</v>
      </c>
      <c r="I203" s="3590">
        <f t="shared" si="127"/>
        <v>0</v>
      </c>
      <c r="J203" s="3590">
        <f t="shared" si="127"/>
        <v>0</v>
      </c>
      <c r="K203" s="3590">
        <f>(H190+I190)/1000</f>
        <v>0</v>
      </c>
      <c r="L203" s="3590">
        <f>J190/1000</f>
        <v>0</v>
      </c>
      <c r="M203" s="3590">
        <f t="shared" si="128"/>
        <v>0</v>
      </c>
      <c r="N203" s="3590">
        <f t="shared" si="128"/>
        <v>0</v>
      </c>
      <c r="O203" s="3590">
        <f t="shared" si="128"/>
        <v>0</v>
      </c>
      <c r="P203" s="3590">
        <f t="shared" si="128"/>
        <v>0</v>
      </c>
      <c r="Q203" s="1505">
        <f t="shared" si="118"/>
        <v>0</v>
      </c>
      <c r="R203" s="1515">
        <f t="shared" si="120"/>
        <v>0</v>
      </c>
    </row>
    <row r="204" spans="2:20" x14ac:dyDescent="0.3">
      <c r="B204" s="3588" t="s">
        <v>2201</v>
      </c>
      <c r="C204" s="3588"/>
      <c r="D204" s="3590"/>
      <c r="E204" s="3588"/>
      <c r="F204" s="3588"/>
      <c r="G204" s="3588"/>
      <c r="H204" s="3588"/>
      <c r="I204" s="3588"/>
      <c r="J204" s="3588"/>
      <c r="K204" s="3588"/>
      <c r="L204" s="3588"/>
      <c r="M204" s="3588"/>
      <c r="N204" s="3588"/>
      <c r="O204" s="3588"/>
      <c r="P204" s="3588"/>
    </row>
    <row r="205" spans="2:20" ht="19.5" thickBot="1" x14ac:dyDescent="0.35">
      <c r="B205" s="3594"/>
      <c r="C205" s="3594"/>
      <c r="D205" s="3594"/>
      <c r="E205" s="3594"/>
      <c r="F205" s="3594"/>
      <c r="G205" s="3594"/>
      <c r="H205" s="3594"/>
      <c r="I205" s="3594"/>
      <c r="J205" s="3594"/>
      <c r="K205" s="3594"/>
      <c r="L205" s="3594"/>
      <c r="M205" s="3594"/>
      <c r="N205" s="3594"/>
      <c r="O205" s="3594"/>
      <c r="P205" s="3594"/>
    </row>
    <row r="206" spans="2:20" ht="15" customHeight="1" x14ac:dyDescent="0.3">
      <c r="B206" s="3891" t="s">
        <v>1004</v>
      </c>
      <c r="C206" s="3892"/>
      <c r="D206" s="3584" t="s">
        <v>139</v>
      </c>
      <c r="E206" s="3881" t="s">
        <v>19</v>
      </c>
      <c r="F206" s="3881" t="s">
        <v>20</v>
      </c>
      <c r="G206" s="3881" t="s">
        <v>21</v>
      </c>
      <c r="H206" s="3881" t="s">
        <v>10</v>
      </c>
      <c r="I206" s="3881" t="s">
        <v>11</v>
      </c>
      <c r="J206" s="3881" t="s">
        <v>12</v>
      </c>
      <c r="K206" s="3881" t="s">
        <v>13</v>
      </c>
      <c r="L206" s="3881" t="s">
        <v>140</v>
      </c>
      <c r="M206" s="3881" t="s">
        <v>15</v>
      </c>
      <c r="N206" s="3881" t="s">
        <v>16</v>
      </c>
      <c r="O206" s="3881" t="s">
        <v>17</v>
      </c>
      <c r="P206" s="3881" t="s">
        <v>18</v>
      </c>
      <c r="Q206" s="2471"/>
      <c r="R206" s="2472"/>
    </row>
    <row r="207" spans="2:20" ht="19.5" thickBot="1" x14ac:dyDescent="0.35">
      <c r="B207" s="3893"/>
      <c r="C207" s="3894"/>
      <c r="D207" s="3584" t="str">
        <f>'Вхідні дані'!$F$6</f>
        <v>2023-2024</v>
      </c>
      <c r="E207" s="3882"/>
      <c r="F207" s="3882"/>
      <c r="G207" s="3882"/>
      <c r="H207" s="3882"/>
      <c r="I207" s="3882"/>
      <c r="J207" s="3882"/>
      <c r="K207" s="3882"/>
      <c r="L207" s="3882"/>
      <c r="M207" s="3882"/>
      <c r="N207" s="3882"/>
      <c r="O207" s="3882"/>
      <c r="P207" s="3882"/>
      <c r="Q207" s="2471"/>
      <c r="R207" s="2472"/>
    </row>
    <row r="208" spans="2:20" ht="15" customHeight="1" x14ac:dyDescent="0.3">
      <c r="B208" s="3585" t="s">
        <v>2356</v>
      </c>
      <c r="C208" s="3586" t="s">
        <v>1721</v>
      </c>
      <c r="D208" s="3587">
        <f>D209+D210+D213+D214+D215+D216+D217+D218+D219</f>
        <v>1039.8769356659159</v>
      </c>
      <c r="E208" s="3587">
        <f t="shared" ref="E208" si="129">E209+E210+E213+E214+E215+E216+E217+E218+E219</f>
        <v>20.004338130003706</v>
      </c>
      <c r="F208" s="3587">
        <f t="shared" ref="F208" si="130">F209+F210+F213+F214+F215+F216+F217+F218+F219</f>
        <v>106.82722259295879</v>
      </c>
      <c r="G208" s="3587">
        <f t="shared" ref="G208" si="131">G209+G210+G213+G214+G215+G216+G217+G218+G219</f>
        <v>238.20699885753564</v>
      </c>
      <c r="H208" s="3587">
        <f t="shared" ref="H208" si="132">H209+H210+H213+H214+H215+H216+H217+H218+H219</f>
        <v>164.08733529567283</v>
      </c>
      <c r="I208" s="3587">
        <f t="shared" ref="I208" si="133">I209+I210+I213+I214+I215+I216+I217+I218+I219</f>
        <v>143.82507858642271</v>
      </c>
      <c r="J208" s="3587">
        <f t="shared" ref="J208" si="134">J209+J210+J213+J214+J215+J216+J217+J218+J219</f>
        <v>165.01184850718087</v>
      </c>
      <c r="K208" s="3587">
        <f t="shared" ref="K208" si="135">K209+K210+K213+K214+K215+K216+K217+K218+K219</f>
        <v>66.737014609394407</v>
      </c>
      <c r="L208" s="3587">
        <f t="shared" ref="L208" si="136">L209+L210+L213+L214+L215+L216+L217+L218+L219</f>
        <v>14.178137797155067</v>
      </c>
      <c r="M208" s="3587">
        <f t="shared" ref="M208" si="137">M209+M210+M213+M214+M215+M216+M217+M218+M219</f>
        <v>13.454534062918478</v>
      </c>
      <c r="N208" s="3587">
        <f t="shared" ref="N208" si="138">N209+N210+N213+N214+N215+N216+N217+N218+N219</f>
        <v>51.429413673481449</v>
      </c>
      <c r="O208" s="3587">
        <f t="shared" ref="O208" si="139">O209+O210+O213+O214+O215+O216+O217+O218+O219</f>
        <v>35.949363256227919</v>
      </c>
      <c r="P208" s="3587">
        <f t="shared" ref="P208" si="140">P209+P210+P213+P214+P215+P216+P217+P218+P219</f>
        <v>20.165650296963914</v>
      </c>
      <c r="Q208" s="2471"/>
      <c r="R208" s="2473"/>
      <c r="S208" s="1522"/>
      <c r="T208" s="26"/>
    </row>
    <row r="209" spans="2:20" ht="14.45" customHeight="1" x14ac:dyDescent="0.3">
      <c r="B209" s="3588" t="s">
        <v>885</v>
      </c>
      <c r="C209" s="3589" t="s">
        <v>1721</v>
      </c>
      <c r="D209" s="3595">
        <f t="shared" ref="D209:P209" si="141">D25</f>
        <v>195.55061826148037</v>
      </c>
      <c r="E209" s="3590">
        <f t="shared" si="141"/>
        <v>2.9490025617379194</v>
      </c>
      <c r="F209" s="3590">
        <f t="shared" si="141"/>
        <v>19.812758609382399</v>
      </c>
      <c r="G209" s="3590">
        <f t="shared" si="141"/>
        <v>46.721452350671356</v>
      </c>
      <c r="H209" s="3590">
        <f t="shared" si="141"/>
        <v>32.088813668455686</v>
      </c>
      <c r="I209" s="3590">
        <f t="shared" si="141"/>
        <v>27.577483445449282</v>
      </c>
      <c r="J209" s="3590">
        <f t="shared" si="141"/>
        <v>32.502306813442239</v>
      </c>
      <c r="K209" s="3590">
        <f t="shared" si="141"/>
        <v>12.172409020092481</v>
      </c>
      <c r="L209" s="3590">
        <f t="shared" si="141"/>
        <v>1.9147241938031996</v>
      </c>
      <c r="M209" s="3590">
        <f t="shared" si="141"/>
        <v>1.6212422518470397</v>
      </c>
      <c r="N209" s="3590">
        <f t="shared" si="141"/>
        <v>9.3936041644703998</v>
      </c>
      <c r="O209" s="3590">
        <f t="shared" si="141"/>
        <v>5.9940140859001598</v>
      </c>
      <c r="P209" s="3590">
        <f t="shared" si="141"/>
        <v>2.8028070962281602</v>
      </c>
      <c r="Q209" s="2474"/>
      <c r="R209" s="2472"/>
      <c r="S209" s="1523" t="s">
        <v>2375</v>
      </c>
      <c r="T209" s="26"/>
    </row>
    <row r="210" spans="2:20" x14ac:dyDescent="0.3">
      <c r="B210" s="3588" t="s">
        <v>1840</v>
      </c>
      <c r="C210" s="3589" t="s">
        <v>1721</v>
      </c>
      <c r="D210" s="3595">
        <f t="shared" ref="D210:P210" si="142">D64</f>
        <v>766.73664866527542</v>
      </c>
      <c r="E210" s="3590">
        <f t="shared" si="142"/>
        <v>11.562777766669118</v>
      </c>
      <c r="F210" s="3590">
        <f t="shared" si="142"/>
        <v>77.684071121979727</v>
      </c>
      <c r="G210" s="3590">
        <f t="shared" si="142"/>
        <v>183.19067520526761</v>
      </c>
      <c r="H210" s="3590">
        <f t="shared" si="142"/>
        <v>125.81739536562048</v>
      </c>
      <c r="I210" s="3590">
        <f t="shared" si="142"/>
        <v>108.12886925937674</v>
      </c>
      <c r="J210" s="3590">
        <f t="shared" si="142"/>
        <v>127.43866535214197</v>
      </c>
      <c r="K210" s="3590">
        <f t="shared" si="142"/>
        <v>47.726937307705271</v>
      </c>
      <c r="L210" s="3590">
        <f t="shared" si="142"/>
        <v>7.5074639217552006</v>
      </c>
      <c r="M210" s="3590">
        <f t="shared" si="142"/>
        <v>6.3567472294747729</v>
      </c>
      <c r="N210" s="3590">
        <f t="shared" si="142"/>
        <v>36.831489667414395</v>
      </c>
      <c r="O210" s="3590">
        <f t="shared" si="142"/>
        <v>23.501998168731095</v>
      </c>
      <c r="P210" s="3590">
        <f t="shared" si="142"/>
        <v>10.989558299139089</v>
      </c>
      <c r="Q210" s="2474"/>
      <c r="R210" s="2472"/>
      <c r="S210" s="1523" t="s">
        <v>2376</v>
      </c>
      <c r="T210" s="26"/>
    </row>
    <row r="211" spans="2:20" x14ac:dyDescent="0.3">
      <c r="B211" s="3591" t="s">
        <v>2354</v>
      </c>
      <c r="C211" s="3589" t="s">
        <v>1721</v>
      </c>
      <c r="D211" s="3595">
        <f t="shared" ref="D211:P211" si="143">D65</f>
        <v>224.21895046888267</v>
      </c>
      <c r="E211" s="3590">
        <f t="shared" si="143"/>
        <v>4.779062690355107</v>
      </c>
      <c r="F211" s="3590">
        <f t="shared" si="143"/>
        <v>18.232128071861805</v>
      </c>
      <c r="G211" s="3590">
        <f t="shared" si="143"/>
        <v>54.365026619769665</v>
      </c>
      <c r="H211" s="3590">
        <f t="shared" si="143"/>
        <v>38.617598462094506</v>
      </c>
      <c r="I211" s="3590">
        <f t="shared" si="143"/>
        <v>35.551557320629513</v>
      </c>
      <c r="J211" s="3590">
        <f t="shared" si="143"/>
        <v>29.281307689726372</v>
      </c>
      <c r="K211" s="3590">
        <f t="shared" si="143"/>
        <v>19.873305679505922</v>
      </c>
      <c r="L211" s="3590">
        <f t="shared" si="143"/>
        <v>1.6629112936705672</v>
      </c>
      <c r="M211" s="3590">
        <f t="shared" si="143"/>
        <v>1.2516743681470646</v>
      </c>
      <c r="N211" s="3590">
        <f t="shared" si="143"/>
        <v>14.949767533083163</v>
      </c>
      <c r="O211" s="3590">
        <f t="shared" si="143"/>
        <v>3.8654775334355107</v>
      </c>
      <c r="P211" s="3590">
        <f t="shared" si="143"/>
        <v>1.789133206603496</v>
      </c>
      <c r="Q211" s="2474"/>
      <c r="R211" s="2472"/>
      <c r="S211" s="1523" t="s">
        <v>778</v>
      </c>
      <c r="T211" s="26"/>
    </row>
    <row r="212" spans="2:20" ht="24" x14ac:dyDescent="0.3">
      <c r="B212" s="3591" t="s">
        <v>2355</v>
      </c>
      <c r="C212" s="3589" t="s">
        <v>1721</v>
      </c>
      <c r="D212" s="3590">
        <f t="shared" ref="D212:P212" si="144">D66</f>
        <v>542.51769819639287</v>
      </c>
      <c r="E212" s="3590">
        <f t="shared" si="144"/>
        <v>6.7837150763140128</v>
      </c>
      <c r="F212" s="3590">
        <f t="shared" si="144"/>
        <v>59.451943050117926</v>
      </c>
      <c r="G212" s="3590">
        <f t="shared" si="144"/>
        <v>128.82564858549793</v>
      </c>
      <c r="H212" s="3590">
        <f t="shared" si="144"/>
        <v>87.199796903525964</v>
      </c>
      <c r="I212" s="3590">
        <f t="shared" si="144"/>
        <v>72.577311938747229</v>
      </c>
      <c r="J212" s="3590">
        <f t="shared" si="144"/>
        <v>98.157357662415578</v>
      </c>
      <c r="K212" s="3590">
        <f t="shared" si="144"/>
        <v>27.853631628199359</v>
      </c>
      <c r="L212" s="3590">
        <f t="shared" si="144"/>
        <v>5.8445526280846334</v>
      </c>
      <c r="M212" s="3590">
        <f t="shared" si="144"/>
        <v>5.1050728613277085</v>
      </c>
      <c r="N212" s="3590">
        <f t="shared" si="144"/>
        <v>21.881722134331234</v>
      </c>
      <c r="O212" s="3590">
        <f t="shared" si="144"/>
        <v>19.636520635295586</v>
      </c>
      <c r="P212" s="3590">
        <f t="shared" si="144"/>
        <v>9.2004250925355961</v>
      </c>
      <c r="Q212" s="2474"/>
      <c r="R212" s="2472"/>
      <c r="S212" s="1523" t="s">
        <v>779</v>
      </c>
      <c r="T212" s="26"/>
    </row>
    <row r="213" spans="2:20" ht="24" x14ac:dyDescent="0.3">
      <c r="B213" s="3588" t="s">
        <v>2138</v>
      </c>
      <c r="C213" s="3589" t="s">
        <v>1721</v>
      </c>
      <c r="D213" s="3595">
        <f t="shared" ref="D213:P213" si="145">D83</f>
        <v>3.2029240991599996</v>
      </c>
      <c r="E213" s="3590">
        <f t="shared" si="145"/>
        <v>0.26691034159666666</v>
      </c>
      <c r="F213" s="3590">
        <f t="shared" si="145"/>
        <v>0.26691034159666666</v>
      </c>
      <c r="G213" s="3590">
        <f t="shared" si="145"/>
        <v>0.26691034159666666</v>
      </c>
      <c r="H213" s="3590">
        <f t="shared" si="145"/>
        <v>0.26691034159666666</v>
      </c>
      <c r="I213" s="3590">
        <f t="shared" si="145"/>
        <v>0.26691034159666666</v>
      </c>
      <c r="J213" s="3590">
        <f t="shared" si="145"/>
        <v>0.26691034159666666</v>
      </c>
      <c r="K213" s="3590">
        <f t="shared" si="145"/>
        <v>0.26691034159666666</v>
      </c>
      <c r="L213" s="3590">
        <f t="shared" si="145"/>
        <v>0.26691034159666666</v>
      </c>
      <c r="M213" s="3590">
        <f t="shared" si="145"/>
        <v>0.26691034159666666</v>
      </c>
      <c r="N213" s="3590">
        <f t="shared" si="145"/>
        <v>0.26691034159666666</v>
      </c>
      <c r="O213" s="3590">
        <f t="shared" si="145"/>
        <v>0.26691034159666666</v>
      </c>
      <c r="P213" s="3590">
        <f t="shared" si="145"/>
        <v>0.26691034159666666</v>
      </c>
      <c r="Q213" s="2474"/>
      <c r="R213" s="2472"/>
      <c r="S213" s="1524" t="s">
        <v>780</v>
      </c>
      <c r="T213" s="26"/>
    </row>
    <row r="214" spans="2:20" x14ac:dyDescent="0.3">
      <c r="B214" s="3588" t="s">
        <v>1380</v>
      </c>
      <c r="C214" s="3589" t="s">
        <v>1721</v>
      </c>
      <c r="D214" s="3590">
        <f>D167</f>
        <v>31.433950860000003</v>
      </c>
      <c r="E214" s="3590">
        <f t="shared" ref="E214:P214" si="146">E167</f>
        <v>2.5727906799999998</v>
      </c>
      <c r="F214" s="3590">
        <f t="shared" si="146"/>
        <v>2.7169096599999998</v>
      </c>
      <c r="G214" s="3590">
        <f t="shared" si="146"/>
        <v>2.79697576</v>
      </c>
      <c r="H214" s="3590">
        <f t="shared" si="146"/>
        <v>2.5034000599999997</v>
      </c>
      <c r="I214" s="3590">
        <f t="shared" si="146"/>
        <v>3.1599420799999995</v>
      </c>
      <c r="J214" s="3590">
        <f t="shared" si="146"/>
        <v>2.4500226600000001</v>
      </c>
      <c r="K214" s="3590">
        <f t="shared" si="146"/>
        <v>2.5140755399999999</v>
      </c>
      <c r="L214" s="3590">
        <f t="shared" si="146"/>
        <v>2.5354264999999998</v>
      </c>
      <c r="M214" s="3590">
        <f t="shared" si="146"/>
        <v>2.6048171199999999</v>
      </c>
      <c r="N214" s="3590">
        <f t="shared" si="146"/>
        <v>2.4553604</v>
      </c>
      <c r="O214" s="3590">
        <f t="shared" si="146"/>
        <v>2.6154925999999996</v>
      </c>
      <c r="P214" s="3590">
        <f t="shared" si="146"/>
        <v>2.5087377999999996</v>
      </c>
      <c r="Q214" s="2474"/>
      <c r="R214" s="2472"/>
      <c r="S214" s="1524" t="s">
        <v>2377</v>
      </c>
      <c r="T214" s="26"/>
    </row>
    <row r="215" spans="2:20" x14ac:dyDescent="0.3">
      <c r="B215" s="3588" t="s">
        <v>2146</v>
      </c>
      <c r="C215" s="3589" t="s">
        <v>1721</v>
      </c>
      <c r="D215" s="3590">
        <f>D169</f>
        <v>42.952793779999993</v>
      </c>
      <c r="E215" s="3590">
        <f t="shared" ref="E215:P215" si="147">E169</f>
        <v>2.65285678</v>
      </c>
      <c r="F215" s="3590">
        <f t="shared" si="147"/>
        <v>6.3465728600000002</v>
      </c>
      <c r="G215" s="3590">
        <f t="shared" si="147"/>
        <v>5.2309851999999992</v>
      </c>
      <c r="H215" s="3590">
        <f t="shared" si="147"/>
        <v>3.41081586</v>
      </c>
      <c r="I215" s="3590">
        <f t="shared" si="147"/>
        <v>4.6918734600000001</v>
      </c>
      <c r="J215" s="3590">
        <f t="shared" si="147"/>
        <v>2.3539433399999998</v>
      </c>
      <c r="K215" s="3590">
        <f t="shared" si="147"/>
        <v>4.0566823999999997</v>
      </c>
      <c r="L215" s="3590">
        <f t="shared" si="147"/>
        <v>1.9536128399999999</v>
      </c>
      <c r="M215" s="3590">
        <f t="shared" si="147"/>
        <v>2.6048171199999999</v>
      </c>
      <c r="N215" s="3590">
        <f t="shared" si="147"/>
        <v>2.4820491000000002</v>
      </c>
      <c r="O215" s="3590">
        <f t="shared" si="147"/>
        <v>3.5709480600000001</v>
      </c>
      <c r="P215" s="3590">
        <f t="shared" si="147"/>
        <v>3.5976367600000003</v>
      </c>
      <c r="Q215" s="2474"/>
      <c r="R215" s="2472"/>
      <c r="S215" s="1525" t="s">
        <v>781</v>
      </c>
      <c r="T215" s="26"/>
    </row>
    <row r="216" spans="2:20" x14ac:dyDescent="0.3">
      <c r="B216" s="3588" t="s">
        <v>1334</v>
      </c>
      <c r="C216" s="3589" t="s">
        <v>1721</v>
      </c>
      <c r="D216" s="3590">
        <f>D173</f>
        <v>0</v>
      </c>
      <c r="E216" s="3590">
        <f t="shared" ref="E216:P216" si="148">E173</f>
        <v>0</v>
      </c>
      <c r="F216" s="3590">
        <f t="shared" si="148"/>
        <v>0</v>
      </c>
      <c r="G216" s="3590">
        <f t="shared" si="148"/>
        <v>0</v>
      </c>
      <c r="H216" s="3590">
        <f t="shared" si="148"/>
        <v>0</v>
      </c>
      <c r="I216" s="3590">
        <f t="shared" si="148"/>
        <v>0</v>
      </c>
      <c r="J216" s="3590">
        <f t="shared" si="148"/>
        <v>0</v>
      </c>
      <c r="K216" s="3590">
        <f t="shared" si="148"/>
        <v>0</v>
      </c>
      <c r="L216" s="3590">
        <f t="shared" si="148"/>
        <v>0</v>
      </c>
      <c r="M216" s="3590">
        <f t="shared" si="148"/>
        <v>0</v>
      </c>
      <c r="N216" s="3590">
        <f t="shared" si="148"/>
        <v>0</v>
      </c>
      <c r="O216" s="3590">
        <f t="shared" si="148"/>
        <v>0</v>
      </c>
      <c r="P216" s="3590">
        <f t="shared" si="148"/>
        <v>0</v>
      </c>
      <c r="Q216" s="2474"/>
      <c r="R216" s="2472"/>
      <c r="S216" s="1526" t="s">
        <v>2378</v>
      </c>
      <c r="T216" s="26"/>
    </row>
    <row r="217" spans="2:20" x14ac:dyDescent="0.3">
      <c r="B217" s="3588" t="s">
        <v>1379</v>
      </c>
      <c r="C217" s="3589" t="s">
        <v>1721</v>
      </c>
      <c r="D217" s="3590">
        <f>D202*'Ціна ее'!$C$14+D202*'Ціна ее'!$D$13</f>
        <v>0</v>
      </c>
      <c r="E217" s="3590">
        <f>E202*'Ціна ее'!$C$14+E202*'Ціна ее'!$D$13</f>
        <v>0</v>
      </c>
      <c r="F217" s="3590">
        <f>F202*'Ціна ее'!$C$14+F202*'Ціна ее'!$D$13</f>
        <v>0</v>
      </c>
      <c r="G217" s="3590">
        <f>G202*'Ціна ее'!$C$14+G202*'Ціна ее'!$D$13</f>
        <v>0</v>
      </c>
      <c r="H217" s="3590">
        <f>H202*'Ціна ее'!$C$14+H202*'Ціна ее'!$D$13</f>
        <v>0</v>
      </c>
      <c r="I217" s="3590">
        <f>I202*'Ціна ее'!$C$14+I202*'Ціна ее'!$D$13</f>
        <v>0</v>
      </c>
      <c r="J217" s="3590">
        <f>J202*'Ціна ее'!$C$14+J202*'Ціна ее'!$D$13</f>
        <v>0</v>
      </c>
      <c r="K217" s="3590">
        <f>K202*'Ціна ее'!$C$14+K202*'Ціна ее'!$D$13</f>
        <v>0</v>
      </c>
      <c r="L217" s="3590">
        <f>L202*'Ціна ее'!$C$14+L202*'Ціна ее'!$D$13</f>
        <v>0</v>
      </c>
      <c r="M217" s="3590">
        <f>M202*'Ціна ее'!$C$14+M202*'Ціна ее'!$D$13</f>
        <v>0</v>
      </c>
      <c r="N217" s="3590">
        <f>N202*'Ціна ее'!$C$14+N202*'Ціна ее'!$D$13</f>
        <v>0</v>
      </c>
      <c r="O217" s="3590">
        <f>O202*'Ціна ее'!$C$14+O202*'Ціна ее'!$D$13</f>
        <v>0</v>
      </c>
      <c r="P217" s="3590">
        <f>P202*'Ціна ее'!$C$14+P202*'Ціна ее'!$D$13</f>
        <v>0</v>
      </c>
      <c r="Q217" s="2474"/>
      <c r="R217" s="2472"/>
      <c r="S217" s="1526"/>
    </row>
    <row r="218" spans="2:20" x14ac:dyDescent="0.3">
      <c r="B218" s="3588" t="s">
        <v>961</v>
      </c>
      <c r="C218" s="3589" t="s">
        <v>1721</v>
      </c>
      <c r="D218" s="3590">
        <f>D203*'Ціна ее'!$C$14+D203*'Ціна ее'!$D$13</f>
        <v>0</v>
      </c>
      <c r="E218" s="3590">
        <f>E203*'Ціна ее'!$C$14+E203*'Ціна ее'!$D$13</f>
        <v>0</v>
      </c>
      <c r="F218" s="3590">
        <f>F203*'Ціна ее'!$C$14+F203*'Ціна ее'!$D$13</f>
        <v>0</v>
      </c>
      <c r="G218" s="3590">
        <f>G203*'Ціна ее'!$C$14+G203*'Ціна ее'!$D$13</f>
        <v>0</v>
      </c>
      <c r="H218" s="3590">
        <f>H203*'Ціна ее'!$C$14+H203*'Ціна ее'!$D$13</f>
        <v>0</v>
      </c>
      <c r="I218" s="3590">
        <f>I203*'Ціна ее'!$C$14+I203*'Ціна ее'!$D$13</f>
        <v>0</v>
      </c>
      <c r="J218" s="3590">
        <f>J203*'Ціна ее'!$C$14+J203*'Ціна ее'!$D$13</f>
        <v>0</v>
      </c>
      <c r="K218" s="3590">
        <f>K203*'Ціна ее'!$C$14+K203*'Ціна ее'!$D$13</f>
        <v>0</v>
      </c>
      <c r="L218" s="3590">
        <f>L203*'Ціна ее'!$C$14+L203*'Ціна ее'!$D$13</f>
        <v>0</v>
      </c>
      <c r="M218" s="3590">
        <f>M203*'Ціна ее'!$C$14+M203*'Ціна ее'!$D$13</f>
        <v>0</v>
      </c>
      <c r="N218" s="3590">
        <f>N203*'Ціна ее'!$C$14+N203*'Ціна ее'!$D$13</f>
        <v>0</v>
      </c>
      <c r="O218" s="3590">
        <f>O203*'Ціна ее'!$C$14+O203*'Ціна ее'!$D$13</f>
        <v>0</v>
      </c>
      <c r="P218" s="3590">
        <f>P203*'Ціна ее'!$C$14+P203*'Ціна ее'!$D$13</f>
        <v>0</v>
      </c>
      <c r="Q218" s="2474"/>
      <c r="R218" s="2472"/>
      <c r="S218" s="1526"/>
    </row>
    <row r="219" spans="2:20" x14ac:dyDescent="0.3">
      <c r="B219" s="3588" t="s">
        <v>2201</v>
      </c>
      <c r="C219" s="3588"/>
      <c r="D219" s="3590">
        <v>0</v>
      </c>
      <c r="E219" s="3590">
        <v>0</v>
      </c>
      <c r="F219" s="3588"/>
      <c r="G219" s="3588"/>
      <c r="H219" s="3588"/>
      <c r="I219" s="3588"/>
      <c r="J219" s="3588"/>
      <c r="K219" s="3588"/>
      <c r="L219" s="3588"/>
      <c r="M219" s="3588"/>
      <c r="N219" s="3588"/>
      <c r="O219" s="3588"/>
      <c r="P219" s="3588"/>
      <c r="Q219" s="2471"/>
      <c r="R219" s="2472"/>
    </row>
    <row r="220" spans="2:20" x14ac:dyDescent="0.3">
      <c r="Q220" s="2471"/>
      <c r="R220" s="2472"/>
    </row>
    <row r="221" spans="2:20" x14ac:dyDescent="0.3">
      <c r="Q221" s="2471"/>
      <c r="R221" s="2472"/>
    </row>
    <row r="223" spans="2:20" x14ac:dyDescent="0.3">
      <c r="D223" s="1302">
        <f>D18+D47+D76</f>
        <v>30.618260208000006</v>
      </c>
    </row>
  </sheetData>
  <autoFilter ref="B8:T83" xr:uid="{00000000-0009-0000-0000-00000C000000}"/>
  <mergeCells count="87">
    <mergeCell ref="S10:S11"/>
    <mergeCell ref="T10:T11"/>
    <mergeCell ref="U10:U11"/>
    <mergeCell ref="V10:V11"/>
    <mergeCell ref="W10:W11"/>
    <mergeCell ref="AC10:AC11"/>
    <mergeCell ref="AD10:AD11"/>
    <mergeCell ref="X10:X11"/>
    <mergeCell ref="Y10:Y11"/>
    <mergeCell ref="Z10:Z11"/>
    <mergeCell ref="AA10:AA11"/>
    <mergeCell ref="AB10:AB11"/>
    <mergeCell ref="M206:M207"/>
    <mergeCell ref="N206:N207"/>
    <mergeCell ref="O206:O207"/>
    <mergeCell ref="P206:P207"/>
    <mergeCell ref="H206:H207"/>
    <mergeCell ref="I206:I207"/>
    <mergeCell ref="J206:J207"/>
    <mergeCell ref="K206:K207"/>
    <mergeCell ref="L206:L207"/>
    <mergeCell ref="B191:C192"/>
    <mergeCell ref="B206:C207"/>
    <mergeCell ref="E206:E207"/>
    <mergeCell ref="F206:F207"/>
    <mergeCell ref="G206:G207"/>
    <mergeCell ref="E191:E192"/>
    <mergeCell ref="F191:F192"/>
    <mergeCell ref="G191:G192"/>
    <mergeCell ref="H191:H192"/>
    <mergeCell ref="I191:I192"/>
    <mergeCell ref="J191:J192"/>
    <mergeCell ref="K191:K192"/>
    <mergeCell ref="L191:L192"/>
    <mergeCell ref="M191:M192"/>
    <mergeCell ref="N191:N192"/>
    <mergeCell ref="O191:O192"/>
    <mergeCell ref="P191:P192"/>
    <mergeCell ref="C115:C116"/>
    <mergeCell ref="H149:H150"/>
    <mergeCell ref="I149:I150"/>
    <mergeCell ref="P149:P150"/>
    <mergeCell ref="B146:P146"/>
    <mergeCell ref="B147:P147"/>
    <mergeCell ref="B148:P148"/>
    <mergeCell ref="B149:B150"/>
    <mergeCell ref="C149:C150"/>
    <mergeCell ref="E149:E150"/>
    <mergeCell ref="K149:K150"/>
    <mergeCell ref="L149:L150"/>
    <mergeCell ref="O149:O150"/>
    <mergeCell ref="M149:M150"/>
    <mergeCell ref="N149:N150"/>
    <mergeCell ref="J149:J150"/>
    <mergeCell ref="F149:F150"/>
    <mergeCell ref="G149:G150"/>
    <mergeCell ref="L1:P1"/>
    <mergeCell ref="B3:P3"/>
    <mergeCell ref="B4:P4"/>
    <mergeCell ref="B5:P5"/>
    <mergeCell ref="B6:B7"/>
    <mergeCell ref="C6:C7"/>
    <mergeCell ref="E6:E7"/>
    <mergeCell ref="F6:F7"/>
    <mergeCell ref="G6:G7"/>
    <mergeCell ref="H6:H7"/>
    <mergeCell ref="I6:I7"/>
    <mergeCell ref="J6:J7"/>
    <mergeCell ref="O6:O7"/>
    <mergeCell ref="M6:M7"/>
    <mergeCell ref="N6:N7"/>
    <mergeCell ref="P6:P7"/>
    <mergeCell ref="B110:P110"/>
    <mergeCell ref="C97:C98"/>
    <mergeCell ref="D97:D98"/>
    <mergeCell ref="E97:M97"/>
    <mergeCell ref="K6:K7"/>
    <mergeCell ref="L6:L7"/>
    <mergeCell ref="B26:P26"/>
    <mergeCell ref="B9:P9"/>
    <mergeCell ref="G88:I88"/>
    <mergeCell ref="B67:P67"/>
    <mergeCell ref="G89:I89"/>
    <mergeCell ref="M88:P88"/>
    <mergeCell ref="M89:P89"/>
    <mergeCell ref="B97:B98"/>
    <mergeCell ref="B88:D88"/>
  </mergeCells>
  <conditionalFormatting sqref="B4:P4 B147:P147">
    <cfRule type="cellIs" dxfId="43" priority="2" operator="equal">
      <formula>0</formula>
    </cfRule>
  </conditionalFormatting>
  <printOptions horizontalCentered="1"/>
  <pageMargins left="0.15748031496062992" right="0" top="0.78740157480314965" bottom="0.19685039370078741" header="0" footer="0"/>
  <pageSetup paperSize="9" scale="79" fitToHeight="0" orientation="landscape" r:id="rId1"/>
  <rowBreaks count="2" manualBreakCount="2">
    <brk id="26" min="1" max="15" man="1"/>
    <brk id="53" min="1" max="15"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pageSetUpPr fitToPage="1"/>
  </sheetPr>
  <dimension ref="A1:P138"/>
  <sheetViews>
    <sheetView view="pageBreakPreview" topLeftCell="A103" zoomScale="140" zoomScaleNormal="110" zoomScaleSheetLayoutView="140" workbookViewId="0">
      <selection activeCell="E138" sqref="E138"/>
    </sheetView>
  </sheetViews>
  <sheetFormatPr defaultColWidth="9.140625" defaultRowHeight="15" x14ac:dyDescent="0.25"/>
  <cols>
    <col min="1" max="1" width="4.85546875" style="6" customWidth="1"/>
    <col min="2" max="2" width="39.7109375" style="5" customWidth="1"/>
    <col min="3" max="3" width="9.140625" style="5"/>
    <col min="4" max="5" width="11.7109375" style="5" customWidth="1"/>
    <col min="6" max="6" width="14.140625" style="2555" customWidth="1"/>
    <col min="7" max="7" width="13.140625" style="5" customWidth="1"/>
    <col min="8" max="8" width="14.42578125" style="245" customWidth="1"/>
    <col min="9" max="9" width="43.5703125" style="5" customWidth="1"/>
    <col min="10" max="10" width="22.42578125" style="5" customWidth="1"/>
    <col min="11" max="16384" width="9.140625" style="5"/>
  </cols>
  <sheetData>
    <row r="1" spans="1:8" ht="42" customHeight="1" x14ac:dyDescent="0.25">
      <c r="A1" s="2973"/>
      <c r="B1" s="2471"/>
      <c r="C1" s="2471"/>
      <c r="D1" s="2471"/>
      <c r="E1" s="3761" t="s">
        <v>3229</v>
      </c>
      <c r="F1" s="3761"/>
      <c r="G1" s="3761"/>
      <c r="H1" s="245" t="s">
        <v>644</v>
      </c>
    </row>
    <row r="2" spans="1:8" ht="16.899999999999999" customHeight="1" x14ac:dyDescent="0.25">
      <c r="A2" s="2973"/>
      <c r="B2" s="2471"/>
      <c r="C2" s="2471"/>
      <c r="D2" s="2471"/>
      <c r="E2" s="3821" t="str">
        <f>'Вхідні дані'!F1</f>
        <v>станом на 01.08.2023 року</v>
      </c>
      <c r="F2" s="3821"/>
      <c r="G2" s="3821"/>
    </row>
    <row r="3" spans="1:8" ht="17.45" customHeight="1" x14ac:dyDescent="0.25">
      <c r="A3" s="2973"/>
      <c r="B3" s="3904" t="s">
        <v>471</v>
      </c>
      <c r="C3" s="3875"/>
      <c r="D3" s="3875"/>
      <c r="E3" s="3875"/>
      <c r="F3" s="3875"/>
      <c r="G3" s="2471"/>
    </row>
    <row r="4" spans="1:8" s="7" customFormat="1" ht="16.5" customHeight="1" x14ac:dyDescent="0.25">
      <c r="A4" s="2974"/>
      <c r="B4" s="3897" t="s">
        <v>472</v>
      </c>
      <c r="C4" s="3897"/>
      <c r="D4" s="3897"/>
      <c r="E4" s="3897"/>
      <c r="F4" s="3897"/>
      <c r="G4" s="2975"/>
      <c r="H4" s="246">
        <v>2</v>
      </c>
    </row>
    <row r="5" spans="1:8" s="7" customFormat="1" ht="15" customHeight="1" x14ac:dyDescent="0.25">
      <c r="A5" s="2974"/>
      <c r="B5" s="3897" t="s">
        <v>288</v>
      </c>
      <c r="C5" s="3897"/>
      <c r="D5" s="3897"/>
      <c r="E5" s="3897"/>
      <c r="F5" s="3897"/>
      <c r="G5" s="2975"/>
      <c r="H5" s="246"/>
    </row>
    <row r="6" spans="1:8" s="7" customFormat="1" x14ac:dyDescent="0.25">
      <c r="A6" s="2974"/>
      <c r="B6" s="3897" t="s">
        <v>851</v>
      </c>
      <c r="C6" s="3897"/>
      <c r="D6" s="3897"/>
      <c r="E6" s="3897"/>
      <c r="F6" s="3897"/>
      <c r="G6" s="2975"/>
      <c r="H6" s="245" t="s">
        <v>644</v>
      </c>
    </row>
    <row r="7" spans="1:8" s="7" customFormat="1" x14ac:dyDescent="0.25">
      <c r="A7" s="2974"/>
      <c r="B7" s="3897" t="s">
        <v>290</v>
      </c>
      <c r="C7" s="3897"/>
      <c r="D7" s="3897"/>
      <c r="E7" s="3897"/>
      <c r="F7" s="3897"/>
      <c r="G7" s="2975"/>
      <c r="H7" s="246"/>
    </row>
    <row r="8" spans="1:8" x14ac:dyDescent="0.25">
      <c r="A8" s="2973"/>
      <c r="B8" s="2471"/>
      <c r="C8" s="2471"/>
      <c r="D8" s="2471"/>
      <c r="E8" s="3876" t="s">
        <v>221</v>
      </c>
      <c r="F8" s="3898"/>
      <c r="G8" s="3898"/>
    </row>
    <row r="9" spans="1:8" ht="51" x14ac:dyDescent="0.25">
      <c r="A9" s="3899" t="s">
        <v>7</v>
      </c>
      <c r="B9" s="3901" t="s">
        <v>8</v>
      </c>
      <c r="C9" s="3903" t="s">
        <v>35</v>
      </c>
      <c r="D9" s="2525" t="s">
        <v>291</v>
      </c>
      <c r="E9" s="2525" t="s">
        <v>872</v>
      </c>
      <c r="F9" s="2525" t="s">
        <v>292</v>
      </c>
      <c r="G9" s="2525" t="s">
        <v>433</v>
      </c>
    </row>
    <row r="10" spans="1:8" ht="25.5" x14ac:dyDescent="0.25">
      <c r="A10" s="3900"/>
      <c r="B10" s="3902"/>
      <c r="C10" s="3879"/>
      <c r="D10" s="2525">
        <f>'Вхідні дані'!F8</f>
        <v>2021</v>
      </c>
      <c r="E10" s="2525">
        <f>'Вхідні дані'!F7</f>
        <v>2022</v>
      </c>
      <c r="F10" s="2525" t="str">
        <f>'Вхідні дані'!F9</f>
        <v xml:space="preserve">Ріш. № 297 від 25.10.2022 </v>
      </c>
      <c r="G10" s="2525" t="str">
        <f>'Вхідні дані'!F6</f>
        <v>2023-2024</v>
      </c>
    </row>
    <row r="11" spans="1:8" x14ac:dyDescent="0.25">
      <c r="A11" s="2526">
        <v>1</v>
      </c>
      <c r="B11" s="2525">
        <v>2</v>
      </c>
      <c r="C11" s="2525">
        <v>3</v>
      </c>
      <c r="D11" s="2525">
        <v>4</v>
      </c>
      <c r="E11" s="2525">
        <v>5</v>
      </c>
      <c r="F11" s="2525">
        <v>6</v>
      </c>
      <c r="G11" s="2525">
        <v>7</v>
      </c>
    </row>
    <row r="12" spans="1:8" x14ac:dyDescent="0.25">
      <c r="A12" s="3905" t="s">
        <v>0</v>
      </c>
      <c r="B12" s="3905"/>
      <c r="C12" s="3905"/>
      <c r="D12" s="3905"/>
      <c r="E12" s="3905"/>
      <c r="F12" s="3905"/>
      <c r="G12" s="3905"/>
    </row>
    <row r="13" spans="1:8" ht="25.5" x14ac:dyDescent="0.25">
      <c r="A13" s="2527">
        <v>1</v>
      </c>
      <c r="B13" s="2528" t="s">
        <v>293</v>
      </c>
      <c r="C13" s="2525" t="s">
        <v>31</v>
      </c>
      <c r="D13" s="2529">
        <v>25.67</v>
      </c>
      <c r="E13" s="2529">
        <v>25.67</v>
      </c>
      <c r="F13" s="2529">
        <v>25.67</v>
      </c>
      <c r="G13" s="2529">
        <v>25.67</v>
      </c>
    </row>
    <row r="14" spans="1:8" ht="25.5" x14ac:dyDescent="0.25">
      <c r="A14" s="2527">
        <v>2</v>
      </c>
      <c r="B14" s="2528" t="s">
        <v>146</v>
      </c>
      <c r="C14" s="2525" t="s">
        <v>31</v>
      </c>
      <c r="D14" s="2529">
        <f>'Д 7_РП'!E95-'Д 7_РП'!E112</f>
        <v>9.1479999999999997</v>
      </c>
      <c r="E14" s="2529">
        <f>'Д 7_РП'!F95-'Д 7_РП'!F112</f>
        <v>2.7709999999999999</v>
      </c>
      <c r="F14" s="2529">
        <v>8.8179999999999996</v>
      </c>
      <c r="G14" s="2529">
        <f>'Д 7_РП'!G95-'Д 7_РП'!F112</f>
        <v>4.5148999999999999</v>
      </c>
      <c r="H14" s="2093" t="s">
        <v>2744</v>
      </c>
    </row>
    <row r="15" spans="1:8" ht="38.25" x14ac:dyDescent="0.25">
      <c r="A15" s="2527">
        <v>3</v>
      </c>
      <c r="B15" s="2528" t="s">
        <v>549</v>
      </c>
      <c r="C15" s="2525" t="s">
        <v>147</v>
      </c>
      <c r="D15" s="2530">
        <v>123.6</v>
      </c>
      <c r="E15" s="2530">
        <v>144.88999999999999</v>
      </c>
      <c r="F15" s="2530">
        <v>132.47999999999999</v>
      </c>
      <c r="G15" s="2531">
        <f>'Д 8_Паливо'!G10/'Д 8_Паливо'!C10*1000</f>
        <v>54.572337539988943</v>
      </c>
      <c r="H15" s="245" t="s">
        <v>644</v>
      </c>
    </row>
    <row r="16" spans="1:8" x14ac:dyDescent="0.25">
      <c r="A16" s="2527" t="s">
        <v>60</v>
      </c>
      <c r="B16" s="2528" t="s">
        <v>294</v>
      </c>
      <c r="C16" s="2525"/>
      <c r="D16" s="2530">
        <v>0</v>
      </c>
      <c r="E16" s="2530">
        <v>0</v>
      </c>
      <c r="F16" s="2530">
        <v>0</v>
      </c>
      <c r="G16" s="2530">
        <v>0</v>
      </c>
    </row>
    <row r="17" spans="1:13" ht="38.25" x14ac:dyDescent="0.25">
      <c r="A17" s="2527">
        <v>4</v>
      </c>
      <c r="B17" s="2528" t="s">
        <v>148</v>
      </c>
      <c r="C17" s="2525" t="s">
        <v>149</v>
      </c>
      <c r="D17" s="2531">
        <v>144.61000000000001</v>
      </c>
      <c r="E17" s="2530">
        <v>168.07</v>
      </c>
      <c r="F17" s="2531">
        <v>155.80000000000001</v>
      </c>
      <c r="G17" s="2531">
        <f>'Д 8_Паливо'!D10</f>
        <v>64.753976515306888</v>
      </c>
      <c r="H17" s="245" t="s">
        <v>644</v>
      </c>
    </row>
    <row r="18" spans="1:13" ht="38.25" x14ac:dyDescent="0.25">
      <c r="A18" s="2527">
        <v>5</v>
      </c>
      <c r="B18" s="2528" t="s">
        <v>547</v>
      </c>
      <c r="C18" s="2525" t="s">
        <v>149</v>
      </c>
      <c r="D18" s="2531">
        <v>156</v>
      </c>
      <c r="E18" s="2531">
        <v>156</v>
      </c>
      <c r="F18" s="2531">
        <f>F17</f>
        <v>155.80000000000001</v>
      </c>
      <c r="G18" s="2531">
        <f>G17</f>
        <v>64.753976515306888</v>
      </c>
      <c r="H18" s="245" t="s">
        <v>644</v>
      </c>
    </row>
    <row r="19" spans="1:13" x14ac:dyDescent="0.25">
      <c r="A19" s="2527">
        <v>6</v>
      </c>
      <c r="B19" s="2528" t="s">
        <v>873</v>
      </c>
      <c r="C19" s="2525" t="s">
        <v>22</v>
      </c>
      <c r="D19" s="2531">
        <f>'Д 7_РП'!E14</f>
        <v>13014.550584441757</v>
      </c>
      <c r="E19" s="2531">
        <f>'Д 7_РП'!F14</f>
        <v>2946.708668259831</v>
      </c>
      <c r="F19" s="2531">
        <v>13172.79</v>
      </c>
      <c r="G19" s="2531">
        <f>'Д 7_РП'!G14</f>
        <v>6727.0352134555951</v>
      </c>
      <c r="H19" s="245" t="s">
        <v>644</v>
      </c>
    </row>
    <row r="20" spans="1:13" ht="38.25" x14ac:dyDescent="0.25">
      <c r="A20" s="2527">
        <v>7</v>
      </c>
      <c r="B20" s="2528" t="s">
        <v>550</v>
      </c>
      <c r="C20" s="2525" t="s">
        <v>22</v>
      </c>
      <c r="D20" s="2531">
        <f>'Д 7_РП'!E19</f>
        <v>98.910584441757237</v>
      </c>
      <c r="E20" s="2531">
        <f>'Д 7_РП'!F19</f>
        <v>233.96866825983079</v>
      </c>
      <c r="F20" s="2531">
        <v>105.38</v>
      </c>
      <c r="G20" s="2531">
        <f>'Д 7_РП'!G19</f>
        <v>51.125467622262477</v>
      </c>
      <c r="H20" s="245" t="s">
        <v>644</v>
      </c>
    </row>
    <row r="21" spans="1:13" ht="25.5" x14ac:dyDescent="0.25">
      <c r="A21" s="2527">
        <v>8</v>
      </c>
      <c r="B21" s="2528" t="s">
        <v>874</v>
      </c>
      <c r="C21" s="2525" t="s">
        <v>22</v>
      </c>
      <c r="D21" s="2531">
        <f>D19-D20</f>
        <v>12915.64</v>
      </c>
      <c r="E21" s="2531">
        <f>E19-E20</f>
        <v>2712.7400000000002</v>
      </c>
      <c r="F21" s="2531">
        <f>F19-F20</f>
        <v>13067.410000000002</v>
      </c>
      <c r="G21" s="2531">
        <f>G19-G20</f>
        <v>6675.9097458333326</v>
      </c>
      <c r="H21" s="245" t="s">
        <v>644</v>
      </c>
      <c r="I21" s="5">
        <v>127154.579328191</v>
      </c>
      <c r="J21" s="1079" t="s">
        <v>1971</v>
      </c>
      <c r="L21" s="74"/>
      <c r="M21" s="74"/>
    </row>
    <row r="22" spans="1:13" ht="25.5" x14ac:dyDescent="0.25">
      <c r="A22" s="2527">
        <v>9</v>
      </c>
      <c r="B22" s="2528" t="s">
        <v>150</v>
      </c>
      <c r="C22" s="2525" t="s">
        <v>151</v>
      </c>
      <c r="D22" s="2531">
        <v>23</v>
      </c>
      <c r="E22" s="2531">
        <v>23</v>
      </c>
      <c r="F22" s="2532">
        <v>23</v>
      </c>
      <c r="G22" s="2531">
        <f>ФОП!G9+ФОП!G44*'БАЗИ РОЗПОДІЛУ'!F15+ФОП!G49*'БАЗИ РОЗПОДІЛУ'!F22</f>
        <v>18</v>
      </c>
    </row>
    <row r="23" spans="1:13" ht="25.5" x14ac:dyDescent="0.25">
      <c r="A23" s="2527">
        <v>10</v>
      </c>
      <c r="B23" s="2528" t="s">
        <v>152</v>
      </c>
      <c r="C23" s="2525" t="s">
        <v>153</v>
      </c>
      <c r="D23" s="2531">
        <f>D24/D22/12*1000</f>
        <v>24743.179057971018</v>
      </c>
      <c r="E23" s="2531">
        <f>E24/E22/12*1000</f>
        <v>17098.233442028988</v>
      </c>
      <c r="F23" s="2531">
        <v>29505.87</v>
      </c>
      <c r="G23" s="2531">
        <f>G24/G22/12*1000</f>
        <v>26164.863059208405</v>
      </c>
    </row>
    <row r="24" spans="1:13" ht="25.5" x14ac:dyDescent="0.25">
      <c r="A24" s="2527">
        <v>11</v>
      </c>
      <c r="B24" s="2528" t="s">
        <v>154</v>
      </c>
      <c r="C24" s="2525" t="s">
        <v>40</v>
      </c>
      <c r="D24" s="2531">
        <f>'Д 2_Т на В'!E34+'Д 2_Т на В'!E30+'Д 2_Т на В'!E24</f>
        <v>6829.1174200000005</v>
      </c>
      <c r="E24" s="2531">
        <f>'Д 2_Т на В'!F34+'Д 2_Т на В'!F30+'Д 2_Т на В'!F24</f>
        <v>4719.1124300000001</v>
      </c>
      <c r="F24" s="2531">
        <v>8143.62</v>
      </c>
      <c r="G24" s="2531">
        <f>(ФОП!H9+ФОП!H44*'БАЗИ РОЗПОДІЛУ'!F15+ФОП!H49*'БАЗИ РОЗПОДІЛУ'!F22)/1000</f>
        <v>5651.6104207890157</v>
      </c>
    </row>
    <row r="25" spans="1:13" ht="25.5" x14ac:dyDescent="0.25">
      <c r="A25" s="2527">
        <v>12</v>
      </c>
      <c r="B25" s="2528" t="s">
        <v>473</v>
      </c>
      <c r="C25" s="2525" t="s">
        <v>40</v>
      </c>
      <c r="D25" s="2531">
        <f>Виробництво_Транспортування_1ст!C34+ЗВВ_1ст!C25+Адміністративні_1ст!C25</f>
        <v>1118.33698</v>
      </c>
      <c r="E25" s="2531">
        <f>Виробництво_Транспортування_1ст!D34+ЗВВ_1ст!D25+Адміністративні_1ст!D25</f>
        <v>142.12335000000002</v>
      </c>
      <c r="F25" s="2531">
        <v>833.18</v>
      </c>
      <c r="G25" s="2531">
        <f>Виробництво_Транспортування_1ст!F34+(ЗВВ_1ст!F25+ЗВВ_1ст!F26)*'БАЗИ РОЗПОДІЛУ'!F15+(Адміністративні_1ст!F25+Адміністративні_1ст!F26)*'БАЗИ РОЗПОДІЛУ'!F22</f>
        <v>645.034219154423</v>
      </c>
      <c r="H25" s="245" t="s">
        <v>644</v>
      </c>
    </row>
    <row r="26" spans="1:13" ht="38.25" x14ac:dyDescent="0.25">
      <c r="A26" s="2527" t="s">
        <v>94</v>
      </c>
      <c r="B26" s="2528" t="s">
        <v>476</v>
      </c>
      <c r="C26" s="2525" t="s">
        <v>40</v>
      </c>
      <c r="D26" s="2531">
        <f>D25</f>
        <v>1118.33698</v>
      </c>
      <c r="E26" s="2531">
        <f>E25</f>
        <v>142.12335000000002</v>
      </c>
      <c r="F26" s="2531">
        <f>F25</f>
        <v>833.18</v>
      </c>
      <c r="G26" s="2531">
        <f>G25</f>
        <v>645.034219154423</v>
      </c>
      <c r="H26" s="245" t="s">
        <v>644</v>
      </c>
    </row>
    <row r="27" spans="1:13" x14ac:dyDescent="0.25">
      <c r="A27" s="2527">
        <v>13</v>
      </c>
      <c r="B27" s="2528" t="s">
        <v>474</v>
      </c>
      <c r="C27" s="2525" t="s">
        <v>40</v>
      </c>
      <c r="D27" s="2531">
        <f>Виробництво_Транспортування_1ст!C32+ЗВВ_1ст!C37+Адміністративні_1ст!C36</f>
        <v>1581.4556599999999</v>
      </c>
      <c r="E27" s="2531">
        <f>Виробництво_Транспортування_1ст!D32+ЗВВ_1ст!D37+Адміністративні_1ст!D36</f>
        <v>1521.0399299999999</v>
      </c>
      <c r="F27" s="2531">
        <v>2307.4</v>
      </c>
      <c r="G27" s="2531">
        <f>Виробництво_Транспортування_1ст!F32+Виробництво_Транспортування_1ст!F33+(ЗВВ_1ст!F37+ЗВВ_1ст!F38)*'БАЗИ РОЗПОДІЛУ'!F15+'БАЗИ РОЗПОДІЛУ'!F22*(Адміністративні_1ст!F36+Адміністративні_1ст!F37)</f>
        <v>1939.6255015999459</v>
      </c>
      <c r="H27" s="245" t="s">
        <v>644</v>
      </c>
      <c r="I27" s="193" t="e">
        <f>#REF!+#REF!+#REF!+#REF!+#REF!+#REF!</f>
        <v>#REF!</v>
      </c>
    </row>
    <row r="28" spans="1:13" ht="25.5" x14ac:dyDescent="0.25">
      <c r="A28" s="2527">
        <v>14</v>
      </c>
      <c r="B28" s="2528" t="s">
        <v>155</v>
      </c>
      <c r="C28" s="2525" t="s">
        <v>40</v>
      </c>
      <c r="D28" s="2531">
        <f>Виробництво_Транспортування_1ст!C15+ЗВВ_1ст!C28+Адміністративні_1ст!C28</f>
        <v>429.77899599999995</v>
      </c>
      <c r="E28" s="2531">
        <f>Виробництво_Транспортування_1ст!D15+ЗВВ_1ст!D28+Адміністративні_1ст!D28</f>
        <v>267.74077</v>
      </c>
      <c r="F28" s="2531">
        <v>502.66</v>
      </c>
      <c r="G28" s="2533">
        <f>Виробництво_Транспортування_1ст!F15+ЗВВ_1ст!F28*'БАЗИ РОЗПОДІЛУ'!F15+Адміністративні_1ст!F28*'БАЗИ РОЗПОДІЛУ'!F22</f>
        <v>239.62375669125635</v>
      </c>
    </row>
    <row r="29" spans="1:13" x14ac:dyDescent="0.25">
      <c r="A29" s="3905" t="s">
        <v>1</v>
      </c>
      <c r="B29" s="3905"/>
      <c r="C29" s="3905"/>
      <c r="D29" s="3905"/>
      <c r="E29" s="3905"/>
      <c r="F29" s="3905"/>
      <c r="G29" s="3905"/>
    </row>
    <row r="30" spans="1:13" ht="25.5" x14ac:dyDescent="0.25">
      <c r="A30" s="2527">
        <v>1</v>
      </c>
      <c r="B30" s="2528" t="s">
        <v>156</v>
      </c>
      <c r="C30" s="2525" t="s">
        <v>157</v>
      </c>
      <c r="D30" s="2534">
        <v>12.8</v>
      </c>
      <c r="E30" s="2534">
        <v>12.8</v>
      </c>
      <c r="F30" s="2534">
        <v>12.8</v>
      </c>
      <c r="G30" s="2534">
        <v>12.8</v>
      </c>
      <c r="K30" s="245"/>
      <c r="L30" s="238"/>
    </row>
    <row r="31" spans="1:13" ht="25.5" x14ac:dyDescent="0.25">
      <c r="A31" s="2527">
        <v>2</v>
      </c>
      <c r="B31" s="2528" t="s">
        <v>150</v>
      </c>
      <c r="C31" s="2525" t="s">
        <v>151</v>
      </c>
      <c r="D31" s="2532">
        <v>17</v>
      </c>
      <c r="E31" s="2532">
        <v>17</v>
      </c>
      <c r="F31" s="2532">
        <v>17</v>
      </c>
      <c r="G31" s="2531">
        <f>ФОП!G14+ФОП!G19+ФОП!G44*'БАЗИ РОЗПОДІЛУ'!G15+ФОП!G49*'БАЗИ РОЗПОДІЛУ'!G22</f>
        <v>13</v>
      </c>
      <c r="J31" s="5" t="s">
        <v>861</v>
      </c>
    </row>
    <row r="32" spans="1:13" ht="25.5" x14ac:dyDescent="0.25">
      <c r="A32" s="2527">
        <v>3</v>
      </c>
      <c r="B32" s="2528" t="s">
        <v>152</v>
      </c>
      <c r="C32" s="2525" t="s">
        <v>158</v>
      </c>
      <c r="D32" s="2532">
        <f>D43/D31/12*1000</f>
        <v>14664.06544117647</v>
      </c>
      <c r="E32" s="2532">
        <f>E43/E31/12*1000</f>
        <v>9622.2750490196086</v>
      </c>
      <c r="F32" s="2532">
        <v>16977.11</v>
      </c>
      <c r="G32" s="2532">
        <f>G43/G31/12*1000</f>
        <v>20752.181885320704</v>
      </c>
    </row>
    <row r="33" spans="1:10" ht="25.5" x14ac:dyDescent="0.25">
      <c r="A33" s="2527">
        <v>4</v>
      </c>
      <c r="B33" s="2528" t="s">
        <v>864</v>
      </c>
      <c r="C33" s="2525" t="s">
        <v>22</v>
      </c>
      <c r="D33" s="2532">
        <f>'Д 7_РП'!E24</f>
        <v>12915.64</v>
      </c>
      <c r="E33" s="2532">
        <f>'Д 7_РП'!F24</f>
        <v>2712.7400000000002</v>
      </c>
      <c r="F33" s="2532">
        <v>13067.41</v>
      </c>
      <c r="G33" s="2531">
        <f>'Д 7_РП'!G24</f>
        <v>6675.9097458333326</v>
      </c>
      <c r="H33" s="245" t="s">
        <v>644</v>
      </c>
      <c r="I33" s="245" t="s">
        <v>865</v>
      </c>
    </row>
    <row r="34" spans="1:10" ht="25.5" x14ac:dyDescent="0.25">
      <c r="A34" s="2527">
        <v>5</v>
      </c>
      <c r="B34" s="2528" t="s">
        <v>866</v>
      </c>
      <c r="C34" s="2525" t="s">
        <v>22</v>
      </c>
      <c r="D34" s="2532">
        <f>'Д 7_РП'!E48</f>
        <v>1945.7600000000002</v>
      </c>
      <c r="E34" s="2532">
        <f>'Д 7_РП'!F48</f>
        <v>528.68999999999994</v>
      </c>
      <c r="F34" s="2534">
        <v>1450.1</v>
      </c>
      <c r="G34" s="2531">
        <f>'Д 7_РП'!G48</f>
        <v>862.11599999999987</v>
      </c>
      <c r="H34" s="245" t="s">
        <v>644</v>
      </c>
    </row>
    <row r="35" spans="1:10" x14ac:dyDescent="0.25">
      <c r="A35" s="2527" t="s">
        <v>28</v>
      </c>
      <c r="B35" s="2528" t="s">
        <v>295</v>
      </c>
      <c r="C35" s="2525" t="s">
        <v>4</v>
      </c>
      <c r="D35" s="2535">
        <f>D34/D33</f>
        <v>0.15065145823203499</v>
      </c>
      <c r="E35" s="2535">
        <f>E34/E33</f>
        <v>0.19489151190309426</v>
      </c>
      <c r="F35" s="2535">
        <f>F34/F33</f>
        <v>0.11097072794073194</v>
      </c>
      <c r="G35" s="2535">
        <f>G34/G33</f>
        <v>0.12913835459475415</v>
      </c>
    </row>
    <row r="36" spans="1:10" ht="25.5" x14ac:dyDescent="0.25">
      <c r="A36" s="2527">
        <v>6</v>
      </c>
      <c r="B36" s="2528" t="s">
        <v>867</v>
      </c>
      <c r="C36" s="2525" t="s">
        <v>22</v>
      </c>
      <c r="D36" s="2536">
        <v>1784.8</v>
      </c>
      <c r="E36" s="2536">
        <v>1945.8</v>
      </c>
      <c r="F36" s="2536">
        <f>F34</f>
        <v>1450.1</v>
      </c>
      <c r="G36" s="2537">
        <f>G34</f>
        <v>862.11599999999987</v>
      </c>
      <c r="H36" s="5"/>
    </row>
    <row r="37" spans="1:10" ht="25.5" x14ac:dyDescent="0.25">
      <c r="A37" s="2527" t="s">
        <v>32</v>
      </c>
      <c r="B37" s="2528" t="s">
        <v>1967</v>
      </c>
      <c r="C37" s="2525" t="s">
        <v>4</v>
      </c>
      <c r="D37" s="2535">
        <f>D36/D33</f>
        <v>0.13818904831661458</v>
      </c>
      <c r="E37" s="2535">
        <f>E36/E33</f>
        <v>0.71728215752338953</v>
      </c>
      <c r="F37" s="2535">
        <f>F35</f>
        <v>0.11097072794073194</v>
      </c>
      <c r="G37" s="2535">
        <f>G36/G33</f>
        <v>0.12913835459475415</v>
      </c>
      <c r="H37" s="245" t="s">
        <v>644</v>
      </c>
      <c r="I37" s="238"/>
    </row>
    <row r="38" spans="1:10" ht="25.5" x14ac:dyDescent="0.25">
      <c r="A38" s="2527">
        <v>7</v>
      </c>
      <c r="B38" s="2528" t="s">
        <v>869</v>
      </c>
      <c r="C38" s="2525" t="s">
        <v>22</v>
      </c>
      <c r="D38" s="2532">
        <f>D33-D34</f>
        <v>10969.88</v>
      </c>
      <c r="E38" s="2532">
        <f>E33-E34</f>
        <v>2184.0500000000002</v>
      </c>
      <c r="F38" s="2532">
        <f>F33-F34</f>
        <v>11617.31</v>
      </c>
      <c r="G38" s="2532">
        <f>G33-G34</f>
        <v>5813.7937458333327</v>
      </c>
      <c r="I38" s="193"/>
    </row>
    <row r="39" spans="1:10" ht="25.5" x14ac:dyDescent="0.25">
      <c r="A39" s="2527" t="s">
        <v>64</v>
      </c>
      <c r="B39" s="2528" t="s">
        <v>870</v>
      </c>
      <c r="C39" s="2525" t="s">
        <v>22</v>
      </c>
      <c r="D39" s="2532">
        <v>0</v>
      </c>
      <c r="E39" s="2532">
        <v>0</v>
      </c>
      <c r="F39" s="2532">
        <v>0</v>
      </c>
      <c r="G39" s="2532">
        <v>0</v>
      </c>
      <c r="H39" s="245" t="s">
        <v>868</v>
      </c>
    </row>
    <row r="40" spans="1:10" ht="25.5" x14ac:dyDescent="0.25">
      <c r="A40" s="2527" t="s">
        <v>66</v>
      </c>
      <c r="B40" s="2528" t="s">
        <v>551</v>
      </c>
      <c r="C40" s="2525" t="s">
        <v>22</v>
      </c>
      <c r="D40" s="2532">
        <f>D41+D42</f>
        <v>10969.88</v>
      </c>
      <c r="E40" s="2532">
        <f>E41+E42</f>
        <v>2184.0500000000002</v>
      </c>
      <c r="F40" s="2532">
        <f>F41+F42</f>
        <v>11617.31</v>
      </c>
      <c r="G40" s="2532">
        <f>G41+G42</f>
        <v>5813.7937458333327</v>
      </c>
      <c r="H40" s="245" t="s">
        <v>868</v>
      </c>
    </row>
    <row r="41" spans="1:10" ht="15.6" customHeight="1" x14ac:dyDescent="0.25">
      <c r="A41" s="2527" t="s">
        <v>159</v>
      </c>
      <c r="B41" s="2528" t="s">
        <v>90</v>
      </c>
      <c r="C41" s="2525" t="s">
        <v>22</v>
      </c>
      <c r="D41" s="2532">
        <f>D33-D34</f>
        <v>10969.88</v>
      </c>
      <c r="E41" s="2532">
        <f>E33-E34</f>
        <v>2184.0500000000002</v>
      </c>
      <c r="F41" s="2532">
        <f>F33-F34</f>
        <v>11617.31</v>
      </c>
      <c r="G41" s="2532">
        <f>G33-G34</f>
        <v>5813.7937458333327</v>
      </c>
    </row>
    <row r="42" spans="1:10" ht="27" customHeight="1" x14ac:dyDescent="0.25">
      <c r="A42" s="2527" t="s">
        <v>160</v>
      </c>
      <c r="B42" s="2528" t="s">
        <v>871</v>
      </c>
      <c r="C42" s="2525" t="s">
        <v>22</v>
      </c>
      <c r="D42" s="2532">
        <v>0</v>
      </c>
      <c r="E42" s="2532">
        <v>0</v>
      </c>
      <c r="F42" s="2532">
        <v>0</v>
      </c>
      <c r="G42" s="2532">
        <v>0</v>
      </c>
      <c r="H42" s="245" t="s">
        <v>868</v>
      </c>
    </row>
    <row r="43" spans="1:10" ht="25.5" x14ac:dyDescent="0.25">
      <c r="A43" s="2527">
        <v>8</v>
      </c>
      <c r="B43" s="2528" t="s">
        <v>154</v>
      </c>
      <c r="C43" s="2525" t="s">
        <v>40</v>
      </c>
      <c r="D43" s="2532">
        <f>Виробництво_Транспортування_1ст!C115+'Д 3_Т на Т з ЦТП'!E24+'Д 3_Т на Т з ЦТП'!E28</f>
        <v>2991.4693500000003</v>
      </c>
      <c r="E43" s="2532">
        <f>Виробництво_Транспортування_1ст!D115+'Д 3_Т на Т з ЦТП'!F24+'Д 3_Т на Т з ЦТП'!F28</f>
        <v>1962.9441099999999</v>
      </c>
      <c r="F43" s="2532">
        <v>3463.33</v>
      </c>
      <c r="G43" s="2531">
        <f>(ФОП!H14+ФОП!H19+ФОП!H44*'БАЗИ РОЗПОДІЛУ'!G15+ФОП!H49*'БАЗИ РОЗПОДІЛУ'!G22)/1000</f>
        <v>3237.3403741100301</v>
      </c>
      <c r="I43" s="238"/>
    </row>
    <row r="44" spans="1:10" ht="25.5" x14ac:dyDescent="0.25">
      <c r="A44" s="2527">
        <v>9</v>
      </c>
      <c r="B44" s="2528" t="s">
        <v>473</v>
      </c>
      <c r="C44" s="2525" t="s">
        <v>40</v>
      </c>
      <c r="D44" s="2558">
        <f>Виробництво_Транспортування_1ст!C121</f>
        <v>372.29359999999997</v>
      </c>
      <c r="E44" s="2558">
        <f>Виробництво_Транспортування_1ст!D121</f>
        <v>244.26667</v>
      </c>
      <c r="F44" s="2558">
        <v>313.16000000000003</v>
      </c>
      <c r="G44" s="2559">
        <f>Виробництво_Транспортування_1ст!F121+Виробництво_Транспортування_1ст!F122+(ЗВВ_1ст!F26+ЗВВ_1ст!F25)*'БАЗИ РОЗПОДІЛУ'!G15+(Адміністративні_1ст!F25+Адміністративні_1ст!F26)*'БАЗИ РОЗПОДІЛУ'!G22</f>
        <v>339.52732895123944</v>
      </c>
      <c r="H44" s="245" t="s">
        <v>644</v>
      </c>
      <c r="I44" s="238"/>
    </row>
    <row r="45" spans="1:10" ht="38.25" x14ac:dyDescent="0.25">
      <c r="A45" s="2527" t="s">
        <v>161</v>
      </c>
      <c r="B45" s="2528" t="s">
        <v>476</v>
      </c>
      <c r="C45" s="2525" t="s">
        <v>40</v>
      </c>
      <c r="D45" s="2558">
        <f>D44</f>
        <v>372.29359999999997</v>
      </c>
      <c r="E45" s="2558">
        <f>E44</f>
        <v>244.26667</v>
      </c>
      <c r="F45" s="2558">
        <f>F44</f>
        <v>313.16000000000003</v>
      </c>
      <c r="G45" s="2558">
        <f>G44</f>
        <v>339.52732895123944</v>
      </c>
      <c r="H45" s="245" t="s">
        <v>644</v>
      </c>
      <c r="I45" s="238"/>
    </row>
    <row r="46" spans="1:10" x14ac:dyDescent="0.25">
      <c r="A46" s="2527">
        <v>10</v>
      </c>
      <c r="B46" s="2528" t="s">
        <v>474</v>
      </c>
      <c r="C46" s="2525" t="s">
        <v>40</v>
      </c>
      <c r="D46" s="2558">
        <f>Виробництво_Транспортування_1ст!C119</f>
        <v>286.92779999999999</v>
      </c>
      <c r="E46" s="2558">
        <f>Виробництво_Транспортування_1ст!D119</f>
        <v>286.81142</v>
      </c>
      <c r="F46" s="2558">
        <v>235.29</v>
      </c>
      <c r="G46" s="2559">
        <f>Виробництво_Транспортування_1ст!F119+Виробництво_Транспортування_1ст!F120+(ЗВВ_1ст!F37+ЗВВ_1ст!F38)*'БАЗИ РОЗПОДІЛУ'!G15+'БАЗИ РОЗПОДІЛУ'!G22*(Адміністративні_1ст!F36+Адміністративні_1ст!F37)</f>
        <v>74.564620563900363</v>
      </c>
      <c r="H46" s="245" t="s">
        <v>644</v>
      </c>
      <c r="I46" s="238"/>
    </row>
    <row r="47" spans="1:10" ht="25.5" x14ac:dyDescent="0.25">
      <c r="A47" s="2527" t="s">
        <v>197</v>
      </c>
      <c r="B47" s="2528" t="s">
        <v>155</v>
      </c>
      <c r="C47" s="2525" t="s">
        <v>40</v>
      </c>
      <c r="D47" s="2532">
        <f>Виробництво_Транспортування_1ст!C102</f>
        <v>1582.4759839999999</v>
      </c>
      <c r="E47" s="2532">
        <f>Виробництво_Транспортування_1ст!D102</f>
        <v>994.13666000000001</v>
      </c>
      <c r="F47" s="2532">
        <v>1971.32</v>
      </c>
      <c r="G47" s="2531">
        <f>Виробництво_Транспортування_1ст!F102+ЗВВ_1ст!F28*'БАЗИ РОЗПОДІЛУ'!G15+Адміністративні_1ст!F28*'БАЗИ РОЗПОДІЛУ'!G22</f>
        <v>778.7482515186158</v>
      </c>
    </row>
    <row r="48" spans="1:10" ht="63.75" x14ac:dyDescent="0.25">
      <c r="A48" s="2527" t="s">
        <v>296</v>
      </c>
      <c r="B48" s="2528" t="s">
        <v>552</v>
      </c>
      <c r="C48" s="2525" t="s">
        <v>31</v>
      </c>
      <c r="D48" s="2532">
        <v>0</v>
      </c>
      <c r="E48" s="2532">
        <v>0</v>
      </c>
      <c r="F48" s="2532">
        <v>0</v>
      </c>
      <c r="G48" s="2532">
        <v>0</v>
      </c>
      <c r="H48" s="245" t="s">
        <v>644</v>
      </c>
      <c r="I48" s="1080" t="s">
        <v>1968</v>
      </c>
      <c r="J48" s="1080"/>
    </row>
    <row r="49" spans="1:13" x14ac:dyDescent="0.25">
      <c r="A49" s="2527" t="s">
        <v>94</v>
      </c>
      <c r="B49" s="2528" t="s">
        <v>3</v>
      </c>
      <c r="C49" s="2525" t="s">
        <v>31</v>
      </c>
      <c r="D49" s="2532">
        <v>0</v>
      </c>
      <c r="E49" s="2532">
        <v>0</v>
      </c>
      <c r="F49" s="2532">
        <v>0</v>
      </c>
      <c r="G49" s="2532">
        <v>0</v>
      </c>
    </row>
    <row r="50" spans="1:13" x14ac:dyDescent="0.25">
      <c r="A50" s="2527" t="s">
        <v>95</v>
      </c>
      <c r="B50" s="2528" t="s">
        <v>174</v>
      </c>
      <c r="C50" s="2525" t="s">
        <v>31</v>
      </c>
      <c r="D50" s="2532">
        <v>0</v>
      </c>
      <c r="E50" s="2532">
        <v>0</v>
      </c>
      <c r="F50" s="2532">
        <v>0</v>
      </c>
      <c r="G50" s="2532">
        <v>0</v>
      </c>
    </row>
    <row r="51" spans="1:13" x14ac:dyDescent="0.25">
      <c r="A51" s="2527" t="s">
        <v>97</v>
      </c>
      <c r="B51" s="2528" t="s">
        <v>98</v>
      </c>
      <c r="C51" s="2525" t="s">
        <v>31</v>
      </c>
      <c r="D51" s="2532">
        <v>0</v>
      </c>
      <c r="E51" s="2532">
        <v>0</v>
      </c>
      <c r="F51" s="2532">
        <v>0</v>
      </c>
      <c r="G51" s="2532">
        <v>0</v>
      </c>
      <c r="H51" s="245" t="s">
        <v>644</v>
      </c>
    </row>
    <row r="52" spans="1:13" x14ac:dyDescent="0.25">
      <c r="A52" s="2527" t="s">
        <v>173</v>
      </c>
      <c r="B52" s="2528" t="s">
        <v>99</v>
      </c>
      <c r="C52" s="2525" t="s">
        <v>31</v>
      </c>
      <c r="D52" s="2532">
        <v>0</v>
      </c>
      <c r="E52" s="2532">
        <v>0</v>
      </c>
      <c r="F52" s="2532">
        <v>0</v>
      </c>
      <c r="G52" s="2532">
        <v>0</v>
      </c>
    </row>
    <row r="53" spans="1:13" x14ac:dyDescent="0.25">
      <c r="A53" s="3905" t="s">
        <v>2</v>
      </c>
      <c r="B53" s="3905"/>
      <c r="C53" s="3905"/>
      <c r="D53" s="3905"/>
      <c r="E53" s="3905"/>
      <c r="F53" s="3905"/>
      <c r="G53" s="3905"/>
    </row>
    <row r="54" spans="1:13" ht="25.5" x14ac:dyDescent="0.25">
      <c r="A54" s="2527">
        <v>1</v>
      </c>
      <c r="B54" s="2528" t="s">
        <v>553</v>
      </c>
      <c r="C54" s="2525" t="s">
        <v>75</v>
      </c>
      <c r="D54" s="2538">
        <f>D55+D56+D57+D58+D59</f>
        <v>9</v>
      </c>
      <c r="E54" s="2538">
        <f>E55+E56+E57+E58+E59</f>
        <v>10</v>
      </c>
      <c r="F54" s="2538">
        <f>F55+F56+F57+F58+F59</f>
        <v>10</v>
      </c>
      <c r="G54" s="2538">
        <f>G55+G56+G57+G58+G59</f>
        <v>4</v>
      </c>
      <c r="H54" s="245" t="s">
        <v>644</v>
      </c>
      <c r="I54" s="1079" t="s">
        <v>1972</v>
      </c>
    </row>
    <row r="55" spans="1:13" x14ac:dyDescent="0.25">
      <c r="A55" s="2527" t="s">
        <v>23</v>
      </c>
      <c r="B55" s="2528" t="s">
        <v>162</v>
      </c>
      <c r="C55" s="2525" t="s">
        <v>75</v>
      </c>
      <c r="D55" s="2538">
        <v>0</v>
      </c>
      <c r="E55" s="2538">
        <v>0</v>
      </c>
      <c r="F55" s="2538">
        <v>0</v>
      </c>
      <c r="G55" s="2538">
        <v>0</v>
      </c>
    </row>
    <row r="56" spans="1:13" x14ac:dyDescent="0.25">
      <c r="A56" s="2527" t="s">
        <v>24</v>
      </c>
      <c r="B56" s="2528" t="s">
        <v>862</v>
      </c>
      <c r="C56" s="2525" t="s">
        <v>75</v>
      </c>
      <c r="D56" s="2538">
        <v>0</v>
      </c>
      <c r="E56" s="2538">
        <v>0</v>
      </c>
      <c r="F56" s="2538">
        <v>0</v>
      </c>
      <c r="G56" s="2538">
        <v>0</v>
      </c>
      <c r="H56" s="245" t="s">
        <v>644</v>
      </c>
      <c r="K56" s="238"/>
    </row>
    <row r="57" spans="1:13" x14ac:dyDescent="0.25">
      <c r="A57" s="2527" t="s">
        <v>48</v>
      </c>
      <c r="B57" s="2528" t="s">
        <v>170</v>
      </c>
      <c r="C57" s="2525" t="s">
        <v>75</v>
      </c>
      <c r="D57" s="2538">
        <v>0</v>
      </c>
      <c r="E57" s="2538">
        <v>0</v>
      </c>
      <c r="F57" s="2538">
        <v>0</v>
      </c>
      <c r="G57" s="2538">
        <v>0</v>
      </c>
    </row>
    <row r="58" spans="1:13" x14ac:dyDescent="0.25">
      <c r="A58" s="2527" t="s">
        <v>53</v>
      </c>
      <c r="B58" s="2528" t="s">
        <v>754</v>
      </c>
      <c r="C58" s="2525" t="s">
        <v>75</v>
      </c>
      <c r="D58" s="2538">
        <v>0</v>
      </c>
      <c r="E58" s="2538">
        <v>1</v>
      </c>
      <c r="F58" s="2538">
        <v>1</v>
      </c>
      <c r="G58" s="2538">
        <v>1</v>
      </c>
      <c r="H58" s="245" t="s">
        <v>644</v>
      </c>
    </row>
    <row r="59" spans="1:13" x14ac:dyDescent="0.25">
      <c r="A59" s="2527" t="s">
        <v>301</v>
      </c>
      <c r="B59" s="2528" t="s">
        <v>163</v>
      </c>
      <c r="C59" s="2525" t="s">
        <v>75</v>
      </c>
      <c r="D59" s="2538">
        <v>9</v>
      </c>
      <c r="E59" s="2538">
        <v>9</v>
      </c>
      <c r="F59" s="2538">
        <v>9</v>
      </c>
      <c r="G59" s="2538">
        <v>3</v>
      </c>
    </row>
    <row r="60" spans="1:13" ht="25.5" x14ac:dyDescent="0.25">
      <c r="A60" s="2527">
        <v>2</v>
      </c>
      <c r="B60" s="2528" t="s">
        <v>150</v>
      </c>
      <c r="C60" s="2525" t="s">
        <v>151</v>
      </c>
      <c r="D60" s="2531">
        <v>2</v>
      </c>
      <c r="E60" s="2531">
        <v>2</v>
      </c>
      <c r="F60" s="2532">
        <v>2</v>
      </c>
      <c r="G60" s="2531">
        <f>ФОП!G24+ФОП!G44*'БАЗИ РОЗПОДІЛУ'!J15+ФОП!G49*'БАЗИ РОЗПОДІЛУ'!J22</f>
        <v>1</v>
      </c>
    </row>
    <row r="61" spans="1:13" ht="25.5" x14ac:dyDescent="0.25">
      <c r="A61" s="2527">
        <v>3</v>
      </c>
      <c r="B61" s="2528" t="s">
        <v>152</v>
      </c>
      <c r="C61" s="2525" t="s">
        <v>153</v>
      </c>
      <c r="D61" s="2531">
        <f>D75/D60/12*1000</f>
        <v>27918.563333333339</v>
      </c>
      <c r="E61" s="2531">
        <f>E75/E60/12*1000</f>
        <v>31292.916666666672</v>
      </c>
      <c r="F61" s="2531">
        <v>27265.83</v>
      </c>
      <c r="G61" s="2531">
        <f>G75/G60/12*1000</f>
        <v>29832.924175079566</v>
      </c>
    </row>
    <row r="62" spans="1:13" ht="25.5" x14ac:dyDescent="0.25">
      <c r="A62" s="2527">
        <v>4</v>
      </c>
      <c r="B62" s="2528" t="s">
        <v>298</v>
      </c>
      <c r="C62" s="2525" t="s">
        <v>22</v>
      </c>
      <c r="D62" s="2531">
        <f>D63+D65+D67+D69+D71+D73</f>
        <v>10969.88</v>
      </c>
      <c r="E62" s="2531">
        <f>E63+E65+E67+E69+E71+E73</f>
        <v>2184.0500000000002</v>
      </c>
      <c r="F62" s="2531">
        <f>F41</f>
        <v>11617.31</v>
      </c>
      <c r="G62" s="2531">
        <f>G63+G65+G67+G69+G71+G73</f>
        <v>5813.7937458333327</v>
      </c>
    </row>
    <row r="63" spans="1:13" x14ac:dyDescent="0.25">
      <c r="A63" s="2527" t="s">
        <v>27</v>
      </c>
      <c r="B63" s="2528" t="s">
        <v>164</v>
      </c>
      <c r="C63" s="2525" t="s">
        <v>22</v>
      </c>
      <c r="D63" s="2531">
        <f>'Д 7_РП'!E75</f>
        <v>0</v>
      </c>
      <c r="E63" s="2531">
        <f>'Д 7_РП'!F75</f>
        <v>0</v>
      </c>
      <c r="F63" s="2531">
        <v>0</v>
      </c>
      <c r="G63" s="2531">
        <f>'Д 7_РП'!G75</f>
        <v>0</v>
      </c>
    </row>
    <row r="64" spans="1:13" ht="21.75" customHeight="1" x14ac:dyDescent="0.25">
      <c r="A64" s="2527" t="s">
        <v>165</v>
      </c>
      <c r="B64" s="2528" t="s">
        <v>299</v>
      </c>
      <c r="C64" s="2525" t="s">
        <v>22</v>
      </c>
      <c r="D64" s="2532">
        <v>0</v>
      </c>
      <c r="E64" s="2532">
        <v>0</v>
      </c>
      <c r="F64" s="2532">
        <v>0</v>
      </c>
      <c r="G64" s="2532">
        <f>G63</f>
        <v>0</v>
      </c>
      <c r="H64" s="5"/>
      <c r="J64" s="193">
        <f>D62-D63-D67-D69-D71-D73</f>
        <v>0</v>
      </c>
      <c r="K64" s="193">
        <f>E62-E63-E67-E69-E71-E73</f>
        <v>0</v>
      </c>
      <c r="L64" s="193">
        <f>F62-F63-F67-F69-F71-F73</f>
        <v>0</v>
      </c>
      <c r="M64" s="193">
        <f>G62-G63-G67-G69-G71-G73</f>
        <v>0</v>
      </c>
    </row>
    <row r="65" spans="1:12" x14ac:dyDescent="0.25">
      <c r="A65" s="2527" t="s">
        <v>113</v>
      </c>
      <c r="B65" s="2528" t="s">
        <v>1980</v>
      </c>
      <c r="C65" s="2525" t="s">
        <v>22</v>
      </c>
      <c r="D65" s="2532">
        <v>0</v>
      </c>
      <c r="E65" s="2532">
        <v>0</v>
      </c>
      <c r="F65" s="2532">
        <v>0</v>
      </c>
      <c r="G65" s="2532">
        <v>0</v>
      </c>
    </row>
    <row r="66" spans="1:12" ht="15" customHeight="1" x14ac:dyDescent="0.25">
      <c r="A66" s="2527" t="s">
        <v>166</v>
      </c>
      <c r="B66" s="2528" t="s">
        <v>299</v>
      </c>
      <c r="C66" s="2525" t="s">
        <v>22</v>
      </c>
      <c r="D66" s="2532">
        <v>0</v>
      </c>
      <c r="E66" s="2532">
        <v>0</v>
      </c>
      <c r="F66" s="2532">
        <v>0</v>
      </c>
      <c r="G66" s="2532">
        <v>0</v>
      </c>
    </row>
    <row r="67" spans="1:12" x14ac:dyDescent="0.25">
      <c r="A67" s="2527" t="s">
        <v>167</v>
      </c>
      <c r="B67" s="2528" t="s">
        <v>174</v>
      </c>
      <c r="C67" s="2525" t="s">
        <v>22</v>
      </c>
      <c r="D67" s="2531">
        <f>'Д 7_РП'!E83</f>
        <v>0</v>
      </c>
      <c r="E67" s="2531">
        <f>'Д 7_РП'!F83</f>
        <v>0</v>
      </c>
      <c r="F67" s="2531">
        <v>0</v>
      </c>
      <c r="G67" s="2531">
        <f>'Д 7_РП'!G83</f>
        <v>0</v>
      </c>
      <c r="I67" s="193"/>
    </row>
    <row r="68" spans="1:12" ht="15" customHeight="1" x14ac:dyDescent="0.25">
      <c r="A68" s="2527" t="s">
        <v>168</v>
      </c>
      <c r="B68" s="2528" t="s">
        <v>299</v>
      </c>
      <c r="C68" s="2525" t="s">
        <v>22</v>
      </c>
      <c r="D68" s="2531">
        <v>0</v>
      </c>
      <c r="E68" s="2531">
        <v>0</v>
      </c>
      <c r="F68" s="2531">
        <f>F67</f>
        <v>0</v>
      </c>
      <c r="G68" s="2531">
        <f>G67</f>
        <v>0</v>
      </c>
      <c r="I68" s="193"/>
    </row>
    <row r="69" spans="1:12" x14ac:dyDescent="0.25">
      <c r="A69" s="2527" t="s">
        <v>169</v>
      </c>
      <c r="B69" s="2528" t="s">
        <v>98</v>
      </c>
      <c r="C69" s="2525" t="s">
        <v>22</v>
      </c>
      <c r="D69" s="2531">
        <f>'Д 7_РП'!E87</f>
        <v>198.47</v>
      </c>
      <c r="E69" s="2531">
        <f>'Д 7_РП'!F87</f>
        <v>86</v>
      </c>
      <c r="F69" s="2532">
        <v>0</v>
      </c>
      <c r="G69" s="2531">
        <f>'Д 7_РП'!G87</f>
        <v>0</v>
      </c>
    </row>
    <row r="70" spans="1:12" ht="21.75" customHeight="1" x14ac:dyDescent="0.25">
      <c r="A70" s="2527" t="s">
        <v>308</v>
      </c>
      <c r="B70" s="2528" t="s">
        <v>299</v>
      </c>
      <c r="C70" s="2525" t="s">
        <v>22</v>
      </c>
      <c r="D70" s="2532">
        <v>0</v>
      </c>
      <c r="E70" s="2532">
        <f>'Д 7_РП'!F87</f>
        <v>86</v>
      </c>
      <c r="F70" s="2532">
        <v>0</v>
      </c>
      <c r="G70" s="2531">
        <f>'Д 7_РП'!G87</f>
        <v>0</v>
      </c>
      <c r="H70" s="5"/>
      <c r="L70" s="193"/>
    </row>
    <row r="71" spans="1:12" x14ac:dyDescent="0.25">
      <c r="A71" s="2527" t="s">
        <v>175</v>
      </c>
      <c r="B71" s="2528" t="s">
        <v>99</v>
      </c>
      <c r="C71" s="2525" t="s">
        <v>22</v>
      </c>
      <c r="D71" s="2531">
        <f>'Д 7_РП'!E91</f>
        <v>8654.84</v>
      </c>
      <c r="E71" s="2531">
        <f>'Д 7_РП'!F91</f>
        <v>753.13</v>
      </c>
      <c r="F71" s="2532">
        <f>'Д 4_Т на П'!F51</f>
        <v>9459.3799999999992</v>
      </c>
      <c r="G71" s="2531">
        <f>'Д 7_РП'!G91</f>
        <v>3899.5202521466663</v>
      </c>
      <c r="H71" s="5"/>
    </row>
    <row r="72" spans="1:12" ht="24.75" customHeight="1" x14ac:dyDescent="0.25">
      <c r="A72" s="2527" t="s">
        <v>176</v>
      </c>
      <c r="B72" s="2528" t="s">
        <v>299</v>
      </c>
      <c r="C72" s="2525" t="s">
        <v>22</v>
      </c>
      <c r="D72" s="2532">
        <v>4218</v>
      </c>
      <c r="E72" s="2532">
        <v>3808</v>
      </c>
      <c r="F72" s="2532">
        <v>4117.08</v>
      </c>
      <c r="G72" s="2531">
        <f>'Д 13_12'!M28</f>
        <v>2347.0680032</v>
      </c>
      <c r="H72" s="5"/>
    </row>
    <row r="73" spans="1:12" ht="25.5" x14ac:dyDescent="0.25">
      <c r="A73" s="2527" t="s">
        <v>1973</v>
      </c>
      <c r="B73" s="2528" t="s">
        <v>213</v>
      </c>
      <c r="C73" s="2525" t="s">
        <v>22</v>
      </c>
      <c r="D73" s="2531">
        <f>'Д 7_РП'!E71</f>
        <v>2116.5700000000002</v>
      </c>
      <c r="E73" s="2531">
        <f>'Д 7_РП'!F71</f>
        <v>1344.92</v>
      </c>
      <c r="F73" s="2532">
        <v>2157.9299999999998</v>
      </c>
      <c r="G73" s="2531">
        <f>'Д 7_РП'!G71</f>
        <v>1914.2734936866668</v>
      </c>
      <c r="H73" s="5"/>
    </row>
    <row r="74" spans="1:12" ht="24.75" customHeight="1" x14ac:dyDescent="0.25">
      <c r="A74" s="2527" t="s">
        <v>1974</v>
      </c>
      <c r="B74" s="2528" t="s">
        <v>299</v>
      </c>
      <c r="C74" s="2525" t="s">
        <v>22</v>
      </c>
      <c r="D74" s="2532">
        <f>D73</f>
        <v>2116.5700000000002</v>
      </c>
      <c r="E74" s="2532">
        <f>E73</f>
        <v>1344.92</v>
      </c>
      <c r="F74" s="2532">
        <f>F73</f>
        <v>2157.9299999999998</v>
      </c>
      <c r="G74" s="2531">
        <f>G73</f>
        <v>1914.2734936866668</v>
      </c>
      <c r="H74" s="5"/>
    </row>
    <row r="75" spans="1:12" ht="25.5" x14ac:dyDescent="0.25">
      <c r="A75" s="2527">
        <v>5</v>
      </c>
      <c r="B75" s="2528" t="s">
        <v>154</v>
      </c>
      <c r="C75" s="2525" t="s">
        <v>40</v>
      </c>
      <c r="D75" s="2531">
        <f>'Д 4_Т на П'!D18+'Д 4_Т на П'!D24+'Д 4_Т на П'!D28</f>
        <v>670.04552000000012</v>
      </c>
      <c r="E75" s="2531">
        <f>'Д 4_Т на П'!E18+'Д 4_Т на П'!E24+'Д 4_Т на П'!E28</f>
        <v>751.03000000000009</v>
      </c>
      <c r="F75" s="2531">
        <v>654.38</v>
      </c>
      <c r="G75" s="2533">
        <f>(ФОП!H24+ФОП!H44*'БАЗИ РОЗПОДІЛУ'!J15+ФОП!H49*'БАЗИ РОЗПОДІЛУ'!J22)/1000</f>
        <v>357.99509010095477</v>
      </c>
    </row>
    <row r="76" spans="1:12" ht="25.5" x14ac:dyDescent="0.25">
      <c r="A76" s="2527">
        <v>6</v>
      </c>
      <c r="B76" s="2528" t="s">
        <v>473</v>
      </c>
      <c r="C76" s="2525" t="s">
        <v>40</v>
      </c>
      <c r="D76" s="2531">
        <v>0</v>
      </c>
      <c r="E76" s="2531">
        <v>0</v>
      </c>
      <c r="F76" s="2532">
        <v>1.26</v>
      </c>
      <c r="G76" s="2533">
        <f>(ЗВВ_1ст!F25+ЗВВ_1ст!F26)*'БАЗИ РОЗПОДІЛУ'!J15+'БАЗИ РОЗПОДІЛУ'!J22*(Адміністративні_1ст!F25+Адміністративні_1ст!F26)</f>
        <v>3.2914518943375719</v>
      </c>
    </row>
    <row r="77" spans="1:12" ht="38.25" x14ac:dyDescent="0.25">
      <c r="A77" s="2527" t="s">
        <v>32</v>
      </c>
      <c r="B77" s="2528" t="s">
        <v>476</v>
      </c>
      <c r="C77" s="2525" t="s">
        <v>40</v>
      </c>
      <c r="D77" s="2532">
        <f>D76</f>
        <v>0</v>
      </c>
      <c r="E77" s="2532">
        <f>E76</f>
        <v>0</v>
      </c>
      <c r="F77" s="2532">
        <v>1.26</v>
      </c>
      <c r="G77" s="2539">
        <f>G76</f>
        <v>3.2914518943375719</v>
      </c>
    </row>
    <row r="78" spans="1:12" x14ac:dyDescent="0.25">
      <c r="A78" s="2527">
        <v>7</v>
      </c>
      <c r="B78" s="2528" t="s">
        <v>474</v>
      </c>
      <c r="C78" s="2525" t="s">
        <v>40</v>
      </c>
      <c r="D78" s="2531">
        <v>0</v>
      </c>
      <c r="E78" s="2531">
        <v>7.51</v>
      </c>
      <c r="F78" s="2532">
        <v>0.71</v>
      </c>
      <c r="G78" s="2533">
        <f>Постачання_1ст!F25+Постачання_1ст!F26+(ЗВВ_1ст!F37+ЗВВ_1ст!F38)*'БАЗИ РОЗПОДІЛУ'!J15+(Адміністративні_1ст!F36+Адміністративні_1ст!F37)*'БАЗИ РОЗПОДІЛУ'!J22</f>
        <v>0.79974783615456846</v>
      </c>
    </row>
    <row r="79" spans="1:12" ht="25.5" x14ac:dyDescent="0.25">
      <c r="A79" s="2527">
        <v>8</v>
      </c>
      <c r="B79" s="2528" t="s">
        <v>155</v>
      </c>
      <c r="C79" s="2525" t="s">
        <v>40</v>
      </c>
      <c r="D79" s="2531">
        <f>Постачання_1ст!C30</f>
        <v>1.32</v>
      </c>
      <c r="E79" s="2531">
        <f>Постачання_1ст!D30</f>
        <v>3.24</v>
      </c>
      <c r="F79" s="2532">
        <v>2.4300000000000002</v>
      </c>
      <c r="G79" s="2533">
        <f>Постачання_1ст!F30+ЗВВ_1ст!F28*'БАЗИ РОЗПОДІЛУ'!J15+Адміністративні_1ст!F28*'БАЗИ РОЗПОДІЛУ'!J22</f>
        <v>4.2031336760435964</v>
      </c>
    </row>
    <row r="80" spans="1:12" x14ac:dyDescent="0.25">
      <c r="A80" s="3905" t="s">
        <v>300</v>
      </c>
      <c r="B80" s="3905"/>
      <c r="C80" s="3905"/>
      <c r="D80" s="3905"/>
      <c r="E80" s="3905"/>
      <c r="F80" s="3905"/>
      <c r="G80" s="3905"/>
    </row>
    <row r="81" spans="1:16" ht="38.25" x14ac:dyDescent="0.25">
      <c r="A81" s="2527">
        <v>1</v>
      </c>
      <c r="B81" s="2540" t="s">
        <v>305</v>
      </c>
      <c r="C81" s="2525" t="s">
        <v>75</v>
      </c>
      <c r="D81" s="2534">
        <f>D82+D83+D84+D85</f>
        <v>0</v>
      </c>
      <c r="E81" s="2534">
        <f>E82+E83+E84+E85</f>
        <v>0</v>
      </c>
      <c r="F81" s="2538">
        <f>F54</f>
        <v>10</v>
      </c>
      <c r="G81" s="2538">
        <f>G54</f>
        <v>4</v>
      </c>
    </row>
    <row r="82" spans="1:16" x14ac:dyDescent="0.25">
      <c r="A82" s="2527" t="s">
        <v>23</v>
      </c>
      <c r="B82" s="2528" t="s">
        <v>162</v>
      </c>
      <c r="C82" s="2525" t="s">
        <v>75</v>
      </c>
      <c r="D82" s="2534">
        <v>0</v>
      </c>
      <c r="E82" s="2534">
        <v>0</v>
      </c>
      <c r="F82" s="2538">
        <f>F55</f>
        <v>0</v>
      </c>
      <c r="G82" s="2538">
        <f>G55</f>
        <v>0</v>
      </c>
    </row>
    <row r="83" spans="1:16" x14ac:dyDescent="0.25">
      <c r="A83" s="2527" t="s">
        <v>24</v>
      </c>
      <c r="B83" s="2528" t="s">
        <v>170</v>
      </c>
      <c r="C83" s="2525" t="s">
        <v>75</v>
      </c>
      <c r="D83" s="2534">
        <v>0</v>
      </c>
      <c r="E83" s="2534">
        <v>0</v>
      </c>
      <c r="F83" s="2538">
        <f t="shared" ref="F83:G85" si="0">F57</f>
        <v>0</v>
      </c>
      <c r="G83" s="2538">
        <f t="shared" si="0"/>
        <v>0</v>
      </c>
    </row>
    <row r="84" spans="1:16" x14ac:dyDescent="0.25">
      <c r="A84" s="2527" t="s">
        <v>48</v>
      </c>
      <c r="B84" s="2528" t="s">
        <v>754</v>
      </c>
      <c r="C84" s="2525" t="s">
        <v>75</v>
      </c>
      <c r="D84" s="2534">
        <v>0</v>
      </c>
      <c r="E84" s="2534">
        <v>0</v>
      </c>
      <c r="F84" s="2538">
        <v>1</v>
      </c>
      <c r="G84" s="2538">
        <f t="shared" si="0"/>
        <v>1</v>
      </c>
      <c r="L84" s="2557"/>
      <c r="M84" s="2555"/>
      <c r="N84" s="2555"/>
      <c r="O84" s="2555"/>
      <c r="P84" s="2555"/>
    </row>
    <row r="85" spans="1:16" x14ac:dyDescent="0.25">
      <c r="A85" s="2527" t="s">
        <v>53</v>
      </c>
      <c r="B85" s="2528" t="s">
        <v>163</v>
      </c>
      <c r="C85" s="2525" t="s">
        <v>75</v>
      </c>
      <c r="D85" s="2534">
        <v>0</v>
      </c>
      <c r="E85" s="2534">
        <v>0</v>
      </c>
      <c r="F85" s="2538">
        <f t="shared" si="0"/>
        <v>9</v>
      </c>
      <c r="G85" s="2538">
        <f t="shared" si="0"/>
        <v>3</v>
      </c>
      <c r="L85" s="2555"/>
      <c r="M85" s="2555"/>
      <c r="N85" s="2555"/>
      <c r="O85" s="2555"/>
      <c r="P85" s="2555"/>
    </row>
    <row r="86" spans="1:16" ht="51" x14ac:dyDescent="0.25">
      <c r="A86" s="2527">
        <v>2</v>
      </c>
      <c r="B86" s="2540" t="s">
        <v>302</v>
      </c>
      <c r="C86" s="2525" t="s">
        <v>151</v>
      </c>
      <c r="D86" s="2534">
        <v>0</v>
      </c>
      <c r="E86" s="2534">
        <v>0</v>
      </c>
      <c r="F86" s="2534">
        <v>0</v>
      </c>
      <c r="G86" s="2541">
        <v>0</v>
      </c>
      <c r="H86" s="1082"/>
      <c r="I86" s="1082"/>
      <c r="L86" s="2555"/>
      <c r="M86" s="2555"/>
      <c r="N86" s="2555"/>
      <c r="O86" s="2555"/>
      <c r="P86" s="2555"/>
    </row>
    <row r="87" spans="1:16" ht="51" x14ac:dyDescent="0.25">
      <c r="A87" s="2527">
        <v>3</v>
      </c>
      <c r="B87" s="2540" t="s">
        <v>303</v>
      </c>
      <c r="C87" s="2525" t="s">
        <v>153</v>
      </c>
      <c r="D87" s="2534">
        <v>0</v>
      </c>
      <c r="E87" s="2534">
        <v>0</v>
      </c>
      <c r="F87" s="2534">
        <v>0</v>
      </c>
      <c r="G87" s="2530">
        <v>0</v>
      </c>
      <c r="H87" s="1082"/>
      <c r="I87" s="1082"/>
      <c r="L87" s="2555"/>
      <c r="M87" s="2555"/>
      <c r="N87" s="2555"/>
      <c r="O87" s="2555"/>
      <c r="P87" s="2555"/>
    </row>
    <row r="88" spans="1:16" ht="25.5" x14ac:dyDescent="0.25">
      <c r="A88" s="2527">
        <v>4</v>
      </c>
      <c r="B88" s="2540" t="s">
        <v>304</v>
      </c>
      <c r="C88" s="2525" t="s">
        <v>22</v>
      </c>
      <c r="D88" s="2532">
        <v>0</v>
      </c>
      <c r="E88" s="2532">
        <v>0</v>
      </c>
      <c r="F88" s="2532">
        <f>F62</f>
        <v>11617.31</v>
      </c>
      <c r="G88" s="2531">
        <f>G62</f>
        <v>5813.7937458333327</v>
      </c>
      <c r="H88" s="248">
        <f>'Д 7_РП'!G69</f>
        <v>5813.7937458333327</v>
      </c>
    </row>
    <row r="89" spans="1:16" x14ac:dyDescent="0.25">
      <c r="A89" s="2527" t="s">
        <v>27</v>
      </c>
      <c r="B89" s="2528" t="s">
        <v>164</v>
      </c>
      <c r="C89" s="2525" t="s">
        <v>22</v>
      </c>
      <c r="D89" s="2532">
        <v>0</v>
      </c>
      <c r="E89" s="2532">
        <v>0</v>
      </c>
      <c r="F89" s="2532">
        <f>F63</f>
        <v>0</v>
      </c>
      <c r="G89" s="2531">
        <f>G63</f>
        <v>0</v>
      </c>
    </row>
    <row r="90" spans="1:16" ht="16.149999999999999" customHeight="1" x14ac:dyDescent="0.25">
      <c r="A90" s="2527" t="s">
        <v>165</v>
      </c>
      <c r="B90" s="2528" t="s">
        <v>299</v>
      </c>
      <c r="C90" s="2525" t="s">
        <v>22</v>
      </c>
      <c r="D90" s="2532">
        <v>0</v>
      </c>
      <c r="E90" s="2532">
        <v>0</v>
      </c>
      <c r="F90" s="2532">
        <f t="shared" ref="F90" si="1">F64</f>
        <v>0</v>
      </c>
      <c r="G90" s="2531">
        <f>G64</f>
        <v>0</v>
      </c>
    </row>
    <row r="91" spans="1:16" x14ac:dyDescent="0.25">
      <c r="A91" s="2527" t="s">
        <v>113</v>
      </c>
      <c r="B91" s="2528" t="s">
        <v>306</v>
      </c>
      <c r="C91" s="2525" t="s">
        <v>22</v>
      </c>
      <c r="D91" s="2532">
        <v>0</v>
      </c>
      <c r="E91" s="2532">
        <v>0</v>
      </c>
      <c r="F91" s="2532">
        <f>F67</f>
        <v>0</v>
      </c>
      <c r="G91" s="2531">
        <f>G67</f>
        <v>0</v>
      </c>
    </row>
    <row r="92" spans="1:16" ht="13.9" customHeight="1" x14ac:dyDescent="0.25">
      <c r="A92" s="2527" t="s">
        <v>166</v>
      </c>
      <c r="B92" s="2528" t="s">
        <v>299</v>
      </c>
      <c r="C92" s="2525" t="s">
        <v>22</v>
      </c>
      <c r="D92" s="2532">
        <v>0</v>
      </c>
      <c r="E92" s="2532">
        <v>0</v>
      </c>
      <c r="F92" s="2532">
        <f t="shared" ref="F92:F98" si="2">F68</f>
        <v>0</v>
      </c>
      <c r="G92" s="2531">
        <f t="shared" ref="G92:G98" si="3">G68</f>
        <v>0</v>
      </c>
    </row>
    <row r="93" spans="1:16" x14ac:dyDescent="0.25">
      <c r="A93" s="2527" t="s">
        <v>167</v>
      </c>
      <c r="B93" s="2528" t="s">
        <v>860</v>
      </c>
      <c r="C93" s="2525" t="s">
        <v>22</v>
      </c>
      <c r="D93" s="2532">
        <v>0</v>
      </c>
      <c r="E93" s="2532">
        <v>0</v>
      </c>
      <c r="F93" s="2532">
        <f t="shared" si="2"/>
        <v>0</v>
      </c>
      <c r="G93" s="2531">
        <f t="shared" si="3"/>
        <v>0</v>
      </c>
    </row>
    <row r="94" spans="1:16" ht="16.899999999999999" customHeight="1" x14ac:dyDescent="0.25">
      <c r="A94" s="2527" t="s">
        <v>168</v>
      </c>
      <c r="B94" s="2528" t="s">
        <v>299</v>
      </c>
      <c r="C94" s="2525" t="s">
        <v>22</v>
      </c>
      <c r="D94" s="2532">
        <v>0</v>
      </c>
      <c r="E94" s="2532">
        <v>0</v>
      </c>
      <c r="F94" s="2532">
        <f t="shared" si="2"/>
        <v>0</v>
      </c>
      <c r="G94" s="2531">
        <f t="shared" si="3"/>
        <v>0</v>
      </c>
    </row>
    <row r="95" spans="1:16" x14ac:dyDescent="0.25">
      <c r="A95" s="2527" t="s">
        <v>169</v>
      </c>
      <c r="B95" s="2528" t="s">
        <v>314</v>
      </c>
      <c r="C95" s="2525" t="s">
        <v>22</v>
      </c>
      <c r="D95" s="2532">
        <v>0</v>
      </c>
      <c r="E95" s="2532">
        <v>0</v>
      </c>
      <c r="F95" s="2532">
        <f t="shared" si="2"/>
        <v>9459.3799999999992</v>
      </c>
      <c r="G95" s="2531">
        <f t="shared" si="3"/>
        <v>3899.5202521466663</v>
      </c>
    </row>
    <row r="96" spans="1:16" x14ac:dyDescent="0.25">
      <c r="A96" s="2527" t="s">
        <v>309</v>
      </c>
      <c r="B96" s="2528" t="s">
        <v>299</v>
      </c>
      <c r="C96" s="2525" t="s">
        <v>22</v>
      </c>
      <c r="D96" s="2532">
        <v>0</v>
      </c>
      <c r="E96" s="2532">
        <v>0</v>
      </c>
      <c r="F96" s="2532">
        <f t="shared" si="2"/>
        <v>4117.08</v>
      </c>
      <c r="G96" s="2531">
        <f t="shared" si="3"/>
        <v>2347.0680032</v>
      </c>
    </row>
    <row r="97" spans="1:9" ht="25.5" x14ac:dyDescent="0.25">
      <c r="A97" s="2527" t="s">
        <v>175</v>
      </c>
      <c r="B97" s="2528" t="s">
        <v>1979</v>
      </c>
      <c r="C97" s="2525" t="s">
        <v>22</v>
      </c>
      <c r="D97" s="2532">
        <v>0</v>
      </c>
      <c r="E97" s="2532">
        <v>0</v>
      </c>
      <c r="F97" s="2532">
        <f t="shared" si="2"/>
        <v>2157.9299999999998</v>
      </c>
      <c r="G97" s="2531">
        <f t="shared" si="3"/>
        <v>1914.2734936866668</v>
      </c>
    </row>
    <row r="98" spans="1:9" ht="16.899999999999999" customHeight="1" x14ac:dyDescent="0.25">
      <c r="A98" s="2527" t="s">
        <v>176</v>
      </c>
      <c r="B98" s="2528" t="s">
        <v>299</v>
      </c>
      <c r="C98" s="2525" t="s">
        <v>22</v>
      </c>
      <c r="D98" s="2532">
        <v>0</v>
      </c>
      <c r="E98" s="2532">
        <v>0</v>
      </c>
      <c r="F98" s="2532">
        <f t="shared" si="2"/>
        <v>2157.9299999999998</v>
      </c>
      <c r="G98" s="2531">
        <f t="shared" si="3"/>
        <v>1914.2734936866668</v>
      </c>
    </row>
    <row r="99" spans="1:9" ht="25.5" x14ac:dyDescent="0.25">
      <c r="A99" s="2542">
        <v>5</v>
      </c>
      <c r="B99" s="2543" t="s">
        <v>154</v>
      </c>
      <c r="C99" s="2946" t="s">
        <v>40</v>
      </c>
      <c r="D99" s="2532">
        <v>0</v>
      </c>
      <c r="E99" s="2532">
        <v>0</v>
      </c>
      <c r="F99" s="2532">
        <v>0</v>
      </c>
      <c r="G99" s="2544">
        <v>0</v>
      </c>
      <c r="I99" s="1081"/>
    </row>
    <row r="100" spans="1:9" ht="26.25" x14ac:dyDescent="0.25">
      <c r="A100" s="2545">
        <v>6</v>
      </c>
      <c r="B100" s="2546" t="s">
        <v>858</v>
      </c>
      <c r="C100" s="2547" t="s">
        <v>40</v>
      </c>
      <c r="D100" s="2532">
        <v>0</v>
      </c>
      <c r="E100" s="2532">
        <v>0</v>
      </c>
      <c r="F100" s="2532">
        <v>0</v>
      </c>
      <c r="G100" s="2531">
        <v>0</v>
      </c>
      <c r="I100" s="1081"/>
    </row>
    <row r="101" spans="1:9" ht="39" x14ac:dyDescent="0.25">
      <c r="A101" s="2545" t="s">
        <v>32</v>
      </c>
      <c r="B101" s="2546" t="s">
        <v>476</v>
      </c>
      <c r="C101" s="2547" t="s">
        <v>40</v>
      </c>
      <c r="D101" s="2532">
        <v>0</v>
      </c>
      <c r="E101" s="2532">
        <v>0</v>
      </c>
      <c r="F101" s="2532">
        <v>0</v>
      </c>
      <c r="G101" s="2532">
        <v>0</v>
      </c>
      <c r="I101" s="1081"/>
    </row>
    <row r="102" spans="1:9" ht="17.45" customHeight="1" x14ac:dyDescent="0.25">
      <c r="A102" s="2545">
        <v>7</v>
      </c>
      <c r="B102" s="2546" t="s">
        <v>859</v>
      </c>
      <c r="C102" s="2547" t="s">
        <v>40</v>
      </c>
      <c r="D102" s="2532">
        <v>0</v>
      </c>
      <c r="E102" s="2532">
        <v>0</v>
      </c>
      <c r="F102" s="2532">
        <v>0</v>
      </c>
      <c r="G102" s="2531">
        <v>0</v>
      </c>
      <c r="I102" s="1081"/>
    </row>
    <row r="103" spans="1:9" ht="25.5" x14ac:dyDescent="0.25">
      <c r="A103" s="2527">
        <v>8</v>
      </c>
      <c r="B103" s="2528" t="s">
        <v>155</v>
      </c>
      <c r="C103" s="2525" t="s">
        <v>40</v>
      </c>
      <c r="D103" s="2532">
        <v>0</v>
      </c>
      <c r="E103" s="2532">
        <v>0</v>
      </c>
      <c r="F103" s="2532">
        <v>0</v>
      </c>
      <c r="G103" s="2531">
        <v>0</v>
      </c>
      <c r="I103" s="1081"/>
    </row>
    <row r="104" spans="1:9" hidden="1" x14ac:dyDescent="0.25">
      <c r="A104" s="3905" t="s">
        <v>310</v>
      </c>
      <c r="B104" s="3906"/>
      <c r="C104" s="3905"/>
      <c r="D104" s="3905"/>
      <c r="E104" s="3905"/>
      <c r="F104" s="3905"/>
      <c r="G104" s="3905"/>
      <c r="I104" s="238"/>
    </row>
    <row r="105" spans="1:9" ht="38.25" hidden="1" x14ac:dyDescent="0.25">
      <c r="A105" s="2545">
        <v>1</v>
      </c>
      <c r="B105" s="2540" t="s">
        <v>548</v>
      </c>
      <c r="C105" s="2547" t="s">
        <v>75</v>
      </c>
      <c r="D105" s="2534">
        <v>0</v>
      </c>
      <c r="E105" s="2534">
        <v>0</v>
      </c>
      <c r="F105" s="2534">
        <v>0</v>
      </c>
      <c r="G105" s="2534">
        <v>0</v>
      </c>
      <c r="I105" s="238"/>
    </row>
    <row r="106" spans="1:9" hidden="1" x14ac:dyDescent="0.25">
      <c r="A106" s="2527" t="s">
        <v>23</v>
      </c>
      <c r="B106" s="2548" t="s">
        <v>162</v>
      </c>
      <c r="C106" s="2525" t="s">
        <v>75</v>
      </c>
      <c r="D106" s="2534">
        <v>0</v>
      </c>
      <c r="E106" s="2534">
        <v>0</v>
      </c>
      <c r="F106" s="2534">
        <v>0</v>
      </c>
      <c r="G106" s="2534">
        <v>0</v>
      </c>
      <c r="I106" s="238"/>
    </row>
    <row r="107" spans="1:9" hidden="1" x14ac:dyDescent="0.25">
      <c r="A107" s="2527" t="s">
        <v>24</v>
      </c>
      <c r="B107" s="2528" t="s">
        <v>170</v>
      </c>
      <c r="C107" s="2525" t="s">
        <v>75</v>
      </c>
      <c r="D107" s="2534">
        <v>0</v>
      </c>
      <c r="E107" s="2534">
        <v>0</v>
      </c>
      <c r="F107" s="2534">
        <v>0</v>
      </c>
      <c r="G107" s="2534">
        <v>0</v>
      </c>
      <c r="I107" s="238"/>
    </row>
    <row r="108" spans="1:9" hidden="1" x14ac:dyDescent="0.25">
      <c r="A108" s="2527" t="s">
        <v>48</v>
      </c>
      <c r="B108" s="2528" t="s">
        <v>297</v>
      </c>
      <c r="C108" s="2525" t="s">
        <v>75</v>
      </c>
      <c r="D108" s="2534">
        <v>0</v>
      </c>
      <c r="E108" s="2534">
        <v>0</v>
      </c>
      <c r="F108" s="2534">
        <v>0</v>
      </c>
      <c r="G108" s="2534">
        <v>0</v>
      </c>
      <c r="H108" s="247"/>
      <c r="I108" s="238"/>
    </row>
    <row r="109" spans="1:9" hidden="1" x14ac:dyDescent="0.25">
      <c r="A109" s="2549" t="s">
        <v>53</v>
      </c>
      <c r="B109" s="2550" t="s">
        <v>163</v>
      </c>
      <c r="C109" s="2880" t="s">
        <v>75</v>
      </c>
      <c r="D109" s="2551">
        <v>0</v>
      </c>
      <c r="E109" s="2551">
        <v>0</v>
      </c>
      <c r="F109" s="2551">
        <v>0</v>
      </c>
      <c r="G109" s="2551">
        <v>0</v>
      </c>
      <c r="I109" s="238"/>
    </row>
    <row r="110" spans="1:9" ht="51" hidden="1" x14ac:dyDescent="0.25">
      <c r="A110" s="2527">
        <v>2</v>
      </c>
      <c r="B110" s="2540" t="s">
        <v>311</v>
      </c>
      <c r="C110" s="2525" t="s">
        <v>151</v>
      </c>
      <c r="D110" s="2530">
        <v>0</v>
      </c>
      <c r="E110" s="2530">
        <v>0</v>
      </c>
      <c r="F110" s="2530">
        <v>0</v>
      </c>
      <c r="G110" s="2530">
        <v>0</v>
      </c>
      <c r="H110" s="247"/>
      <c r="I110" s="238"/>
    </row>
    <row r="111" spans="1:9" ht="51" hidden="1" x14ac:dyDescent="0.25">
      <c r="A111" s="2527">
        <v>3</v>
      </c>
      <c r="B111" s="2540" t="s">
        <v>312</v>
      </c>
      <c r="C111" s="2525" t="s">
        <v>153</v>
      </c>
      <c r="D111" s="2530">
        <v>0</v>
      </c>
      <c r="E111" s="2530">
        <v>0</v>
      </c>
      <c r="F111" s="2530">
        <v>0</v>
      </c>
      <c r="G111" s="2530">
        <v>0</v>
      </c>
      <c r="H111" s="247"/>
      <c r="I111" s="238"/>
    </row>
    <row r="112" spans="1:9" ht="24" hidden="1" x14ac:dyDescent="0.25">
      <c r="A112" s="2527">
        <v>4</v>
      </c>
      <c r="B112" s="2552" t="s">
        <v>313</v>
      </c>
      <c r="C112" s="2525" t="s">
        <v>22</v>
      </c>
      <c r="D112" s="2530">
        <v>0</v>
      </c>
      <c r="E112" s="2530">
        <v>0</v>
      </c>
      <c r="F112" s="2530">
        <v>0</v>
      </c>
      <c r="G112" s="2530">
        <v>0</v>
      </c>
      <c r="I112" s="238"/>
    </row>
    <row r="113" spans="1:15" hidden="1" x14ac:dyDescent="0.25">
      <c r="A113" s="2527" t="s">
        <v>27</v>
      </c>
      <c r="B113" s="2528" t="s">
        <v>164</v>
      </c>
      <c r="C113" s="2525" t="s">
        <v>22</v>
      </c>
      <c r="D113" s="2530">
        <v>0</v>
      </c>
      <c r="E113" s="2530">
        <v>0</v>
      </c>
      <c r="F113" s="2530">
        <v>0</v>
      </c>
      <c r="G113" s="2530">
        <v>0</v>
      </c>
      <c r="I113" s="238"/>
    </row>
    <row r="114" spans="1:15" hidden="1" x14ac:dyDescent="0.25">
      <c r="A114" s="2527" t="s">
        <v>165</v>
      </c>
      <c r="B114" s="2528" t="s">
        <v>299</v>
      </c>
      <c r="C114" s="2525" t="s">
        <v>22</v>
      </c>
      <c r="D114" s="2530">
        <v>0</v>
      </c>
      <c r="E114" s="2530">
        <v>0</v>
      </c>
      <c r="F114" s="2530">
        <v>0</v>
      </c>
      <c r="G114" s="2530">
        <v>0</v>
      </c>
      <c r="I114" s="238"/>
    </row>
    <row r="115" spans="1:15" hidden="1" x14ac:dyDescent="0.25">
      <c r="A115" s="2527" t="s">
        <v>113</v>
      </c>
      <c r="B115" s="2528" t="s">
        <v>306</v>
      </c>
      <c r="C115" s="2525" t="s">
        <v>22</v>
      </c>
      <c r="D115" s="2530">
        <v>0</v>
      </c>
      <c r="E115" s="2530">
        <v>0</v>
      </c>
      <c r="F115" s="2530">
        <v>0</v>
      </c>
      <c r="G115" s="2530">
        <v>0</v>
      </c>
      <c r="I115" s="238"/>
    </row>
    <row r="116" spans="1:15" hidden="1" x14ac:dyDescent="0.25">
      <c r="A116" s="2527" t="s">
        <v>166</v>
      </c>
      <c r="B116" s="2528" t="s">
        <v>299</v>
      </c>
      <c r="C116" s="2525" t="s">
        <v>22</v>
      </c>
      <c r="D116" s="2530">
        <v>0</v>
      </c>
      <c r="E116" s="2530">
        <v>0</v>
      </c>
      <c r="F116" s="2530">
        <v>0</v>
      </c>
      <c r="G116" s="2530">
        <v>0</v>
      </c>
      <c r="I116" s="238"/>
    </row>
    <row r="117" spans="1:15" hidden="1" x14ac:dyDescent="0.25">
      <c r="A117" s="2527" t="s">
        <v>167</v>
      </c>
      <c r="B117" s="2528" t="s">
        <v>307</v>
      </c>
      <c r="C117" s="2525" t="s">
        <v>22</v>
      </c>
      <c r="D117" s="2530">
        <v>0</v>
      </c>
      <c r="E117" s="2530">
        <v>0</v>
      </c>
      <c r="F117" s="2530">
        <v>0</v>
      </c>
      <c r="G117" s="2530">
        <v>0</v>
      </c>
      <c r="I117" s="238"/>
    </row>
    <row r="118" spans="1:15" hidden="1" x14ac:dyDescent="0.25">
      <c r="A118" s="2527" t="s">
        <v>168</v>
      </c>
      <c r="B118" s="2528" t="s">
        <v>299</v>
      </c>
      <c r="C118" s="2525" t="s">
        <v>22</v>
      </c>
      <c r="D118" s="2530">
        <v>0</v>
      </c>
      <c r="E118" s="2530">
        <v>0</v>
      </c>
      <c r="F118" s="2530">
        <v>0</v>
      </c>
      <c r="G118" s="2530">
        <v>0</v>
      </c>
      <c r="I118" s="238"/>
    </row>
    <row r="119" spans="1:15" hidden="1" x14ac:dyDescent="0.25">
      <c r="A119" s="2527" t="s">
        <v>169</v>
      </c>
      <c r="B119" s="2528" t="s">
        <v>314</v>
      </c>
      <c r="C119" s="2525" t="s">
        <v>22</v>
      </c>
      <c r="D119" s="2530">
        <v>0</v>
      </c>
      <c r="E119" s="2530">
        <v>0</v>
      </c>
      <c r="F119" s="2530">
        <v>0</v>
      </c>
      <c r="G119" s="2530">
        <v>0</v>
      </c>
      <c r="I119" s="238"/>
    </row>
    <row r="120" spans="1:15" hidden="1" x14ac:dyDescent="0.25">
      <c r="A120" s="2527" t="s">
        <v>309</v>
      </c>
      <c r="B120" s="2528" t="s">
        <v>299</v>
      </c>
      <c r="C120" s="2525" t="s">
        <v>22</v>
      </c>
      <c r="D120" s="2530">
        <v>0</v>
      </c>
      <c r="E120" s="2530">
        <v>0</v>
      </c>
      <c r="F120" s="2530">
        <v>0</v>
      </c>
      <c r="G120" s="2530">
        <v>0</v>
      </c>
      <c r="I120" s="238"/>
    </row>
    <row r="121" spans="1:15" ht="25.5" hidden="1" x14ac:dyDescent="0.25">
      <c r="A121" s="2527">
        <v>5</v>
      </c>
      <c r="B121" s="2528" t="s">
        <v>154</v>
      </c>
      <c r="C121" s="2525" t="s">
        <v>40</v>
      </c>
      <c r="D121" s="2530">
        <v>0</v>
      </c>
      <c r="E121" s="2530">
        <v>0</v>
      </c>
      <c r="F121" s="2530">
        <v>0</v>
      </c>
      <c r="G121" s="2530">
        <v>0</v>
      </c>
      <c r="H121" s="247"/>
      <c r="I121" s="238"/>
      <c r="O121" s="74"/>
    </row>
    <row r="122" spans="1:15" ht="25.5" hidden="1" x14ac:dyDescent="0.25">
      <c r="A122" s="2527">
        <v>6</v>
      </c>
      <c r="B122" s="2528" t="s">
        <v>475</v>
      </c>
      <c r="C122" s="2525" t="s">
        <v>40</v>
      </c>
      <c r="D122" s="2530">
        <v>0</v>
      </c>
      <c r="E122" s="2530">
        <v>0</v>
      </c>
      <c r="F122" s="2530">
        <v>0</v>
      </c>
      <c r="G122" s="2530">
        <v>0</v>
      </c>
      <c r="H122" s="247"/>
      <c r="I122" s="238"/>
      <c r="O122" s="74"/>
    </row>
    <row r="123" spans="1:15" ht="38.25" hidden="1" x14ac:dyDescent="0.25">
      <c r="A123" s="2527" t="s">
        <v>32</v>
      </c>
      <c r="B123" s="2528" t="s">
        <v>476</v>
      </c>
      <c r="C123" s="2525" t="s">
        <v>40</v>
      </c>
      <c r="D123" s="2530">
        <v>0</v>
      </c>
      <c r="E123" s="2530">
        <v>0</v>
      </c>
      <c r="F123" s="2530">
        <v>0</v>
      </c>
      <c r="G123" s="2530">
        <v>0</v>
      </c>
      <c r="H123" s="247"/>
      <c r="I123" s="238"/>
      <c r="O123" s="74"/>
    </row>
    <row r="124" spans="1:15" hidden="1" x14ac:dyDescent="0.25">
      <c r="A124" s="2527">
        <v>7</v>
      </c>
      <c r="B124" s="2528" t="s">
        <v>474</v>
      </c>
      <c r="C124" s="2525" t="s">
        <v>40</v>
      </c>
      <c r="D124" s="2530">
        <v>0</v>
      </c>
      <c r="E124" s="2530">
        <v>0</v>
      </c>
      <c r="F124" s="2530">
        <v>0</v>
      </c>
      <c r="G124" s="2530">
        <v>0</v>
      </c>
      <c r="H124" s="247"/>
      <c r="I124" s="238"/>
      <c r="O124" s="74"/>
    </row>
    <row r="125" spans="1:15" ht="25.5" hidden="1" x14ac:dyDescent="0.25">
      <c r="A125" s="2527">
        <v>8</v>
      </c>
      <c r="B125" s="2528" t="s">
        <v>155</v>
      </c>
      <c r="C125" s="2525" t="s">
        <v>40</v>
      </c>
      <c r="D125" s="2530">
        <v>0</v>
      </c>
      <c r="E125" s="2530">
        <v>0</v>
      </c>
      <c r="F125" s="2530">
        <v>0</v>
      </c>
      <c r="G125" s="2530">
        <v>0</v>
      </c>
      <c r="H125" s="247"/>
      <c r="I125" s="238"/>
      <c r="O125" s="74"/>
    </row>
    <row r="126" spans="1:15" ht="3.6" customHeight="1" x14ac:dyDescent="0.25">
      <c r="A126" s="2553"/>
      <c r="B126" s="2554"/>
      <c r="C126" s="2555"/>
      <c r="D126" s="2555"/>
      <c r="E126" s="2555"/>
      <c r="G126" s="2555"/>
    </row>
    <row r="127" spans="1:15" x14ac:dyDescent="0.25">
      <c r="A127" s="2556"/>
      <c r="B127" s="2471" t="s">
        <v>315</v>
      </c>
      <c r="C127" s="2555"/>
      <c r="D127" s="2555"/>
      <c r="E127" s="2555"/>
      <c r="G127" s="2555"/>
    </row>
    <row r="128" spans="1:15" x14ac:dyDescent="0.25">
      <c r="A128" s="2556"/>
      <c r="B128" s="2471"/>
      <c r="C128" s="2555"/>
      <c r="D128" s="2555"/>
      <c r="E128" s="2555"/>
      <c r="G128" s="2555"/>
    </row>
    <row r="129" spans="1:7" x14ac:dyDescent="0.25">
      <c r="A129" s="2556"/>
      <c r="B129" s="2471"/>
      <c r="C129" s="2555"/>
      <c r="D129" s="2555"/>
      <c r="E129" s="2555"/>
      <c r="G129" s="2555"/>
    </row>
    <row r="130" spans="1:7" x14ac:dyDescent="0.25">
      <c r="A130" s="2556"/>
      <c r="B130" s="2471"/>
      <c r="C130" s="2555"/>
      <c r="D130" s="2555"/>
      <c r="E130" s="2555"/>
      <c r="G130" s="2555"/>
    </row>
    <row r="131" spans="1:7" x14ac:dyDescent="0.25">
      <c r="A131" s="2556"/>
      <c r="B131" s="2555"/>
      <c r="C131" s="2555"/>
      <c r="D131" s="2555"/>
      <c r="E131" s="2555"/>
      <c r="G131" s="2555"/>
    </row>
    <row r="132" spans="1:7" ht="34.5" customHeight="1" x14ac:dyDescent="0.25">
      <c r="A132" s="3874" t="str">
        <f>'Вхідні дані'!B14</f>
        <v>Заступник начальника Адміністрації морського порту Чорноморськ з технічних питань та розвитку</v>
      </c>
      <c r="B132" s="3874"/>
      <c r="C132" s="3874"/>
      <c r="D132" s="2976" t="s">
        <v>250</v>
      </c>
      <c r="E132" s="3907" t="str">
        <f>'Вхідні дані'!F14</f>
        <v>Віталій ЛІПСКИЙ</v>
      </c>
      <c r="F132" s="3907"/>
      <c r="G132" s="3907"/>
    </row>
    <row r="133" spans="1:7" ht="16.5" customHeight="1" x14ac:dyDescent="0.25">
      <c r="A133" s="2556"/>
      <c r="B133" s="2977" t="s">
        <v>242</v>
      </c>
      <c r="D133" s="2978" t="s">
        <v>3351</v>
      </c>
      <c r="E133" s="3908" t="s">
        <v>102</v>
      </c>
      <c r="F133" s="3908"/>
      <c r="G133" s="3908"/>
    </row>
    <row r="138" spans="1:7" ht="63" x14ac:dyDescent="0.25">
      <c r="B138" s="249" t="s">
        <v>863</v>
      </c>
    </row>
  </sheetData>
  <mergeCells count="19">
    <mergeCell ref="A80:G80"/>
    <mergeCell ref="A104:G104"/>
    <mergeCell ref="E132:G132"/>
    <mergeCell ref="E133:G133"/>
    <mergeCell ref="A12:G12"/>
    <mergeCell ref="A29:G29"/>
    <mergeCell ref="A53:G53"/>
    <mergeCell ref="A132:C132"/>
    <mergeCell ref="E1:G1"/>
    <mergeCell ref="B3:F3"/>
    <mergeCell ref="B4:F4"/>
    <mergeCell ref="B5:F5"/>
    <mergeCell ref="B6:F6"/>
    <mergeCell ref="E2:G2"/>
    <mergeCell ref="B7:F7"/>
    <mergeCell ref="E8:G8"/>
    <mergeCell ref="A9:A10"/>
    <mergeCell ref="B9:B10"/>
    <mergeCell ref="C9:C10"/>
  </mergeCells>
  <conditionalFormatting sqref="B4:F7">
    <cfRule type="cellIs" dxfId="42" priority="4" operator="equal">
      <formula>0</formula>
    </cfRule>
  </conditionalFormatting>
  <printOptions horizontalCentered="1"/>
  <pageMargins left="0.78740157480314965" right="0.23622047244094491" top="0.62992125984251968" bottom="0.39370078740157483" header="0.31496062992125984" footer="0.70866141732283472"/>
  <pageSetup paperSize="9" scale="8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51"/>
  <sheetViews>
    <sheetView view="pageBreakPreview" zoomScaleSheetLayoutView="100" workbookViewId="0">
      <selection activeCell="E13" sqref="E13"/>
    </sheetView>
  </sheetViews>
  <sheetFormatPr defaultRowHeight="15" x14ac:dyDescent="0.25"/>
  <cols>
    <col min="1" max="1" width="5.42578125" style="28" customWidth="1"/>
    <col min="2" max="2" width="45.28515625" customWidth="1"/>
    <col min="3" max="3" width="14.140625" bestFit="1" customWidth="1"/>
    <col min="4" max="4" width="29.85546875" customWidth="1"/>
    <col min="5" max="5" width="36" customWidth="1"/>
  </cols>
  <sheetData>
    <row r="1" spans="1:6" ht="126.75" customHeight="1" x14ac:dyDescent="0.25">
      <c r="A1" s="29"/>
      <c r="B1" s="18"/>
      <c r="C1" s="3812" t="s">
        <v>540</v>
      </c>
      <c r="D1" s="3911"/>
      <c r="E1" s="73" t="s">
        <v>1095</v>
      </c>
      <c r="F1" s="498"/>
    </row>
    <row r="2" spans="1:6" x14ac:dyDescent="0.25">
      <c r="A2" s="29"/>
      <c r="B2" s="18"/>
      <c r="C2" s="18"/>
      <c r="D2" s="18"/>
    </row>
    <row r="3" spans="1:6" x14ac:dyDescent="0.25">
      <c r="A3" s="3912" t="s">
        <v>546</v>
      </c>
      <c r="B3" s="3913"/>
      <c r="C3" s="3913"/>
      <c r="D3" s="3913"/>
    </row>
    <row r="4" spans="1:6" x14ac:dyDescent="0.25">
      <c r="A4" s="3914" t="s">
        <v>345</v>
      </c>
      <c r="B4" s="3915"/>
      <c r="C4" s="3915"/>
      <c r="D4" s="3915"/>
    </row>
    <row r="5" spans="1:6" x14ac:dyDescent="0.25">
      <c r="A5" s="3916" t="str">
        <f>'Вхідні дані'!$F$4</f>
        <v>Чорноморська філія Державного підприємства "Адміністрація морських портів України"</v>
      </c>
      <c r="B5" s="3916"/>
      <c r="C5" s="3916"/>
      <c r="D5" s="3916"/>
    </row>
    <row r="6" spans="1:6" ht="23.25" customHeight="1" x14ac:dyDescent="0.25">
      <c r="A6" s="3917" t="s">
        <v>346</v>
      </c>
      <c r="B6" s="3918"/>
      <c r="C6" s="3918"/>
      <c r="D6" s="3918"/>
    </row>
    <row r="7" spans="1:6" x14ac:dyDescent="0.25">
      <c r="A7" s="3910" t="s">
        <v>7</v>
      </c>
      <c r="B7" s="3798" t="s">
        <v>316</v>
      </c>
      <c r="C7" s="3798" t="s">
        <v>317</v>
      </c>
      <c r="D7" s="3798"/>
    </row>
    <row r="8" spans="1:6" x14ac:dyDescent="0.25">
      <c r="A8" s="3910"/>
      <c r="B8" s="3798"/>
      <c r="C8" s="3798"/>
      <c r="D8" s="3798"/>
    </row>
    <row r="9" spans="1:6" ht="19.5" customHeight="1" x14ac:dyDescent="0.25">
      <c r="A9" s="3910"/>
      <c r="B9" s="3798"/>
      <c r="C9" s="17" t="s">
        <v>40</v>
      </c>
      <c r="D9" s="17" t="s">
        <v>541</v>
      </c>
    </row>
    <row r="10" spans="1:6" ht="15.75" x14ac:dyDescent="0.25">
      <c r="A10" s="32">
        <v>1</v>
      </c>
      <c r="B10" s="15">
        <v>2</v>
      </c>
      <c r="C10" s="15">
        <v>3</v>
      </c>
      <c r="D10" s="15">
        <v>4</v>
      </c>
    </row>
    <row r="11" spans="1:6" ht="45" x14ac:dyDescent="0.25">
      <c r="A11" s="49">
        <v>1</v>
      </c>
      <c r="B11" s="19" t="s">
        <v>318</v>
      </c>
      <c r="C11" s="17"/>
      <c r="D11" s="17"/>
    </row>
    <row r="12" spans="1:6" x14ac:dyDescent="0.25">
      <c r="A12" s="49" t="s">
        <v>23</v>
      </c>
      <c r="B12" s="19" t="s">
        <v>319</v>
      </c>
      <c r="C12" s="17"/>
      <c r="D12" s="17"/>
    </row>
    <row r="13" spans="1:6" ht="30" x14ac:dyDescent="0.25">
      <c r="A13" s="49">
        <v>2</v>
      </c>
      <c r="B13" s="19" t="s">
        <v>320</v>
      </c>
      <c r="C13" s="17"/>
      <c r="D13" s="17"/>
    </row>
    <row r="14" spans="1:6" x14ac:dyDescent="0.25">
      <c r="A14" s="49" t="s">
        <v>25</v>
      </c>
      <c r="B14" s="19" t="s">
        <v>55</v>
      </c>
      <c r="C14" s="17"/>
      <c r="D14" s="17"/>
    </row>
    <row r="15" spans="1:6" ht="30" x14ac:dyDescent="0.25">
      <c r="A15" s="49" t="s">
        <v>26</v>
      </c>
      <c r="B15" s="107" t="s">
        <v>542</v>
      </c>
      <c r="C15" s="17"/>
      <c r="D15" s="17"/>
    </row>
    <row r="16" spans="1:6" x14ac:dyDescent="0.25">
      <c r="A16" s="49" t="s">
        <v>59</v>
      </c>
      <c r="B16" s="19" t="s">
        <v>321</v>
      </c>
      <c r="C16" s="17"/>
      <c r="D16" s="17"/>
    </row>
    <row r="17" spans="1:4" ht="30" x14ac:dyDescent="0.25">
      <c r="A17" s="49">
        <v>3</v>
      </c>
      <c r="B17" s="107" t="s">
        <v>545</v>
      </c>
      <c r="C17" s="17"/>
      <c r="D17" s="17"/>
    </row>
    <row r="18" spans="1:4" ht="45" x14ac:dyDescent="0.25">
      <c r="A18" s="49">
        <v>4</v>
      </c>
      <c r="B18" s="19" t="s">
        <v>322</v>
      </c>
      <c r="C18" s="17"/>
      <c r="D18" s="17"/>
    </row>
    <row r="19" spans="1:4" ht="45" x14ac:dyDescent="0.25">
      <c r="A19" s="49">
        <v>5</v>
      </c>
      <c r="B19" s="19" t="s">
        <v>323</v>
      </c>
      <c r="C19" s="17"/>
      <c r="D19" s="17"/>
    </row>
    <row r="20" spans="1:4" x14ac:dyDescent="0.25">
      <c r="A20" s="49">
        <v>6</v>
      </c>
      <c r="B20" s="19" t="s">
        <v>252</v>
      </c>
      <c r="C20" s="17"/>
      <c r="D20" s="17"/>
    </row>
    <row r="21" spans="1:4" ht="30" x14ac:dyDescent="0.25">
      <c r="A21" s="49" t="s">
        <v>32</v>
      </c>
      <c r="B21" s="19" t="s">
        <v>324</v>
      </c>
      <c r="C21" s="17"/>
      <c r="D21" s="17"/>
    </row>
    <row r="22" spans="1:4" x14ac:dyDescent="0.25">
      <c r="A22" s="49" t="s">
        <v>33</v>
      </c>
      <c r="B22" s="19" t="s">
        <v>65</v>
      </c>
      <c r="C22" s="17"/>
      <c r="D22" s="17"/>
    </row>
    <row r="23" spans="1:4" ht="30" x14ac:dyDescent="0.25">
      <c r="A23" s="49">
        <v>7</v>
      </c>
      <c r="B23" s="19" t="s">
        <v>325</v>
      </c>
      <c r="C23" s="17"/>
      <c r="D23" s="17"/>
    </row>
    <row r="24" spans="1:4" ht="45" x14ac:dyDescent="0.25">
      <c r="A24" s="49">
        <v>8</v>
      </c>
      <c r="B24" s="19" t="s">
        <v>326</v>
      </c>
      <c r="C24" s="17">
        <f>SUM(C25:C35)</f>
        <v>0</v>
      </c>
      <c r="D24" s="17"/>
    </row>
    <row r="25" spans="1:4" x14ac:dyDescent="0.25">
      <c r="A25" s="49">
        <v>9</v>
      </c>
      <c r="B25" s="107" t="s">
        <v>543</v>
      </c>
      <c r="C25" s="17"/>
      <c r="D25" s="17" t="s">
        <v>327</v>
      </c>
    </row>
    <row r="26" spans="1:4" ht="30" x14ac:dyDescent="0.25">
      <c r="A26" s="49">
        <v>10</v>
      </c>
      <c r="B26" s="19" t="s">
        <v>328</v>
      </c>
      <c r="C26" s="17" t="s">
        <v>327</v>
      </c>
      <c r="D26" s="17"/>
    </row>
    <row r="27" spans="1:4" ht="30" x14ac:dyDescent="0.25">
      <c r="A27" s="49">
        <v>11</v>
      </c>
      <c r="B27" s="107" t="s">
        <v>544</v>
      </c>
      <c r="C27" s="17" t="s">
        <v>327</v>
      </c>
      <c r="D27" s="17"/>
    </row>
    <row r="28" spans="1:4" x14ac:dyDescent="0.25">
      <c r="A28" s="49" t="s">
        <v>92</v>
      </c>
      <c r="B28" s="19" t="s">
        <v>329</v>
      </c>
      <c r="C28" s="17" t="s">
        <v>327</v>
      </c>
      <c r="D28" s="17"/>
    </row>
    <row r="29" spans="1:4" x14ac:dyDescent="0.25">
      <c r="A29" s="49" t="s">
        <v>93</v>
      </c>
      <c r="B29" s="19" t="s">
        <v>330</v>
      </c>
      <c r="C29" s="17" t="s">
        <v>327</v>
      </c>
      <c r="D29" s="17"/>
    </row>
    <row r="30" spans="1:4" ht="30" x14ac:dyDescent="0.25">
      <c r="A30" s="49">
        <v>12</v>
      </c>
      <c r="B30" s="19" t="s">
        <v>331</v>
      </c>
      <c r="C30" s="17"/>
      <c r="D30" s="17" t="s">
        <v>327</v>
      </c>
    </row>
    <row r="31" spans="1:4" ht="33" x14ac:dyDescent="0.25">
      <c r="A31" s="49">
        <v>13</v>
      </c>
      <c r="B31" s="19" t="s">
        <v>339</v>
      </c>
      <c r="C31" s="17"/>
      <c r="D31" s="17" t="s">
        <v>327</v>
      </c>
    </row>
    <row r="32" spans="1:4" x14ac:dyDescent="0.25">
      <c r="A32" s="49">
        <v>14</v>
      </c>
      <c r="B32" s="19" t="s">
        <v>332</v>
      </c>
      <c r="C32" s="17"/>
      <c r="D32" s="17" t="s">
        <v>327</v>
      </c>
    </row>
    <row r="33" spans="1:4" ht="30" x14ac:dyDescent="0.25">
      <c r="A33" s="49">
        <v>15</v>
      </c>
      <c r="B33" s="19" t="s">
        <v>333</v>
      </c>
      <c r="C33" s="17"/>
      <c r="D33" s="17" t="s">
        <v>327</v>
      </c>
    </row>
    <row r="34" spans="1:4" x14ac:dyDescent="0.25">
      <c r="A34" s="49" t="s">
        <v>343</v>
      </c>
      <c r="B34" s="19" t="s">
        <v>334</v>
      </c>
      <c r="C34" s="17"/>
      <c r="D34" s="17" t="s">
        <v>327</v>
      </c>
    </row>
    <row r="35" spans="1:4" x14ac:dyDescent="0.25">
      <c r="A35" s="49" t="s">
        <v>344</v>
      </c>
      <c r="B35" s="19" t="s">
        <v>335</v>
      </c>
      <c r="C35" s="17"/>
      <c r="D35" s="17" t="s">
        <v>327</v>
      </c>
    </row>
    <row r="36" spans="1:4" ht="32.25" customHeight="1" x14ac:dyDescent="0.25">
      <c r="A36" s="49">
        <v>16</v>
      </c>
      <c r="B36" s="19" t="s">
        <v>336</v>
      </c>
      <c r="C36" s="17"/>
      <c r="D36" s="17" t="s">
        <v>327</v>
      </c>
    </row>
    <row r="37" spans="1:4" x14ac:dyDescent="0.25">
      <c r="A37" s="49" t="s">
        <v>202</v>
      </c>
      <c r="B37" s="19" t="s">
        <v>334</v>
      </c>
      <c r="C37" s="17"/>
      <c r="D37" s="17" t="s">
        <v>327</v>
      </c>
    </row>
    <row r="38" spans="1:4" x14ac:dyDescent="0.25">
      <c r="A38" s="49" t="s">
        <v>203</v>
      </c>
      <c r="B38" s="19" t="s">
        <v>335</v>
      </c>
      <c r="C38" s="17"/>
      <c r="D38" s="17" t="s">
        <v>327</v>
      </c>
    </row>
    <row r="39" spans="1:4" x14ac:dyDescent="0.25">
      <c r="A39" s="49">
        <v>17</v>
      </c>
      <c r="B39" s="19" t="s">
        <v>337</v>
      </c>
      <c r="C39" s="17"/>
      <c r="D39" s="17" t="s">
        <v>327</v>
      </c>
    </row>
    <row r="40" spans="1:4" ht="18" x14ac:dyDescent="0.25">
      <c r="A40" s="49">
        <v>18</v>
      </c>
      <c r="B40" s="19" t="s">
        <v>340</v>
      </c>
      <c r="C40" s="17"/>
      <c r="D40" s="17" t="s">
        <v>327</v>
      </c>
    </row>
    <row r="41" spans="1:4" ht="18" x14ac:dyDescent="0.25">
      <c r="A41" s="49">
        <v>19</v>
      </c>
      <c r="B41" s="19" t="s">
        <v>341</v>
      </c>
      <c r="C41" s="17"/>
      <c r="D41" s="17" t="s">
        <v>327</v>
      </c>
    </row>
    <row r="42" spans="1:4" ht="45" x14ac:dyDescent="0.25">
      <c r="A42" s="49">
        <v>20</v>
      </c>
      <c r="B42" s="19" t="s">
        <v>338</v>
      </c>
      <c r="C42" s="17"/>
      <c r="D42" s="17" t="s">
        <v>327</v>
      </c>
    </row>
    <row r="43" spans="1:4" ht="33" x14ac:dyDescent="0.25">
      <c r="A43" s="49">
        <v>21</v>
      </c>
      <c r="B43" s="19" t="s">
        <v>342</v>
      </c>
      <c r="C43" s="17" t="s">
        <v>327</v>
      </c>
      <c r="D43" s="17"/>
    </row>
    <row r="44" spans="1:4" ht="30" customHeight="1" x14ac:dyDescent="0.25">
      <c r="A44" s="33"/>
      <c r="B44" s="34" t="s">
        <v>287</v>
      </c>
      <c r="C44" s="35"/>
      <c r="D44" s="35"/>
    </row>
    <row r="45" spans="1:4" ht="30.75" customHeight="1" x14ac:dyDescent="0.25">
      <c r="B45" s="30" t="s">
        <v>350</v>
      </c>
      <c r="C45" s="101"/>
    </row>
    <row r="46" spans="1:4" ht="60.75" customHeight="1" x14ac:dyDescent="0.25">
      <c r="B46" s="3909" t="s">
        <v>347</v>
      </c>
      <c r="C46" s="3909"/>
      <c r="D46" s="3909"/>
    </row>
    <row r="48" spans="1:4" ht="30" x14ac:dyDescent="0.25">
      <c r="B48" s="106" t="str">
        <f>'Вхідні дані'!B13</f>
        <v>В.о. начальника Адміністрації морського порту Чорноморськ</v>
      </c>
      <c r="C48" s="547" t="s">
        <v>349</v>
      </c>
      <c r="D48" s="96" t="str">
        <f>'Вхідні дані'!F13</f>
        <v>Юрій СОКОЛОВ</v>
      </c>
    </row>
    <row r="49" spans="2:4" x14ac:dyDescent="0.25">
      <c r="B49" s="30" t="s">
        <v>242</v>
      </c>
      <c r="C49" s="31" t="s">
        <v>220</v>
      </c>
      <c r="D49" s="31" t="s">
        <v>240</v>
      </c>
    </row>
    <row r="51" spans="2:4" x14ac:dyDescent="0.25">
      <c r="C51">
        <v>4.68</v>
      </c>
    </row>
  </sheetData>
  <mergeCells count="9">
    <mergeCell ref="B46:D46"/>
    <mergeCell ref="A7:A9"/>
    <mergeCell ref="B7:B9"/>
    <mergeCell ref="C7:D8"/>
    <mergeCell ref="C1:D1"/>
    <mergeCell ref="A3:D3"/>
    <mergeCell ref="A4:D4"/>
    <mergeCell ref="A5:D5"/>
    <mergeCell ref="A6:D6"/>
  </mergeCells>
  <pageMargins left="0.7" right="0.7" top="0.75" bottom="0.75" header="0.3" footer="0.3"/>
  <pageSetup paperSize="9" scale="62" fitToHeight="0" orientation="portrait" horizont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pageSetUpPr fitToPage="1"/>
  </sheetPr>
  <dimension ref="A1:U53"/>
  <sheetViews>
    <sheetView view="pageBreakPreview" topLeftCell="A37" zoomScaleNormal="110" zoomScaleSheetLayoutView="100" workbookViewId="0">
      <selection activeCell="O54" sqref="O54"/>
    </sheetView>
  </sheetViews>
  <sheetFormatPr defaultColWidth="9.140625" defaultRowHeight="15" outlineLevelCol="1" x14ac:dyDescent="0.25"/>
  <cols>
    <col min="1" max="1" width="5.42578125" style="2999" customWidth="1"/>
    <col min="2" max="2" width="44.85546875" style="2561" customWidth="1"/>
    <col min="3" max="3" width="12.140625" style="2561" hidden="1" customWidth="1" outlineLevel="1"/>
    <col min="4" max="4" width="15.5703125" style="2561" hidden="1" customWidth="1" outlineLevel="1"/>
    <col min="5" max="5" width="15" style="2561" hidden="1" customWidth="1" outlineLevel="1"/>
    <col min="6" max="6" width="12.140625" style="2561" hidden="1" customWidth="1" outlineLevel="1"/>
    <col min="7" max="8" width="15.5703125" style="2561" hidden="1" customWidth="1" outlineLevel="1"/>
    <col min="9" max="9" width="11.42578125" style="2561" hidden="1" customWidth="1" outlineLevel="1"/>
    <col min="10" max="11" width="15.5703125" style="2561" hidden="1" customWidth="1" outlineLevel="1"/>
    <col min="12" max="12" width="11" style="2561" customWidth="1" collapsed="1"/>
    <col min="13" max="14" width="15.5703125" style="2561" customWidth="1"/>
    <col min="15" max="15" width="49.7109375" style="2561" customWidth="1"/>
    <col min="16" max="16" width="9.85546875" style="2561" bestFit="1" customWidth="1"/>
    <col min="17" max="17" width="9.85546875" style="2561" customWidth="1"/>
    <col min="18" max="16384" width="9.140625" style="2561"/>
  </cols>
  <sheetData>
    <row r="1" spans="1:20" s="2489" customFormat="1" ht="42" customHeight="1" x14ac:dyDescent="0.25">
      <c r="A1" s="2979"/>
      <c r="L1" s="3761" t="s">
        <v>3415</v>
      </c>
      <c r="M1" s="3761"/>
      <c r="N1" s="3761"/>
      <c r="O1" s="2980" t="s">
        <v>1096</v>
      </c>
    </row>
    <row r="2" spans="1:20" s="2489" customFormat="1" x14ac:dyDescent="0.25">
      <c r="A2" s="2979"/>
    </row>
    <row r="3" spans="1:20" s="2489" customFormat="1" x14ac:dyDescent="0.25">
      <c r="A3" s="3925" t="s">
        <v>463</v>
      </c>
      <c r="B3" s="3925"/>
      <c r="C3" s="3925"/>
      <c r="D3" s="3925"/>
      <c r="E3" s="3925"/>
      <c r="F3" s="3925"/>
      <c r="G3" s="3925"/>
      <c r="H3" s="3925"/>
      <c r="I3" s="3925"/>
      <c r="J3" s="3925"/>
      <c r="K3" s="3925"/>
      <c r="L3" s="3925"/>
      <c r="M3" s="3925"/>
      <c r="N3" s="3925"/>
      <c r="O3" s="2980" t="s">
        <v>644</v>
      </c>
    </row>
    <row r="4" spans="1:20" s="2489" customFormat="1" ht="15" customHeight="1" x14ac:dyDescent="0.25">
      <c r="A4" s="3927" t="s">
        <v>1983</v>
      </c>
      <c r="B4" s="3927"/>
      <c r="C4" s="3927"/>
      <c r="D4" s="3927"/>
      <c r="E4" s="3927"/>
      <c r="F4" s="3927"/>
      <c r="G4" s="3927"/>
      <c r="H4" s="3927"/>
      <c r="I4" s="3927"/>
      <c r="J4" s="3927"/>
      <c r="K4" s="3927"/>
      <c r="L4" s="3927"/>
      <c r="M4" s="3927"/>
      <c r="N4" s="3927"/>
      <c r="O4" s="2980" t="s">
        <v>644</v>
      </c>
    </row>
    <row r="5" spans="1:20" s="2489" customFormat="1" x14ac:dyDescent="0.25">
      <c r="A5" s="3925" t="s">
        <v>289</v>
      </c>
      <c r="B5" s="3925"/>
      <c r="C5" s="3925"/>
      <c r="D5" s="3925"/>
      <c r="E5" s="3925"/>
      <c r="F5" s="3925"/>
      <c r="G5" s="3925"/>
      <c r="H5" s="3925"/>
      <c r="I5" s="3925"/>
      <c r="J5" s="3925"/>
      <c r="K5" s="3925"/>
      <c r="L5" s="3925"/>
      <c r="M5" s="3925"/>
      <c r="N5" s="3925"/>
      <c r="O5" s="2980"/>
    </row>
    <row r="6" spans="1:20" s="2489" customFormat="1" x14ac:dyDescent="0.25">
      <c r="A6" s="3925" t="s">
        <v>852</v>
      </c>
      <c r="B6" s="3925"/>
      <c r="C6" s="3925"/>
      <c r="D6" s="3925"/>
      <c r="E6" s="3925"/>
      <c r="F6" s="3925"/>
      <c r="G6" s="3925"/>
      <c r="H6" s="3925"/>
      <c r="I6" s="3925"/>
      <c r="J6" s="3925"/>
      <c r="K6" s="3925"/>
      <c r="L6" s="3925"/>
      <c r="M6" s="3925"/>
      <c r="N6" s="3925"/>
      <c r="O6" s="2980" t="s">
        <v>644</v>
      </c>
    </row>
    <row r="7" spans="1:20" s="2489" customFormat="1" x14ac:dyDescent="0.25">
      <c r="A7" s="3925" t="s">
        <v>367</v>
      </c>
      <c r="B7" s="3925"/>
      <c r="C7" s="3925"/>
      <c r="D7" s="3925"/>
      <c r="E7" s="3925"/>
      <c r="F7" s="3925"/>
      <c r="G7" s="3925"/>
      <c r="H7" s="3925"/>
      <c r="I7" s="3925"/>
      <c r="J7" s="3925"/>
      <c r="K7" s="3925"/>
      <c r="L7" s="3925"/>
      <c r="M7" s="3925"/>
      <c r="N7" s="3925"/>
    </row>
    <row r="8" spans="1:20" s="2489" customFormat="1" ht="21" customHeight="1" x14ac:dyDescent="0.25">
      <c r="A8" s="3926" t="str">
        <f>'Вхідні дані'!F4</f>
        <v>Чорноморська філія Державного підприємства "Адміністрація морських портів України"</v>
      </c>
      <c r="B8" s="3926"/>
      <c r="C8" s="3926"/>
      <c r="D8" s="3926"/>
      <c r="E8" s="3926"/>
      <c r="F8" s="3926"/>
      <c r="G8" s="3926"/>
      <c r="H8" s="3926"/>
      <c r="I8" s="3926"/>
      <c r="J8" s="3926"/>
      <c r="K8" s="3926"/>
      <c r="L8" s="3926"/>
      <c r="M8" s="3926"/>
      <c r="N8" s="3926"/>
    </row>
    <row r="9" spans="1:20" s="2489" customFormat="1" x14ac:dyDescent="0.25">
      <c r="A9" s="3942" t="s">
        <v>368</v>
      </c>
      <c r="B9" s="3942"/>
      <c r="C9" s="3942"/>
      <c r="D9" s="3942"/>
      <c r="E9" s="3942"/>
      <c r="F9" s="3942"/>
      <c r="G9" s="3942"/>
      <c r="H9" s="3942"/>
      <c r="I9" s="3942"/>
      <c r="J9" s="3942"/>
      <c r="K9" s="3942"/>
      <c r="L9" s="3942"/>
      <c r="M9" s="3942"/>
      <c r="N9" s="3942"/>
    </row>
    <row r="10" spans="1:20" s="2489" customFormat="1" ht="15.75" thickBot="1" x14ac:dyDescent="0.3">
      <c r="A10" s="2979"/>
      <c r="N10" s="2981"/>
    </row>
    <row r="11" spans="1:20" x14ac:dyDescent="0.25">
      <c r="A11" s="3943" t="s">
        <v>7</v>
      </c>
      <c r="B11" s="3945" t="s">
        <v>356</v>
      </c>
      <c r="C11" s="2495" t="s">
        <v>80</v>
      </c>
      <c r="D11" s="3937" t="s">
        <v>351</v>
      </c>
      <c r="E11" s="3938"/>
      <c r="F11" s="2495" t="s">
        <v>80</v>
      </c>
      <c r="G11" s="3937" t="s">
        <v>351</v>
      </c>
      <c r="H11" s="3938"/>
      <c r="I11" s="2495" t="s">
        <v>80</v>
      </c>
      <c r="J11" s="3937" t="s">
        <v>351</v>
      </c>
      <c r="K11" s="3938"/>
      <c r="L11" s="2495" t="s">
        <v>80</v>
      </c>
      <c r="M11" s="3937" t="s">
        <v>351</v>
      </c>
      <c r="N11" s="3938"/>
      <c r="O11" s="2563"/>
      <c r="P11" s="2563"/>
    </row>
    <row r="12" spans="1:20" ht="60" x14ac:dyDescent="0.25">
      <c r="A12" s="3944"/>
      <c r="B12" s="3946"/>
      <c r="C12" s="2496" t="s">
        <v>3</v>
      </c>
      <c r="D12" s="2497" t="s">
        <v>357</v>
      </c>
      <c r="E12" s="2498" t="s">
        <v>358</v>
      </c>
      <c r="F12" s="2496" t="s">
        <v>170</v>
      </c>
      <c r="G12" s="2497" t="s">
        <v>357</v>
      </c>
      <c r="H12" s="2498" t="s">
        <v>358</v>
      </c>
      <c r="I12" s="2496" t="s">
        <v>754</v>
      </c>
      <c r="J12" s="2497" t="s">
        <v>357</v>
      </c>
      <c r="K12" s="2498" t="s">
        <v>358</v>
      </c>
      <c r="L12" s="2496" t="s">
        <v>163</v>
      </c>
      <c r="M12" s="2497" t="s">
        <v>357</v>
      </c>
      <c r="N12" s="2498" t="s">
        <v>358</v>
      </c>
      <c r="O12" s="2563"/>
      <c r="P12" s="2563"/>
    </row>
    <row r="13" spans="1:20" x14ac:dyDescent="0.25">
      <c r="A13" s="3003">
        <v>1</v>
      </c>
      <c r="B13" s="2982">
        <v>2</v>
      </c>
      <c r="C13" s="2499">
        <v>3</v>
      </c>
      <c r="D13" s="2497">
        <v>4</v>
      </c>
      <c r="E13" s="2498">
        <v>5</v>
      </c>
      <c r="F13" s="2499">
        <v>6</v>
      </c>
      <c r="G13" s="2497">
        <v>7</v>
      </c>
      <c r="H13" s="2498">
        <v>8</v>
      </c>
      <c r="I13" s="2499">
        <v>9</v>
      </c>
      <c r="J13" s="2497">
        <v>10</v>
      </c>
      <c r="K13" s="2498">
        <v>11</v>
      </c>
      <c r="L13" s="2499">
        <v>3</v>
      </c>
      <c r="M13" s="2497">
        <v>4</v>
      </c>
      <c r="N13" s="2498">
        <v>5</v>
      </c>
    </row>
    <row r="14" spans="1:20" ht="30" x14ac:dyDescent="0.25">
      <c r="A14" s="2983">
        <v>1</v>
      </c>
      <c r="B14" s="2984" t="s">
        <v>359</v>
      </c>
      <c r="C14" s="2500">
        <f t="shared" ref="C14:C22" si="0">D14+E14</f>
        <v>0</v>
      </c>
      <c r="D14" s="2501">
        <v>0</v>
      </c>
      <c r="E14" s="2985">
        <v>0</v>
      </c>
      <c r="F14" s="2500">
        <f>G14+H14</f>
        <v>0</v>
      </c>
      <c r="G14" s="2501">
        <v>0</v>
      </c>
      <c r="H14" s="2985">
        <v>0</v>
      </c>
      <c r="I14" s="2500">
        <f>J14+K14</f>
        <v>0</v>
      </c>
      <c r="J14" s="2501">
        <v>0</v>
      </c>
      <c r="K14" s="2501">
        <v>0</v>
      </c>
      <c r="L14" s="2500">
        <v>4</v>
      </c>
      <c r="M14" s="2501">
        <v>3</v>
      </c>
      <c r="N14" s="2985">
        <v>1</v>
      </c>
      <c r="S14" s="2986"/>
    </row>
    <row r="15" spans="1:20" ht="63.75" customHeight="1" x14ac:dyDescent="0.25">
      <c r="A15" s="2983">
        <v>2</v>
      </c>
      <c r="B15" s="2987" t="s">
        <v>855</v>
      </c>
      <c r="C15" s="2502">
        <f t="shared" si="0"/>
        <v>0</v>
      </c>
      <c r="D15" s="2503">
        <f>SUM(D16:D18)</f>
        <v>0</v>
      </c>
      <c r="E15" s="2504">
        <f>E16+E17+E18</f>
        <v>0</v>
      </c>
      <c r="F15" s="2502">
        <f t="shared" ref="F15:F22" si="1">G15+H15</f>
        <v>0</v>
      </c>
      <c r="G15" s="2503">
        <v>0</v>
      </c>
      <c r="H15" s="2504">
        <f>H16+H17+H18</f>
        <v>0</v>
      </c>
      <c r="I15" s="2502">
        <v>0</v>
      </c>
      <c r="J15" s="2503">
        <v>0</v>
      </c>
      <c r="K15" s="2504">
        <f>K16+K17+K18</f>
        <v>0</v>
      </c>
      <c r="L15" s="2502">
        <v>0</v>
      </c>
      <c r="M15" s="2503">
        <v>0</v>
      </c>
      <c r="N15" s="2504">
        <v>0</v>
      </c>
    </row>
    <row r="16" spans="1:20" x14ac:dyDescent="0.25">
      <c r="A16" s="2983" t="s">
        <v>25</v>
      </c>
      <c r="B16" s="2987" t="s">
        <v>464</v>
      </c>
      <c r="C16" s="2502">
        <f t="shared" si="0"/>
        <v>0</v>
      </c>
      <c r="D16" s="2503">
        <v>0</v>
      </c>
      <c r="E16" s="2504">
        <v>0</v>
      </c>
      <c r="F16" s="2502">
        <f t="shared" si="1"/>
        <v>0</v>
      </c>
      <c r="G16" s="2503">
        <f>'[36]Додаток 13'!$G$16</f>
        <v>0</v>
      </c>
      <c r="H16" s="2504">
        <v>0</v>
      </c>
      <c r="I16" s="2502">
        <f t="shared" ref="I16:I22" si="2">J16+K16</f>
        <v>0</v>
      </c>
      <c r="J16" s="2503">
        <v>0</v>
      </c>
      <c r="K16" s="2503">
        <v>0</v>
      </c>
      <c r="L16" s="2502">
        <f t="shared" ref="L16:L22" si="3">M16+N16</f>
        <v>0</v>
      </c>
      <c r="M16" s="2503">
        <v>0</v>
      </c>
      <c r="N16" s="2504">
        <v>0</v>
      </c>
      <c r="Q16" s="2562"/>
      <c r="T16" s="2562"/>
    </row>
    <row r="17" spans="1:21" x14ac:dyDescent="0.25">
      <c r="A17" s="2983" t="s">
        <v>26</v>
      </c>
      <c r="B17" s="2987" t="s">
        <v>465</v>
      </c>
      <c r="C17" s="2502">
        <f t="shared" si="0"/>
        <v>0</v>
      </c>
      <c r="D17" s="2503">
        <v>0</v>
      </c>
      <c r="E17" s="2504">
        <v>0</v>
      </c>
      <c r="F17" s="2502">
        <f t="shared" si="1"/>
        <v>0</v>
      </c>
      <c r="G17" s="2503">
        <f>'[36]Додаток 13'!$G$17</f>
        <v>0</v>
      </c>
      <c r="H17" s="2504">
        <v>0</v>
      </c>
      <c r="I17" s="2502">
        <v>0</v>
      </c>
      <c r="J17" s="2503">
        <v>0</v>
      </c>
      <c r="K17" s="3444">
        <f>'[36]Додаток 13'!M17</f>
        <v>0</v>
      </c>
      <c r="L17" s="2502">
        <f t="shared" si="3"/>
        <v>0</v>
      </c>
      <c r="M17" s="2503">
        <v>0</v>
      </c>
      <c r="N17" s="2504">
        <f>'[36]Додаток 13'!P17</f>
        <v>0</v>
      </c>
      <c r="Q17" s="2562"/>
      <c r="T17" s="2562"/>
    </row>
    <row r="18" spans="1:21" x14ac:dyDescent="0.25">
      <c r="A18" s="2983" t="s">
        <v>59</v>
      </c>
      <c r="B18" s="2987" t="s">
        <v>352</v>
      </c>
      <c r="C18" s="2502">
        <f t="shared" si="0"/>
        <v>0</v>
      </c>
      <c r="D18" s="2503">
        <v>0</v>
      </c>
      <c r="E18" s="2504">
        <v>0</v>
      </c>
      <c r="F18" s="2502">
        <f t="shared" si="1"/>
        <v>0</v>
      </c>
      <c r="G18" s="2503">
        <v>0</v>
      </c>
      <c r="H18" s="2504">
        <v>0</v>
      </c>
      <c r="I18" s="2502">
        <f t="shared" si="2"/>
        <v>0</v>
      </c>
      <c r="J18" s="2503">
        <v>0</v>
      </c>
      <c r="K18" s="3444">
        <f>'[36]Додаток 13'!M18</f>
        <v>0</v>
      </c>
      <c r="L18" s="2502">
        <f t="shared" si="3"/>
        <v>0</v>
      </c>
      <c r="M18" s="2503">
        <v>0</v>
      </c>
      <c r="N18" s="2504">
        <f>'[36]Додаток 13'!P18</f>
        <v>0</v>
      </c>
      <c r="Q18" s="2562"/>
      <c r="T18" s="2562"/>
    </row>
    <row r="19" spans="1:21" ht="60" x14ac:dyDescent="0.25">
      <c r="A19" s="2983">
        <v>3</v>
      </c>
      <c r="B19" s="2984" t="s">
        <v>466</v>
      </c>
      <c r="C19" s="2502">
        <f t="shared" si="0"/>
        <v>0</v>
      </c>
      <c r="D19" s="2503">
        <f>D20+D21+D22</f>
        <v>0</v>
      </c>
      <c r="E19" s="2504">
        <f>E20+E21+E22</f>
        <v>0</v>
      </c>
      <c r="F19" s="2502">
        <f t="shared" si="1"/>
        <v>0</v>
      </c>
      <c r="G19" s="2505">
        <v>0</v>
      </c>
      <c r="H19" s="2504">
        <f>H20+H21+H22</f>
        <v>0</v>
      </c>
      <c r="I19" s="2502">
        <f t="shared" si="2"/>
        <v>0</v>
      </c>
      <c r="J19" s="2503">
        <f>J20+J21+J22</f>
        <v>0</v>
      </c>
      <c r="K19" s="3444">
        <f>K20+K21+K22</f>
        <v>0</v>
      </c>
      <c r="L19" s="2502">
        <f t="shared" si="3"/>
        <v>2614.6002521466662</v>
      </c>
      <c r="M19" s="2503">
        <f>M20+M21+M22</f>
        <v>1187.0000031999998</v>
      </c>
      <c r="N19" s="2504">
        <f>N20+N21+N22</f>
        <v>1427.6002489466666</v>
      </c>
      <c r="P19" s="2988"/>
      <c r="Q19" s="2988"/>
    </row>
    <row r="20" spans="1:21" x14ac:dyDescent="0.25">
      <c r="A20" s="2983" t="s">
        <v>60</v>
      </c>
      <c r="B20" s="2984" t="s">
        <v>464</v>
      </c>
      <c r="C20" s="2502">
        <f t="shared" si="0"/>
        <v>0</v>
      </c>
      <c r="D20" s="2503">
        <v>0</v>
      </c>
      <c r="E20" s="2504">
        <v>0</v>
      </c>
      <c r="F20" s="2502">
        <f t="shared" si="1"/>
        <v>0</v>
      </c>
      <c r="G20" s="2505">
        <f>'[36]Додаток 13'!$G$20</f>
        <v>0</v>
      </c>
      <c r="H20" s="2504">
        <v>0</v>
      </c>
      <c r="I20" s="2502">
        <f t="shared" si="2"/>
        <v>0</v>
      </c>
      <c r="J20" s="2503">
        <f>'Розрахунки Річного плану'!C96</f>
        <v>0</v>
      </c>
      <c r="K20" s="3444">
        <v>0</v>
      </c>
      <c r="L20" s="2502">
        <f t="shared" si="3"/>
        <v>2614.6002521466662</v>
      </c>
      <c r="M20" s="2503">
        <f>'Розрахунки Річного плану'!C101+'Розрахунки Річного плану'!C104</f>
        <v>1187.0000031999998</v>
      </c>
      <c r="N20" s="2504">
        <f>'Розрахунки Річного плану'!C102+'Розрахунки Річного плану'!C105</f>
        <v>1427.6002489466666</v>
      </c>
      <c r="P20" s="2988"/>
      <c r="Q20" s="2988"/>
      <c r="U20" s="2562"/>
    </row>
    <row r="21" spans="1:21" x14ac:dyDescent="0.25">
      <c r="A21" s="2983" t="s">
        <v>61</v>
      </c>
      <c r="B21" s="2984" t="s">
        <v>465</v>
      </c>
      <c r="C21" s="2502">
        <f t="shared" si="0"/>
        <v>0</v>
      </c>
      <c r="D21" s="2503">
        <v>0</v>
      </c>
      <c r="E21" s="2504">
        <v>0</v>
      </c>
      <c r="F21" s="2502">
        <f t="shared" si="1"/>
        <v>0</v>
      </c>
      <c r="G21" s="2505">
        <f>'[36]Додаток 13'!$G$21</f>
        <v>0</v>
      </c>
      <c r="H21" s="2504">
        <v>0</v>
      </c>
      <c r="I21" s="2502">
        <f t="shared" si="2"/>
        <v>0</v>
      </c>
      <c r="J21" s="2503">
        <v>0</v>
      </c>
      <c r="K21" s="3444">
        <v>0</v>
      </c>
      <c r="L21" s="2502">
        <f t="shared" si="3"/>
        <v>0</v>
      </c>
      <c r="M21" s="2503"/>
      <c r="N21" s="2504"/>
      <c r="P21" s="2988"/>
      <c r="Q21" s="2988"/>
      <c r="U21" s="2562"/>
    </row>
    <row r="22" spans="1:21" x14ac:dyDescent="0.25">
      <c r="A22" s="2983" t="s">
        <v>62</v>
      </c>
      <c r="B22" s="2984" t="s">
        <v>352</v>
      </c>
      <c r="C22" s="2502">
        <f t="shared" si="0"/>
        <v>0</v>
      </c>
      <c r="D22" s="2503">
        <v>0</v>
      </c>
      <c r="E22" s="2504">
        <v>0</v>
      </c>
      <c r="F22" s="2502">
        <f t="shared" si="1"/>
        <v>0</v>
      </c>
      <c r="G22" s="2505">
        <v>0</v>
      </c>
      <c r="H22" s="2504">
        <f>'Розрахунки Річного плану'!C116+'Розрахунки Річного плану'!C119</f>
        <v>0</v>
      </c>
      <c r="I22" s="2502">
        <f t="shared" si="2"/>
        <v>0</v>
      </c>
      <c r="J22" s="2503">
        <v>0</v>
      </c>
      <c r="K22" s="3444">
        <f>'[36]Додаток 13'!M22</f>
        <v>0</v>
      </c>
      <c r="L22" s="2502">
        <f t="shared" si="3"/>
        <v>0</v>
      </c>
      <c r="M22" s="2503"/>
      <c r="N22" s="2504">
        <f>'[36]Додаток 13'!P22</f>
        <v>0</v>
      </c>
      <c r="P22" s="2988"/>
      <c r="Q22" s="2988"/>
      <c r="U22" s="2562"/>
    </row>
    <row r="23" spans="1:21" ht="63" x14ac:dyDescent="0.25">
      <c r="A23" s="2983">
        <v>4</v>
      </c>
      <c r="B23" s="2987" t="s">
        <v>467</v>
      </c>
      <c r="C23" s="2989">
        <v>0</v>
      </c>
      <c r="D23" s="2505">
        <v>0</v>
      </c>
      <c r="E23" s="2990">
        <v>0</v>
      </c>
      <c r="F23" s="2505">
        <v>0</v>
      </c>
      <c r="G23" s="2505">
        <v>0</v>
      </c>
      <c r="H23" s="2991">
        <v>0</v>
      </c>
      <c r="I23" s="2505"/>
      <c r="J23" s="2505"/>
      <c r="K23" s="2990"/>
      <c r="L23" s="2989"/>
      <c r="M23" s="2505"/>
      <c r="N23" s="2991"/>
      <c r="O23" s="2561" t="s">
        <v>3168</v>
      </c>
    </row>
    <row r="24" spans="1:21" ht="15" customHeight="1" x14ac:dyDescent="0.25">
      <c r="A24" s="2983" t="s">
        <v>27</v>
      </c>
      <c r="B24" s="2984" t="s">
        <v>464</v>
      </c>
      <c r="C24" s="2989">
        <v>0</v>
      </c>
      <c r="D24" s="2505">
        <v>0</v>
      </c>
      <c r="E24" s="2990">
        <v>0</v>
      </c>
      <c r="F24" s="2505">
        <v>0</v>
      </c>
      <c r="G24" s="2505">
        <f>'[36]Додаток 13'!$G$24</f>
        <v>0</v>
      </c>
      <c r="H24" s="2991">
        <v>0</v>
      </c>
      <c r="I24" s="2505"/>
      <c r="J24" s="2505"/>
      <c r="K24" s="2990"/>
      <c r="L24" s="2989"/>
      <c r="M24" s="2505"/>
      <c r="N24" s="2991"/>
    </row>
    <row r="25" spans="1:21" x14ac:dyDescent="0.25">
      <c r="A25" s="2983" t="s">
        <v>113</v>
      </c>
      <c r="B25" s="2984" t="s">
        <v>465</v>
      </c>
      <c r="C25" s="2989">
        <v>0</v>
      </c>
      <c r="D25" s="2505">
        <v>0</v>
      </c>
      <c r="E25" s="2991">
        <v>0</v>
      </c>
      <c r="F25" s="2989">
        <v>0</v>
      </c>
      <c r="G25" s="2505">
        <f>'[36]Додаток 13'!$G$25</f>
        <v>0</v>
      </c>
      <c r="H25" s="2991">
        <v>0</v>
      </c>
      <c r="I25" s="2505"/>
      <c r="J25" s="2505"/>
      <c r="K25" s="2990"/>
      <c r="L25" s="2989"/>
      <c r="M25" s="2505"/>
      <c r="N25" s="2991"/>
    </row>
    <row r="26" spans="1:21" x14ac:dyDescent="0.25">
      <c r="A26" s="2983" t="s">
        <v>167</v>
      </c>
      <c r="B26" s="2984" t="s">
        <v>352</v>
      </c>
      <c r="C26" s="2989">
        <v>0</v>
      </c>
      <c r="D26" s="2505">
        <v>0</v>
      </c>
      <c r="E26" s="2991">
        <v>0</v>
      </c>
      <c r="F26" s="2989">
        <v>0</v>
      </c>
      <c r="G26" s="2505">
        <v>0</v>
      </c>
      <c r="H26" s="2991">
        <v>0</v>
      </c>
      <c r="I26" s="2505"/>
      <c r="J26" s="2505"/>
      <c r="K26" s="2990"/>
      <c r="L26" s="2989"/>
      <c r="M26" s="2505"/>
      <c r="N26" s="2991"/>
    </row>
    <row r="27" spans="1:21" ht="29.25" customHeight="1" x14ac:dyDescent="0.25">
      <c r="A27" s="2983">
        <v>5</v>
      </c>
      <c r="B27" s="2984" t="s">
        <v>477</v>
      </c>
      <c r="C27" s="2502">
        <v>0</v>
      </c>
      <c r="D27" s="2503">
        <v>0</v>
      </c>
      <c r="E27" s="2504">
        <v>0</v>
      </c>
      <c r="F27" s="2502">
        <v>0</v>
      </c>
      <c r="G27" s="2505">
        <f>'[36]Додаток 13'!$G$27</f>
        <v>0</v>
      </c>
      <c r="H27" s="2504">
        <v>0</v>
      </c>
      <c r="I27" s="2505">
        <f>'[36]Додаток 13'!K27</f>
        <v>0</v>
      </c>
      <c r="J27" s="2505">
        <f>'[36]Додаток 13'!L27</f>
        <v>0</v>
      </c>
      <c r="K27" s="2990">
        <f>'[36]Додаток 13'!M27</f>
        <v>0</v>
      </c>
      <c r="L27" s="2989">
        <f>M27+N27</f>
        <v>1284.9200000000003</v>
      </c>
      <c r="M27" s="2505">
        <f>'Розрахунки Річного плану'!C123+'Розрахунки Річного плану'!C126</f>
        <v>1160.0680000000002</v>
      </c>
      <c r="N27" s="2991">
        <f>'Розрахунки Річного плану'!C124+'Розрахунки Річного плану'!C127</f>
        <v>124.852</v>
      </c>
    </row>
    <row r="28" spans="1:21" x14ac:dyDescent="0.25">
      <c r="A28" s="2983">
        <v>6</v>
      </c>
      <c r="B28" s="2984" t="s">
        <v>360</v>
      </c>
      <c r="C28" s="2502">
        <f>C19+C27</f>
        <v>0</v>
      </c>
      <c r="D28" s="2503">
        <v>0</v>
      </c>
      <c r="E28" s="2504">
        <v>0</v>
      </c>
      <c r="F28" s="2502">
        <f t="shared" ref="F28" si="4">F19+F27</f>
        <v>0</v>
      </c>
      <c r="G28" s="2505">
        <v>0</v>
      </c>
      <c r="H28" s="2504">
        <f>H19+H27</f>
        <v>0</v>
      </c>
      <c r="I28" s="2505">
        <f>J28+K28</f>
        <v>0</v>
      </c>
      <c r="J28" s="2505">
        <f>J19+J27</f>
        <v>0</v>
      </c>
      <c r="K28" s="2990">
        <f>K19+K27</f>
        <v>0</v>
      </c>
      <c r="L28" s="2989">
        <f>M28+N28</f>
        <v>3899.5202521466667</v>
      </c>
      <c r="M28" s="2505">
        <f>M19+M27</f>
        <v>2347.0680032</v>
      </c>
      <c r="N28" s="2991">
        <f>N19+N27</f>
        <v>1552.4522489466667</v>
      </c>
    </row>
    <row r="29" spans="1:21" ht="30" x14ac:dyDescent="0.25">
      <c r="A29" s="2983">
        <v>7</v>
      </c>
      <c r="B29" s="2984" t="s">
        <v>468</v>
      </c>
      <c r="C29" s="2992">
        <f>D29+E29</f>
        <v>0</v>
      </c>
      <c r="D29" s="2993">
        <f>'Розрахунки Річного плану'!C16-'Розрахунки Річного плану'!C19-'Розрахунки Річного плану'!C22+'Розрахунки Річного плану'!C24</f>
        <v>0</v>
      </c>
      <c r="E29" s="2994">
        <v>0</v>
      </c>
      <c r="F29" s="2992">
        <f>G29+H29</f>
        <v>0</v>
      </c>
      <c r="G29" s="2505">
        <v>0</v>
      </c>
      <c r="H29" s="2994">
        <f>'Розрахунки Річного плану'!C56+'Розрахунки Річного плану'!C59</f>
        <v>0</v>
      </c>
      <c r="I29" s="2505">
        <f t="shared" ref="I29" si="5">J29+K29</f>
        <v>0</v>
      </c>
      <c r="J29" s="2505">
        <f>'Розрахунки Річного плану'!I16-'Розрахунки Річного плану'!I19-'Розрахунки Річного плану'!I22+'Розрахунки Річного плану'!I24</f>
        <v>0</v>
      </c>
      <c r="K29" s="2990">
        <v>0</v>
      </c>
      <c r="L29" s="2989">
        <f t="shared" ref="L29" si="6">M29+N29</f>
        <v>4.5153999999999996</v>
      </c>
      <c r="M29" s="2505">
        <f>'Розрахунки Річного плану'!C41+'Розрахунки Річного плану'!C44+'Розрахунки Річного плану'!C63+'Розрахунки Річного плану'!C66</f>
        <v>2.4095</v>
      </c>
      <c r="N29" s="2991">
        <f>'Розрахунки Річного плану'!C42+'Розрахунки Річного плану'!C45+'Розрахунки Річного плану'!C64+'Розрахунки Річного плану'!C67</f>
        <v>2.1059000000000001</v>
      </c>
      <c r="O29" s="2995"/>
      <c r="P29" s="2996"/>
    </row>
    <row r="30" spans="1:21" ht="33.75" customHeight="1" x14ac:dyDescent="0.25">
      <c r="A30" s="2983">
        <v>8</v>
      </c>
      <c r="B30" s="2984" t="s">
        <v>361</v>
      </c>
      <c r="C30" s="3928" t="s">
        <v>234</v>
      </c>
      <c r="D30" s="3929"/>
      <c r="E30" s="3930"/>
      <c r="F30" s="3928" t="str">
        <f>C30</f>
        <v>Х</v>
      </c>
      <c r="G30" s="3929"/>
      <c r="H30" s="3930"/>
      <c r="I30" s="3928" t="str">
        <f t="shared" ref="I30:I41" si="7">F30</f>
        <v>Х</v>
      </c>
      <c r="J30" s="3929"/>
      <c r="K30" s="3930"/>
      <c r="L30" s="3928" t="str">
        <f t="shared" ref="L30:L41" si="8">I30</f>
        <v>Х</v>
      </c>
      <c r="M30" s="3929"/>
      <c r="N30" s="3930"/>
      <c r="O30" s="2995"/>
      <c r="P30" s="2996"/>
    </row>
    <row r="31" spans="1:21" x14ac:dyDescent="0.25">
      <c r="A31" s="2983" t="s">
        <v>116</v>
      </c>
      <c r="B31" s="2984" t="s">
        <v>362</v>
      </c>
      <c r="C31" s="3928">
        <f>'Вхідні дані'!$D$50</f>
        <v>151</v>
      </c>
      <c r="D31" s="3929"/>
      <c r="E31" s="3930"/>
      <c r="F31" s="3928">
        <f t="shared" ref="F31:F41" si="9">C31</f>
        <v>151</v>
      </c>
      <c r="G31" s="3929"/>
      <c r="H31" s="3930"/>
      <c r="I31" s="3928">
        <f t="shared" si="7"/>
        <v>151</v>
      </c>
      <c r="J31" s="3929"/>
      <c r="K31" s="3930"/>
      <c r="L31" s="3928">
        <f t="shared" si="8"/>
        <v>151</v>
      </c>
      <c r="M31" s="3929"/>
      <c r="N31" s="3930"/>
    </row>
    <row r="32" spans="1:21" ht="33" thickBot="1" x14ac:dyDescent="0.3">
      <c r="A32" s="2997" t="s">
        <v>118</v>
      </c>
      <c r="B32" s="3447" t="s">
        <v>365</v>
      </c>
      <c r="C32" s="3919">
        <f>'Вхідні дані'!$D$58</f>
        <v>-18</v>
      </c>
      <c r="D32" s="3920"/>
      <c r="E32" s="3921"/>
      <c r="F32" s="3939">
        <f t="shared" si="9"/>
        <v>-18</v>
      </c>
      <c r="G32" s="3940"/>
      <c r="H32" s="3941"/>
      <c r="I32" s="3939">
        <f t="shared" si="7"/>
        <v>-18</v>
      </c>
      <c r="J32" s="3940"/>
      <c r="K32" s="3941"/>
      <c r="L32" s="3939">
        <f t="shared" si="8"/>
        <v>-18</v>
      </c>
      <c r="M32" s="3940"/>
      <c r="N32" s="3941"/>
    </row>
    <row r="33" spans="1:17" ht="32.25" x14ac:dyDescent="0.25">
      <c r="A33" s="3445" t="s">
        <v>120</v>
      </c>
      <c r="B33" s="3446" t="s">
        <v>366</v>
      </c>
      <c r="C33" s="3934">
        <f>'Вхідні дані'!$D$59</f>
        <v>4.0599999999999996</v>
      </c>
      <c r="D33" s="3935"/>
      <c r="E33" s="3936"/>
      <c r="F33" s="3922">
        <f t="shared" si="9"/>
        <v>4.0599999999999996</v>
      </c>
      <c r="G33" s="3923"/>
      <c r="H33" s="3924"/>
      <c r="I33" s="3922">
        <f t="shared" si="7"/>
        <v>4.0599999999999996</v>
      </c>
      <c r="J33" s="3923"/>
      <c r="K33" s="3924"/>
      <c r="L33" s="3922">
        <f t="shared" si="8"/>
        <v>4.0599999999999996</v>
      </c>
      <c r="M33" s="3923"/>
      <c r="N33" s="3924"/>
    </row>
    <row r="34" spans="1:17" ht="30" x14ac:dyDescent="0.25">
      <c r="A34" s="2983">
        <v>9</v>
      </c>
      <c r="B34" s="2984" t="s">
        <v>363</v>
      </c>
      <c r="C34" s="3928" t="s">
        <v>234</v>
      </c>
      <c r="D34" s="3929"/>
      <c r="E34" s="3930"/>
      <c r="F34" s="3928" t="str">
        <f t="shared" si="9"/>
        <v>Х</v>
      </c>
      <c r="G34" s="3929"/>
      <c r="H34" s="3930"/>
      <c r="I34" s="3928" t="str">
        <f t="shared" si="7"/>
        <v>Х</v>
      </c>
      <c r="J34" s="3929"/>
      <c r="K34" s="3930"/>
      <c r="L34" s="3928" t="str">
        <f t="shared" si="8"/>
        <v>Х</v>
      </c>
      <c r="M34" s="3929"/>
      <c r="N34" s="3930"/>
    </row>
    <row r="35" spans="1:17" x14ac:dyDescent="0.25">
      <c r="A35" s="2983" t="s">
        <v>161</v>
      </c>
      <c r="B35" s="2984" t="s">
        <v>362</v>
      </c>
      <c r="C35" s="3928">
        <v>157</v>
      </c>
      <c r="D35" s="3929"/>
      <c r="E35" s="3930"/>
      <c r="F35" s="3928">
        <f t="shared" si="9"/>
        <v>157</v>
      </c>
      <c r="G35" s="3929"/>
      <c r="H35" s="3930"/>
      <c r="I35" s="3928">
        <f t="shared" si="7"/>
        <v>157</v>
      </c>
      <c r="J35" s="3929"/>
      <c r="K35" s="3930"/>
      <c r="L35" s="3928">
        <f t="shared" si="8"/>
        <v>157</v>
      </c>
      <c r="M35" s="3929"/>
      <c r="N35" s="3930"/>
    </row>
    <row r="36" spans="1:17" ht="32.25" x14ac:dyDescent="0.25">
      <c r="A36" s="2983" t="s">
        <v>215</v>
      </c>
      <c r="B36" s="2984" t="s">
        <v>365</v>
      </c>
      <c r="C36" s="3931">
        <v>-15</v>
      </c>
      <c r="D36" s="3932"/>
      <c r="E36" s="3933"/>
      <c r="F36" s="3931">
        <f t="shared" si="9"/>
        <v>-15</v>
      </c>
      <c r="G36" s="3932"/>
      <c r="H36" s="3933"/>
      <c r="I36" s="3931">
        <f t="shared" si="7"/>
        <v>-15</v>
      </c>
      <c r="J36" s="3932"/>
      <c r="K36" s="3933"/>
      <c r="L36" s="3931">
        <f t="shared" si="8"/>
        <v>-15</v>
      </c>
      <c r="M36" s="3932"/>
      <c r="N36" s="3933"/>
    </row>
    <row r="37" spans="1:17" ht="32.25" x14ac:dyDescent="0.25">
      <c r="A37" s="2983" t="s">
        <v>355</v>
      </c>
      <c r="B37" s="2984" t="s">
        <v>366</v>
      </c>
      <c r="C37" s="3931">
        <v>1.3</v>
      </c>
      <c r="D37" s="3932"/>
      <c r="E37" s="3933"/>
      <c r="F37" s="3931">
        <f t="shared" si="9"/>
        <v>1.3</v>
      </c>
      <c r="G37" s="3932"/>
      <c r="H37" s="3933"/>
      <c r="I37" s="3931">
        <f t="shared" si="7"/>
        <v>1.3</v>
      </c>
      <c r="J37" s="3932"/>
      <c r="K37" s="3933"/>
      <c r="L37" s="3931">
        <f t="shared" si="8"/>
        <v>1.3</v>
      </c>
      <c r="M37" s="3932"/>
      <c r="N37" s="3933"/>
    </row>
    <row r="38" spans="1:17" ht="30" x14ac:dyDescent="0.25">
      <c r="A38" s="2983">
        <v>10</v>
      </c>
      <c r="B38" s="2984" t="s">
        <v>364</v>
      </c>
      <c r="C38" s="3928" t="s">
        <v>234</v>
      </c>
      <c r="D38" s="3929"/>
      <c r="E38" s="3930"/>
      <c r="F38" s="3928" t="str">
        <f t="shared" si="9"/>
        <v>Х</v>
      </c>
      <c r="G38" s="3929"/>
      <c r="H38" s="3930"/>
      <c r="I38" s="3928" t="str">
        <f t="shared" si="7"/>
        <v>Х</v>
      </c>
      <c r="J38" s="3929"/>
      <c r="K38" s="3930"/>
      <c r="L38" s="3928" t="str">
        <f t="shared" si="8"/>
        <v>Х</v>
      </c>
      <c r="M38" s="3929"/>
      <c r="N38" s="3930"/>
    </row>
    <row r="39" spans="1:17" x14ac:dyDescent="0.25">
      <c r="A39" s="2983" t="s">
        <v>89</v>
      </c>
      <c r="B39" s="2984" t="s">
        <v>362</v>
      </c>
      <c r="C39" s="3928">
        <v>158</v>
      </c>
      <c r="D39" s="3929"/>
      <c r="E39" s="3930"/>
      <c r="F39" s="3928">
        <f t="shared" si="9"/>
        <v>158</v>
      </c>
      <c r="G39" s="3929"/>
      <c r="H39" s="3930"/>
      <c r="I39" s="3928">
        <f t="shared" si="7"/>
        <v>158</v>
      </c>
      <c r="J39" s="3929"/>
      <c r="K39" s="3930"/>
      <c r="L39" s="3928">
        <f t="shared" si="8"/>
        <v>158</v>
      </c>
      <c r="M39" s="3929"/>
      <c r="N39" s="3930"/>
    </row>
    <row r="40" spans="1:17" ht="32.25" x14ac:dyDescent="0.25">
      <c r="A40" s="2983" t="s">
        <v>91</v>
      </c>
      <c r="B40" s="2984" t="s">
        <v>365</v>
      </c>
      <c r="C40" s="3931">
        <f>'Вхідні дані'!D58</f>
        <v>-18</v>
      </c>
      <c r="D40" s="3932"/>
      <c r="E40" s="3933"/>
      <c r="F40" s="3931">
        <f t="shared" si="9"/>
        <v>-18</v>
      </c>
      <c r="G40" s="3932"/>
      <c r="H40" s="3933"/>
      <c r="I40" s="3931">
        <f t="shared" si="7"/>
        <v>-18</v>
      </c>
      <c r="J40" s="3932"/>
      <c r="K40" s="3933"/>
      <c r="L40" s="3931">
        <f t="shared" si="8"/>
        <v>-18</v>
      </c>
      <c r="M40" s="3932"/>
      <c r="N40" s="3933"/>
    </row>
    <row r="41" spans="1:17" ht="33" thickBot="1" x14ac:dyDescent="0.3">
      <c r="A41" s="2997" t="s">
        <v>109</v>
      </c>
      <c r="B41" s="2998" t="s">
        <v>366</v>
      </c>
      <c r="C41" s="3919">
        <v>2</v>
      </c>
      <c r="D41" s="3920"/>
      <c r="E41" s="3921"/>
      <c r="F41" s="3919">
        <f t="shared" si="9"/>
        <v>2</v>
      </c>
      <c r="G41" s="3920"/>
      <c r="H41" s="3921"/>
      <c r="I41" s="3919">
        <f t="shared" si="7"/>
        <v>2</v>
      </c>
      <c r="J41" s="3920"/>
      <c r="K41" s="3921"/>
      <c r="L41" s="3919">
        <f t="shared" si="8"/>
        <v>2</v>
      </c>
      <c r="M41" s="3920"/>
      <c r="N41" s="3921"/>
    </row>
    <row r="42" spans="1:17" x14ac:dyDescent="0.25">
      <c r="B42" s="3000"/>
    </row>
    <row r="43" spans="1:17" x14ac:dyDescent="0.25">
      <c r="B43" s="3000"/>
    </row>
    <row r="44" spans="1:17" x14ac:dyDescent="0.25">
      <c r="B44" s="3000"/>
      <c r="C44" s="3000"/>
      <c r="D44" s="3000"/>
      <c r="E44" s="3000"/>
      <c r="F44" s="3000"/>
    </row>
    <row r="45" spans="1:17" x14ac:dyDescent="0.25">
      <c r="B45" s="3001"/>
      <c r="C45" s="3001"/>
      <c r="D45" s="3001"/>
      <c r="E45" s="3001"/>
      <c r="F45" s="3001"/>
    </row>
    <row r="46" spans="1:17" ht="29.25" customHeight="1" x14ac:dyDescent="0.25">
      <c r="A46" s="3947" t="str">
        <f>'Вхідні дані'!B14</f>
        <v>Заступник начальника Адміністрації морського порту Чорноморськ з технічних питань та розвитку</v>
      </c>
      <c r="B46" s="3947"/>
      <c r="C46" s="2756"/>
      <c r="D46" s="2879" t="s">
        <v>854</v>
      </c>
      <c r="E46" s="2756"/>
      <c r="F46" s="3949" t="str">
        <f>'Вхідні дані'!F13</f>
        <v>Юрій СОКОЛОВ</v>
      </c>
      <c r="G46" s="3949"/>
      <c r="H46" s="3949"/>
      <c r="J46" s="3005" t="s">
        <v>349</v>
      </c>
      <c r="M46" s="3948" t="str">
        <f>'Вхідні дані'!F14</f>
        <v>Віталій ЛІПСКИЙ</v>
      </c>
      <c r="N46" s="3948"/>
      <c r="O46" s="3770"/>
      <c r="P46" s="3770"/>
      <c r="Q46" s="3770"/>
    </row>
    <row r="47" spans="1:17" ht="15.75" x14ac:dyDescent="0.25">
      <c r="B47" s="3006" t="s">
        <v>3255</v>
      </c>
      <c r="C47" s="2756"/>
      <c r="D47" s="3002" t="s">
        <v>853</v>
      </c>
      <c r="E47" s="2756"/>
      <c r="F47" s="3823" t="s">
        <v>240</v>
      </c>
      <c r="G47" s="3823"/>
      <c r="H47" s="3823"/>
      <c r="J47" s="2828" t="s">
        <v>220</v>
      </c>
      <c r="M47" s="3718" t="s">
        <v>240</v>
      </c>
      <c r="N47" s="3718"/>
      <c r="O47" s="3771"/>
      <c r="P47" s="3771"/>
      <c r="Q47" s="3771"/>
    </row>
    <row r="51" spans="5:5" x14ac:dyDescent="0.25">
      <c r="E51" s="2562"/>
    </row>
    <row r="52" spans="5:5" x14ac:dyDescent="0.25">
      <c r="E52" s="2562"/>
    </row>
    <row r="53" spans="5:5" x14ac:dyDescent="0.25">
      <c r="E53" s="2562"/>
    </row>
  </sheetData>
  <mergeCells count="69">
    <mergeCell ref="A46:B46"/>
    <mergeCell ref="O46:Q46"/>
    <mergeCell ref="O47:Q47"/>
    <mergeCell ref="M46:N46"/>
    <mergeCell ref="M47:N47"/>
    <mergeCell ref="F47:H47"/>
    <mergeCell ref="F46:H46"/>
    <mergeCell ref="A9:N9"/>
    <mergeCell ref="M11:N11"/>
    <mergeCell ref="L30:N30"/>
    <mergeCell ref="L31:N31"/>
    <mergeCell ref="L32:N32"/>
    <mergeCell ref="G11:H11"/>
    <mergeCell ref="F30:H30"/>
    <mergeCell ref="F31:H31"/>
    <mergeCell ref="F32:H32"/>
    <mergeCell ref="C32:E32"/>
    <mergeCell ref="A11:A12"/>
    <mergeCell ref="B11:B12"/>
    <mergeCell ref="D11:E11"/>
    <mergeCell ref="C30:E30"/>
    <mergeCell ref="C31:E31"/>
    <mergeCell ref="L33:N33"/>
    <mergeCell ref="I38:K38"/>
    <mergeCell ref="I39:K39"/>
    <mergeCell ref="I40:K40"/>
    <mergeCell ref="I41:K41"/>
    <mergeCell ref="L34:N34"/>
    <mergeCell ref="L35:N35"/>
    <mergeCell ref="L36:N36"/>
    <mergeCell ref="L37:N37"/>
    <mergeCell ref="L38:N38"/>
    <mergeCell ref="L39:N39"/>
    <mergeCell ref="L40:N40"/>
    <mergeCell ref="L41:N41"/>
    <mergeCell ref="I33:K33"/>
    <mergeCell ref="I34:K34"/>
    <mergeCell ref="I35:K35"/>
    <mergeCell ref="C39:E39"/>
    <mergeCell ref="C40:E40"/>
    <mergeCell ref="I36:K36"/>
    <mergeCell ref="I37:K37"/>
    <mergeCell ref="J11:K11"/>
    <mergeCell ref="I30:K30"/>
    <mergeCell ref="I31:K31"/>
    <mergeCell ref="I32:K32"/>
    <mergeCell ref="F35:H35"/>
    <mergeCell ref="F36:H36"/>
    <mergeCell ref="F37:H37"/>
    <mergeCell ref="F38:H38"/>
    <mergeCell ref="C36:E36"/>
    <mergeCell ref="C37:E37"/>
    <mergeCell ref="C38:E38"/>
    <mergeCell ref="C41:E41"/>
    <mergeCell ref="F33:H33"/>
    <mergeCell ref="A7:N7"/>
    <mergeCell ref="A8:N8"/>
    <mergeCell ref="L1:N1"/>
    <mergeCell ref="A3:N3"/>
    <mergeCell ref="A4:N4"/>
    <mergeCell ref="A5:N5"/>
    <mergeCell ref="A6:N6"/>
    <mergeCell ref="F39:H39"/>
    <mergeCell ref="F40:H40"/>
    <mergeCell ref="F41:H41"/>
    <mergeCell ref="C33:E33"/>
    <mergeCell ref="C34:E34"/>
    <mergeCell ref="C35:E35"/>
    <mergeCell ref="F34:H34"/>
  </mergeCells>
  <pageMargins left="0.78740157480314965" right="0.15748031496062992" top="0.62992125984251968" bottom="0.27559055118110237" header="0.62992125984251968" footer="0.31496062992125984"/>
  <pageSetup paperSize="9"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G51"/>
  <sheetViews>
    <sheetView topLeftCell="A4" zoomScaleSheetLayoutView="100" workbookViewId="0">
      <selection activeCell="H10" sqref="H10"/>
    </sheetView>
  </sheetViews>
  <sheetFormatPr defaultRowHeight="15" x14ac:dyDescent="0.25"/>
  <cols>
    <col min="1" max="1" width="4.85546875" style="28" customWidth="1"/>
    <col min="2" max="2" width="51.85546875" customWidth="1"/>
    <col min="3" max="3" width="7.42578125" bestFit="1" customWidth="1"/>
    <col min="4" max="5" width="16.140625" customWidth="1"/>
    <col min="6" max="6" width="38.42578125" customWidth="1"/>
  </cols>
  <sheetData>
    <row r="1" spans="1:7" s="18" customFormat="1" ht="141.75" customHeight="1" x14ac:dyDescent="0.25">
      <c r="A1" s="29"/>
      <c r="C1" s="3812" t="s">
        <v>529</v>
      </c>
      <c r="D1" s="3812"/>
      <c r="E1" s="3812"/>
      <c r="F1" s="73" t="s">
        <v>1095</v>
      </c>
      <c r="G1" s="73"/>
    </row>
    <row r="2" spans="1:7" s="18" customFormat="1" ht="20.100000000000001" customHeight="1" x14ac:dyDescent="0.25">
      <c r="A2" s="29"/>
      <c r="C2" s="3959"/>
      <c r="D2" s="3959"/>
      <c r="E2" s="3959"/>
    </row>
    <row r="3" spans="1:7" s="18" customFormat="1" x14ac:dyDescent="0.25">
      <c r="A3" s="3951" t="s">
        <v>463</v>
      </c>
      <c r="B3" s="3952"/>
      <c r="C3" s="3952"/>
      <c r="D3" s="3952"/>
      <c r="E3" s="3952"/>
    </row>
    <row r="4" spans="1:7" s="42" customFormat="1" x14ac:dyDescent="0.25">
      <c r="A4" s="3951" t="s">
        <v>539</v>
      </c>
      <c r="B4" s="3952"/>
      <c r="C4" s="3952"/>
      <c r="D4" s="3952"/>
      <c r="E4" s="3952"/>
    </row>
    <row r="5" spans="1:7" s="18" customFormat="1" x14ac:dyDescent="0.25">
      <c r="A5" s="3953" t="s">
        <v>383</v>
      </c>
      <c r="B5" s="3954"/>
      <c r="C5" s="3954"/>
      <c r="D5" s="3954"/>
      <c r="E5" s="3954"/>
    </row>
    <row r="6" spans="1:7" s="18" customFormat="1" x14ac:dyDescent="0.25">
      <c r="A6" s="3953" t="s">
        <v>384</v>
      </c>
      <c r="B6" s="3954"/>
      <c r="C6" s="3954"/>
      <c r="D6" s="3954"/>
      <c r="E6" s="3954"/>
    </row>
    <row r="7" spans="1:7" s="18" customFormat="1" x14ac:dyDescent="0.25">
      <c r="A7" s="3916" t="str">
        <f>'Вхідні дані'!$F$4</f>
        <v>Чорноморська філія Державного підприємства "Адміністрація морських портів України"</v>
      </c>
      <c r="B7" s="3916"/>
      <c r="C7" s="3916"/>
      <c r="D7" s="3916"/>
      <c r="E7" s="3916"/>
    </row>
    <row r="8" spans="1:7" s="18" customFormat="1" x14ac:dyDescent="0.25">
      <c r="A8" s="3955" t="s">
        <v>368</v>
      </c>
      <c r="B8" s="3956"/>
      <c r="C8" s="3956"/>
      <c r="D8" s="3956"/>
      <c r="E8" s="3956"/>
    </row>
    <row r="9" spans="1:7" s="18" customFormat="1" ht="11.25" customHeight="1" x14ac:dyDescent="0.25">
      <c r="A9" s="29"/>
    </row>
    <row r="10" spans="1:7" x14ac:dyDescent="0.25">
      <c r="A10" s="3963" t="s">
        <v>7</v>
      </c>
      <c r="B10" s="3950" t="s">
        <v>356</v>
      </c>
      <c r="C10" s="3950" t="s">
        <v>80</v>
      </c>
      <c r="D10" s="3950" t="s">
        <v>351</v>
      </c>
      <c r="E10" s="3950"/>
    </row>
    <row r="11" spans="1:7" ht="45" x14ac:dyDescent="0.25">
      <c r="A11" s="3963"/>
      <c r="B11" s="3950"/>
      <c r="C11" s="3950"/>
      <c r="D11" s="38" t="s">
        <v>370</v>
      </c>
      <c r="E11" s="38" t="s">
        <v>371</v>
      </c>
    </row>
    <row r="12" spans="1:7" x14ac:dyDescent="0.25">
      <c r="A12" s="48">
        <v>1</v>
      </c>
      <c r="B12" s="38">
        <v>2</v>
      </c>
      <c r="C12" s="38">
        <v>3</v>
      </c>
      <c r="D12" s="38">
        <v>4</v>
      </c>
      <c r="E12" s="38">
        <v>5</v>
      </c>
    </row>
    <row r="13" spans="1:7" ht="30" x14ac:dyDescent="0.25">
      <c r="A13" s="48">
        <v>1</v>
      </c>
      <c r="B13" s="39" t="s">
        <v>372</v>
      </c>
      <c r="C13" s="36"/>
      <c r="D13" s="36"/>
      <c r="E13" s="36"/>
    </row>
    <row r="14" spans="1:7" ht="30" x14ac:dyDescent="0.25">
      <c r="A14" s="48">
        <v>2</v>
      </c>
      <c r="B14" s="39" t="s">
        <v>373</v>
      </c>
      <c r="C14" s="36"/>
      <c r="D14" s="36"/>
      <c r="E14" s="36"/>
    </row>
    <row r="15" spans="1:7" ht="47.25" x14ac:dyDescent="0.25">
      <c r="A15" s="48">
        <v>3</v>
      </c>
      <c r="B15" s="39" t="s">
        <v>532</v>
      </c>
      <c r="C15" s="36"/>
      <c r="D15" s="36"/>
      <c r="E15" s="36"/>
    </row>
    <row r="16" spans="1:7" ht="32.25" x14ac:dyDescent="0.25">
      <c r="A16" s="48" t="s">
        <v>60</v>
      </c>
      <c r="B16" s="39" t="s">
        <v>533</v>
      </c>
      <c r="C16" s="38" t="s">
        <v>234</v>
      </c>
      <c r="D16" s="38" t="s">
        <v>234</v>
      </c>
      <c r="E16" s="36"/>
    </row>
    <row r="17" spans="1:5" ht="32.25" x14ac:dyDescent="0.25">
      <c r="A17" s="48" t="s">
        <v>61</v>
      </c>
      <c r="B17" s="39" t="s">
        <v>534</v>
      </c>
      <c r="C17" s="38" t="s">
        <v>234</v>
      </c>
      <c r="D17" s="38" t="s">
        <v>234</v>
      </c>
      <c r="E17" s="36"/>
    </row>
    <row r="18" spans="1:5" ht="33" x14ac:dyDescent="0.25">
      <c r="A18" s="48">
        <v>4</v>
      </c>
      <c r="B18" s="39" t="s">
        <v>535</v>
      </c>
      <c r="C18" s="36"/>
      <c r="D18" s="36"/>
      <c r="E18" s="36"/>
    </row>
    <row r="19" spans="1:5" ht="17.25" x14ac:dyDescent="0.25">
      <c r="A19" s="48">
        <v>5</v>
      </c>
      <c r="B19" s="39" t="s">
        <v>536</v>
      </c>
      <c r="C19" s="36"/>
      <c r="D19" s="36"/>
      <c r="E19" s="36"/>
    </row>
    <row r="20" spans="1:5" ht="34.5" customHeight="1" x14ac:dyDescent="0.25">
      <c r="A20" s="48">
        <v>6</v>
      </c>
      <c r="B20" s="39" t="s">
        <v>374</v>
      </c>
      <c r="C20" s="36"/>
      <c r="D20" s="36"/>
      <c r="E20" s="36"/>
    </row>
    <row r="21" spans="1:5" ht="33" x14ac:dyDescent="0.25">
      <c r="A21" s="48">
        <v>7</v>
      </c>
      <c r="B21" s="39" t="s">
        <v>537</v>
      </c>
      <c r="C21" s="36"/>
      <c r="D21" s="36"/>
      <c r="E21" s="36"/>
    </row>
    <row r="22" spans="1:5" ht="30" x14ac:dyDescent="0.25">
      <c r="A22" s="48">
        <v>8</v>
      </c>
      <c r="B22" s="39" t="s">
        <v>375</v>
      </c>
      <c r="C22" s="3960"/>
      <c r="D22" s="3960"/>
      <c r="E22" s="3960"/>
    </row>
    <row r="23" spans="1:5" ht="30" x14ac:dyDescent="0.25">
      <c r="A23" s="48">
        <v>9</v>
      </c>
      <c r="B23" s="39" t="s">
        <v>376</v>
      </c>
      <c r="C23" s="3960"/>
      <c r="D23" s="3960"/>
      <c r="E23" s="3960"/>
    </row>
    <row r="24" spans="1:5" ht="30" x14ac:dyDescent="0.25">
      <c r="A24" s="48">
        <v>10</v>
      </c>
      <c r="B24" s="39" t="s">
        <v>377</v>
      </c>
      <c r="C24" s="3960">
        <f>SUM(C25:C35)</f>
        <v>0</v>
      </c>
      <c r="D24" s="3960"/>
      <c r="E24" s="3960"/>
    </row>
    <row r="25" spans="1:5" ht="45" x14ac:dyDescent="0.25">
      <c r="A25" s="48">
        <v>11</v>
      </c>
      <c r="B25" s="39" t="s">
        <v>378</v>
      </c>
      <c r="C25" s="3960"/>
      <c r="D25" s="3960"/>
      <c r="E25" s="3960"/>
    </row>
    <row r="26" spans="1:5" ht="45" x14ac:dyDescent="0.25">
      <c r="A26" s="48">
        <v>12</v>
      </c>
      <c r="B26" s="39" t="s">
        <v>379</v>
      </c>
      <c r="C26" s="3960"/>
      <c r="D26" s="3960"/>
      <c r="E26" s="3960"/>
    </row>
    <row r="27" spans="1:5" ht="32.25" x14ac:dyDescent="0.25">
      <c r="A27" s="48">
        <v>13</v>
      </c>
      <c r="B27" s="39" t="s">
        <v>380</v>
      </c>
      <c r="C27" s="3960"/>
      <c r="D27" s="3960"/>
      <c r="E27" s="3960"/>
    </row>
    <row r="28" spans="1:5" ht="32.25" x14ac:dyDescent="0.25">
      <c r="A28" s="48">
        <v>14</v>
      </c>
      <c r="B28" s="39" t="s">
        <v>381</v>
      </c>
      <c r="C28" s="3960"/>
      <c r="D28" s="3960"/>
      <c r="E28" s="3960"/>
    </row>
    <row r="29" spans="1:5" x14ac:dyDescent="0.25">
      <c r="B29" s="100" t="s">
        <v>349</v>
      </c>
      <c r="C29" s="101"/>
      <c r="D29" s="101"/>
      <c r="E29" s="101"/>
    </row>
    <row r="30" spans="1:5" ht="35.25" customHeight="1" x14ac:dyDescent="0.25">
      <c r="B30" s="3961" t="s">
        <v>531</v>
      </c>
      <c r="C30" s="3962"/>
      <c r="D30" s="3962"/>
      <c r="E30" s="3962"/>
    </row>
    <row r="31" spans="1:5" x14ac:dyDescent="0.25">
      <c r="B31" s="40" t="s">
        <v>348</v>
      </c>
    </row>
    <row r="32" spans="1:5" ht="56.25" customHeight="1" x14ac:dyDescent="0.25">
      <c r="B32" s="41" t="s">
        <v>350</v>
      </c>
      <c r="C32" s="3957" t="s">
        <v>382</v>
      </c>
      <c r="D32" s="3957"/>
      <c r="E32" s="3957"/>
    </row>
    <row r="34" spans="2:5" x14ac:dyDescent="0.25">
      <c r="B34" s="80" t="s">
        <v>530</v>
      </c>
      <c r="C34" s="18"/>
      <c r="D34" s="3958" t="str">
        <f>'Вхідні дані'!F13</f>
        <v>Юрій СОКОЛОВ</v>
      </c>
      <c r="E34" s="3958"/>
    </row>
    <row r="35" spans="2:5" x14ac:dyDescent="0.25">
      <c r="B35" s="18" t="s">
        <v>558</v>
      </c>
      <c r="C35" s="18"/>
      <c r="D35" s="3956" t="s">
        <v>240</v>
      </c>
      <c r="E35" s="3956"/>
    </row>
    <row r="51" spans="3:3" x14ac:dyDescent="0.25">
      <c r="C51">
        <v>4.68</v>
      </c>
    </row>
  </sheetData>
  <mergeCells count="23">
    <mergeCell ref="C32:E32"/>
    <mergeCell ref="D34:E34"/>
    <mergeCell ref="D35:E35"/>
    <mergeCell ref="C2:E2"/>
    <mergeCell ref="A7:E7"/>
    <mergeCell ref="C24:E24"/>
    <mergeCell ref="C25:E25"/>
    <mergeCell ref="C26:E26"/>
    <mergeCell ref="C27:E27"/>
    <mergeCell ref="C28:E28"/>
    <mergeCell ref="B30:E30"/>
    <mergeCell ref="C22:E22"/>
    <mergeCell ref="C23:E23"/>
    <mergeCell ref="A10:A11"/>
    <mergeCell ref="B10:B11"/>
    <mergeCell ref="C10:C11"/>
    <mergeCell ref="D10:E10"/>
    <mergeCell ref="C1:E1"/>
    <mergeCell ref="A3:E3"/>
    <mergeCell ref="A4:E4"/>
    <mergeCell ref="A5:E5"/>
    <mergeCell ref="A6:E6"/>
    <mergeCell ref="A8:E8"/>
  </mergeCells>
  <pageMargins left="0.7" right="0.7" top="0.75" bottom="0.75" header="0.3" footer="0.3"/>
  <pageSetup paperSize="9" fitToHeight="0" orientation="portrait" horizont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pageSetUpPr fitToPage="1"/>
  </sheetPr>
  <dimension ref="A1:J40"/>
  <sheetViews>
    <sheetView view="pageBreakPreview" zoomScale="87" zoomScaleNormal="100" zoomScaleSheetLayoutView="87" workbookViewId="0">
      <selection activeCell="C48" sqref="C48"/>
    </sheetView>
  </sheetViews>
  <sheetFormatPr defaultRowHeight="15" x14ac:dyDescent="0.25"/>
  <cols>
    <col min="1" max="1" width="5.5703125" style="46" customWidth="1"/>
    <col min="2" max="2" width="80" customWidth="1"/>
    <col min="3" max="3" width="37" customWidth="1"/>
    <col min="4" max="4" width="22.140625" customWidth="1"/>
    <col min="5" max="5" width="27" customWidth="1"/>
  </cols>
  <sheetData>
    <row r="1" spans="1:10" s="18" customFormat="1" ht="138" customHeight="1" x14ac:dyDescent="0.25">
      <c r="A1" s="50"/>
      <c r="C1" s="71" t="s">
        <v>1092</v>
      </c>
      <c r="D1" s="73" t="s">
        <v>1093</v>
      </c>
      <c r="E1" s="104" t="s">
        <v>857</v>
      </c>
      <c r="F1" s="73"/>
      <c r="G1" s="73"/>
      <c r="H1" s="73"/>
      <c r="I1" s="73"/>
      <c r="J1" s="73"/>
    </row>
    <row r="2" spans="1:10" s="18" customFormat="1" x14ac:dyDescent="0.25">
      <c r="A2" s="50"/>
      <c r="D2" s="73" t="s">
        <v>1094</v>
      </c>
      <c r="E2" s="73"/>
      <c r="F2" s="73"/>
      <c r="G2" s="73"/>
      <c r="H2" s="73"/>
      <c r="I2" s="73"/>
      <c r="J2" s="73"/>
    </row>
    <row r="3" spans="1:10" s="18" customFormat="1" x14ac:dyDescent="0.25">
      <c r="A3" s="3966" t="s">
        <v>419</v>
      </c>
      <c r="B3" s="3967"/>
      <c r="C3" s="3967"/>
    </row>
    <row r="4" spans="1:10" s="23" customFormat="1" x14ac:dyDescent="0.25">
      <c r="A4" s="3966" t="s">
        <v>420</v>
      </c>
      <c r="B4" s="3967"/>
      <c r="C4" s="3967"/>
      <c r="D4" s="18"/>
      <c r="E4" s="18"/>
      <c r="F4" s="18"/>
      <c r="G4" s="18"/>
      <c r="H4" s="18"/>
      <c r="I4" s="18"/>
      <c r="J4" s="18"/>
    </row>
    <row r="5" spans="1:10" s="23" customFormat="1" x14ac:dyDescent="0.25">
      <c r="A5" s="3966" t="s">
        <v>421</v>
      </c>
      <c r="B5" s="3967"/>
      <c r="C5" s="3967"/>
      <c r="D5" s="18"/>
      <c r="E5" s="18"/>
      <c r="F5" s="18"/>
      <c r="G5" s="18"/>
      <c r="H5" s="18"/>
      <c r="I5" s="18"/>
      <c r="J5" s="18"/>
    </row>
    <row r="6" spans="1:10" s="42" customFormat="1" x14ac:dyDescent="0.25">
      <c r="A6" s="3966" t="s">
        <v>422</v>
      </c>
      <c r="B6" s="3967"/>
      <c r="C6" s="3967"/>
      <c r="D6" s="18"/>
      <c r="E6" s="18"/>
      <c r="F6" s="18"/>
      <c r="G6" s="18"/>
      <c r="H6" s="18"/>
      <c r="I6" s="18"/>
      <c r="J6" s="18"/>
    </row>
    <row r="7" spans="1:10" s="42" customFormat="1" x14ac:dyDescent="0.25">
      <c r="A7" s="72" t="s">
        <v>461</v>
      </c>
      <c r="B7" s="3494" t="str">
        <f>'Вхідні дані'!F6</f>
        <v>2023-2024</v>
      </c>
      <c r="C7" s="103" t="s">
        <v>462</v>
      </c>
      <c r="D7" s="18"/>
      <c r="E7" s="18"/>
      <c r="F7" s="18"/>
      <c r="G7" s="18"/>
      <c r="H7" s="18"/>
      <c r="I7" s="18"/>
      <c r="J7" s="18"/>
    </row>
    <row r="8" spans="1:10" s="18" customFormat="1" x14ac:dyDescent="0.25">
      <c r="A8" s="3964"/>
      <c r="B8" s="3965"/>
      <c r="C8" s="3965"/>
    </row>
    <row r="9" spans="1:10" ht="31.5" x14ac:dyDescent="0.25">
      <c r="A9" s="47" t="s">
        <v>7</v>
      </c>
      <c r="B9" s="43" t="s">
        <v>385</v>
      </c>
      <c r="C9" s="43" t="s">
        <v>386</v>
      </c>
      <c r="D9" s="18"/>
      <c r="E9" s="18"/>
      <c r="F9" s="18"/>
      <c r="G9" s="18"/>
      <c r="H9" s="18"/>
      <c r="I9" s="18"/>
      <c r="J9" s="18"/>
    </row>
    <row r="10" spans="1:10" ht="15.75" x14ac:dyDescent="0.25">
      <c r="A10" s="47">
        <v>1</v>
      </c>
      <c r="B10" s="44" t="s">
        <v>387</v>
      </c>
      <c r="C10" s="44" t="s">
        <v>388</v>
      </c>
      <c r="D10" s="18"/>
      <c r="E10" s="18"/>
      <c r="F10" s="18"/>
      <c r="G10" s="18"/>
      <c r="H10" s="18"/>
      <c r="I10" s="18"/>
      <c r="J10" s="18"/>
    </row>
    <row r="11" spans="1:10" ht="15.75" x14ac:dyDescent="0.25">
      <c r="A11" s="47">
        <v>2</v>
      </c>
      <c r="B11" s="44" t="s">
        <v>389</v>
      </c>
      <c r="C11" s="44" t="s">
        <v>388</v>
      </c>
      <c r="D11" s="18"/>
      <c r="E11" s="18"/>
      <c r="F11" s="18"/>
      <c r="G11" s="18"/>
      <c r="H11" s="18"/>
      <c r="I11" s="18"/>
      <c r="J11" s="18"/>
    </row>
    <row r="12" spans="1:10" ht="15.75" x14ac:dyDescent="0.25">
      <c r="A12" s="47">
        <v>3</v>
      </c>
      <c r="B12" s="44" t="s">
        <v>390</v>
      </c>
      <c r="C12" s="44" t="s">
        <v>388</v>
      </c>
      <c r="D12" s="18"/>
      <c r="E12" s="18"/>
      <c r="F12" s="18"/>
      <c r="G12" s="18"/>
      <c r="H12" s="18"/>
      <c r="I12" s="18"/>
      <c r="J12" s="18"/>
    </row>
    <row r="13" spans="1:10" ht="31.5" x14ac:dyDescent="0.25">
      <c r="A13" s="47">
        <v>4</v>
      </c>
      <c r="B13" s="44" t="s">
        <v>391</v>
      </c>
      <c r="C13" s="44" t="s">
        <v>388</v>
      </c>
      <c r="D13" s="18"/>
      <c r="E13" s="18"/>
      <c r="F13" s="18"/>
      <c r="G13" s="18"/>
      <c r="H13" s="18"/>
      <c r="I13" s="18"/>
      <c r="J13" s="18"/>
    </row>
    <row r="14" spans="1:10" ht="15.75" x14ac:dyDescent="0.25">
      <c r="A14" s="47">
        <v>5</v>
      </c>
      <c r="B14" s="44" t="s">
        <v>392</v>
      </c>
      <c r="C14" s="44" t="s">
        <v>388</v>
      </c>
      <c r="D14" s="18"/>
      <c r="E14" s="18"/>
      <c r="F14" s="18"/>
      <c r="G14" s="18"/>
      <c r="H14" s="18"/>
      <c r="I14" s="18"/>
      <c r="J14" s="18"/>
    </row>
    <row r="15" spans="1:10" ht="18" customHeight="1" x14ac:dyDescent="0.25">
      <c r="A15" s="47">
        <v>6</v>
      </c>
      <c r="B15" s="44" t="s">
        <v>393</v>
      </c>
      <c r="C15" s="44" t="s">
        <v>388</v>
      </c>
      <c r="D15" s="18"/>
      <c r="E15" s="18"/>
      <c r="F15" s="18"/>
      <c r="G15" s="18"/>
      <c r="H15" s="18"/>
      <c r="I15" s="18"/>
      <c r="J15" s="18"/>
    </row>
    <row r="16" spans="1:10" ht="15.75" x14ac:dyDescent="0.25">
      <c r="A16" s="47">
        <v>7</v>
      </c>
      <c r="B16" s="44" t="s">
        <v>394</v>
      </c>
      <c r="C16" s="44" t="s">
        <v>388</v>
      </c>
      <c r="D16" s="18"/>
      <c r="E16" s="18"/>
      <c r="F16" s="18"/>
      <c r="G16" s="18"/>
      <c r="H16" s="18"/>
      <c r="I16" s="18"/>
      <c r="J16" s="18"/>
    </row>
    <row r="17" spans="1:10" ht="31.5" x14ac:dyDescent="0.25">
      <c r="A17" s="47">
        <v>8</v>
      </c>
      <c r="B17" s="45" t="s">
        <v>395</v>
      </c>
      <c r="C17" s="44" t="s">
        <v>388</v>
      </c>
      <c r="D17" s="18"/>
      <c r="E17" s="18"/>
      <c r="F17" s="18"/>
      <c r="G17" s="18"/>
      <c r="H17" s="18"/>
      <c r="I17" s="18"/>
      <c r="J17" s="18"/>
    </row>
    <row r="18" spans="1:10" ht="31.5" x14ac:dyDescent="0.25">
      <c r="A18" s="47">
        <v>9</v>
      </c>
      <c r="B18" s="45" t="s">
        <v>396</v>
      </c>
      <c r="C18" s="44" t="s">
        <v>388</v>
      </c>
      <c r="D18" s="18"/>
      <c r="E18" s="18"/>
      <c r="F18" s="18"/>
      <c r="G18" s="18"/>
      <c r="H18" s="18"/>
      <c r="I18" s="18"/>
      <c r="J18" s="18"/>
    </row>
    <row r="19" spans="1:10" ht="47.25" x14ac:dyDescent="0.25">
      <c r="A19" s="47">
        <v>10</v>
      </c>
      <c r="B19" s="45" t="s">
        <v>397</v>
      </c>
      <c r="C19" s="44" t="s">
        <v>388</v>
      </c>
      <c r="D19" s="18"/>
      <c r="E19" s="18"/>
      <c r="F19" s="18"/>
      <c r="G19" s="18"/>
      <c r="H19" s="18"/>
      <c r="I19" s="18"/>
      <c r="J19" s="18"/>
    </row>
    <row r="20" spans="1:10" ht="31.5" x14ac:dyDescent="0.25">
      <c r="A20" s="47">
        <v>11</v>
      </c>
      <c r="B20" s="45" t="s">
        <v>398</v>
      </c>
      <c r="C20" s="44" t="s">
        <v>388</v>
      </c>
      <c r="D20" s="18"/>
      <c r="E20" s="18"/>
      <c r="F20" s="18"/>
      <c r="G20" s="18"/>
      <c r="H20" s="18"/>
      <c r="I20" s="18"/>
      <c r="J20" s="18"/>
    </row>
    <row r="21" spans="1:10" ht="31.5" x14ac:dyDescent="0.25">
      <c r="A21" s="47">
        <v>12</v>
      </c>
      <c r="B21" s="45" t="s">
        <v>399</v>
      </c>
      <c r="C21" s="45" t="s">
        <v>388</v>
      </c>
      <c r="D21" s="18"/>
      <c r="E21" s="18"/>
      <c r="F21" s="18"/>
      <c r="G21" s="18"/>
      <c r="H21" s="18"/>
      <c r="I21" s="18"/>
      <c r="J21" s="18"/>
    </row>
    <row r="22" spans="1:10" ht="101.25" customHeight="1" x14ac:dyDescent="0.25">
      <c r="A22" s="47">
        <v>13</v>
      </c>
      <c r="B22" s="45" t="s">
        <v>400</v>
      </c>
      <c r="C22" s="45" t="s">
        <v>388</v>
      </c>
      <c r="D22" s="18"/>
      <c r="E22" s="18"/>
      <c r="F22" s="18"/>
      <c r="G22" s="18"/>
      <c r="H22" s="18"/>
      <c r="I22" s="18"/>
      <c r="J22" s="18"/>
    </row>
    <row r="23" spans="1:10" ht="31.5" x14ac:dyDescent="0.25">
      <c r="A23" s="47">
        <v>14</v>
      </c>
      <c r="B23" s="102" t="s">
        <v>401</v>
      </c>
      <c r="C23" s="44" t="s">
        <v>388</v>
      </c>
      <c r="D23" s="18"/>
      <c r="E23" s="18"/>
      <c r="F23" s="18"/>
      <c r="G23" s="18"/>
      <c r="H23" s="18"/>
      <c r="I23" s="18"/>
      <c r="J23" s="18"/>
    </row>
    <row r="24" spans="1:10" ht="31.5" x14ac:dyDescent="0.25">
      <c r="A24" s="47">
        <v>15</v>
      </c>
      <c r="B24" s="45" t="s">
        <v>402</v>
      </c>
      <c r="C24" s="44">
        <f>SUM(C25:C35)</f>
        <v>0</v>
      </c>
      <c r="D24" s="18"/>
      <c r="E24" s="18"/>
      <c r="F24" s="18"/>
      <c r="G24" s="18"/>
      <c r="H24" s="18"/>
      <c r="I24" s="18"/>
      <c r="J24" s="18"/>
    </row>
    <row r="25" spans="1:10" ht="31.5" x14ac:dyDescent="0.25">
      <c r="A25" s="47">
        <v>16</v>
      </c>
      <c r="B25" s="45" t="s">
        <v>403</v>
      </c>
      <c r="C25" s="16" t="s">
        <v>388</v>
      </c>
      <c r="D25" s="18"/>
      <c r="E25" s="18"/>
      <c r="F25" s="18"/>
      <c r="G25" s="18"/>
      <c r="H25" s="18"/>
      <c r="I25" s="18"/>
      <c r="J25" s="18"/>
    </row>
    <row r="26" spans="1:10" ht="31.5" x14ac:dyDescent="0.25">
      <c r="A26" s="47">
        <v>17</v>
      </c>
      <c r="B26" s="45" t="s">
        <v>404</v>
      </c>
      <c r="C26" s="44" t="s">
        <v>388</v>
      </c>
      <c r="D26" s="18"/>
      <c r="E26" s="18"/>
      <c r="F26" s="18"/>
      <c r="G26" s="18"/>
      <c r="H26" s="18"/>
      <c r="I26" s="18"/>
      <c r="J26" s="18"/>
    </row>
    <row r="27" spans="1:10" ht="19.5" customHeight="1" x14ac:dyDescent="0.25">
      <c r="A27" s="47">
        <v>18</v>
      </c>
      <c r="B27" s="44" t="s">
        <v>405</v>
      </c>
      <c r="C27" s="44" t="s">
        <v>388</v>
      </c>
      <c r="D27" s="18"/>
      <c r="E27" s="18"/>
      <c r="F27" s="18"/>
      <c r="G27" s="18"/>
      <c r="H27" s="18"/>
      <c r="I27" s="18"/>
      <c r="J27" s="18"/>
    </row>
    <row r="28" spans="1:10" ht="15.75" x14ac:dyDescent="0.25">
      <c r="A28" s="47">
        <v>19</v>
      </c>
      <c r="B28" s="45" t="s">
        <v>406</v>
      </c>
      <c r="C28" s="44" t="s">
        <v>388</v>
      </c>
      <c r="D28" s="18"/>
      <c r="E28" s="18"/>
      <c r="F28" s="18"/>
      <c r="G28" s="18"/>
      <c r="H28" s="18"/>
      <c r="I28" s="18"/>
      <c r="J28" s="18"/>
    </row>
    <row r="29" spans="1:10" ht="63" x14ac:dyDescent="0.25">
      <c r="A29" s="47">
        <v>20</v>
      </c>
      <c r="B29" s="45" t="s">
        <v>407</v>
      </c>
      <c r="C29" s="44" t="s">
        <v>388</v>
      </c>
      <c r="D29" s="18"/>
      <c r="E29" s="18"/>
      <c r="F29" s="18"/>
      <c r="G29" s="18"/>
      <c r="H29" s="18"/>
      <c r="I29" s="18"/>
      <c r="J29" s="18"/>
    </row>
    <row r="30" spans="1:10" ht="38.25" customHeight="1" x14ac:dyDescent="0.25">
      <c r="A30" s="47">
        <v>21</v>
      </c>
      <c r="B30" s="45" t="s">
        <v>408</v>
      </c>
      <c r="C30" s="44" t="s">
        <v>388</v>
      </c>
      <c r="D30" s="18"/>
      <c r="E30" s="18"/>
      <c r="F30" s="18"/>
      <c r="G30" s="18"/>
      <c r="H30" s="18"/>
      <c r="I30" s="18"/>
      <c r="J30" s="18"/>
    </row>
    <row r="31" spans="1:10" ht="47.25" x14ac:dyDescent="0.25">
      <c r="A31" s="47">
        <v>22</v>
      </c>
      <c r="B31" s="45" t="s">
        <v>409</v>
      </c>
      <c r="C31" s="44" t="s">
        <v>388</v>
      </c>
      <c r="D31" s="18"/>
      <c r="E31" s="18"/>
      <c r="F31" s="18"/>
      <c r="G31" s="18"/>
      <c r="H31" s="18"/>
      <c r="I31" s="18"/>
      <c r="J31" s="18"/>
    </row>
    <row r="32" spans="1:10" ht="31.5" x14ac:dyDescent="0.25">
      <c r="A32" s="47">
        <v>23</v>
      </c>
      <c r="B32" s="45" t="s">
        <v>410</v>
      </c>
      <c r="C32" s="44" t="s">
        <v>388</v>
      </c>
      <c r="D32" s="18"/>
      <c r="E32" s="18"/>
      <c r="F32" s="18"/>
      <c r="G32" s="18"/>
      <c r="H32" s="18"/>
      <c r="I32" s="18"/>
      <c r="J32" s="18"/>
    </row>
    <row r="33" spans="1:10" ht="31.5" x14ac:dyDescent="0.25">
      <c r="A33" s="47">
        <v>24</v>
      </c>
      <c r="B33" s="45" t="s">
        <v>411</v>
      </c>
      <c r="C33" s="44" t="s">
        <v>388</v>
      </c>
      <c r="D33" s="18"/>
      <c r="E33" s="18"/>
      <c r="F33" s="18"/>
      <c r="G33" s="18"/>
      <c r="H33" s="18"/>
      <c r="I33" s="18"/>
      <c r="J33" s="18"/>
    </row>
    <row r="34" spans="1:10" ht="47.25" x14ac:dyDescent="0.25">
      <c r="A34" s="47">
        <v>25</v>
      </c>
      <c r="B34" s="45" t="s">
        <v>412</v>
      </c>
      <c r="C34" s="44" t="s">
        <v>388</v>
      </c>
      <c r="D34" s="18"/>
      <c r="E34" s="18"/>
      <c r="F34" s="18"/>
      <c r="G34" s="18"/>
      <c r="H34" s="18"/>
      <c r="I34" s="18"/>
      <c r="J34" s="18"/>
    </row>
    <row r="35" spans="1:10" ht="15.75" x14ac:dyDescent="0.25">
      <c r="A35" s="47">
        <v>26</v>
      </c>
      <c r="B35" s="45" t="s">
        <v>413</v>
      </c>
      <c r="C35" s="44" t="s">
        <v>388</v>
      </c>
      <c r="D35" s="18"/>
      <c r="E35" s="18"/>
      <c r="F35" s="18"/>
      <c r="G35" s="18"/>
      <c r="H35" s="18"/>
      <c r="I35" s="18"/>
      <c r="J35" s="18"/>
    </row>
    <row r="36" spans="1:10" ht="31.5" x14ac:dyDescent="0.25">
      <c r="A36" s="47">
        <v>27</v>
      </c>
      <c r="B36" s="44" t="s">
        <v>414</v>
      </c>
      <c r="C36" s="44" t="s">
        <v>388</v>
      </c>
      <c r="D36" s="18"/>
      <c r="E36" s="18"/>
      <c r="F36" s="18"/>
      <c r="G36" s="18"/>
      <c r="H36" s="18"/>
      <c r="I36" s="18"/>
      <c r="J36" s="18"/>
    </row>
    <row r="37" spans="1:10" ht="31.5" x14ac:dyDescent="0.25">
      <c r="A37" s="47">
        <v>28</v>
      </c>
      <c r="B37" s="45" t="s">
        <v>415</v>
      </c>
      <c r="C37" s="44" t="s">
        <v>388</v>
      </c>
      <c r="D37" s="18"/>
      <c r="E37" s="18"/>
      <c r="F37" s="18"/>
      <c r="G37" s="18"/>
      <c r="H37" s="18"/>
      <c r="I37" s="18"/>
      <c r="J37" s="18"/>
    </row>
    <row r="38" spans="1:10" ht="47.25" x14ac:dyDescent="0.25">
      <c r="A38" s="47">
        <v>29</v>
      </c>
      <c r="B38" s="45" t="s">
        <v>416</v>
      </c>
      <c r="C38" s="44" t="s">
        <v>388</v>
      </c>
      <c r="D38" s="18"/>
      <c r="E38" s="18"/>
      <c r="F38" s="18"/>
      <c r="G38" s="18"/>
      <c r="H38" s="18"/>
      <c r="I38" s="18"/>
      <c r="J38" s="18"/>
    </row>
    <row r="39" spans="1:10" ht="63" x14ac:dyDescent="0.25">
      <c r="A39" s="47">
        <v>30</v>
      </c>
      <c r="B39" s="45" t="s">
        <v>417</v>
      </c>
      <c r="C39" s="44" t="s">
        <v>388</v>
      </c>
      <c r="D39" s="18"/>
      <c r="E39" s="18"/>
      <c r="F39" s="18"/>
      <c r="G39" s="18"/>
      <c r="H39" s="18"/>
      <c r="I39" s="18"/>
      <c r="J39" s="18"/>
    </row>
    <row r="40" spans="1:10" ht="63" x14ac:dyDescent="0.25">
      <c r="A40" s="47">
        <v>31</v>
      </c>
      <c r="B40" s="45" t="s">
        <v>418</v>
      </c>
      <c r="C40" s="44" t="s">
        <v>388</v>
      </c>
      <c r="D40" s="18"/>
      <c r="E40" s="18"/>
      <c r="F40" s="18"/>
      <c r="G40" s="18"/>
      <c r="H40" s="18"/>
      <c r="I40" s="18"/>
      <c r="J40" s="18"/>
    </row>
  </sheetData>
  <mergeCells count="5">
    <mergeCell ref="A8:C8"/>
    <mergeCell ref="A5:C5"/>
    <mergeCell ref="A3:C3"/>
    <mergeCell ref="A4:C4"/>
    <mergeCell ref="A6:C6"/>
  </mergeCells>
  <hyperlinks>
    <hyperlink ref="B24" r:id="rId1" location="n29" display="http://zakon2.rada.gov.ua/laws/show/z0643-16/print - n29" xr:uid="{00000000-0004-0000-1100-000000000000}"/>
  </hyperlinks>
  <pageMargins left="0.7" right="0.7" top="0.75" bottom="0.75" header="0.3" footer="0.3"/>
  <pageSetup paperSize="9" scale="71" fitToHeight="0" orientation="portrait" horizontalDpi="120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1"/>
  </sheetPr>
  <dimension ref="A1:DB214"/>
  <sheetViews>
    <sheetView view="pageBreakPreview" topLeftCell="A163" zoomScale="106" zoomScaleNormal="106" zoomScaleSheetLayoutView="106" workbookViewId="0">
      <selection activeCell="Q197" sqref="Q197"/>
    </sheetView>
  </sheetViews>
  <sheetFormatPr defaultColWidth="9.140625" defaultRowHeight="15" x14ac:dyDescent="0.25"/>
  <cols>
    <col min="1" max="1" width="5.7109375" style="2489" customWidth="1"/>
    <col min="2" max="2" width="41.7109375" style="2489" customWidth="1"/>
    <col min="3" max="3" width="13.140625" style="2489" bestFit="1" customWidth="1"/>
    <col min="4" max="6" width="12" style="2489" bestFit="1" customWidth="1"/>
    <col min="7" max="12" width="12.42578125" style="2489" customWidth="1"/>
    <col min="13" max="13" width="10.7109375" style="2489" bestFit="1" customWidth="1"/>
    <col min="14" max="15" width="12" style="2489" bestFit="1" customWidth="1"/>
    <col min="16" max="16" width="13.85546875" style="2489" customWidth="1"/>
    <col min="17" max="17" width="13.7109375" style="2489" customWidth="1"/>
    <col min="18" max="18" width="22.5703125" style="2489" customWidth="1"/>
    <col min="19" max="16384" width="9.140625" style="2489"/>
  </cols>
  <sheetData>
    <row r="1" spans="1:18" ht="18.75" x14ac:dyDescent="0.3">
      <c r="B1" s="3048" t="s">
        <v>1848</v>
      </c>
    </row>
    <row r="3" spans="1:18" ht="15.75" thickBot="1" x14ac:dyDescent="0.3">
      <c r="B3" s="3049"/>
      <c r="C3" s="3049"/>
      <c r="D3" s="3049"/>
      <c r="E3" s="3049"/>
      <c r="F3" s="3049"/>
      <c r="G3" s="3049"/>
      <c r="H3" s="3049"/>
      <c r="I3" s="3049"/>
      <c r="J3" s="3049"/>
      <c r="K3" s="3049"/>
      <c r="L3" s="3049"/>
      <c r="M3" s="3049"/>
      <c r="N3" s="3049"/>
      <c r="O3" s="3049"/>
    </row>
    <row r="4" spans="1:18" ht="30.75" thickBot="1" x14ac:dyDescent="0.3">
      <c r="B4" s="3050" t="s">
        <v>8</v>
      </c>
      <c r="C4" s="3051" t="s">
        <v>498</v>
      </c>
      <c r="D4" s="3052" t="s">
        <v>10</v>
      </c>
      <c r="E4" s="3052" t="s">
        <v>11</v>
      </c>
      <c r="F4" s="3052" t="s">
        <v>497</v>
      </c>
      <c r="G4" s="3052" t="s">
        <v>13</v>
      </c>
      <c r="H4" s="3052" t="s">
        <v>140</v>
      </c>
      <c r="I4" s="3052" t="s">
        <v>15</v>
      </c>
      <c r="J4" s="3052" t="s">
        <v>16</v>
      </c>
      <c r="K4" s="3052" t="s">
        <v>17</v>
      </c>
      <c r="L4" s="3052" t="s">
        <v>18</v>
      </c>
      <c r="M4" s="3052" t="s">
        <v>19</v>
      </c>
      <c r="N4" s="3052" t="s">
        <v>20</v>
      </c>
      <c r="O4" s="3053" t="s">
        <v>21</v>
      </c>
    </row>
    <row r="5" spans="1:18" ht="30" x14ac:dyDescent="0.25">
      <c r="A5" s="3054" t="s">
        <v>487</v>
      </c>
      <c r="B5" s="3055" t="s">
        <v>2334</v>
      </c>
      <c r="C5" s="3056">
        <f>'Вхідні дані'!D75</f>
        <v>18</v>
      </c>
      <c r="D5" s="3056">
        <f>C5</f>
        <v>18</v>
      </c>
      <c r="E5" s="3056">
        <f t="shared" ref="E5:O5" si="0">D5</f>
        <v>18</v>
      </c>
      <c r="F5" s="3056">
        <f t="shared" si="0"/>
        <v>18</v>
      </c>
      <c r="G5" s="3056">
        <f>F5</f>
        <v>18</v>
      </c>
      <c r="H5" s="3056">
        <f t="shared" ref="H5:L7" si="1">G5</f>
        <v>18</v>
      </c>
      <c r="I5" s="3056">
        <f t="shared" si="1"/>
        <v>18</v>
      </c>
      <c r="J5" s="3056">
        <f t="shared" si="1"/>
        <v>18</v>
      </c>
      <c r="K5" s="3056">
        <f t="shared" si="1"/>
        <v>18</v>
      </c>
      <c r="L5" s="3056">
        <f t="shared" si="1"/>
        <v>18</v>
      </c>
      <c r="M5" s="3056">
        <f>G5</f>
        <v>18</v>
      </c>
      <c r="N5" s="3056">
        <f t="shared" si="0"/>
        <v>18</v>
      </c>
      <c r="O5" s="3057">
        <f t="shared" si="0"/>
        <v>18</v>
      </c>
    </row>
    <row r="6" spans="1:18" ht="30" x14ac:dyDescent="0.25">
      <c r="A6" s="3054" t="s">
        <v>487</v>
      </c>
      <c r="B6" s="3055" t="s">
        <v>2335</v>
      </c>
      <c r="C6" s="3056">
        <v>16</v>
      </c>
      <c r="D6" s="3056">
        <f>C6</f>
        <v>16</v>
      </c>
      <c r="E6" s="3056">
        <f t="shared" ref="E6:O6" si="2">D6</f>
        <v>16</v>
      </c>
      <c r="F6" s="3056">
        <f t="shared" si="2"/>
        <v>16</v>
      </c>
      <c r="G6" s="3056">
        <f t="shared" si="2"/>
        <v>16</v>
      </c>
      <c r="H6" s="3056">
        <f t="shared" si="1"/>
        <v>16</v>
      </c>
      <c r="I6" s="3056">
        <f t="shared" si="1"/>
        <v>16</v>
      </c>
      <c r="J6" s="3056">
        <f t="shared" si="1"/>
        <v>16</v>
      </c>
      <c r="K6" s="3056">
        <f t="shared" si="1"/>
        <v>16</v>
      </c>
      <c r="L6" s="3056">
        <f t="shared" si="1"/>
        <v>16</v>
      </c>
      <c r="M6" s="3056">
        <f>G6</f>
        <v>16</v>
      </c>
      <c r="N6" s="3056">
        <f t="shared" si="2"/>
        <v>16</v>
      </c>
      <c r="O6" s="3057">
        <f t="shared" si="2"/>
        <v>16</v>
      </c>
    </row>
    <row r="7" spans="1:18" ht="31.5" customHeight="1" x14ac:dyDescent="0.25">
      <c r="A7" s="3054" t="s">
        <v>488</v>
      </c>
      <c r="B7" s="3055" t="s">
        <v>2336</v>
      </c>
      <c r="C7" s="3056">
        <f>'Вхідні дані'!D58</f>
        <v>-18</v>
      </c>
      <c r="D7" s="3056">
        <f>C7</f>
        <v>-18</v>
      </c>
      <c r="E7" s="3056">
        <f t="shared" ref="E7:O7" si="3">D7</f>
        <v>-18</v>
      </c>
      <c r="F7" s="3056">
        <f t="shared" si="3"/>
        <v>-18</v>
      </c>
      <c r="G7" s="3056">
        <f t="shared" si="3"/>
        <v>-18</v>
      </c>
      <c r="H7" s="3056">
        <f t="shared" si="1"/>
        <v>-18</v>
      </c>
      <c r="I7" s="3056">
        <f t="shared" si="1"/>
        <v>-18</v>
      </c>
      <c r="J7" s="3056">
        <f t="shared" si="1"/>
        <v>-18</v>
      </c>
      <c r="K7" s="3056">
        <f t="shared" si="1"/>
        <v>-18</v>
      </c>
      <c r="L7" s="3056">
        <f t="shared" si="1"/>
        <v>-18</v>
      </c>
      <c r="M7" s="3056">
        <f>G7</f>
        <v>-18</v>
      </c>
      <c r="N7" s="3056">
        <f t="shared" si="3"/>
        <v>-18</v>
      </c>
      <c r="O7" s="3057">
        <f t="shared" si="3"/>
        <v>-18</v>
      </c>
    </row>
    <row r="8" spans="1:18" ht="32.25" customHeight="1" x14ac:dyDescent="0.25">
      <c r="A8" s="3054" t="s">
        <v>489</v>
      </c>
      <c r="B8" s="3055" t="s">
        <v>2337</v>
      </c>
      <c r="C8" s="3058">
        <f>'Вхідні дані'!D59</f>
        <v>4.0599999999999996</v>
      </c>
      <c r="D8" s="3058">
        <f>'Вхідні дані'!D60</f>
        <v>0.42</v>
      </c>
      <c r="E8" s="3058">
        <f>'Вхідні дані'!D61</f>
        <v>1.9191499999999999</v>
      </c>
      <c r="F8" s="3056">
        <f>'Вхідні дані'!D62</f>
        <v>5.2618999999999998</v>
      </c>
      <c r="G8" s="3056">
        <f>'Вхідні дані'!$D$63</f>
        <v>7.7</v>
      </c>
      <c r="H8" s="3056">
        <f>'Вхідні дані'!$D$64</f>
        <v>0</v>
      </c>
      <c r="I8" s="3056">
        <f>'Вхідні дані'!$D$64</f>
        <v>0</v>
      </c>
      <c r="J8" s="3056">
        <f>'Вхідні дані'!$D$64</f>
        <v>0</v>
      </c>
      <c r="K8" s="3056">
        <f>'Вхідні дані'!$D$64</f>
        <v>0</v>
      </c>
      <c r="L8" s="3056">
        <f>'Вхідні дані'!$D$64</f>
        <v>0</v>
      </c>
      <c r="M8" s="3056">
        <f>'Вхідні дані'!D69</f>
        <v>7.6285699999999999</v>
      </c>
      <c r="N8" s="3056">
        <f>'Вхідні дані'!D70</f>
        <v>6.6293199999999999</v>
      </c>
      <c r="O8" s="3057">
        <f>'Вхідні дані'!D71</f>
        <v>3.46</v>
      </c>
    </row>
    <row r="9" spans="1:18" ht="15" customHeight="1" x14ac:dyDescent="0.25">
      <c r="B9" s="3055" t="s">
        <v>490</v>
      </c>
      <c r="C9" s="3059">
        <v>24</v>
      </c>
      <c r="D9" s="3059">
        <f>C9</f>
        <v>24</v>
      </c>
      <c r="E9" s="3059">
        <f t="shared" ref="E9:O9" si="4">D9</f>
        <v>24</v>
      </c>
      <c r="F9" s="3059">
        <f t="shared" si="4"/>
        <v>24</v>
      </c>
      <c r="G9" s="3059">
        <f t="shared" si="4"/>
        <v>24</v>
      </c>
      <c r="H9" s="3059">
        <f>G9</f>
        <v>24</v>
      </c>
      <c r="I9" s="3059">
        <f>H9</f>
        <v>24</v>
      </c>
      <c r="J9" s="3059">
        <f>I9</f>
        <v>24</v>
      </c>
      <c r="K9" s="3059">
        <f>J9</f>
        <v>24</v>
      </c>
      <c r="L9" s="3059">
        <f>K9</f>
        <v>24</v>
      </c>
      <c r="M9" s="3059">
        <f>G9</f>
        <v>24</v>
      </c>
      <c r="N9" s="3059">
        <f t="shared" si="4"/>
        <v>24</v>
      </c>
      <c r="O9" s="3060">
        <f t="shared" si="4"/>
        <v>24</v>
      </c>
    </row>
    <row r="10" spans="1:18" x14ac:dyDescent="0.25">
      <c r="A10" s="3054" t="s">
        <v>492</v>
      </c>
      <c r="B10" s="3055" t="s">
        <v>523</v>
      </c>
      <c r="C10" s="3056">
        <f>'Вхідні дані'!D50</f>
        <v>151</v>
      </c>
      <c r="D10" s="3056">
        <f>'Вхідні дані'!D51</f>
        <v>31</v>
      </c>
      <c r="E10" s="3056">
        <f>'Вхідні дані'!D52</f>
        <v>28</v>
      </c>
      <c r="F10" s="3056">
        <f>'Вхідні дані'!D53</f>
        <v>31</v>
      </c>
      <c r="G10" s="3056">
        <f>'Вхідні дані'!D54</f>
        <v>0</v>
      </c>
      <c r="H10" s="3056"/>
      <c r="I10" s="3056"/>
      <c r="J10" s="3056"/>
      <c r="K10" s="3056"/>
      <c r="L10" s="3056"/>
      <c r="M10" s="3056">
        <f>'Вхідні дані'!D55</f>
        <v>0</v>
      </c>
      <c r="N10" s="3056">
        <f>'Вхідні дані'!D56</f>
        <v>30</v>
      </c>
      <c r="O10" s="3057">
        <f>'Вхідні дані'!D57</f>
        <v>31</v>
      </c>
    </row>
    <row r="11" spans="1:18" ht="30" x14ac:dyDescent="0.25">
      <c r="B11" s="3061" t="s">
        <v>2338</v>
      </c>
      <c r="C11" s="3058">
        <f>SUM(D11:O11)</f>
        <v>1327.0484470588235</v>
      </c>
      <c r="D11" s="3058">
        <f>((D6-D8)/(D6-D7))*D9*D10</f>
        <v>340.92705882352942</v>
      </c>
      <c r="E11" s="3058">
        <f t="shared" ref="E11:O11" si="5">((E6-E8)/(E6-E7))*E9*E10</f>
        <v>278.30385882352942</v>
      </c>
      <c r="F11" s="3058">
        <f t="shared" si="5"/>
        <v>234.97489411764704</v>
      </c>
      <c r="G11" s="3058">
        <f t="shared" si="5"/>
        <v>0</v>
      </c>
      <c r="H11" s="3058"/>
      <c r="I11" s="3058"/>
      <c r="J11" s="3058"/>
      <c r="K11" s="3058"/>
      <c r="L11" s="3058"/>
      <c r="M11" s="3058">
        <f t="shared" si="5"/>
        <v>0</v>
      </c>
      <c r="N11" s="3058">
        <f t="shared" si="5"/>
        <v>198.43792941176471</v>
      </c>
      <c r="O11" s="3062">
        <f t="shared" si="5"/>
        <v>274.40470588235291</v>
      </c>
    </row>
    <row r="12" spans="1:18" ht="30" x14ac:dyDescent="0.25">
      <c r="B12" s="3061" t="s">
        <v>2333</v>
      </c>
      <c r="C12" s="3058">
        <f>SUM(D12:O12)</f>
        <v>1454.6568666666667</v>
      </c>
      <c r="D12" s="3058">
        <f>((D5-D8)/(D5-D7))*D9*D10</f>
        <v>363.31999999999994</v>
      </c>
      <c r="E12" s="3058">
        <f t="shared" ref="E12:O12" si="6">((E5-E8)/(E5-E7))*E9*E10</f>
        <v>300.17586666666665</v>
      </c>
      <c r="F12" s="3058">
        <f t="shared" si="6"/>
        <v>263.25406666666663</v>
      </c>
      <c r="G12" s="3058">
        <f t="shared" si="6"/>
        <v>0</v>
      </c>
      <c r="H12" s="3058"/>
      <c r="I12" s="3058"/>
      <c r="J12" s="3058"/>
      <c r="K12" s="3058"/>
      <c r="L12" s="3058"/>
      <c r="M12" s="3058">
        <f t="shared" si="6"/>
        <v>0</v>
      </c>
      <c r="N12" s="3058">
        <f t="shared" si="6"/>
        <v>227.41359999999997</v>
      </c>
      <c r="O12" s="3062">
        <f t="shared" si="6"/>
        <v>300.49333333333328</v>
      </c>
    </row>
    <row r="13" spans="1:18" x14ac:dyDescent="0.25">
      <c r="B13" s="3063" t="s">
        <v>3158</v>
      </c>
      <c r="C13" s="3064"/>
      <c r="D13" s="3064">
        <v>62</v>
      </c>
      <c r="E13" s="3064">
        <v>56</v>
      </c>
      <c r="F13" s="3064">
        <v>62</v>
      </c>
      <c r="G13" s="3064">
        <v>60</v>
      </c>
      <c r="H13" s="3064">
        <v>62</v>
      </c>
      <c r="I13" s="3064">
        <v>60</v>
      </c>
      <c r="J13" s="3064">
        <v>62</v>
      </c>
      <c r="K13" s="3064">
        <v>60</v>
      </c>
      <c r="L13" s="3064">
        <v>60</v>
      </c>
      <c r="M13" s="3064">
        <v>62</v>
      </c>
      <c r="N13" s="3064">
        <v>60</v>
      </c>
      <c r="O13" s="3065">
        <v>62</v>
      </c>
    </row>
    <row r="14" spans="1:18" ht="15.75" thickBot="1" x14ac:dyDescent="0.3">
      <c r="B14" s="3066"/>
      <c r="C14" s="3067"/>
      <c r="D14" s="3067"/>
      <c r="E14" s="3068"/>
      <c r="F14" s="3068"/>
      <c r="G14" s="3068"/>
      <c r="H14" s="3068"/>
      <c r="I14" s="3068"/>
      <c r="J14" s="3068"/>
      <c r="K14" s="3068"/>
      <c r="L14" s="3068"/>
      <c r="M14" s="3068"/>
      <c r="N14" s="3068"/>
      <c r="O14" s="3069"/>
    </row>
    <row r="15" spans="1:18" s="2490" customFormat="1" ht="42.75" x14ac:dyDescent="0.2">
      <c r="B15" s="3070" t="s">
        <v>524</v>
      </c>
      <c r="C15" s="3071">
        <f>C16+C24+C31+C39+C46+C53</f>
        <v>2.9375</v>
      </c>
      <c r="D15" s="3071">
        <f>D16+D24+D31+D39+D46+D53</f>
        <v>2.9375</v>
      </c>
      <c r="E15" s="3071">
        <f>E16+E24+E31+E39+E46+E53</f>
        <v>2.9375</v>
      </c>
      <c r="F15" s="3071">
        <f>F16+F24+F31+F39+F46+F53</f>
        <v>2.9375</v>
      </c>
      <c r="G15" s="3071">
        <f>G16+G24+G31+G39+G46+G53</f>
        <v>2.9375</v>
      </c>
      <c r="H15" s="3071">
        <f t="shared" ref="H15:L15" si="7">H16+H24+H31+H39+H46+H53</f>
        <v>0</v>
      </c>
      <c r="I15" s="3071">
        <f t="shared" si="7"/>
        <v>0</v>
      </c>
      <c r="J15" s="3071">
        <f t="shared" si="7"/>
        <v>0</v>
      </c>
      <c r="K15" s="3071">
        <f t="shared" si="7"/>
        <v>0</v>
      </c>
      <c r="L15" s="3071">
        <f t="shared" si="7"/>
        <v>0</v>
      </c>
      <c r="M15" s="3071">
        <f>M16+M24+M31+M39+M46+M53</f>
        <v>2.9375</v>
      </c>
      <c r="N15" s="3071">
        <f>N16+N24+N31+N39+N46+N53</f>
        <v>2.9375</v>
      </c>
      <c r="O15" s="3072">
        <f>O16+O24+O31+O39+O46+O53</f>
        <v>2.9375</v>
      </c>
      <c r="P15" s="2492"/>
    </row>
    <row r="16" spans="1:18" s="2490" customFormat="1" ht="29.25" x14ac:dyDescent="0.25">
      <c r="A16" s="3073"/>
      <c r="B16" s="3074" t="s">
        <v>638</v>
      </c>
      <c r="C16" s="3075">
        <f>C17+C20</f>
        <v>0</v>
      </c>
      <c r="D16" s="3075">
        <f t="shared" ref="D16:O16" si="8">D17+D20</f>
        <v>0</v>
      </c>
      <c r="E16" s="3075">
        <f t="shared" si="8"/>
        <v>0</v>
      </c>
      <c r="F16" s="3075">
        <f t="shared" si="8"/>
        <v>0</v>
      </c>
      <c r="G16" s="3075">
        <f t="shared" si="8"/>
        <v>0</v>
      </c>
      <c r="H16" s="3075"/>
      <c r="I16" s="3075"/>
      <c r="J16" s="3075"/>
      <c r="K16" s="3075"/>
      <c r="L16" s="3075"/>
      <c r="M16" s="3075">
        <f t="shared" si="8"/>
        <v>0</v>
      </c>
      <c r="N16" s="3075">
        <f t="shared" si="8"/>
        <v>0</v>
      </c>
      <c r="O16" s="3076">
        <f t="shared" si="8"/>
        <v>0</v>
      </c>
      <c r="R16" s="2492"/>
    </row>
    <row r="17" spans="1:106" s="2490" customFormat="1" x14ac:dyDescent="0.25">
      <c r="B17" s="3077" t="s">
        <v>630</v>
      </c>
      <c r="C17" s="3078">
        <f>C18</f>
        <v>0</v>
      </c>
      <c r="D17" s="3078">
        <f t="shared" ref="D17:O17" si="9">D18</f>
        <v>0</v>
      </c>
      <c r="E17" s="3078">
        <f t="shared" si="9"/>
        <v>0</v>
      </c>
      <c r="F17" s="3078">
        <f t="shared" si="9"/>
        <v>0</v>
      </c>
      <c r="G17" s="3078">
        <f t="shared" si="9"/>
        <v>0</v>
      </c>
      <c r="H17" s="3078"/>
      <c r="I17" s="3078"/>
      <c r="J17" s="3078"/>
      <c r="K17" s="3078"/>
      <c r="L17" s="3078"/>
      <c r="M17" s="3078">
        <f t="shared" si="9"/>
        <v>0</v>
      </c>
      <c r="N17" s="3078">
        <f t="shared" si="9"/>
        <v>0</v>
      </c>
      <c r="O17" s="3079">
        <f t="shared" si="9"/>
        <v>0</v>
      </c>
      <c r="P17" s="2491"/>
    </row>
    <row r="18" spans="1:106" s="2490" customFormat="1" x14ac:dyDescent="0.25">
      <c r="B18" s="3080" t="s">
        <v>634</v>
      </c>
      <c r="C18" s="3081">
        <v>0</v>
      </c>
      <c r="D18" s="3082">
        <f>C18</f>
        <v>0</v>
      </c>
      <c r="E18" s="3082">
        <f t="shared" ref="E18:O18" si="10">D18</f>
        <v>0</v>
      </c>
      <c r="F18" s="3082">
        <f t="shared" si="10"/>
        <v>0</v>
      </c>
      <c r="G18" s="3082">
        <f t="shared" si="10"/>
        <v>0</v>
      </c>
      <c r="H18" s="3082"/>
      <c r="I18" s="3082"/>
      <c r="J18" s="3082"/>
      <c r="K18" s="3082"/>
      <c r="L18" s="3082"/>
      <c r="M18" s="3082">
        <f>G18</f>
        <v>0</v>
      </c>
      <c r="N18" s="3082">
        <f t="shared" si="10"/>
        <v>0</v>
      </c>
      <c r="O18" s="3083">
        <f t="shared" si="10"/>
        <v>0</v>
      </c>
    </row>
    <row r="19" spans="1:106" s="2490" customFormat="1" x14ac:dyDescent="0.25">
      <c r="B19" s="3084" t="s">
        <v>640</v>
      </c>
      <c r="C19" s="3085">
        <v>0</v>
      </c>
      <c r="D19" s="3082">
        <f>C19</f>
        <v>0</v>
      </c>
      <c r="E19" s="3082">
        <f t="shared" ref="E19:O19" si="11">D19</f>
        <v>0</v>
      </c>
      <c r="F19" s="3082">
        <f t="shared" si="11"/>
        <v>0</v>
      </c>
      <c r="G19" s="3082">
        <f t="shared" si="11"/>
        <v>0</v>
      </c>
      <c r="H19" s="3082"/>
      <c r="I19" s="3082"/>
      <c r="J19" s="3082"/>
      <c r="K19" s="3082"/>
      <c r="L19" s="3082"/>
      <c r="M19" s="3082">
        <f>G19</f>
        <v>0</v>
      </c>
      <c r="N19" s="3082">
        <f t="shared" si="11"/>
        <v>0</v>
      </c>
      <c r="O19" s="3083">
        <f t="shared" si="11"/>
        <v>0</v>
      </c>
      <c r="P19" s="2491"/>
    </row>
    <row r="20" spans="1:106" s="2490" customFormat="1" x14ac:dyDescent="0.25">
      <c r="B20" s="3077" t="s">
        <v>631</v>
      </c>
      <c r="C20" s="3078">
        <f>C21</f>
        <v>0</v>
      </c>
      <c r="D20" s="3078">
        <f t="shared" ref="D20:O20" si="12">D21</f>
        <v>0</v>
      </c>
      <c r="E20" s="3078">
        <f t="shared" si="12"/>
        <v>0</v>
      </c>
      <c r="F20" s="3078">
        <f t="shared" si="12"/>
        <v>0</v>
      </c>
      <c r="G20" s="3078">
        <f t="shared" si="12"/>
        <v>0</v>
      </c>
      <c r="H20" s="3078"/>
      <c r="I20" s="3078"/>
      <c r="J20" s="3078"/>
      <c r="K20" s="3078"/>
      <c r="L20" s="3078"/>
      <c r="M20" s="3078">
        <f t="shared" si="12"/>
        <v>0</v>
      </c>
      <c r="N20" s="3078">
        <f t="shared" si="12"/>
        <v>0</v>
      </c>
      <c r="O20" s="3079">
        <f t="shared" si="12"/>
        <v>0</v>
      </c>
      <c r="P20" s="2491"/>
      <c r="R20" s="3086"/>
      <c r="S20" s="3086"/>
    </row>
    <row r="21" spans="1:106" s="2490" customFormat="1" x14ac:dyDescent="0.25">
      <c r="B21" s="3080" t="s">
        <v>634</v>
      </c>
      <c r="C21" s="3081">
        <v>0</v>
      </c>
      <c r="D21" s="3082">
        <f>C21</f>
        <v>0</v>
      </c>
      <c r="E21" s="3082">
        <f t="shared" ref="E21:O21" si="13">D21</f>
        <v>0</v>
      </c>
      <c r="F21" s="3082">
        <f t="shared" si="13"/>
        <v>0</v>
      </c>
      <c r="G21" s="3082">
        <f t="shared" si="13"/>
        <v>0</v>
      </c>
      <c r="H21" s="3082"/>
      <c r="I21" s="3082"/>
      <c r="J21" s="3082"/>
      <c r="K21" s="3082"/>
      <c r="L21" s="3082"/>
      <c r="M21" s="3082">
        <f>G21</f>
        <v>0</v>
      </c>
      <c r="N21" s="3082">
        <f t="shared" si="13"/>
        <v>0</v>
      </c>
      <c r="O21" s="3083">
        <f t="shared" si="13"/>
        <v>0</v>
      </c>
      <c r="R21" s="3087"/>
      <c r="S21" s="3088"/>
    </row>
    <row r="22" spans="1:106" s="2490" customFormat="1" x14ac:dyDescent="0.25">
      <c r="B22" s="3084" t="s">
        <v>640</v>
      </c>
      <c r="C22" s="3089">
        <v>0</v>
      </c>
      <c r="D22" s="3082">
        <f>C22</f>
        <v>0</v>
      </c>
      <c r="E22" s="3082">
        <f t="shared" ref="E22:O23" si="14">D22</f>
        <v>0</v>
      </c>
      <c r="F22" s="3082">
        <f t="shared" si="14"/>
        <v>0</v>
      </c>
      <c r="G22" s="3082">
        <f t="shared" si="14"/>
        <v>0</v>
      </c>
      <c r="H22" s="3082"/>
      <c r="I22" s="3082"/>
      <c r="J22" s="3082"/>
      <c r="K22" s="3082"/>
      <c r="L22" s="3082"/>
      <c r="M22" s="3082">
        <f>G22</f>
        <v>0</v>
      </c>
      <c r="N22" s="3082">
        <f t="shared" si="14"/>
        <v>0</v>
      </c>
      <c r="O22" s="3083">
        <f t="shared" si="14"/>
        <v>0</v>
      </c>
      <c r="P22" s="2491"/>
      <c r="R22" s="3086"/>
      <c r="S22" s="3086"/>
    </row>
    <row r="23" spans="1:106" s="2490" customFormat="1" x14ac:dyDescent="0.25">
      <c r="B23" s="3084"/>
      <c r="C23" s="3089">
        <v>0</v>
      </c>
      <c r="D23" s="3089">
        <f>C23</f>
        <v>0</v>
      </c>
      <c r="E23" s="3089">
        <f t="shared" si="14"/>
        <v>0</v>
      </c>
      <c r="F23" s="3089">
        <f t="shared" si="14"/>
        <v>0</v>
      </c>
      <c r="G23" s="3089">
        <f t="shared" si="14"/>
        <v>0</v>
      </c>
      <c r="H23" s="3089"/>
      <c r="I23" s="3089"/>
      <c r="J23" s="3089"/>
      <c r="K23" s="3089"/>
      <c r="L23" s="3089"/>
      <c r="M23" s="3089">
        <f>G23</f>
        <v>0</v>
      </c>
      <c r="N23" s="3089">
        <f t="shared" si="14"/>
        <v>0</v>
      </c>
      <c r="O23" s="3090">
        <f t="shared" si="14"/>
        <v>0</v>
      </c>
      <c r="P23" s="2491"/>
      <c r="R23" s="3086"/>
      <c r="S23" s="3091">
        <f>C16-C19-C22+C24</f>
        <v>0</v>
      </c>
    </row>
    <row r="24" spans="1:106" s="2490" customFormat="1" ht="22.5" customHeight="1" x14ac:dyDescent="0.25">
      <c r="A24" s="3073"/>
      <c r="B24" s="3074" t="s">
        <v>639</v>
      </c>
      <c r="C24" s="3075">
        <f t="shared" ref="C24:O24" si="15">C25+C28</f>
        <v>0</v>
      </c>
      <c r="D24" s="3075">
        <f t="shared" si="15"/>
        <v>0</v>
      </c>
      <c r="E24" s="3075">
        <f t="shared" si="15"/>
        <v>0</v>
      </c>
      <c r="F24" s="3075">
        <f t="shared" si="15"/>
        <v>0</v>
      </c>
      <c r="G24" s="3075">
        <f t="shared" si="15"/>
        <v>0</v>
      </c>
      <c r="H24" s="3075"/>
      <c r="I24" s="3075"/>
      <c r="J24" s="3075"/>
      <c r="K24" s="3075"/>
      <c r="L24" s="3075"/>
      <c r="M24" s="3075">
        <f t="shared" si="15"/>
        <v>0</v>
      </c>
      <c r="N24" s="3075">
        <f t="shared" si="15"/>
        <v>0</v>
      </c>
      <c r="O24" s="3076">
        <f t="shared" si="15"/>
        <v>0</v>
      </c>
      <c r="P24" s="2492"/>
    </row>
    <row r="25" spans="1:106" s="2490" customFormat="1" x14ac:dyDescent="0.25">
      <c r="B25" s="3077" t="s">
        <v>630</v>
      </c>
      <c r="C25" s="3078">
        <f>SUM(C26:C27)</f>
        <v>0</v>
      </c>
      <c r="D25" s="3078">
        <f t="shared" ref="D25:O25" si="16">D26+D27</f>
        <v>0</v>
      </c>
      <c r="E25" s="3078">
        <f t="shared" si="16"/>
        <v>0</v>
      </c>
      <c r="F25" s="3078">
        <f t="shared" si="16"/>
        <v>0</v>
      </c>
      <c r="G25" s="3078">
        <f t="shared" si="16"/>
        <v>0</v>
      </c>
      <c r="H25" s="3078"/>
      <c r="I25" s="3078"/>
      <c r="J25" s="3078"/>
      <c r="K25" s="3078"/>
      <c r="L25" s="3078"/>
      <c r="M25" s="3078">
        <f t="shared" si="16"/>
        <v>0</v>
      </c>
      <c r="N25" s="3078">
        <f t="shared" si="16"/>
        <v>0</v>
      </c>
      <c r="O25" s="3092">
        <f t="shared" si="16"/>
        <v>0</v>
      </c>
      <c r="P25" s="2493"/>
    </row>
    <row r="26" spans="1:106" s="2490" customFormat="1" x14ac:dyDescent="0.25">
      <c r="B26" s="3080" t="s">
        <v>634</v>
      </c>
      <c r="C26" s="3081">
        <v>0</v>
      </c>
      <c r="D26" s="3082">
        <f>C26</f>
        <v>0</v>
      </c>
      <c r="E26" s="3082">
        <f t="shared" ref="E26:O26" si="17">D26</f>
        <v>0</v>
      </c>
      <c r="F26" s="3082">
        <f t="shared" si="17"/>
        <v>0</v>
      </c>
      <c r="G26" s="3082">
        <f t="shared" si="17"/>
        <v>0</v>
      </c>
      <c r="H26" s="3082"/>
      <c r="I26" s="3082"/>
      <c r="J26" s="3082"/>
      <c r="K26" s="3082"/>
      <c r="L26" s="3082"/>
      <c r="M26" s="3082">
        <f>G26</f>
        <v>0</v>
      </c>
      <c r="N26" s="3082">
        <f t="shared" si="17"/>
        <v>0</v>
      </c>
      <c r="O26" s="3083">
        <f t="shared" si="17"/>
        <v>0</v>
      </c>
    </row>
    <row r="27" spans="1:106" s="2490" customFormat="1" x14ac:dyDescent="0.25">
      <c r="B27" s="3080" t="s">
        <v>635</v>
      </c>
      <c r="C27" s="3089"/>
      <c r="D27" s="3082"/>
      <c r="E27" s="3082"/>
      <c r="F27" s="3082"/>
      <c r="G27" s="3082"/>
      <c r="H27" s="3082"/>
      <c r="I27" s="3082"/>
      <c r="J27" s="3082"/>
      <c r="K27" s="3082"/>
      <c r="L27" s="3082"/>
      <c r="M27" s="3082"/>
      <c r="N27" s="3082"/>
      <c r="O27" s="3083"/>
    </row>
    <row r="28" spans="1:106" s="2490" customFormat="1" x14ac:dyDescent="0.25">
      <c r="B28" s="3077" t="s">
        <v>631</v>
      </c>
      <c r="C28" s="3078">
        <f t="shared" ref="C28:O28" si="18">C29+C30</f>
        <v>0</v>
      </c>
      <c r="D28" s="3078">
        <f t="shared" si="18"/>
        <v>0</v>
      </c>
      <c r="E28" s="3078">
        <f t="shared" si="18"/>
        <v>0</v>
      </c>
      <c r="F28" s="3078">
        <f t="shared" si="18"/>
        <v>0</v>
      </c>
      <c r="G28" s="3078">
        <f t="shared" si="18"/>
        <v>0</v>
      </c>
      <c r="H28" s="3078"/>
      <c r="I28" s="3078"/>
      <c r="J28" s="3078"/>
      <c r="K28" s="3078"/>
      <c r="L28" s="3078"/>
      <c r="M28" s="3078">
        <f t="shared" si="18"/>
        <v>0</v>
      </c>
      <c r="N28" s="3078">
        <f t="shared" si="18"/>
        <v>0</v>
      </c>
      <c r="O28" s="3092">
        <f t="shared" si="18"/>
        <v>0</v>
      </c>
      <c r="P28" s="2493"/>
    </row>
    <row r="29" spans="1:106" s="2490" customFormat="1" x14ac:dyDescent="0.25">
      <c r="B29" s="3080" t="s">
        <v>634</v>
      </c>
      <c r="C29" s="3081">
        <v>0</v>
      </c>
      <c r="D29" s="3082">
        <f>C29</f>
        <v>0</v>
      </c>
      <c r="E29" s="3082">
        <f t="shared" ref="E29:O29" si="19">D29</f>
        <v>0</v>
      </c>
      <c r="F29" s="3082">
        <f t="shared" si="19"/>
        <v>0</v>
      </c>
      <c r="G29" s="3082">
        <f t="shared" si="19"/>
        <v>0</v>
      </c>
      <c r="H29" s="3082"/>
      <c r="I29" s="3082"/>
      <c r="J29" s="3082"/>
      <c r="K29" s="3082"/>
      <c r="L29" s="3082"/>
      <c r="M29" s="3082">
        <f>G29</f>
        <v>0</v>
      </c>
      <c r="N29" s="3082">
        <f t="shared" si="19"/>
        <v>0</v>
      </c>
      <c r="O29" s="3083">
        <f t="shared" si="19"/>
        <v>0</v>
      </c>
    </row>
    <row r="30" spans="1:106" s="2490" customFormat="1" x14ac:dyDescent="0.25">
      <c r="B30" s="3080" t="s">
        <v>635</v>
      </c>
      <c r="C30" s="3089"/>
      <c r="D30" s="3082"/>
      <c r="E30" s="3082"/>
      <c r="F30" s="3082"/>
      <c r="G30" s="3082"/>
      <c r="H30" s="3082"/>
      <c r="I30" s="3082"/>
      <c r="J30" s="3082"/>
      <c r="K30" s="3082"/>
      <c r="L30" s="3082"/>
      <c r="M30" s="3082"/>
      <c r="N30" s="3082"/>
      <c r="O30" s="3083"/>
    </row>
    <row r="31" spans="1:106" s="2490" customFormat="1" ht="14.25" x14ac:dyDescent="0.2">
      <c r="B31" s="3093" t="s">
        <v>628</v>
      </c>
      <c r="C31" s="3094">
        <f t="shared" ref="C31:O31" si="20">C32+C35</f>
        <v>0</v>
      </c>
      <c r="D31" s="3094">
        <f t="shared" si="20"/>
        <v>0</v>
      </c>
      <c r="E31" s="3094">
        <f t="shared" si="20"/>
        <v>0</v>
      </c>
      <c r="F31" s="3094">
        <f t="shared" si="20"/>
        <v>0</v>
      </c>
      <c r="G31" s="3094">
        <f t="shared" si="20"/>
        <v>0</v>
      </c>
      <c r="H31" s="3094">
        <f t="shared" si="20"/>
        <v>0</v>
      </c>
      <c r="I31" s="3094">
        <f t="shared" si="20"/>
        <v>0</v>
      </c>
      <c r="J31" s="3094">
        <f t="shared" si="20"/>
        <v>0</v>
      </c>
      <c r="K31" s="3094">
        <f t="shared" si="20"/>
        <v>0</v>
      </c>
      <c r="L31" s="3094">
        <f t="shared" si="20"/>
        <v>0</v>
      </c>
      <c r="M31" s="3094">
        <f t="shared" si="20"/>
        <v>0</v>
      </c>
      <c r="N31" s="3094">
        <f t="shared" si="20"/>
        <v>0</v>
      </c>
      <c r="O31" s="3095">
        <f t="shared" si="20"/>
        <v>0</v>
      </c>
    </row>
    <row r="32" spans="1:106" s="3099" customFormat="1" x14ac:dyDescent="0.25">
      <c r="A32" s="3096"/>
      <c r="B32" s="3077" t="s">
        <v>630</v>
      </c>
      <c r="C32" s="3097">
        <f t="shared" ref="C32:O32" si="21">C33+C34</f>
        <v>0</v>
      </c>
      <c r="D32" s="3097">
        <f t="shared" si="21"/>
        <v>0</v>
      </c>
      <c r="E32" s="3097">
        <f t="shared" si="21"/>
        <v>0</v>
      </c>
      <c r="F32" s="3097">
        <f t="shared" si="21"/>
        <v>0</v>
      </c>
      <c r="G32" s="3097">
        <f t="shared" si="21"/>
        <v>0</v>
      </c>
      <c r="H32" s="3097"/>
      <c r="I32" s="3097"/>
      <c r="J32" s="3097"/>
      <c r="K32" s="3097"/>
      <c r="L32" s="3097"/>
      <c r="M32" s="3097">
        <f t="shared" si="21"/>
        <v>0</v>
      </c>
      <c r="N32" s="3097">
        <f t="shared" si="21"/>
        <v>0</v>
      </c>
      <c r="O32" s="3098">
        <f t="shared" si="21"/>
        <v>0</v>
      </c>
      <c r="P32" s="3096"/>
      <c r="Q32" s="3096"/>
      <c r="R32" s="3096"/>
      <c r="S32" s="3096"/>
      <c r="T32" s="3096"/>
      <c r="U32" s="3096"/>
      <c r="V32" s="3096"/>
      <c r="W32" s="3096"/>
      <c r="X32" s="3096"/>
      <c r="Y32" s="3096"/>
      <c r="Z32" s="3096"/>
      <c r="AA32" s="3096"/>
      <c r="AB32" s="3096"/>
      <c r="AC32" s="3096"/>
      <c r="AD32" s="3096"/>
      <c r="AE32" s="3096"/>
      <c r="AF32" s="3096"/>
      <c r="AG32" s="3096"/>
      <c r="AH32" s="3096"/>
      <c r="AI32" s="3096"/>
      <c r="AJ32" s="3096"/>
      <c r="AK32" s="3096"/>
      <c r="AL32" s="3096"/>
      <c r="AM32" s="3096"/>
      <c r="AN32" s="3096"/>
      <c r="AO32" s="3096"/>
      <c r="AP32" s="3096"/>
      <c r="AQ32" s="3096"/>
      <c r="AR32" s="3096"/>
      <c r="AS32" s="3096"/>
      <c r="AT32" s="3096"/>
      <c r="AU32" s="3096"/>
      <c r="AV32" s="3096"/>
      <c r="AW32" s="3096"/>
      <c r="AX32" s="3096"/>
      <c r="AY32" s="3096"/>
      <c r="AZ32" s="3096"/>
      <c r="BA32" s="3096"/>
      <c r="BB32" s="3096"/>
      <c r="BC32" s="3096"/>
      <c r="BD32" s="3096"/>
      <c r="BE32" s="3096"/>
      <c r="BF32" s="3096"/>
      <c r="BG32" s="3096"/>
      <c r="BH32" s="3096"/>
      <c r="BI32" s="3096"/>
      <c r="BJ32" s="3096"/>
      <c r="BK32" s="3096"/>
      <c r="BL32" s="3096"/>
      <c r="BM32" s="3096"/>
      <c r="BN32" s="3096"/>
      <c r="BO32" s="3096"/>
      <c r="BP32" s="3096"/>
      <c r="BQ32" s="3096"/>
      <c r="BR32" s="3096"/>
      <c r="BS32" s="3096"/>
      <c r="BT32" s="3096"/>
      <c r="BU32" s="3096"/>
      <c r="BV32" s="3096"/>
      <c r="BW32" s="3096"/>
      <c r="BX32" s="3096"/>
      <c r="BY32" s="3096"/>
      <c r="BZ32" s="3096"/>
      <c r="CA32" s="3096"/>
      <c r="CB32" s="3096"/>
      <c r="CC32" s="3096"/>
      <c r="CD32" s="3096"/>
      <c r="CE32" s="3096"/>
      <c r="CF32" s="3096"/>
      <c r="CG32" s="3096"/>
      <c r="CH32" s="3096"/>
      <c r="CI32" s="3096"/>
      <c r="CJ32" s="3096"/>
      <c r="CK32" s="3096"/>
      <c r="CL32" s="3096"/>
      <c r="CM32" s="3096"/>
      <c r="CN32" s="3096"/>
      <c r="CO32" s="3096"/>
      <c r="CP32" s="3096"/>
      <c r="CQ32" s="3096"/>
      <c r="CR32" s="3096"/>
      <c r="CS32" s="3096"/>
      <c r="CT32" s="3096"/>
      <c r="CU32" s="3096"/>
      <c r="CV32" s="3096"/>
      <c r="CW32" s="3096"/>
      <c r="CX32" s="3096"/>
      <c r="CY32" s="3096"/>
      <c r="CZ32" s="3096"/>
      <c r="DA32" s="3096"/>
      <c r="DB32" s="3096"/>
    </row>
    <row r="33" spans="1:106" s="3099" customFormat="1" x14ac:dyDescent="0.25">
      <c r="A33" s="3096"/>
      <c r="B33" s="3080" t="s">
        <v>634</v>
      </c>
      <c r="C33" s="3100">
        <v>0</v>
      </c>
      <c r="D33" s="3101">
        <f>C33</f>
        <v>0</v>
      </c>
      <c r="E33" s="3101">
        <f t="shared" ref="E33:O33" si="22">D33</f>
        <v>0</v>
      </c>
      <c r="F33" s="3101">
        <f t="shared" si="22"/>
        <v>0</v>
      </c>
      <c r="G33" s="3101">
        <f t="shared" si="22"/>
        <v>0</v>
      </c>
      <c r="H33" s="3101"/>
      <c r="I33" s="3101"/>
      <c r="J33" s="3101"/>
      <c r="K33" s="3101"/>
      <c r="L33" s="3101"/>
      <c r="M33" s="3101">
        <f>G33</f>
        <v>0</v>
      </c>
      <c r="N33" s="3101">
        <f t="shared" si="22"/>
        <v>0</v>
      </c>
      <c r="O33" s="3102">
        <f t="shared" si="22"/>
        <v>0</v>
      </c>
      <c r="P33" s="3096"/>
      <c r="Q33" s="3096"/>
      <c r="R33" s="3096"/>
      <c r="S33" s="3096"/>
      <c r="T33" s="3096"/>
      <c r="U33" s="3096"/>
      <c r="V33" s="3096"/>
      <c r="W33" s="3096"/>
      <c r="X33" s="3096"/>
      <c r="Y33" s="3096"/>
      <c r="Z33" s="3096"/>
      <c r="AA33" s="3096"/>
      <c r="AB33" s="3096"/>
      <c r="AC33" s="3096"/>
      <c r="AD33" s="3096"/>
      <c r="AE33" s="3096"/>
      <c r="AF33" s="3096"/>
      <c r="AG33" s="3096"/>
      <c r="AH33" s="3096"/>
      <c r="AI33" s="3096"/>
      <c r="AJ33" s="3096"/>
      <c r="AK33" s="3096"/>
      <c r="AL33" s="3096"/>
      <c r="AM33" s="3096"/>
      <c r="AN33" s="3096"/>
      <c r="AO33" s="3096"/>
      <c r="AP33" s="3096"/>
      <c r="AQ33" s="3096"/>
      <c r="AR33" s="3096"/>
      <c r="AS33" s="3096"/>
      <c r="AT33" s="3096"/>
      <c r="AU33" s="3096"/>
      <c r="AV33" s="3096"/>
      <c r="AW33" s="3096"/>
      <c r="AX33" s="3096"/>
      <c r="AY33" s="3096"/>
      <c r="AZ33" s="3096"/>
      <c r="BA33" s="3096"/>
      <c r="BB33" s="3096"/>
      <c r="BC33" s="3096"/>
      <c r="BD33" s="3096"/>
      <c r="BE33" s="3096"/>
      <c r="BF33" s="3096"/>
      <c r="BG33" s="3096"/>
      <c r="BH33" s="3096"/>
      <c r="BI33" s="3096"/>
      <c r="BJ33" s="3096"/>
      <c r="BK33" s="3096"/>
      <c r="BL33" s="3096"/>
      <c r="BM33" s="3096"/>
      <c r="BN33" s="3096"/>
      <c r="BO33" s="3096"/>
      <c r="BP33" s="3096"/>
      <c r="BQ33" s="3096"/>
      <c r="BR33" s="3096"/>
      <c r="BS33" s="3096"/>
      <c r="BT33" s="3096"/>
      <c r="BU33" s="3096"/>
      <c r="BV33" s="3096"/>
      <c r="BW33" s="3096"/>
      <c r="BX33" s="3096"/>
      <c r="BY33" s="3096"/>
      <c r="BZ33" s="3096"/>
      <c r="CA33" s="3096"/>
      <c r="CB33" s="3096"/>
      <c r="CC33" s="3096"/>
      <c r="CD33" s="3096"/>
      <c r="CE33" s="3096"/>
      <c r="CF33" s="3096"/>
      <c r="CG33" s="3096"/>
      <c r="CH33" s="3096"/>
      <c r="CI33" s="3096"/>
      <c r="CJ33" s="3096"/>
      <c r="CK33" s="3096"/>
      <c r="CL33" s="3096"/>
      <c r="CM33" s="3096"/>
      <c r="CN33" s="3096"/>
      <c r="CO33" s="3096"/>
      <c r="CP33" s="3096"/>
      <c r="CQ33" s="3096"/>
      <c r="CR33" s="3096"/>
      <c r="CS33" s="3096"/>
      <c r="CT33" s="3096"/>
      <c r="CU33" s="3096"/>
      <c r="CV33" s="3096"/>
      <c r="CW33" s="3096"/>
      <c r="CX33" s="3096"/>
      <c r="CY33" s="3096"/>
      <c r="CZ33" s="3096"/>
      <c r="DA33" s="3096"/>
      <c r="DB33" s="3096"/>
    </row>
    <row r="34" spans="1:106" s="3099" customFormat="1" x14ac:dyDescent="0.25">
      <c r="A34" s="3096"/>
      <c r="B34" s="3080" t="s">
        <v>635</v>
      </c>
      <c r="C34" s="3101"/>
      <c r="D34" s="3101"/>
      <c r="E34" s="3101"/>
      <c r="F34" s="3101"/>
      <c r="G34" s="3101"/>
      <c r="H34" s="3101"/>
      <c r="I34" s="3101"/>
      <c r="J34" s="3101"/>
      <c r="K34" s="3101"/>
      <c r="L34" s="3101"/>
      <c r="M34" s="3101"/>
      <c r="N34" s="3101"/>
      <c r="O34" s="3102"/>
      <c r="P34" s="3096"/>
      <c r="Q34" s="3096"/>
      <c r="R34" s="3096"/>
      <c r="S34" s="3096"/>
      <c r="T34" s="3096"/>
      <c r="U34" s="3096"/>
      <c r="V34" s="3096"/>
      <c r="W34" s="3096"/>
      <c r="X34" s="3096"/>
      <c r="Y34" s="3096"/>
      <c r="Z34" s="3096"/>
      <c r="AA34" s="3096"/>
      <c r="AB34" s="3096"/>
      <c r="AC34" s="3096"/>
      <c r="AD34" s="3096"/>
      <c r="AE34" s="3096"/>
      <c r="AF34" s="3096"/>
      <c r="AG34" s="3096"/>
      <c r="AH34" s="3096"/>
      <c r="AI34" s="3096"/>
      <c r="AJ34" s="3096"/>
      <c r="AK34" s="3096"/>
      <c r="AL34" s="3096"/>
      <c r="AM34" s="3096"/>
      <c r="AN34" s="3096"/>
      <c r="AO34" s="3096"/>
      <c r="AP34" s="3096"/>
      <c r="AQ34" s="3096"/>
      <c r="AR34" s="3096"/>
      <c r="AS34" s="3096"/>
      <c r="AT34" s="3096"/>
      <c r="AU34" s="3096"/>
      <c r="AV34" s="3096"/>
      <c r="AW34" s="3096"/>
      <c r="AX34" s="3096"/>
      <c r="AY34" s="3096"/>
      <c r="AZ34" s="3096"/>
      <c r="BA34" s="3096"/>
      <c r="BB34" s="3096"/>
      <c r="BC34" s="3096"/>
      <c r="BD34" s="3096"/>
      <c r="BE34" s="3096"/>
      <c r="BF34" s="3096"/>
      <c r="BG34" s="3096"/>
      <c r="BH34" s="3096"/>
      <c r="BI34" s="3096"/>
      <c r="BJ34" s="3096"/>
      <c r="BK34" s="3096"/>
      <c r="BL34" s="3096"/>
      <c r="BM34" s="3096"/>
      <c r="BN34" s="3096"/>
      <c r="BO34" s="3096"/>
      <c r="BP34" s="3096"/>
      <c r="BQ34" s="3096"/>
      <c r="BR34" s="3096"/>
      <c r="BS34" s="3096"/>
      <c r="BT34" s="3096"/>
      <c r="BU34" s="3096"/>
      <c r="BV34" s="3096"/>
      <c r="BW34" s="3096"/>
      <c r="BX34" s="3096"/>
      <c r="BY34" s="3096"/>
      <c r="BZ34" s="3096"/>
      <c r="CA34" s="3096"/>
      <c r="CB34" s="3096"/>
      <c r="CC34" s="3096"/>
      <c r="CD34" s="3096"/>
      <c r="CE34" s="3096"/>
      <c r="CF34" s="3096"/>
      <c r="CG34" s="3096"/>
      <c r="CH34" s="3096"/>
      <c r="CI34" s="3096"/>
      <c r="CJ34" s="3096"/>
      <c r="CK34" s="3096"/>
      <c r="CL34" s="3096"/>
      <c r="CM34" s="3096"/>
      <c r="CN34" s="3096"/>
      <c r="CO34" s="3096"/>
      <c r="CP34" s="3096"/>
      <c r="CQ34" s="3096"/>
      <c r="CR34" s="3096"/>
      <c r="CS34" s="3096"/>
      <c r="CT34" s="3096"/>
      <c r="CU34" s="3096"/>
      <c r="CV34" s="3096"/>
      <c r="CW34" s="3096"/>
      <c r="CX34" s="3096"/>
      <c r="CY34" s="3096"/>
      <c r="CZ34" s="3096"/>
      <c r="DA34" s="3096"/>
      <c r="DB34" s="3096"/>
    </row>
    <row r="35" spans="1:106" s="3106" customFormat="1" x14ac:dyDescent="0.25">
      <c r="A35" s="3096"/>
      <c r="B35" s="3077" t="s">
        <v>631</v>
      </c>
      <c r="C35" s="3103">
        <f t="shared" ref="C35:O35" si="23">C36+C38</f>
        <v>0</v>
      </c>
      <c r="D35" s="3104">
        <f t="shared" si="23"/>
        <v>0</v>
      </c>
      <c r="E35" s="3104">
        <f t="shared" si="23"/>
        <v>0</v>
      </c>
      <c r="F35" s="3104">
        <f t="shared" si="23"/>
        <v>0</v>
      </c>
      <c r="G35" s="3104">
        <f>G36+G38</f>
        <v>0</v>
      </c>
      <c r="H35" s="3104">
        <f t="shared" ref="H35:M35" si="24">H36+H38</f>
        <v>0</v>
      </c>
      <c r="I35" s="3104">
        <f t="shared" si="24"/>
        <v>0</v>
      </c>
      <c r="J35" s="3104">
        <f t="shared" si="24"/>
        <v>0</v>
      </c>
      <c r="K35" s="3104">
        <f t="shared" si="24"/>
        <v>0</v>
      </c>
      <c r="L35" s="3104">
        <f t="shared" si="24"/>
        <v>0</v>
      </c>
      <c r="M35" s="3104">
        <f t="shared" si="24"/>
        <v>0</v>
      </c>
      <c r="N35" s="3104">
        <f t="shared" si="23"/>
        <v>0</v>
      </c>
      <c r="O35" s="3105">
        <f t="shared" si="23"/>
        <v>0</v>
      </c>
      <c r="P35" s="3096"/>
      <c r="Q35" s="3096"/>
      <c r="R35" s="3096"/>
      <c r="S35" s="3096"/>
      <c r="T35" s="3096"/>
      <c r="U35" s="3096"/>
      <c r="V35" s="3096"/>
      <c r="W35" s="3096"/>
      <c r="X35" s="3096"/>
      <c r="Y35" s="3096"/>
      <c r="Z35" s="3096"/>
      <c r="AA35" s="3096"/>
      <c r="AB35" s="3096"/>
      <c r="AC35" s="3096"/>
      <c r="AD35" s="3096"/>
      <c r="AE35" s="3096"/>
      <c r="AF35" s="3096"/>
      <c r="AG35" s="3096"/>
      <c r="AH35" s="3096"/>
      <c r="AI35" s="3096"/>
      <c r="AJ35" s="3096"/>
      <c r="AK35" s="3096"/>
      <c r="AL35" s="3096"/>
      <c r="AM35" s="3096"/>
      <c r="AN35" s="3096"/>
      <c r="AO35" s="3096"/>
      <c r="AP35" s="3096"/>
      <c r="AQ35" s="3096"/>
      <c r="AR35" s="3096"/>
      <c r="AS35" s="3096"/>
      <c r="AT35" s="3096"/>
      <c r="AU35" s="3096"/>
      <c r="AV35" s="3096"/>
      <c r="AW35" s="3096"/>
      <c r="AX35" s="3096"/>
      <c r="AY35" s="3096"/>
      <c r="AZ35" s="3096"/>
      <c r="BA35" s="3096"/>
      <c r="BB35" s="3096"/>
      <c r="BC35" s="3096"/>
      <c r="BD35" s="3096"/>
      <c r="BE35" s="3096"/>
      <c r="BF35" s="3096"/>
      <c r="BG35" s="3096"/>
      <c r="BH35" s="3096"/>
      <c r="BI35" s="3096"/>
      <c r="BJ35" s="3096"/>
      <c r="BK35" s="3096"/>
      <c r="BL35" s="3096"/>
      <c r="BM35" s="3096"/>
      <c r="BN35" s="3096"/>
      <c r="BO35" s="3096"/>
      <c r="BP35" s="3096"/>
      <c r="BQ35" s="3096"/>
      <c r="BR35" s="3096"/>
      <c r="BS35" s="3096"/>
      <c r="BT35" s="3096"/>
      <c r="BU35" s="3096"/>
      <c r="BV35" s="3096"/>
      <c r="BW35" s="3096"/>
      <c r="BX35" s="3096"/>
      <c r="BY35" s="3096"/>
      <c r="BZ35" s="3096"/>
      <c r="CA35" s="3096"/>
      <c r="CB35" s="3096"/>
      <c r="CC35" s="3096"/>
      <c r="CD35" s="3096"/>
      <c r="CE35" s="3096"/>
      <c r="CF35" s="3096"/>
      <c r="CG35" s="3096"/>
      <c r="CH35" s="3096"/>
      <c r="CI35" s="3096"/>
      <c r="CJ35" s="3096"/>
      <c r="CK35" s="3096"/>
      <c r="CL35" s="3096"/>
      <c r="CM35" s="3096"/>
      <c r="CN35" s="3096"/>
      <c r="CO35" s="3096"/>
      <c r="CP35" s="3096"/>
      <c r="CQ35" s="3096"/>
      <c r="CR35" s="3096"/>
      <c r="CS35" s="3096"/>
      <c r="CT35" s="3096"/>
      <c r="CU35" s="3096"/>
      <c r="CV35" s="3096"/>
      <c r="CW35" s="3096"/>
      <c r="CX35" s="3096"/>
      <c r="CY35" s="3096"/>
      <c r="CZ35" s="3096"/>
      <c r="DA35" s="3096"/>
      <c r="DB35" s="3096"/>
    </row>
    <row r="36" spans="1:106" s="3106" customFormat="1" x14ac:dyDescent="0.25">
      <c r="A36" s="3096"/>
      <c r="B36" s="3080" t="s">
        <v>634</v>
      </c>
      <c r="C36" s="3107">
        <v>0</v>
      </c>
      <c r="D36" s="3108">
        <f>C36</f>
        <v>0</v>
      </c>
      <c r="E36" s="3108">
        <f t="shared" ref="E36:O36" si="25">D36</f>
        <v>0</v>
      </c>
      <c r="F36" s="3108">
        <f t="shared" si="25"/>
        <v>0</v>
      </c>
      <c r="G36" s="3108">
        <f t="shared" si="25"/>
        <v>0</v>
      </c>
      <c r="H36" s="3108">
        <v>0</v>
      </c>
      <c r="I36" s="3108">
        <f>H36</f>
        <v>0</v>
      </c>
      <c r="J36" s="3108">
        <f>I36</f>
        <v>0</v>
      </c>
      <c r="K36" s="3108">
        <f>J36</f>
        <v>0</v>
      </c>
      <c r="L36" s="3108">
        <f>K36</f>
        <v>0</v>
      </c>
      <c r="M36" s="3108">
        <f>G36</f>
        <v>0</v>
      </c>
      <c r="N36" s="3108">
        <f t="shared" si="25"/>
        <v>0</v>
      </c>
      <c r="O36" s="3109">
        <f t="shared" si="25"/>
        <v>0</v>
      </c>
      <c r="P36" s="3096"/>
      <c r="Q36" s="3096"/>
      <c r="R36" s="3096"/>
      <c r="S36" s="3096"/>
      <c r="T36" s="3096"/>
      <c r="U36" s="3096"/>
      <c r="V36" s="3096"/>
      <c r="W36" s="3096"/>
      <c r="X36" s="3096"/>
      <c r="Y36" s="3096"/>
      <c r="Z36" s="3096"/>
      <c r="AA36" s="3096"/>
      <c r="AB36" s="3096"/>
      <c r="AC36" s="3096"/>
      <c r="AD36" s="3096"/>
      <c r="AE36" s="3096"/>
      <c r="AF36" s="3096"/>
      <c r="AG36" s="3096"/>
      <c r="AH36" s="3096"/>
      <c r="AI36" s="3096"/>
      <c r="AJ36" s="3096"/>
      <c r="AK36" s="3096"/>
      <c r="AL36" s="3096"/>
      <c r="AM36" s="3096"/>
      <c r="AN36" s="3096"/>
      <c r="AO36" s="3096"/>
      <c r="AP36" s="3096"/>
      <c r="AQ36" s="3096"/>
      <c r="AR36" s="3096"/>
      <c r="AS36" s="3096"/>
      <c r="AT36" s="3096"/>
      <c r="AU36" s="3096"/>
      <c r="AV36" s="3096"/>
      <c r="AW36" s="3096"/>
      <c r="AX36" s="3096"/>
      <c r="AY36" s="3096"/>
      <c r="AZ36" s="3096"/>
      <c r="BA36" s="3096"/>
      <c r="BB36" s="3096"/>
      <c r="BC36" s="3096"/>
      <c r="BD36" s="3096"/>
      <c r="BE36" s="3096"/>
      <c r="BF36" s="3096"/>
      <c r="BG36" s="3096"/>
      <c r="BH36" s="3096"/>
      <c r="BI36" s="3096"/>
      <c r="BJ36" s="3096"/>
      <c r="BK36" s="3096"/>
      <c r="BL36" s="3096"/>
      <c r="BM36" s="3096"/>
      <c r="BN36" s="3096"/>
      <c r="BO36" s="3096"/>
      <c r="BP36" s="3096"/>
      <c r="BQ36" s="3096"/>
      <c r="BR36" s="3096"/>
      <c r="BS36" s="3096"/>
      <c r="BT36" s="3096"/>
      <c r="BU36" s="3096"/>
      <c r="BV36" s="3096"/>
      <c r="BW36" s="3096"/>
      <c r="BX36" s="3096"/>
      <c r="BY36" s="3096"/>
      <c r="BZ36" s="3096"/>
      <c r="CA36" s="3096"/>
      <c r="CB36" s="3096"/>
      <c r="CC36" s="3096"/>
      <c r="CD36" s="3096"/>
      <c r="CE36" s="3096"/>
      <c r="CF36" s="3096"/>
      <c r="CG36" s="3096"/>
      <c r="CH36" s="3096"/>
      <c r="CI36" s="3096"/>
      <c r="CJ36" s="3096"/>
      <c r="CK36" s="3096"/>
      <c r="CL36" s="3096"/>
      <c r="CM36" s="3096"/>
      <c r="CN36" s="3096"/>
      <c r="CO36" s="3096"/>
      <c r="CP36" s="3096"/>
      <c r="CQ36" s="3096"/>
      <c r="CR36" s="3096"/>
      <c r="CS36" s="3096"/>
      <c r="CT36" s="3096"/>
      <c r="CU36" s="3096"/>
      <c r="CV36" s="3096"/>
      <c r="CW36" s="3096"/>
      <c r="CX36" s="3096"/>
      <c r="CY36" s="3096"/>
      <c r="CZ36" s="3096"/>
      <c r="DA36" s="3096"/>
      <c r="DB36" s="3096"/>
    </row>
    <row r="37" spans="1:106" s="3106" customFormat="1" x14ac:dyDescent="0.25">
      <c r="A37" s="3096"/>
      <c r="B37" s="3084"/>
      <c r="C37" s="3101">
        <v>0</v>
      </c>
      <c r="D37" s="3108">
        <f>C37</f>
        <v>0</v>
      </c>
      <c r="E37" s="3108">
        <f t="shared" ref="E37:O37" si="26">D37</f>
        <v>0</v>
      </c>
      <c r="F37" s="3108">
        <f t="shared" si="26"/>
        <v>0</v>
      </c>
      <c r="G37" s="3108">
        <f t="shared" si="26"/>
        <v>0</v>
      </c>
      <c r="H37" s="3108"/>
      <c r="I37" s="3108"/>
      <c r="J37" s="3108"/>
      <c r="K37" s="3108"/>
      <c r="L37" s="3108"/>
      <c r="M37" s="3108">
        <f>G37</f>
        <v>0</v>
      </c>
      <c r="N37" s="3108">
        <f t="shared" si="26"/>
        <v>0</v>
      </c>
      <c r="O37" s="3108">
        <f t="shared" si="26"/>
        <v>0</v>
      </c>
      <c r="P37" s="3096"/>
      <c r="Q37" s="3096"/>
      <c r="R37" s="3096"/>
      <c r="S37" s="3096"/>
      <c r="T37" s="3096"/>
      <c r="U37" s="3096"/>
      <c r="V37" s="3096"/>
      <c r="W37" s="3096"/>
      <c r="X37" s="3096"/>
      <c r="Y37" s="3096"/>
      <c r="Z37" s="3096"/>
      <c r="AA37" s="3096"/>
      <c r="AB37" s="3096"/>
      <c r="AC37" s="3096"/>
      <c r="AD37" s="3096"/>
      <c r="AE37" s="3096"/>
      <c r="AF37" s="3096"/>
      <c r="AG37" s="3096"/>
      <c r="AH37" s="3096"/>
      <c r="AI37" s="3096"/>
      <c r="AJ37" s="3096"/>
      <c r="AK37" s="3096"/>
      <c r="AL37" s="3096"/>
      <c r="AM37" s="3096"/>
      <c r="AN37" s="3096"/>
      <c r="AO37" s="3096"/>
      <c r="AP37" s="3096"/>
      <c r="AQ37" s="3096"/>
      <c r="AR37" s="3096"/>
      <c r="AS37" s="3096"/>
      <c r="AT37" s="3096"/>
      <c r="AU37" s="3096"/>
      <c r="AV37" s="3096"/>
      <c r="AW37" s="3096"/>
      <c r="AX37" s="3096"/>
      <c r="AY37" s="3096"/>
      <c r="AZ37" s="3096"/>
      <c r="BA37" s="3096"/>
      <c r="BB37" s="3096"/>
      <c r="BC37" s="3096"/>
      <c r="BD37" s="3096"/>
      <c r="BE37" s="3096"/>
      <c r="BF37" s="3096"/>
      <c r="BG37" s="3096"/>
      <c r="BH37" s="3096"/>
      <c r="BI37" s="3096"/>
      <c r="BJ37" s="3096"/>
      <c r="BK37" s="3096"/>
      <c r="BL37" s="3096"/>
      <c r="BM37" s="3096"/>
      <c r="BN37" s="3096"/>
      <c r="BO37" s="3096"/>
      <c r="BP37" s="3096"/>
      <c r="BQ37" s="3096"/>
      <c r="BR37" s="3096"/>
      <c r="BS37" s="3096"/>
      <c r="BT37" s="3096"/>
      <c r="BU37" s="3096"/>
      <c r="BV37" s="3096"/>
      <c r="BW37" s="3096"/>
      <c r="BX37" s="3096"/>
      <c r="BY37" s="3096"/>
      <c r="BZ37" s="3096"/>
      <c r="CA37" s="3096"/>
      <c r="CB37" s="3096"/>
      <c r="CC37" s="3096"/>
      <c r="CD37" s="3096"/>
      <c r="CE37" s="3096"/>
      <c r="CF37" s="3096"/>
      <c r="CG37" s="3096"/>
      <c r="CH37" s="3096"/>
      <c r="CI37" s="3096"/>
      <c r="CJ37" s="3096"/>
      <c r="CK37" s="3096"/>
      <c r="CL37" s="3096"/>
      <c r="CM37" s="3096"/>
      <c r="CN37" s="3096"/>
      <c r="CO37" s="3096"/>
      <c r="CP37" s="3096"/>
      <c r="CQ37" s="3096"/>
      <c r="CR37" s="3096"/>
      <c r="CS37" s="3096"/>
      <c r="CT37" s="3096"/>
      <c r="CU37" s="3096"/>
      <c r="CV37" s="3096"/>
      <c r="CW37" s="3096"/>
      <c r="CX37" s="3096"/>
      <c r="CY37" s="3096"/>
      <c r="CZ37" s="3096"/>
      <c r="DA37" s="3096"/>
      <c r="DB37" s="3096"/>
    </row>
    <row r="38" spans="1:106" s="3106" customFormat="1" x14ac:dyDescent="0.25">
      <c r="A38" s="3096"/>
      <c r="B38" s="3080" t="s">
        <v>635</v>
      </c>
      <c r="C38" s="3101">
        <v>0</v>
      </c>
      <c r="D38" s="3108">
        <f>C38</f>
        <v>0</v>
      </c>
      <c r="E38" s="3108">
        <f t="shared" ref="E38:O38" si="27">D38</f>
        <v>0</v>
      </c>
      <c r="F38" s="3108">
        <f t="shared" si="27"/>
        <v>0</v>
      </c>
      <c r="G38" s="3108">
        <f t="shared" si="27"/>
        <v>0</v>
      </c>
      <c r="H38" s="3108"/>
      <c r="I38" s="3108"/>
      <c r="J38" s="3108"/>
      <c r="K38" s="3108"/>
      <c r="L38" s="3108"/>
      <c r="M38" s="3108">
        <f>G38</f>
        <v>0</v>
      </c>
      <c r="N38" s="3108">
        <f t="shared" si="27"/>
        <v>0</v>
      </c>
      <c r="O38" s="3109">
        <f t="shared" si="27"/>
        <v>0</v>
      </c>
      <c r="P38" s="3096"/>
      <c r="Q38" s="3096"/>
      <c r="R38" s="3096"/>
      <c r="S38" s="3096"/>
      <c r="T38" s="3096"/>
      <c r="U38" s="3096"/>
      <c r="V38" s="3096"/>
      <c r="W38" s="3096"/>
      <c r="X38" s="3096"/>
      <c r="Y38" s="3096"/>
      <c r="Z38" s="3096"/>
      <c r="AA38" s="3096"/>
      <c r="AB38" s="3096"/>
      <c r="AC38" s="3096"/>
      <c r="AD38" s="3096"/>
      <c r="AE38" s="3096"/>
      <c r="AF38" s="3096"/>
      <c r="AG38" s="3096"/>
      <c r="AH38" s="3096"/>
      <c r="AI38" s="3096"/>
      <c r="AJ38" s="3096"/>
      <c r="AK38" s="3096"/>
      <c r="AL38" s="3096"/>
      <c r="AM38" s="3096"/>
      <c r="AN38" s="3096"/>
      <c r="AO38" s="3096"/>
      <c r="AP38" s="3096"/>
      <c r="AQ38" s="3096"/>
      <c r="AR38" s="3096"/>
      <c r="AS38" s="3096"/>
      <c r="AT38" s="3096"/>
      <c r="AU38" s="3096"/>
      <c r="AV38" s="3096"/>
      <c r="AW38" s="3096"/>
      <c r="AX38" s="3096"/>
      <c r="AY38" s="3096"/>
      <c r="AZ38" s="3096"/>
      <c r="BA38" s="3096"/>
      <c r="BB38" s="3096"/>
      <c r="BC38" s="3096"/>
      <c r="BD38" s="3096"/>
      <c r="BE38" s="3096"/>
      <c r="BF38" s="3096"/>
      <c r="BG38" s="3096"/>
      <c r="BH38" s="3096"/>
      <c r="BI38" s="3096"/>
      <c r="BJ38" s="3096"/>
      <c r="BK38" s="3096"/>
      <c r="BL38" s="3096"/>
      <c r="BM38" s="3096"/>
      <c r="BN38" s="3096"/>
      <c r="BO38" s="3096"/>
      <c r="BP38" s="3096"/>
      <c r="BQ38" s="3096"/>
      <c r="BR38" s="3096"/>
      <c r="BS38" s="3096"/>
      <c r="BT38" s="3096"/>
      <c r="BU38" s="3096"/>
      <c r="BV38" s="3096"/>
      <c r="BW38" s="3096"/>
      <c r="BX38" s="3096"/>
      <c r="BY38" s="3096"/>
      <c r="BZ38" s="3096"/>
      <c r="CA38" s="3096"/>
      <c r="CB38" s="3096"/>
      <c r="CC38" s="3096"/>
      <c r="CD38" s="3096"/>
      <c r="CE38" s="3096"/>
      <c r="CF38" s="3096"/>
      <c r="CG38" s="3096"/>
      <c r="CH38" s="3096"/>
      <c r="CI38" s="3096"/>
      <c r="CJ38" s="3096"/>
      <c r="CK38" s="3096"/>
      <c r="CL38" s="3096"/>
      <c r="CM38" s="3096"/>
      <c r="CN38" s="3096"/>
      <c r="CO38" s="3096"/>
      <c r="CP38" s="3096"/>
      <c r="CQ38" s="3096"/>
      <c r="CR38" s="3096"/>
      <c r="CS38" s="3096"/>
      <c r="CT38" s="3096"/>
      <c r="CU38" s="3096"/>
      <c r="CV38" s="3096"/>
      <c r="CW38" s="3096"/>
      <c r="CX38" s="3096"/>
      <c r="CY38" s="3096"/>
      <c r="CZ38" s="3096"/>
      <c r="DA38" s="3096"/>
      <c r="DB38" s="3096"/>
    </row>
    <row r="39" spans="1:106" s="3110" customFormat="1" ht="14.25" x14ac:dyDescent="0.2">
      <c r="A39" s="2490"/>
      <c r="B39" s="3093" t="s">
        <v>629</v>
      </c>
      <c r="C39" s="3094">
        <f>C40+C43</f>
        <v>1.7973999999999999</v>
      </c>
      <c r="D39" s="3094">
        <f t="shared" ref="D39:O39" si="28">D40+D43</f>
        <v>1.7973999999999999</v>
      </c>
      <c r="E39" s="3094">
        <f t="shared" si="28"/>
        <v>1.7973999999999999</v>
      </c>
      <c r="F39" s="3094">
        <f t="shared" si="28"/>
        <v>1.7973999999999999</v>
      </c>
      <c r="G39" s="3094">
        <f t="shared" si="28"/>
        <v>1.7973999999999999</v>
      </c>
      <c r="H39" s="3094"/>
      <c r="I39" s="3094"/>
      <c r="J39" s="3094"/>
      <c r="K39" s="3094"/>
      <c r="L39" s="3094"/>
      <c r="M39" s="3094">
        <f t="shared" si="28"/>
        <v>1.7973999999999999</v>
      </c>
      <c r="N39" s="3094">
        <f t="shared" si="28"/>
        <v>1.7973999999999999</v>
      </c>
      <c r="O39" s="3095">
        <f t="shared" si="28"/>
        <v>1.7973999999999999</v>
      </c>
      <c r="P39" s="2490"/>
      <c r="Q39" s="2490"/>
      <c r="R39" s="2490"/>
      <c r="S39" s="2490"/>
      <c r="T39" s="2490"/>
      <c r="U39" s="2490"/>
      <c r="V39" s="2490"/>
      <c r="W39" s="2490"/>
      <c r="X39" s="2490"/>
      <c r="Y39" s="2490"/>
      <c r="Z39" s="2490"/>
      <c r="AA39" s="2490"/>
      <c r="AB39" s="2490"/>
      <c r="AC39" s="2490"/>
      <c r="AD39" s="2490"/>
      <c r="AE39" s="2490"/>
      <c r="AF39" s="2490"/>
      <c r="AG39" s="2490"/>
      <c r="AH39" s="2490"/>
      <c r="AI39" s="2490"/>
      <c r="AJ39" s="2490"/>
      <c r="AK39" s="2490"/>
      <c r="AL39" s="2490"/>
      <c r="AM39" s="2490"/>
      <c r="AN39" s="2490"/>
      <c r="AO39" s="2490"/>
      <c r="AP39" s="2490"/>
      <c r="AQ39" s="2490"/>
      <c r="AR39" s="2490"/>
      <c r="AS39" s="2490"/>
      <c r="AT39" s="2490"/>
      <c r="AU39" s="2490"/>
      <c r="AV39" s="2490"/>
      <c r="AW39" s="2490"/>
      <c r="AX39" s="2490"/>
      <c r="AY39" s="2490"/>
      <c r="AZ39" s="2490"/>
      <c r="BA39" s="2490"/>
      <c r="BB39" s="2490"/>
      <c r="BC39" s="2490"/>
      <c r="BD39" s="2490"/>
      <c r="BE39" s="2490"/>
      <c r="BF39" s="2490"/>
      <c r="BG39" s="2490"/>
      <c r="BH39" s="2490"/>
      <c r="BI39" s="2490"/>
      <c r="BJ39" s="2490"/>
      <c r="BK39" s="2490"/>
      <c r="BL39" s="2490"/>
      <c r="BM39" s="2490"/>
      <c r="BN39" s="2490"/>
      <c r="BO39" s="2490"/>
      <c r="BP39" s="2490"/>
      <c r="BQ39" s="2490"/>
      <c r="BR39" s="2490"/>
      <c r="BS39" s="2490"/>
      <c r="BT39" s="2490"/>
      <c r="BU39" s="2490"/>
      <c r="BV39" s="2490"/>
      <c r="BW39" s="2490"/>
      <c r="BX39" s="2490"/>
      <c r="BY39" s="2490"/>
      <c r="BZ39" s="2490"/>
      <c r="CA39" s="2490"/>
      <c r="CB39" s="2490"/>
      <c r="CC39" s="2490"/>
      <c r="CD39" s="2490"/>
      <c r="CE39" s="2490"/>
      <c r="CF39" s="2490"/>
      <c r="CG39" s="2490"/>
      <c r="CH39" s="2490"/>
      <c r="CI39" s="2490"/>
      <c r="CJ39" s="2490"/>
      <c r="CK39" s="2490"/>
      <c r="CL39" s="2490"/>
      <c r="CM39" s="2490"/>
      <c r="CN39" s="2490"/>
      <c r="CO39" s="2490"/>
      <c r="CP39" s="2490"/>
      <c r="CQ39" s="2490"/>
      <c r="CR39" s="2490"/>
      <c r="CS39" s="2490"/>
      <c r="CT39" s="2490"/>
      <c r="CU39" s="2490"/>
      <c r="CV39" s="2490"/>
      <c r="CW39" s="2490"/>
      <c r="CX39" s="2490"/>
      <c r="CY39" s="2490"/>
      <c r="CZ39" s="2490"/>
      <c r="DA39" s="2490"/>
      <c r="DB39" s="2490"/>
    </row>
    <row r="40" spans="1:106" s="3110" customFormat="1" x14ac:dyDescent="0.25">
      <c r="A40" s="2490"/>
      <c r="B40" s="3077" t="s">
        <v>630</v>
      </c>
      <c r="C40" s="3097">
        <f>C41+C42</f>
        <v>0.32489999999999997</v>
      </c>
      <c r="D40" s="3097">
        <f t="shared" ref="D40:O40" si="29">D41+D42</f>
        <v>0.32489999999999997</v>
      </c>
      <c r="E40" s="3097">
        <f t="shared" si="29"/>
        <v>0.32489999999999997</v>
      </c>
      <c r="F40" s="3097">
        <f t="shared" si="29"/>
        <v>0.32489999999999997</v>
      </c>
      <c r="G40" s="3097">
        <f t="shared" si="29"/>
        <v>0.32489999999999997</v>
      </c>
      <c r="H40" s="3097"/>
      <c r="I40" s="3097"/>
      <c r="J40" s="3097"/>
      <c r="K40" s="3097"/>
      <c r="L40" s="3097"/>
      <c r="M40" s="3097">
        <f t="shared" si="29"/>
        <v>0.32489999999999997</v>
      </c>
      <c r="N40" s="3097">
        <f t="shared" si="29"/>
        <v>0.32489999999999997</v>
      </c>
      <c r="O40" s="3098">
        <f t="shared" si="29"/>
        <v>0.32489999999999997</v>
      </c>
      <c r="P40" s="2490"/>
      <c r="Q40" s="2490"/>
      <c r="R40" s="2490"/>
      <c r="S40" s="2490"/>
      <c r="T40" s="2490"/>
      <c r="U40" s="2490"/>
      <c r="V40" s="2490"/>
      <c r="W40" s="2490"/>
      <c r="X40" s="2490"/>
      <c r="Y40" s="2490"/>
      <c r="Z40" s="2490"/>
      <c r="AA40" s="2490"/>
      <c r="AB40" s="2490"/>
      <c r="AC40" s="2490"/>
      <c r="AD40" s="2490"/>
      <c r="AE40" s="2490"/>
      <c r="AF40" s="2490"/>
      <c r="AG40" s="2490"/>
      <c r="AH40" s="2490"/>
      <c r="AI40" s="2490"/>
      <c r="AJ40" s="2490"/>
      <c r="AK40" s="2490"/>
      <c r="AL40" s="2490"/>
      <c r="AM40" s="2490"/>
      <c r="AN40" s="2490"/>
      <c r="AO40" s="2490"/>
      <c r="AP40" s="2490"/>
      <c r="AQ40" s="2490"/>
      <c r="AR40" s="2490"/>
      <c r="AS40" s="2490"/>
      <c r="AT40" s="2490"/>
      <c r="AU40" s="2490"/>
      <c r="AV40" s="2490"/>
      <c r="AW40" s="2490"/>
      <c r="AX40" s="2490"/>
      <c r="AY40" s="2490"/>
      <c r="AZ40" s="2490"/>
      <c r="BA40" s="2490"/>
      <c r="BB40" s="2490"/>
      <c r="BC40" s="2490"/>
      <c r="BD40" s="2490"/>
      <c r="BE40" s="2490"/>
      <c r="BF40" s="2490"/>
      <c r="BG40" s="2490"/>
      <c r="BH40" s="2490"/>
      <c r="BI40" s="2490"/>
      <c r="BJ40" s="2490"/>
      <c r="BK40" s="2490"/>
      <c r="BL40" s="2490"/>
      <c r="BM40" s="2490"/>
      <c r="BN40" s="2490"/>
      <c r="BO40" s="2490"/>
      <c r="BP40" s="2490"/>
      <c r="BQ40" s="2490"/>
      <c r="BR40" s="2490"/>
      <c r="BS40" s="2490"/>
      <c r="BT40" s="2490"/>
      <c r="BU40" s="2490"/>
      <c r="BV40" s="2490"/>
      <c r="BW40" s="2490"/>
      <c r="BX40" s="2490"/>
      <c r="BY40" s="2490"/>
      <c r="BZ40" s="2490"/>
      <c r="CA40" s="2490"/>
      <c r="CB40" s="2490"/>
      <c r="CC40" s="2490"/>
      <c r="CD40" s="2490"/>
      <c r="CE40" s="2490"/>
      <c r="CF40" s="2490"/>
      <c r="CG40" s="2490"/>
      <c r="CH40" s="2490"/>
      <c r="CI40" s="2490"/>
      <c r="CJ40" s="2490"/>
      <c r="CK40" s="2490"/>
      <c r="CL40" s="2490"/>
      <c r="CM40" s="2490"/>
      <c r="CN40" s="2490"/>
      <c r="CO40" s="2490"/>
      <c r="CP40" s="2490"/>
      <c r="CQ40" s="2490"/>
      <c r="CR40" s="2490"/>
      <c r="CS40" s="2490"/>
      <c r="CT40" s="2490"/>
      <c r="CU40" s="2490"/>
      <c r="CV40" s="2490"/>
      <c r="CW40" s="2490"/>
      <c r="CX40" s="2490"/>
      <c r="CY40" s="2490"/>
      <c r="CZ40" s="2490"/>
      <c r="DA40" s="2490"/>
      <c r="DB40" s="2490"/>
    </row>
    <row r="41" spans="1:106" s="3110" customFormat="1" x14ac:dyDescent="0.25">
      <c r="A41" s="2490"/>
      <c r="B41" s="3080" t="s">
        <v>634</v>
      </c>
      <c r="C41" s="3111">
        <v>0.24399999999999999</v>
      </c>
      <c r="D41" s="3108">
        <f>C41</f>
        <v>0.24399999999999999</v>
      </c>
      <c r="E41" s="3108">
        <f t="shared" ref="E41:O41" si="30">D41</f>
        <v>0.24399999999999999</v>
      </c>
      <c r="F41" s="3108">
        <f t="shared" si="30"/>
        <v>0.24399999999999999</v>
      </c>
      <c r="G41" s="3108">
        <f t="shared" si="30"/>
        <v>0.24399999999999999</v>
      </c>
      <c r="H41" s="3108"/>
      <c r="I41" s="3108"/>
      <c r="J41" s="3108"/>
      <c r="K41" s="3108"/>
      <c r="L41" s="3108"/>
      <c r="M41" s="3108">
        <f>G41</f>
        <v>0.24399999999999999</v>
      </c>
      <c r="N41" s="3108">
        <f t="shared" si="30"/>
        <v>0.24399999999999999</v>
      </c>
      <c r="O41" s="3109">
        <f t="shared" si="30"/>
        <v>0.24399999999999999</v>
      </c>
      <c r="P41" s="2490"/>
      <c r="Q41" s="2490"/>
      <c r="R41" s="2490"/>
      <c r="S41" s="2490"/>
      <c r="T41" s="2490"/>
      <c r="U41" s="2490"/>
      <c r="V41" s="2490"/>
      <c r="W41" s="2490"/>
      <c r="X41" s="2490"/>
      <c r="Y41" s="2490"/>
      <c r="Z41" s="2490"/>
      <c r="AA41" s="2490"/>
      <c r="AB41" s="2490"/>
      <c r="AC41" s="2490"/>
      <c r="AD41" s="2490"/>
      <c r="AE41" s="2490"/>
      <c r="AF41" s="2490"/>
      <c r="AG41" s="2490"/>
      <c r="AH41" s="2490"/>
      <c r="AI41" s="2490"/>
      <c r="AJ41" s="2490"/>
      <c r="AK41" s="2490"/>
      <c r="AL41" s="2490"/>
      <c r="AM41" s="2490"/>
      <c r="AN41" s="2490"/>
      <c r="AO41" s="2490"/>
      <c r="AP41" s="2490"/>
      <c r="AQ41" s="2490"/>
      <c r="AR41" s="2490"/>
      <c r="AS41" s="2490"/>
      <c r="AT41" s="2490"/>
      <c r="AU41" s="2490"/>
      <c r="AV41" s="2490"/>
      <c r="AW41" s="2490"/>
      <c r="AX41" s="2490"/>
      <c r="AY41" s="2490"/>
      <c r="AZ41" s="2490"/>
      <c r="BA41" s="2490"/>
      <c r="BB41" s="2490"/>
      <c r="BC41" s="2490"/>
      <c r="BD41" s="2490"/>
      <c r="BE41" s="2490"/>
      <c r="BF41" s="2490"/>
      <c r="BG41" s="2490"/>
      <c r="BH41" s="2490"/>
      <c r="BI41" s="2490"/>
      <c r="BJ41" s="2490"/>
      <c r="BK41" s="2490"/>
      <c r="BL41" s="2490"/>
      <c r="BM41" s="2490"/>
      <c r="BN41" s="2490"/>
      <c r="BO41" s="2490"/>
      <c r="BP41" s="2490"/>
      <c r="BQ41" s="2490"/>
      <c r="BR41" s="2490"/>
      <c r="BS41" s="2490"/>
      <c r="BT41" s="2490"/>
      <c r="BU41" s="2490"/>
      <c r="BV41" s="2490"/>
      <c r="BW41" s="2490"/>
      <c r="BX41" s="2490"/>
      <c r="BY41" s="2490"/>
      <c r="BZ41" s="2490"/>
      <c r="CA41" s="2490"/>
      <c r="CB41" s="2490"/>
      <c r="CC41" s="2490"/>
      <c r="CD41" s="2490"/>
      <c r="CE41" s="2490"/>
      <c r="CF41" s="2490"/>
      <c r="CG41" s="2490"/>
      <c r="CH41" s="2490"/>
      <c r="CI41" s="2490"/>
      <c r="CJ41" s="2490"/>
      <c r="CK41" s="2490"/>
      <c r="CL41" s="2490"/>
      <c r="CM41" s="2490"/>
      <c r="CN41" s="2490"/>
      <c r="CO41" s="2490"/>
      <c r="CP41" s="2490"/>
      <c r="CQ41" s="2490"/>
      <c r="CR41" s="2490"/>
      <c r="CS41" s="2490"/>
      <c r="CT41" s="2490"/>
      <c r="CU41" s="2490"/>
      <c r="CV41" s="2490"/>
      <c r="CW41" s="2490"/>
      <c r="CX41" s="2490"/>
      <c r="CY41" s="2490"/>
      <c r="CZ41" s="2490"/>
      <c r="DA41" s="2490"/>
      <c r="DB41" s="2490"/>
    </row>
    <row r="42" spans="1:106" s="3110" customFormat="1" ht="15.75" thickBot="1" x14ac:dyDescent="0.3">
      <c r="A42" s="2490"/>
      <c r="B42" s="3112" t="s">
        <v>635</v>
      </c>
      <c r="C42" s="3463">
        <v>8.09E-2</v>
      </c>
      <c r="D42" s="3464">
        <f>C42</f>
        <v>8.09E-2</v>
      </c>
      <c r="E42" s="3464">
        <f>D42</f>
        <v>8.09E-2</v>
      </c>
      <c r="F42" s="3464">
        <f>E42</f>
        <v>8.09E-2</v>
      </c>
      <c r="G42" s="3464">
        <f>F42</f>
        <v>8.09E-2</v>
      </c>
      <c r="H42" s="3464"/>
      <c r="I42" s="3464"/>
      <c r="J42" s="3464"/>
      <c r="K42" s="3464"/>
      <c r="L42" s="3464"/>
      <c r="M42" s="3464">
        <f>G42</f>
        <v>8.09E-2</v>
      </c>
      <c r="N42" s="3464">
        <f>M42</f>
        <v>8.09E-2</v>
      </c>
      <c r="O42" s="3465">
        <f>N42</f>
        <v>8.09E-2</v>
      </c>
      <c r="P42" s="2490"/>
      <c r="Q42" s="2490"/>
      <c r="R42" s="2490"/>
      <c r="S42" s="2490"/>
      <c r="T42" s="2490"/>
      <c r="U42" s="2490"/>
      <c r="V42" s="2490"/>
      <c r="W42" s="2490"/>
      <c r="X42" s="2490"/>
      <c r="Y42" s="2490"/>
      <c r="Z42" s="2490"/>
      <c r="AA42" s="2490"/>
      <c r="AB42" s="2490"/>
      <c r="AC42" s="2490"/>
      <c r="AD42" s="2490"/>
      <c r="AE42" s="2490"/>
      <c r="AF42" s="2490"/>
      <c r="AG42" s="2490"/>
      <c r="AH42" s="2490"/>
      <c r="AI42" s="2490"/>
      <c r="AJ42" s="2490"/>
      <c r="AK42" s="2490"/>
      <c r="AL42" s="2490"/>
      <c r="AM42" s="2490"/>
      <c r="AN42" s="2490"/>
      <c r="AO42" s="2490"/>
      <c r="AP42" s="2490"/>
      <c r="AQ42" s="2490"/>
      <c r="AR42" s="2490"/>
      <c r="AS42" s="2490"/>
      <c r="AT42" s="2490"/>
      <c r="AU42" s="2490"/>
      <c r="AV42" s="2490"/>
      <c r="AW42" s="2490"/>
      <c r="AX42" s="2490"/>
      <c r="AY42" s="2490"/>
      <c r="AZ42" s="2490"/>
      <c r="BA42" s="2490"/>
      <c r="BB42" s="2490"/>
      <c r="BC42" s="2490"/>
      <c r="BD42" s="2490"/>
      <c r="BE42" s="2490"/>
      <c r="BF42" s="2490"/>
      <c r="BG42" s="2490"/>
      <c r="BH42" s="2490"/>
      <c r="BI42" s="2490"/>
      <c r="BJ42" s="2490"/>
      <c r="BK42" s="2490"/>
      <c r="BL42" s="2490"/>
      <c r="BM42" s="2490"/>
      <c r="BN42" s="2490"/>
      <c r="BO42" s="2490"/>
      <c r="BP42" s="2490"/>
      <c r="BQ42" s="2490"/>
      <c r="BR42" s="2490"/>
      <c r="BS42" s="2490"/>
      <c r="BT42" s="2490"/>
      <c r="BU42" s="2490"/>
      <c r="BV42" s="2490"/>
      <c r="BW42" s="2490"/>
      <c r="BX42" s="2490"/>
      <c r="BY42" s="2490"/>
      <c r="BZ42" s="2490"/>
      <c r="CA42" s="2490"/>
      <c r="CB42" s="2490"/>
      <c r="CC42" s="2490"/>
      <c r="CD42" s="2490"/>
      <c r="CE42" s="2490"/>
      <c r="CF42" s="2490"/>
      <c r="CG42" s="2490"/>
      <c r="CH42" s="2490"/>
      <c r="CI42" s="2490"/>
      <c r="CJ42" s="2490"/>
      <c r="CK42" s="2490"/>
      <c r="CL42" s="2490"/>
      <c r="CM42" s="2490"/>
      <c r="CN42" s="2490"/>
      <c r="CO42" s="2490"/>
      <c r="CP42" s="2490"/>
      <c r="CQ42" s="2490"/>
      <c r="CR42" s="2490"/>
      <c r="CS42" s="2490"/>
      <c r="CT42" s="2490"/>
      <c r="CU42" s="2490"/>
      <c r="CV42" s="2490"/>
      <c r="CW42" s="2490"/>
      <c r="CX42" s="2490"/>
      <c r="CY42" s="2490"/>
      <c r="CZ42" s="2490"/>
      <c r="DA42" s="2490"/>
      <c r="DB42" s="2490"/>
    </row>
    <row r="43" spans="1:106" s="3110" customFormat="1" x14ac:dyDescent="0.25">
      <c r="A43" s="2490"/>
      <c r="B43" s="3133" t="s">
        <v>631</v>
      </c>
      <c r="C43" s="3461">
        <f>C44+C45</f>
        <v>1.4724999999999999</v>
      </c>
      <c r="D43" s="3461">
        <f t="shared" ref="D43:O43" si="31">D44+D45</f>
        <v>1.4724999999999999</v>
      </c>
      <c r="E43" s="3461">
        <f t="shared" si="31"/>
        <v>1.4724999999999999</v>
      </c>
      <c r="F43" s="3461">
        <f t="shared" si="31"/>
        <v>1.4724999999999999</v>
      </c>
      <c r="G43" s="3461">
        <f t="shared" si="31"/>
        <v>1.4724999999999999</v>
      </c>
      <c r="H43" s="3461"/>
      <c r="I43" s="3461"/>
      <c r="J43" s="3461"/>
      <c r="K43" s="3461"/>
      <c r="L43" s="3461"/>
      <c r="M43" s="3461">
        <f t="shared" si="31"/>
        <v>1.4724999999999999</v>
      </c>
      <c r="N43" s="3461">
        <f t="shared" si="31"/>
        <v>1.4724999999999999</v>
      </c>
      <c r="O43" s="3462">
        <f t="shared" si="31"/>
        <v>1.4724999999999999</v>
      </c>
      <c r="P43" s="2490"/>
      <c r="Q43" s="2490"/>
      <c r="R43" s="2490"/>
      <c r="S43" s="2490"/>
      <c r="T43" s="2490"/>
      <c r="U43" s="2490"/>
      <c r="V43" s="2490"/>
      <c r="W43" s="2490"/>
      <c r="X43" s="2490"/>
      <c r="Y43" s="2490"/>
      <c r="Z43" s="2490"/>
      <c r="AA43" s="2490"/>
      <c r="AB43" s="2490"/>
      <c r="AC43" s="2490"/>
      <c r="AD43" s="2490"/>
      <c r="AE43" s="2490"/>
      <c r="AF43" s="2490"/>
      <c r="AG43" s="2490"/>
      <c r="AH43" s="2490"/>
      <c r="AI43" s="2490"/>
      <c r="AJ43" s="2490"/>
      <c r="AK43" s="2490"/>
      <c r="AL43" s="2490"/>
      <c r="AM43" s="2490"/>
      <c r="AN43" s="2490"/>
      <c r="AO43" s="2490"/>
      <c r="AP43" s="2490"/>
      <c r="AQ43" s="2490"/>
      <c r="AR43" s="2490"/>
      <c r="AS43" s="2490"/>
      <c r="AT43" s="2490"/>
      <c r="AU43" s="2490"/>
      <c r="AV43" s="2490"/>
      <c r="AW43" s="2490"/>
      <c r="AX43" s="2490"/>
      <c r="AY43" s="2490"/>
      <c r="AZ43" s="2490"/>
      <c r="BA43" s="2490"/>
      <c r="BB43" s="2490"/>
      <c r="BC43" s="2490"/>
      <c r="BD43" s="2490"/>
      <c r="BE43" s="2490"/>
      <c r="BF43" s="2490"/>
      <c r="BG43" s="2490"/>
      <c r="BH43" s="2490"/>
      <c r="BI43" s="2490"/>
      <c r="BJ43" s="2490"/>
      <c r="BK43" s="2490"/>
      <c r="BL43" s="2490"/>
      <c r="BM43" s="2490"/>
      <c r="BN43" s="2490"/>
      <c r="BO43" s="2490"/>
      <c r="BP43" s="2490"/>
      <c r="BQ43" s="2490"/>
      <c r="BR43" s="2490"/>
      <c r="BS43" s="2490"/>
      <c r="BT43" s="2490"/>
      <c r="BU43" s="2490"/>
      <c r="BV43" s="2490"/>
      <c r="BW43" s="2490"/>
      <c r="BX43" s="2490"/>
      <c r="BY43" s="2490"/>
      <c r="BZ43" s="2490"/>
      <c r="CA43" s="2490"/>
      <c r="CB43" s="2490"/>
      <c r="CC43" s="2490"/>
      <c r="CD43" s="2490"/>
      <c r="CE43" s="2490"/>
      <c r="CF43" s="2490"/>
      <c r="CG43" s="2490"/>
      <c r="CH43" s="2490"/>
      <c r="CI43" s="2490"/>
      <c r="CJ43" s="2490"/>
      <c r="CK43" s="2490"/>
      <c r="CL43" s="2490"/>
      <c r="CM43" s="2490"/>
      <c r="CN43" s="2490"/>
      <c r="CO43" s="2490"/>
      <c r="CP43" s="2490"/>
      <c r="CQ43" s="2490"/>
      <c r="CR43" s="2490"/>
      <c r="CS43" s="2490"/>
      <c r="CT43" s="2490"/>
      <c r="CU43" s="2490"/>
      <c r="CV43" s="2490"/>
      <c r="CW43" s="2490"/>
      <c r="CX43" s="2490"/>
      <c r="CY43" s="2490"/>
      <c r="CZ43" s="2490"/>
      <c r="DA43" s="2490"/>
      <c r="DB43" s="2490"/>
    </row>
    <row r="44" spans="1:106" s="3110" customFormat="1" x14ac:dyDescent="0.25">
      <c r="A44" s="2490"/>
      <c r="B44" s="3080" t="s">
        <v>634</v>
      </c>
      <c r="C44" s="3111">
        <f>0.474+0.098</f>
        <v>0.57199999999999995</v>
      </c>
      <c r="D44" s="3108">
        <f>C44</f>
        <v>0.57199999999999995</v>
      </c>
      <c r="E44" s="3108">
        <f t="shared" ref="E44:O44" si="32">D44</f>
        <v>0.57199999999999995</v>
      </c>
      <c r="F44" s="3108">
        <f t="shared" si="32"/>
        <v>0.57199999999999995</v>
      </c>
      <c r="G44" s="3108">
        <f t="shared" si="32"/>
        <v>0.57199999999999995</v>
      </c>
      <c r="H44" s="3108"/>
      <c r="I44" s="3108"/>
      <c r="J44" s="3108"/>
      <c r="K44" s="3108"/>
      <c r="L44" s="3108"/>
      <c r="M44" s="3108">
        <f>G44</f>
        <v>0.57199999999999995</v>
      </c>
      <c r="N44" s="3108">
        <f t="shared" si="32"/>
        <v>0.57199999999999995</v>
      </c>
      <c r="O44" s="3109">
        <f t="shared" si="32"/>
        <v>0.57199999999999995</v>
      </c>
      <c r="P44" s="2490"/>
      <c r="Q44" s="2490"/>
      <c r="R44" s="2490"/>
      <c r="S44" s="2490"/>
      <c r="T44" s="2490"/>
      <c r="U44" s="2490"/>
      <c r="V44" s="2490"/>
      <c r="W44" s="2490"/>
      <c r="X44" s="2490"/>
      <c r="Y44" s="2490"/>
      <c r="Z44" s="2490"/>
      <c r="AA44" s="2490"/>
      <c r="AB44" s="2490"/>
      <c r="AC44" s="2490"/>
      <c r="AD44" s="2490"/>
      <c r="AE44" s="2490"/>
      <c r="AF44" s="2490"/>
      <c r="AG44" s="2490"/>
      <c r="AH44" s="2490"/>
      <c r="AI44" s="2490"/>
      <c r="AJ44" s="2490"/>
      <c r="AK44" s="2490"/>
      <c r="AL44" s="2490"/>
      <c r="AM44" s="2490"/>
      <c r="AN44" s="2490"/>
      <c r="AO44" s="2490"/>
      <c r="AP44" s="2490"/>
      <c r="AQ44" s="2490"/>
      <c r="AR44" s="2490"/>
      <c r="AS44" s="2490"/>
      <c r="AT44" s="2490"/>
      <c r="AU44" s="2490"/>
      <c r="AV44" s="2490"/>
      <c r="AW44" s="2490"/>
      <c r="AX44" s="2490"/>
      <c r="AY44" s="2490"/>
      <c r="AZ44" s="2490"/>
      <c r="BA44" s="2490"/>
      <c r="BB44" s="2490"/>
      <c r="BC44" s="2490"/>
      <c r="BD44" s="2490"/>
      <c r="BE44" s="2490"/>
      <c r="BF44" s="2490"/>
      <c r="BG44" s="2490"/>
      <c r="BH44" s="2490"/>
      <c r="BI44" s="2490"/>
      <c r="BJ44" s="2490"/>
      <c r="BK44" s="2490"/>
      <c r="BL44" s="2490"/>
      <c r="BM44" s="2490"/>
      <c r="BN44" s="2490"/>
      <c r="BO44" s="2490"/>
      <c r="BP44" s="2490"/>
      <c r="BQ44" s="2490"/>
      <c r="BR44" s="2490"/>
      <c r="BS44" s="2490"/>
      <c r="BT44" s="2490"/>
      <c r="BU44" s="2490"/>
      <c r="BV44" s="2490"/>
      <c r="BW44" s="2490"/>
      <c r="BX44" s="2490"/>
      <c r="BY44" s="2490"/>
      <c r="BZ44" s="2490"/>
      <c r="CA44" s="2490"/>
      <c r="CB44" s="2490"/>
      <c r="CC44" s="2490"/>
      <c r="CD44" s="2490"/>
      <c r="CE44" s="2490"/>
      <c r="CF44" s="2490"/>
      <c r="CG44" s="2490"/>
      <c r="CH44" s="2490"/>
      <c r="CI44" s="2490"/>
      <c r="CJ44" s="2490"/>
      <c r="CK44" s="2490"/>
      <c r="CL44" s="2490"/>
      <c r="CM44" s="2490"/>
      <c r="CN44" s="2490"/>
      <c r="CO44" s="2490"/>
      <c r="CP44" s="2490"/>
      <c r="CQ44" s="2490"/>
      <c r="CR44" s="2490"/>
      <c r="CS44" s="2490"/>
      <c r="CT44" s="2490"/>
      <c r="CU44" s="2490"/>
      <c r="CV44" s="2490"/>
      <c r="CW44" s="2490"/>
      <c r="CX44" s="2490"/>
      <c r="CY44" s="2490"/>
      <c r="CZ44" s="2490"/>
      <c r="DA44" s="2490"/>
      <c r="DB44" s="2490"/>
    </row>
    <row r="45" spans="1:106" s="3110" customFormat="1" x14ac:dyDescent="0.25">
      <c r="A45" s="2490"/>
      <c r="B45" s="3080" t="s">
        <v>635</v>
      </c>
      <c r="C45" s="3111">
        <v>0.90049999999999997</v>
      </c>
      <c r="D45" s="3108">
        <f>C45</f>
        <v>0.90049999999999997</v>
      </c>
      <c r="E45" s="3108">
        <f t="shared" ref="E45:O45" si="33">D45</f>
        <v>0.90049999999999997</v>
      </c>
      <c r="F45" s="3108">
        <f t="shared" si="33"/>
        <v>0.90049999999999997</v>
      </c>
      <c r="G45" s="3108">
        <f t="shared" si="33"/>
        <v>0.90049999999999997</v>
      </c>
      <c r="H45" s="3108"/>
      <c r="I45" s="3108"/>
      <c r="J45" s="3108"/>
      <c r="K45" s="3108"/>
      <c r="L45" s="3108"/>
      <c r="M45" s="3108">
        <f>G45</f>
        <v>0.90049999999999997</v>
      </c>
      <c r="N45" s="3108">
        <f t="shared" si="33"/>
        <v>0.90049999999999997</v>
      </c>
      <c r="O45" s="3109">
        <f t="shared" si="33"/>
        <v>0.90049999999999997</v>
      </c>
      <c r="P45" s="2490"/>
      <c r="Q45" s="2490"/>
      <c r="R45" s="2490"/>
      <c r="S45" s="2490"/>
      <c r="T45" s="2490"/>
      <c r="U45" s="2490"/>
      <c r="V45" s="2490"/>
      <c r="W45" s="2490"/>
      <c r="X45" s="2490"/>
      <c r="Y45" s="2490"/>
      <c r="Z45" s="2490"/>
      <c r="AA45" s="2490"/>
      <c r="AB45" s="2490"/>
      <c r="AC45" s="2490"/>
      <c r="AD45" s="2490"/>
      <c r="AE45" s="2490"/>
      <c r="AF45" s="2490"/>
      <c r="AG45" s="2490"/>
      <c r="AH45" s="2490"/>
      <c r="AI45" s="2490"/>
      <c r="AJ45" s="2490"/>
      <c r="AK45" s="2490"/>
      <c r="AL45" s="2490"/>
      <c r="AM45" s="2490"/>
      <c r="AN45" s="2490"/>
      <c r="AO45" s="2490"/>
      <c r="AP45" s="2490"/>
      <c r="AQ45" s="2490"/>
      <c r="AR45" s="2490"/>
      <c r="AS45" s="2490"/>
      <c r="AT45" s="2490"/>
      <c r="AU45" s="2490"/>
      <c r="AV45" s="2490"/>
      <c r="AW45" s="2490"/>
      <c r="AX45" s="2490"/>
      <c r="AY45" s="2490"/>
      <c r="AZ45" s="2490"/>
      <c r="BA45" s="2490"/>
      <c r="BB45" s="2490"/>
      <c r="BC45" s="2490"/>
      <c r="BD45" s="2490"/>
      <c r="BE45" s="2490"/>
      <c r="BF45" s="2490"/>
      <c r="BG45" s="2490"/>
      <c r="BH45" s="2490"/>
      <c r="BI45" s="2490"/>
      <c r="BJ45" s="2490"/>
      <c r="BK45" s="2490"/>
      <c r="BL45" s="2490"/>
      <c r="BM45" s="2490"/>
      <c r="BN45" s="2490"/>
      <c r="BO45" s="2490"/>
      <c r="BP45" s="2490"/>
      <c r="BQ45" s="2490"/>
      <c r="BR45" s="2490"/>
      <c r="BS45" s="2490"/>
      <c r="BT45" s="2490"/>
      <c r="BU45" s="2490"/>
      <c r="BV45" s="2490"/>
      <c r="BW45" s="2490"/>
      <c r="BX45" s="2490"/>
      <c r="BY45" s="2490"/>
      <c r="BZ45" s="2490"/>
      <c r="CA45" s="2490"/>
      <c r="CB45" s="2490"/>
      <c r="CC45" s="2490"/>
      <c r="CD45" s="2490"/>
      <c r="CE45" s="2490"/>
      <c r="CF45" s="2490"/>
      <c r="CG45" s="2490"/>
      <c r="CH45" s="2490"/>
      <c r="CI45" s="2490"/>
      <c r="CJ45" s="2490"/>
      <c r="CK45" s="2490"/>
      <c r="CL45" s="2490"/>
      <c r="CM45" s="2490"/>
      <c r="CN45" s="2490"/>
      <c r="CO45" s="2490"/>
      <c r="CP45" s="2490"/>
      <c r="CQ45" s="2490"/>
      <c r="CR45" s="2490"/>
      <c r="CS45" s="2490"/>
      <c r="CT45" s="2490"/>
      <c r="CU45" s="2490"/>
      <c r="CV45" s="2490"/>
      <c r="CW45" s="2490"/>
      <c r="CX45" s="2490"/>
      <c r="CY45" s="2490"/>
      <c r="CZ45" s="2490"/>
      <c r="DA45" s="2490"/>
      <c r="DB45" s="2490"/>
    </row>
    <row r="46" spans="1:106" s="3110" customFormat="1" ht="14.25" x14ac:dyDescent="0.2">
      <c r="A46" s="2490"/>
      <c r="B46" s="3093" t="s">
        <v>637</v>
      </c>
      <c r="C46" s="3094">
        <f>C47+C50</f>
        <v>1.1400999999999999</v>
      </c>
      <c r="D46" s="3094">
        <f t="shared" ref="D46:O46" si="34">D47+D50</f>
        <v>1.1400999999999999</v>
      </c>
      <c r="E46" s="3094">
        <f t="shared" si="34"/>
        <v>1.1400999999999999</v>
      </c>
      <c r="F46" s="3094">
        <f t="shared" si="34"/>
        <v>1.1400999999999999</v>
      </c>
      <c r="G46" s="3094">
        <f t="shared" si="34"/>
        <v>1.1400999999999999</v>
      </c>
      <c r="H46" s="3094"/>
      <c r="I46" s="3094"/>
      <c r="J46" s="3094"/>
      <c r="K46" s="3094"/>
      <c r="L46" s="3094"/>
      <c r="M46" s="3094">
        <f t="shared" si="34"/>
        <v>1.1400999999999999</v>
      </c>
      <c r="N46" s="3094">
        <f t="shared" si="34"/>
        <v>1.1400999999999999</v>
      </c>
      <c r="O46" s="3095">
        <f t="shared" si="34"/>
        <v>1.1400999999999999</v>
      </c>
      <c r="P46" s="2490"/>
      <c r="Q46" s="2490"/>
      <c r="R46" s="2490"/>
      <c r="S46" s="2490"/>
      <c r="T46" s="2490"/>
      <c r="U46" s="2490"/>
      <c r="V46" s="2490"/>
      <c r="W46" s="2490"/>
      <c r="X46" s="2490"/>
      <c r="Y46" s="2490"/>
      <c r="Z46" s="2490"/>
      <c r="AA46" s="2490"/>
      <c r="AB46" s="2490"/>
      <c r="AC46" s="2490"/>
      <c r="AD46" s="2490"/>
      <c r="AE46" s="2490"/>
      <c r="AF46" s="2490"/>
      <c r="AG46" s="2490"/>
      <c r="AH46" s="2490"/>
      <c r="AI46" s="2490"/>
      <c r="AJ46" s="2490"/>
      <c r="AK46" s="2490"/>
      <c r="AL46" s="2490"/>
      <c r="AM46" s="2490"/>
      <c r="AN46" s="2490"/>
      <c r="AO46" s="2490"/>
      <c r="AP46" s="2490"/>
      <c r="AQ46" s="2490"/>
      <c r="AR46" s="2490"/>
      <c r="AS46" s="2490"/>
      <c r="AT46" s="2490"/>
      <c r="AU46" s="2490"/>
      <c r="AV46" s="2490"/>
      <c r="AW46" s="2490"/>
      <c r="AX46" s="2490"/>
      <c r="AY46" s="2490"/>
      <c r="AZ46" s="2490"/>
      <c r="BA46" s="2490"/>
      <c r="BB46" s="2490"/>
      <c r="BC46" s="2490"/>
      <c r="BD46" s="2490"/>
      <c r="BE46" s="2490"/>
      <c r="BF46" s="2490"/>
      <c r="BG46" s="2490"/>
      <c r="BH46" s="2490"/>
      <c r="BI46" s="2490"/>
      <c r="BJ46" s="2490"/>
      <c r="BK46" s="2490"/>
      <c r="BL46" s="2490"/>
      <c r="BM46" s="2490"/>
      <c r="BN46" s="2490"/>
      <c r="BO46" s="2490"/>
      <c r="BP46" s="2490"/>
      <c r="BQ46" s="2490"/>
      <c r="BR46" s="2490"/>
      <c r="BS46" s="2490"/>
      <c r="BT46" s="2490"/>
      <c r="BU46" s="2490"/>
      <c r="BV46" s="2490"/>
      <c r="BW46" s="2490"/>
      <c r="BX46" s="2490"/>
      <c r="BY46" s="2490"/>
      <c r="BZ46" s="2490"/>
      <c r="CA46" s="2490"/>
      <c r="CB46" s="2490"/>
      <c r="CC46" s="2490"/>
      <c r="CD46" s="2490"/>
      <c r="CE46" s="2490"/>
      <c r="CF46" s="2490"/>
      <c r="CG46" s="2490"/>
      <c r="CH46" s="2490"/>
      <c r="CI46" s="2490"/>
      <c r="CJ46" s="2490"/>
      <c r="CK46" s="2490"/>
      <c r="CL46" s="2490"/>
      <c r="CM46" s="2490"/>
      <c r="CN46" s="2490"/>
      <c r="CO46" s="2490"/>
      <c r="CP46" s="2490"/>
      <c r="CQ46" s="2490"/>
      <c r="CR46" s="2490"/>
      <c r="CS46" s="2490"/>
      <c r="CT46" s="2490"/>
      <c r="CU46" s="2490"/>
      <c r="CV46" s="2490"/>
      <c r="CW46" s="2490"/>
      <c r="CX46" s="2490"/>
      <c r="CY46" s="2490"/>
      <c r="CZ46" s="2490"/>
      <c r="DA46" s="2490"/>
      <c r="DB46" s="2490"/>
    </row>
    <row r="47" spans="1:106" s="3110" customFormat="1" x14ac:dyDescent="0.25">
      <c r="A47" s="2490"/>
      <c r="B47" s="3077" t="s">
        <v>632</v>
      </c>
      <c r="C47" s="3097">
        <f>C48+C49</f>
        <v>0</v>
      </c>
      <c r="D47" s="3097">
        <f t="shared" ref="D47:O47" si="35">D48+D49</f>
        <v>0</v>
      </c>
      <c r="E47" s="3097">
        <f>E48+E49</f>
        <v>0</v>
      </c>
      <c r="F47" s="3097">
        <f t="shared" si="35"/>
        <v>0</v>
      </c>
      <c r="G47" s="3097">
        <f t="shared" si="35"/>
        <v>0</v>
      </c>
      <c r="H47" s="3097"/>
      <c r="I47" s="3097"/>
      <c r="J47" s="3097"/>
      <c r="K47" s="3097"/>
      <c r="L47" s="3097"/>
      <c r="M47" s="3097">
        <f t="shared" si="35"/>
        <v>0</v>
      </c>
      <c r="N47" s="3097">
        <f t="shared" si="35"/>
        <v>0</v>
      </c>
      <c r="O47" s="3098">
        <f t="shared" si="35"/>
        <v>0</v>
      </c>
      <c r="P47" s="2490"/>
      <c r="Q47" s="2490"/>
      <c r="R47" s="2490"/>
      <c r="S47" s="2490"/>
      <c r="T47" s="2490"/>
      <c r="U47" s="2490"/>
      <c r="V47" s="2490"/>
      <c r="W47" s="2490"/>
      <c r="X47" s="2490"/>
      <c r="Y47" s="2490"/>
      <c r="Z47" s="2490"/>
      <c r="AA47" s="2490"/>
      <c r="AB47" s="2490"/>
      <c r="AC47" s="2490"/>
      <c r="AD47" s="2490"/>
      <c r="AE47" s="2490"/>
      <c r="AF47" s="2490"/>
      <c r="AG47" s="2490"/>
      <c r="AH47" s="2490"/>
      <c r="AI47" s="2490"/>
      <c r="AJ47" s="2490"/>
      <c r="AK47" s="2490"/>
      <c r="AL47" s="2490"/>
      <c r="AM47" s="2490"/>
      <c r="AN47" s="2490"/>
      <c r="AO47" s="2490"/>
      <c r="AP47" s="2490"/>
      <c r="AQ47" s="2490"/>
      <c r="AR47" s="2490"/>
      <c r="AS47" s="2490"/>
      <c r="AT47" s="2490"/>
      <c r="AU47" s="2490"/>
      <c r="AV47" s="2490"/>
      <c r="AW47" s="2490"/>
      <c r="AX47" s="2490"/>
      <c r="AY47" s="2490"/>
      <c r="AZ47" s="2490"/>
      <c r="BA47" s="2490"/>
      <c r="BB47" s="2490"/>
      <c r="BC47" s="2490"/>
      <c r="BD47" s="2490"/>
      <c r="BE47" s="2490"/>
      <c r="BF47" s="2490"/>
      <c r="BG47" s="2490"/>
      <c r="BH47" s="2490"/>
      <c r="BI47" s="2490"/>
      <c r="BJ47" s="2490"/>
      <c r="BK47" s="2490"/>
      <c r="BL47" s="2490"/>
      <c r="BM47" s="2490"/>
      <c r="BN47" s="2490"/>
      <c r="BO47" s="2490"/>
      <c r="BP47" s="2490"/>
      <c r="BQ47" s="2490"/>
      <c r="BR47" s="2490"/>
      <c r="BS47" s="2490"/>
      <c r="BT47" s="2490"/>
      <c r="BU47" s="2490"/>
      <c r="BV47" s="2490"/>
      <c r="BW47" s="2490"/>
      <c r="BX47" s="2490"/>
      <c r="BY47" s="2490"/>
      <c r="BZ47" s="2490"/>
      <c r="CA47" s="2490"/>
      <c r="CB47" s="2490"/>
      <c r="CC47" s="2490"/>
      <c r="CD47" s="2490"/>
      <c r="CE47" s="2490"/>
      <c r="CF47" s="2490"/>
      <c r="CG47" s="2490"/>
      <c r="CH47" s="2490"/>
      <c r="CI47" s="2490"/>
      <c r="CJ47" s="2490"/>
      <c r="CK47" s="2490"/>
      <c r="CL47" s="2490"/>
      <c r="CM47" s="2490"/>
      <c r="CN47" s="2490"/>
      <c r="CO47" s="2490"/>
      <c r="CP47" s="2490"/>
      <c r="CQ47" s="2490"/>
      <c r="CR47" s="2490"/>
      <c r="CS47" s="2490"/>
      <c r="CT47" s="2490"/>
      <c r="CU47" s="2490"/>
      <c r="CV47" s="2490"/>
      <c r="CW47" s="2490"/>
      <c r="CX47" s="2490"/>
      <c r="CY47" s="2490"/>
      <c r="CZ47" s="2490"/>
      <c r="DA47" s="2490"/>
      <c r="DB47" s="2490"/>
    </row>
    <row r="48" spans="1:106" s="3110" customFormat="1" x14ac:dyDescent="0.25">
      <c r="A48" s="2490"/>
      <c r="B48" s="3080" t="s">
        <v>634</v>
      </c>
      <c r="C48" s="2463"/>
      <c r="D48" s="3101"/>
      <c r="E48" s="3101">
        <f>D48</f>
        <v>0</v>
      </c>
      <c r="F48" s="3101">
        <f>E48</f>
        <v>0</v>
      </c>
      <c r="G48" s="3101">
        <f t="shared" ref="G48:O48" si="36">F48</f>
        <v>0</v>
      </c>
      <c r="H48" s="3101"/>
      <c r="I48" s="3101"/>
      <c r="J48" s="3101"/>
      <c r="K48" s="3101"/>
      <c r="L48" s="3101"/>
      <c r="M48" s="3101">
        <f>G48</f>
        <v>0</v>
      </c>
      <c r="N48" s="3101">
        <f t="shared" si="36"/>
        <v>0</v>
      </c>
      <c r="O48" s="3102">
        <f t="shared" si="36"/>
        <v>0</v>
      </c>
      <c r="P48" s="2490"/>
      <c r="Q48" s="2490"/>
      <c r="R48" s="2490"/>
      <c r="S48" s="2490"/>
      <c r="T48" s="2490"/>
      <c r="U48" s="2490"/>
      <c r="V48" s="2490"/>
      <c r="W48" s="2490"/>
      <c r="X48" s="2490"/>
      <c r="Y48" s="2490"/>
      <c r="Z48" s="2490"/>
      <c r="AA48" s="2490"/>
      <c r="AB48" s="2490"/>
      <c r="AC48" s="2490"/>
      <c r="AD48" s="2490"/>
      <c r="AE48" s="2490"/>
      <c r="AF48" s="2490"/>
      <c r="AG48" s="2490"/>
      <c r="AH48" s="2490"/>
      <c r="AI48" s="2490"/>
      <c r="AJ48" s="2490"/>
      <c r="AK48" s="2490"/>
      <c r="AL48" s="2490"/>
      <c r="AM48" s="2490"/>
      <c r="AN48" s="2490"/>
      <c r="AO48" s="2490"/>
      <c r="AP48" s="2490"/>
      <c r="AQ48" s="2490"/>
      <c r="AR48" s="2490"/>
      <c r="AS48" s="2490"/>
      <c r="AT48" s="2490"/>
      <c r="AU48" s="2490"/>
      <c r="AV48" s="2490"/>
      <c r="AW48" s="2490"/>
      <c r="AX48" s="2490"/>
      <c r="AY48" s="2490"/>
      <c r="AZ48" s="2490"/>
      <c r="BA48" s="2490"/>
      <c r="BB48" s="2490"/>
      <c r="BC48" s="2490"/>
      <c r="BD48" s="2490"/>
      <c r="BE48" s="2490"/>
      <c r="BF48" s="2490"/>
      <c r="BG48" s="2490"/>
      <c r="BH48" s="2490"/>
      <c r="BI48" s="2490"/>
      <c r="BJ48" s="2490"/>
      <c r="BK48" s="2490"/>
      <c r="BL48" s="2490"/>
      <c r="BM48" s="2490"/>
      <c r="BN48" s="2490"/>
      <c r="BO48" s="2490"/>
      <c r="BP48" s="2490"/>
      <c r="BQ48" s="2490"/>
      <c r="BR48" s="2490"/>
      <c r="BS48" s="2490"/>
      <c r="BT48" s="2490"/>
      <c r="BU48" s="2490"/>
      <c r="BV48" s="2490"/>
      <c r="BW48" s="2490"/>
      <c r="BX48" s="2490"/>
      <c r="BY48" s="2490"/>
      <c r="BZ48" s="2490"/>
      <c r="CA48" s="2490"/>
      <c r="CB48" s="2490"/>
      <c r="CC48" s="2490"/>
      <c r="CD48" s="2490"/>
      <c r="CE48" s="2490"/>
      <c r="CF48" s="2490"/>
      <c r="CG48" s="2490"/>
      <c r="CH48" s="2490"/>
      <c r="CI48" s="2490"/>
      <c r="CJ48" s="2490"/>
      <c r="CK48" s="2490"/>
      <c r="CL48" s="2490"/>
      <c r="CM48" s="2490"/>
      <c r="CN48" s="2490"/>
      <c r="CO48" s="2490"/>
      <c r="CP48" s="2490"/>
      <c r="CQ48" s="2490"/>
      <c r="CR48" s="2490"/>
      <c r="CS48" s="2490"/>
      <c r="CT48" s="2490"/>
      <c r="CU48" s="2490"/>
      <c r="CV48" s="2490"/>
      <c r="CW48" s="2490"/>
      <c r="CX48" s="2490"/>
      <c r="CY48" s="2490"/>
      <c r="CZ48" s="2490"/>
      <c r="DA48" s="2490"/>
      <c r="DB48" s="2490"/>
    </row>
    <row r="49" spans="1:106" s="3110" customFormat="1" x14ac:dyDescent="0.25">
      <c r="A49" s="2490"/>
      <c r="B49" s="3080" t="s">
        <v>635</v>
      </c>
      <c r="C49" s="3101"/>
      <c r="D49" s="3101"/>
      <c r="E49" s="3101"/>
      <c r="F49" s="3101"/>
      <c r="G49" s="3101"/>
      <c r="H49" s="3101"/>
      <c r="I49" s="3101"/>
      <c r="J49" s="3101"/>
      <c r="K49" s="3101"/>
      <c r="L49" s="3101"/>
      <c r="M49" s="3101"/>
      <c r="N49" s="3101"/>
      <c r="O49" s="3102"/>
      <c r="P49" s="2490"/>
      <c r="Q49" s="2490"/>
      <c r="R49" s="2490"/>
      <c r="S49" s="2490"/>
      <c r="T49" s="2490"/>
      <c r="U49" s="2490"/>
      <c r="V49" s="2490"/>
      <c r="W49" s="2490"/>
      <c r="X49" s="2490"/>
      <c r="Y49" s="2490"/>
      <c r="Z49" s="2490"/>
      <c r="AA49" s="2490"/>
      <c r="AB49" s="2490"/>
      <c r="AC49" s="2490"/>
      <c r="AD49" s="2490"/>
      <c r="AE49" s="2490"/>
      <c r="AF49" s="2490"/>
      <c r="AG49" s="2490"/>
      <c r="AH49" s="2490"/>
      <c r="AI49" s="2490"/>
      <c r="AJ49" s="2490"/>
      <c r="AK49" s="2490"/>
      <c r="AL49" s="2490"/>
      <c r="AM49" s="2490"/>
      <c r="AN49" s="2490"/>
      <c r="AO49" s="2490"/>
      <c r="AP49" s="2490"/>
      <c r="AQ49" s="2490"/>
      <c r="AR49" s="2490"/>
      <c r="AS49" s="2490"/>
      <c r="AT49" s="2490"/>
      <c r="AU49" s="2490"/>
      <c r="AV49" s="2490"/>
      <c r="AW49" s="2490"/>
      <c r="AX49" s="2490"/>
      <c r="AY49" s="2490"/>
      <c r="AZ49" s="2490"/>
      <c r="BA49" s="2490"/>
      <c r="BB49" s="2490"/>
      <c r="BC49" s="2490"/>
      <c r="BD49" s="2490"/>
      <c r="BE49" s="2490"/>
      <c r="BF49" s="2490"/>
      <c r="BG49" s="2490"/>
      <c r="BH49" s="2490"/>
      <c r="BI49" s="2490"/>
      <c r="BJ49" s="2490"/>
      <c r="BK49" s="2490"/>
      <c r="BL49" s="2490"/>
      <c r="BM49" s="2490"/>
      <c r="BN49" s="2490"/>
      <c r="BO49" s="2490"/>
      <c r="BP49" s="2490"/>
      <c r="BQ49" s="2490"/>
      <c r="BR49" s="2490"/>
      <c r="BS49" s="2490"/>
      <c r="BT49" s="2490"/>
      <c r="BU49" s="2490"/>
      <c r="BV49" s="2490"/>
      <c r="BW49" s="2490"/>
      <c r="BX49" s="2490"/>
      <c r="BY49" s="2490"/>
      <c r="BZ49" s="2490"/>
      <c r="CA49" s="2490"/>
      <c r="CB49" s="2490"/>
      <c r="CC49" s="2490"/>
      <c r="CD49" s="2490"/>
      <c r="CE49" s="2490"/>
      <c r="CF49" s="2490"/>
      <c r="CG49" s="2490"/>
      <c r="CH49" s="2490"/>
      <c r="CI49" s="2490"/>
      <c r="CJ49" s="2490"/>
      <c r="CK49" s="2490"/>
      <c r="CL49" s="2490"/>
      <c r="CM49" s="2490"/>
      <c r="CN49" s="2490"/>
      <c r="CO49" s="2490"/>
      <c r="CP49" s="2490"/>
      <c r="CQ49" s="2490"/>
      <c r="CR49" s="2490"/>
      <c r="CS49" s="2490"/>
      <c r="CT49" s="2490"/>
      <c r="CU49" s="2490"/>
      <c r="CV49" s="2490"/>
      <c r="CW49" s="2490"/>
      <c r="CX49" s="2490"/>
      <c r="CY49" s="2490"/>
      <c r="CZ49" s="2490"/>
      <c r="DA49" s="2490"/>
      <c r="DB49" s="2490"/>
    </row>
    <row r="50" spans="1:106" s="3110" customFormat="1" x14ac:dyDescent="0.25">
      <c r="A50" s="2490"/>
      <c r="B50" s="3077" t="s">
        <v>631</v>
      </c>
      <c r="C50" s="3097">
        <f>C51+C52</f>
        <v>1.1400999999999999</v>
      </c>
      <c r="D50" s="3097">
        <f t="shared" ref="D50:O50" si="37">D51+D52</f>
        <v>1.1400999999999999</v>
      </c>
      <c r="E50" s="3097">
        <f t="shared" si="37"/>
        <v>1.1400999999999999</v>
      </c>
      <c r="F50" s="3097">
        <f t="shared" si="37"/>
        <v>1.1400999999999999</v>
      </c>
      <c r="G50" s="3097">
        <f t="shared" si="37"/>
        <v>1.1400999999999999</v>
      </c>
      <c r="H50" s="3097"/>
      <c r="I50" s="3097"/>
      <c r="J50" s="3097"/>
      <c r="K50" s="3097"/>
      <c r="L50" s="3097"/>
      <c r="M50" s="3097">
        <f t="shared" si="37"/>
        <v>1.1400999999999999</v>
      </c>
      <c r="N50" s="3097">
        <f t="shared" si="37"/>
        <v>1.1400999999999999</v>
      </c>
      <c r="O50" s="3098">
        <f t="shared" si="37"/>
        <v>1.1400999999999999</v>
      </c>
      <c r="P50" s="2490"/>
      <c r="Q50" s="2490"/>
      <c r="R50" s="2490"/>
      <c r="S50" s="2490"/>
      <c r="T50" s="2490"/>
      <c r="U50" s="2490"/>
      <c r="V50" s="2490"/>
      <c r="W50" s="2490"/>
      <c r="X50" s="2490"/>
      <c r="Y50" s="2490"/>
      <c r="Z50" s="2490"/>
      <c r="AA50" s="2490"/>
      <c r="AB50" s="2490"/>
      <c r="AC50" s="2490"/>
      <c r="AD50" s="2490"/>
      <c r="AE50" s="2490"/>
      <c r="AF50" s="2490"/>
      <c r="AG50" s="2490"/>
      <c r="AH50" s="2490"/>
      <c r="AI50" s="2490"/>
      <c r="AJ50" s="2490"/>
      <c r="AK50" s="2490"/>
      <c r="AL50" s="2490"/>
      <c r="AM50" s="2490"/>
      <c r="AN50" s="2490"/>
      <c r="AO50" s="2490"/>
      <c r="AP50" s="2490"/>
      <c r="AQ50" s="2490"/>
      <c r="AR50" s="2490"/>
      <c r="AS50" s="2490"/>
      <c r="AT50" s="2490"/>
      <c r="AU50" s="2490"/>
      <c r="AV50" s="2490"/>
      <c r="AW50" s="2490"/>
      <c r="AX50" s="2490"/>
      <c r="AY50" s="2490"/>
      <c r="AZ50" s="2490"/>
      <c r="BA50" s="2490"/>
      <c r="BB50" s="2490"/>
      <c r="BC50" s="2490"/>
      <c r="BD50" s="2490"/>
      <c r="BE50" s="2490"/>
      <c r="BF50" s="2490"/>
      <c r="BG50" s="2490"/>
      <c r="BH50" s="2490"/>
      <c r="BI50" s="2490"/>
      <c r="BJ50" s="2490"/>
      <c r="BK50" s="2490"/>
      <c r="BL50" s="2490"/>
      <c r="BM50" s="2490"/>
      <c r="BN50" s="2490"/>
      <c r="BO50" s="2490"/>
      <c r="BP50" s="2490"/>
      <c r="BQ50" s="2490"/>
      <c r="BR50" s="2490"/>
      <c r="BS50" s="2490"/>
      <c r="BT50" s="2490"/>
      <c r="BU50" s="2490"/>
      <c r="BV50" s="2490"/>
      <c r="BW50" s="2490"/>
      <c r="BX50" s="2490"/>
      <c r="BY50" s="2490"/>
      <c r="BZ50" s="2490"/>
      <c r="CA50" s="2490"/>
      <c r="CB50" s="2490"/>
      <c r="CC50" s="2490"/>
      <c r="CD50" s="2490"/>
      <c r="CE50" s="2490"/>
      <c r="CF50" s="2490"/>
      <c r="CG50" s="2490"/>
      <c r="CH50" s="2490"/>
      <c r="CI50" s="2490"/>
      <c r="CJ50" s="2490"/>
      <c r="CK50" s="2490"/>
      <c r="CL50" s="2490"/>
      <c r="CM50" s="2490"/>
      <c r="CN50" s="2490"/>
      <c r="CO50" s="2490"/>
      <c r="CP50" s="2490"/>
      <c r="CQ50" s="2490"/>
      <c r="CR50" s="2490"/>
      <c r="CS50" s="2490"/>
      <c r="CT50" s="2490"/>
      <c r="CU50" s="2490"/>
      <c r="CV50" s="2490"/>
      <c r="CW50" s="2490"/>
      <c r="CX50" s="2490"/>
      <c r="CY50" s="2490"/>
      <c r="CZ50" s="2490"/>
      <c r="DA50" s="2490"/>
      <c r="DB50" s="2490"/>
    </row>
    <row r="51" spans="1:106" s="2490" customFormat="1" x14ac:dyDescent="0.25">
      <c r="B51" s="3080" t="s">
        <v>634</v>
      </c>
      <c r="C51" s="3111">
        <v>0.51319999999999999</v>
      </c>
      <c r="D51" s="3101">
        <f t="shared" ref="D51:G52" si="38">C51</f>
        <v>0.51319999999999999</v>
      </c>
      <c r="E51" s="3101">
        <f t="shared" si="38"/>
        <v>0.51319999999999999</v>
      </c>
      <c r="F51" s="3101">
        <f t="shared" si="38"/>
        <v>0.51319999999999999</v>
      </c>
      <c r="G51" s="3101">
        <f t="shared" si="38"/>
        <v>0.51319999999999999</v>
      </c>
      <c r="H51" s="3101"/>
      <c r="I51" s="3101"/>
      <c r="J51" s="3101"/>
      <c r="K51" s="3101"/>
      <c r="L51" s="3101"/>
      <c r="M51" s="3101">
        <f>G51</f>
        <v>0.51319999999999999</v>
      </c>
      <c r="N51" s="3101">
        <f>M51</f>
        <v>0.51319999999999999</v>
      </c>
      <c r="O51" s="3102">
        <f>N51</f>
        <v>0.51319999999999999</v>
      </c>
    </row>
    <row r="52" spans="1:106" s="2490" customFormat="1" x14ac:dyDescent="0.25">
      <c r="B52" s="3080" t="s">
        <v>635</v>
      </c>
      <c r="C52" s="3111">
        <v>0.62690000000000001</v>
      </c>
      <c r="D52" s="3101">
        <f t="shared" si="38"/>
        <v>0.62690000000000001</v>
      </c>
      <c r="E52" s="3101">
        <f t="shared" si="38"/>
        <v>0.62690000000000001</v>
      </c>
      <c r="F52" s="3101">
        <f t="shared" si="38"/>
        <v>0.62690000000000001</v>
      </c>
      <c r="G52" s="3101">
        <f t="shared" si="38"/>
        <v>0.62690000000000001</v>
      </c>
      <c r="H52" s="3101"/>
      <c r="I52" s="3101"/>
      <c r="J52" s="3101"/>
      <c r="K52" s="3101"/>
      <c r="L52" s="3101"/>
      <c r="M52" s="3101">
        <f>G52</f>
        <v>0.62690000000000001</v>
      </c>
      <c r="N52" s="3101">
        <f>M52</f>
        <v>0.62690000000000001</v>
      </c>
      <c r="O52" s="3102">
        <f>N52</f>
        <v>0.62690000000000001</v>
      </c>
    </row>
    <row r="53" spans="1:106" s="2490" customFormat="1" ht="14.25" x14ac:dyDescent="0.2">
      <c r="B53" s="3093" t="s">
        <v>633</v>
      </c>
      <c r="C53" s="3094">
        <f>C54+C57</f>
        <v>0</v>
      </c>
      <c r="D53" s="3094">
        <f t="shared" ref="D53:O53" si="39">D54+D57</f>
        <v>0</v>
      </c>
      <c r="E53" s="3094">
        <f t="shared" si="39"/>
        <v>0</v>
      </c>
      <c r="F53" s="3094">
        <f t="shared" si="39"/>
        <v>0</v>
      </c>
      <c r="G53" s="3094">
        <f t="shared" si="39"/>
        <v>0</v>
      </c>
      <c r="H53" s="3094"/>
      <c r="I53" s="3094"/>
      <c r="J53" s="3094"/>
      <c r="K53" s="3094"/>
      <c r="L53" s="3094"/>
      <c r="M53" s="3094">
        <f t="shared" si="39"/>
        <v>0</v>
      </c>
      <c r="N53" s="3094">
        <f t="shared" si="39"/>
        <v>0</v>
      </c>
      <c r="O53" s="3095">
        <f t="shared" si="39"/>
        <v>0</v>
      </c>
    </row>
    <row r="54" spans="1:106" s="2490" customFormat="1" x14ac:dyDescent="0.25">
      <c r="B54" s="3077" t="s">
        <v>632</v>
      </c>
      <c r="C54" s="3097">
        <f>C55+C56</f>
        <v>0</v>
      </c>
      <c r="D54" s="3097">
        <f t="shared" ref="D54:O54" si="40">D55+D56</f>
        <v>0</v>
      </c>
      <c r="E54" s="3097">
        <f t="shared" si="40"/>
        <v>0</v>
      </c>
      <c r="F54" s="3097">
        <f t="shared" si="40"/>
        <v>0</v>
      </c>
      <c r="G54" s="3097">
        <f t="shared" si="40"/>
        <v>0</v>
      </c>
      <c r="H54" s="3097"/>
      <c r="I54" s="3097"/>
      <c r="J54" s="3097"/>
      <c r="K54" s="3097"/>
      <c r="L54" s="3097"/>
      <c r="M54" s="3097">
        <f t="shared" si="40"/>
        <v>0</v>
      </c>
      <c r="N54" s="3097">
        <f t="shared" si="40"/>
        <v>0</v>
      </c>
      <c r="O54" s="3098">
        <f t="shared" si="40"/>
        <v>0</v>
      </c>
    </row>
    <row r="55" spans="1:106" s="2490" customFormat="1" x14ac:dyDescent="0.25">
      <c r="B55" s="3080" t="s">
        <v>634</v>
      </c>
      <c r="C55" s="3101"/>
      <c r="D55" s="3101"/>
      <c r="E55" s="3101"/>
      <c r="F55" s="3101"/>
      <c r="G55" s="3101"/>
      <c r="H55" s="3101"/>
      <c r="I55" s="3101"/>
      <c r="J55" s="3101"/>
      <c r="K55" s="3101"/>
      <c r="L55" s="3101"/>
      <c r="M55" s="3101"/>
      <c r="N55" s="3101"/>
      <c r="O55" s="3102"/>
    </row>
    <row r="56" spans="1:106" s="2490" customFormat="1" x14ac:dyDescent="0.25">
      <c r="B56" s="3080" t="s">
        <v>635</v>
      </c>
      <c r="C56" s="3101"/>
      <c r="D56" s="3101"/>
      <c r="E56" s="3101"/>
      <c r="F56" s="3101"/>
      <c r="G56" s="3101"/>
      <c r="H56" s="3101"/>
      <c r="I56" s="3101"/>
      <c r="J56" s="3101"/>
      <c r="K56" s="3101"/>
      <c r="L56" s="3101"/>
      <c r="M56" s="3101"/>
      <c r="N56" s="3101"/>
      <c r="O56" s="3102"/>
    </row>
    <row r="57" spans="1:106" s="2490" customFormat="1" x14ac:dyDescent="0.25">
      <c r="B57" s="3077" t="s">
        <v>631</v>
      </c>
      <c r="C57" s="3103">
        <f>C58+C59</f>
        <v>0</v>
      </c>
      <c r="D57" s="3104">
        <f t="shared" ref="D57:O57" si="41">D58+D59</f>
        <v>0</v>
      </c>
      <c r="E57" s="3104">
        <f t="shared" si="41"/>
        <v>0</v>
      </c>
      <c r="F57" s="3104">
        <f t="shared" si="41"/>
        <v>0</v>
      </c>
      <c r="G57" s="3104">
        <f t="shared" si="41"/>
        <v>0</v>
      </c>
      <c r="H57" s="3104"/>
      <c r="I57" s="3104"/>
      <c r="J57" s="3104"/>
      <c r="K57" s="3104"/>
      <c r="L57" s="3104"/>
      <c r="M57" s="3104">
        <f t="shared" si="41"/>
        <v>0</v>
      </c>
      <c r="N57" s="3104">
        <f t="shared" si="41"/>
        <v>0</v>
      </c>
      <c r="O57" s="3105">
        <f t="shared" si="41"/>
        <v>0</v>
      </c>
    </row>
    <row r="58" spans="1:106" s="2490" customFormat="1" x14ac:dyDescent="0.25">
      <c r="B58" s="3080" t="s">
        <v>634</v>
      </c>
      <c r="C58" s="3111">
        <v>0</v>
      </c>
      <c r="D58" s="3108">
        <f>C58</f>
        <v>0</v>
      </c>
      <c r="E58" s="3108">
        <f>D58</f>
        <v>0</v>
      </c>
      <c r="F58" s="3108">
        <f>E58</f>
        <v>0</v>
      </c>
      <c r="G58" s="3108">
        <f t="shared" ref="G58:O58" si="42">F58</f>
        <v>0</v>
      </c>
      <c r="H58" s="3108"/>
      <c r="I58" s="3108"/>
      <c r="J58" s="3108"/>
      <c r="K58" s="3108"/>
      <c r="L58" s="3108"/>
      <c r="M58" s="3108">
        <f>G58</f>
        <v>0</v>
      </c>
      <c r="N58" s="3108">
        <f t="shared" si="42"/>
        <v>0</v>
      </c>
      <c r="O58" s="3109">
        <f t="shared" si="42"/>
        <v>0</v>
      </c>
    </row>
    <row r="59" spans="1:106" s="2490" customFormat="1" ht="15.75" thickBot="1" x14ac:dyDescent="0.3">
      <c r="B59" s="3112" t="s">
        <v>635</v>
      </c>
      <c r="C59" s="3113"/>
      <c r="D59" s="3113"/>
      <c r="E59" s="3113"/>
      <c r="F59" s="3113"/>
      <c r="G59" s="3113"/>
      <c r="H59" s="3113"/>
      <c r="I59" s="3113"/>
      <c r="J59" s="3113"/>
      <c r="K59" s="3113"/>
      <c r="L59" s="3113"/>
      <c r="M59" s="3113"/>
      <c r="N59" s="3113"/>
      <c r="O59" s="3114"/>
    </row>
    <row r="60" spans="1:106" s="2490" customFormat="1" ht="32.25" customHeight="1" thickBot="1" x14ac:dyDescent="0.25">
      <c r="B60" s="3115" t="s">
        <v>3159</v>
      </c>
      <c r="C60" s="2461">
        <f>C61+C68</f>
        <v>3.1044</v>
      </c>
      <c r="D60" s="2461">
        <f t="shared" ref="D60:O60" si="43">C60</f>
        <v>3.1044</v>
      </c>
      <c r="E60" s="2461">
        <f t="shared" si="43"/>
        <v>3.1044</v>
      </c>
      <c r="F60" s="2461">
        <f t="shared" si="43"/>
        <v>3.1044</v>
      </c>
      <c r="G60" s="2461">
        <f t="shared" si="43"/>
        <v>3.1044</v>
      </c>
      <c r="H60" s="2461">
        <f t="shared" si="43"/>
        <v>3.1044</v>
      </c>
      <c r="I60" s="2461">
        <f t="shared" si="43"/>
        <v>3.1044</v>
      </c>
      <c r="J60" s="2461">
        <f t="shared" si="43"/>
        <v>3.1044</v>
      </c>
      <c r="K60" s="2461">
        <f t="shared" si="43"/>
        <v>3.1044</v>
      </c>
      <c r="L60" s="2461">
        <f t="shared" si="43"/>
        <v>3.1044</v>
      </c>
      <c r="M60" s="2461">
        <f t="shared" si="43"/>
        <v>3.1044</v>
      </c>
      <c r="N60" s="2461">
        <f t="shared" si="43"/>
        <v>3.1044</v>
      </c>
      <c r="O60" s="2462">
        <f t="shared" si="43"/>
        <v>3.1044</v>
      </c>
    </row>
    <row r="61" spans="1:106" s="2490" customFormat="1" ht="15.75" thickBot="1" x14ac:dyDescent="0.3">
      <c r="B61" s="3093" t="s">
        <v>629</v>
      </c>
      <c r="C61" s="3116">
        <f>C62+C65</f>
        <v>2.718</v>
      </c>
      <c r="D61" s="3117">
        <f t="shared" ref="D61:G61" si="44">D62+D65</f>
        <v>1.7650000000000001</v>
      </c>
      <c r="E61" s="3117">
        <f t="shared" si="44"/>
        <v>1.7650000000000001</v>
      </c>
      <c r="F61" s="3117">
        <f t="shared" si="44"/>
        <v>1.7650000000000001</v>
      </c>
      <c r="G61" s="3117">
        <f t="shared" si="44"/>
        <v>1.7650000000000001</v>
      </c>
      <c r="H61" s="3117">
        <f>H62+H65</f>
        <v>0</v>
      </c>
      <c r="I61" s="3117">
        <f t="shared" ref="I61:O61" si="45">I62+I65</f>
        <v>0</v>
      </c>
      <c r="J61" s="3117">
        <f t="shared" si="45"/>
        <v>0</v>
      </c>
      <c r="K61" s="3117">
        <f t="shared" si="45"/>
        <v>0</v>
      </c>
      <c r="L61" s="3117">
        <f t="shared" si="45"/>
        <v>0</v>
      </c>
      <c r="M61" s="3117">
        <f t="shared" si="45"/>
        <v>1.7650000000000001</v>
      </c>
      <c r="N61" s="3117">
        <f t="shared" si="45"/>
        <v>1.7650000000000001</v>
      </c>
      <c r="O61" s="3117">
        <f t="shared" si="45"/>
        <v>1.7650000000000001</v>
      </c>
    </row>
    <row r="62" spans="1:106" s="2490" customFormat="1" ht="15.75" thickBot="1" x14ac:dyDescent="0.3">
      <c r="B62" s="3077" t="s">
        <v>630</v>
      </c>
      <c r="C62" s="3116">
        <f>C63+C64</f>
        <v>0.90050000000000008</v>
      </c>
      <c r="D62" s="3117">
        <f t="shared" ref="D62:G62" si="46">D63+D64</f>
        <v>0.90050000000000008</v>
      </c>
      <c r="E62" s="3117">
        <f t="shared" si="46"/>
        <v>0.90050000000000008</v>
      </c>
      <c r="F62" s="3117">
        <f t="shared" si="46"/>
        <v>0.90050000000000008</v>
      </c>
      <c r="G62" s="3117">
        <f t="shared" si="46"/>
        <v>0.90050000000000008</v>
      </c>
      <c r="H62" s="3117">
        <f>H63+H64</f>
        <v>0</v>
      </c>
      <c r="I62" s="3117">
        <f t="shared" ref="I62:O62" si="47">I63+I64</f>
        <v>0</v>
      </c>
      <c r="J62" s="3117">
        <f t="shared" si="47"/>
        <v>0</v>
      </c>
      <c r="K62" s="3117">
        <f t="shared" si="47"/>
        <v>0</v>
      </c>
      <c r="L62" s="3117">
        <f t="shared" si="47"/>
        <v>0</v>
      </c>
      <c r="M62" s="3117">
        <f t="shared" si="47"/>
        <v>0.90050000000000008</v>
      </c>
      <c r="N62" s="3117">
        <f t="shared" si="47"/>
        <v>0.90050000000000008</v>
      </c>
      <c r="O62" s="3117">
        <f t="shared" si="47"/>
        <v>0.90050000000000008</v>
      </c>
    </row>
    <row r="63" spans="1:106" s="2490" customFormat="1" ht="15.75" thickBot="1" x14ac:dyDescent="0.3">
      <c r="B63" s="3080" t="s">
        <v>634</v>
      </c>
      <c r="C63" s="3116">
        <v>0.74250000000000005</v>
      </c>
      <c r="D63" s="3116">
        <v>0.74250000000000005</v>
      </c>
      <c r="E63" s="3116">
        <v>0.74250000000000005</v>
      </c>
      <c r="F63" s="3116">
        <v>0.74250000000000005</v>
      </c>
      <c r="G63" s="3116">
        <v>0.74250000000000005</v>
      </c>
      <c r="H63" s="3117"/>
      <c r="I63" s="3117"/>
      <c r="J63" s="3117"/>
      <c r="K63" s="3117"/>
      <c r="L63" s="3117"/>
      <c r="M63" s="3116">
        <v>0.74250000000000005</v>
      </c>
      <c r="N63" s="3116">
        <v>0.74250000000000005</v>
      </c>
      <c r="O63" s="3116">
        <v>0.74250000000000005</v>
      </c>
    </row>
    <row r="64" spans="1:106" s="2490" customFormat="1" ht="15.75" thickBot="1" x14ac:dyDescent="0.3">
      <c r="B64" s="3080" t="s">
        <v>635</v>
      </c>
      <c r="C64" s="3116">
        <v>0.158</v>
      </c>
      <c r="D64" s="3116">
        <v>0.158</v>
      </c>
      <c r="E64" s="3116">
        <v>0.158</v>
      </c>
      <c r="F64" s="3116">
        <v>0.158</v>
      </c>
      <c r="G64" s="3116">
        <v>0.158</v>
      </c>
      <c r="H64" s="3117"/>
      <c r="I64" s="3117"/>
      <c r="J64" s="3117"/>
      <c r="K64" s="3117"/>
      <c r="L64" s="3117"/>
      <c r="M64" s="3116">
        <v>0.158</v>
      </c>
      <c r="N64" s="3116">
        <v>0.158</v>
      </c>
      <c r="O64" s="3116">
        <v>0.158</v>
      </c>
    </row>
    <row r="65" spans="2:17" s="2490" customFormat="1" ht="15.75" thickBot="1" x14ac:dyDescent="0.3">
      <c r="B65" s="3077" t="s">
        <v>631</v>
      </c>
      <c r="C65" s="3116">
        <f>C66+C67</f>
        <v>1.8174999999999999</v>
      </c>
      <c r="D65" s="3117">
        <f t="shared" ref="D65:G65" si="48">D66+D67</f>
        <v>0.86449999999999994</v>
      </c>
      <c r="E65" s="3117">
        <f t="shared" si="48"/>
        <v>0.86449999999999994</v>
      </c>
      <c r="F65" s="3117">
        <f t="shared" si="48"/>
        <v>0.86449999999999994</v>
      </c>
      <c r="G65" s="3117">
        <f t="shared" si="48"/>
        <v>0.86449999999999994</v>
      </c>
      <c r="H65" s="3117">
        <f>H66+H67</f>
        <v>0</v>
      </c>
      <c r="I65" s="3117">
        <f t="shared" ref="I65:O65" si="49">I66+I67</f>
        <v>0</v>
      </c>
      <c r="J65" s="3117">
        <f t="shared" si="49"/>
        <v>0</v>
      </c>
      <c r="K65" s="3117">
        <f t="shared" si="49"/>
        <v>0</v>
      </c>
      <c r="L65" s="3117">
        <f t="shared" si="49"/>
        <v>0</v>
      </c>
      <c r="M65" s="3117">
        <f t="shared" si="49"/>
        <v>0.86449999999999994</v>
      </c>
      <c r="N65" s="3117">
        <f t="shared" si="49"/>
        <v>0.86449999999999994</v>
      </c>
      <c r="O65" s="3117">
        <f t="shared" si="49"/>
        <v>0.86449999999999994</v>
      </c>
    </row>
    <row r="66" spans="2:17" s="2490" customFormat="1" ht="15.75" thickBot="1" x14ac:dyDescent="0.3">
      <c r="B66" s="3080" t="s">
        <v>634</v>
      </c>
      <c r="C66" s="3116">
        <v>0.85099999999999998</v>
      </c>
      <c r="D66" s="3116">
        <v>0.85099999999999998</v>
      </c>
      <c r="E66" s="3116">
        <v>0.85099999999999998</v>
      </c>
      <c r="F66" s="3116">
        <v>0.85099999999999998</v>
      </c>
      <c r="G66" s="3116">
        <v>0.85099999999999998</v>
      </c>
      <c r="H66" s="3117"/>
      <c r="I66" s="3117"/>
      <c r="J66" s="3117"/>
      <c r="K66" s="3117"/>
      <c r="L66" s="3117"/>
      <c r="M66" s="3116">
        <v>0.85099999999999998</v>
      </c>
      <c r="N66" s="3116">
        <v>0.85099999999999998</v>
      </c>
      <c r="O66" s="3116">
        <v>0.85099999999999998</v>
      </c>
    </row>
    <row r="67" spans="2:17" s="2490" customFormat="1" ht="15.75" thickBot="1" x14ac:dyDescent="0.3">
      <c r="B67" s="3080" t="s">
        <v>635</v>
      </c>
      <c r="C67" s="3116">
        <v>0.96650000000000003</v>
      </c>
      <c r="D67" s="3116">
        <v>1.35E-2</v>
      </c>
      <c r="E67" s="3116">
        <v>1.35E-2</v>
      </c>
      <c r="F67" s="3116">
        <v>1.35E-2</v>
      </c>
      <c r="G67" s="3116">
        <v>1.35E-2</v>
      </c>
      <c r="H67" s="3117"/>
      <c r="I67" s="3117"/>
      <c r="J67" s="3117"/>
      <c r="K67" s="3117"/>
      <c r="L67" s="3117"/>
      <c r="M67" s="3116">
        <v>1.35E-2</v>
      </c>
      <c r="N67" s="3116">
        <v>1.35E-2</v>
      </c>
      <c r="O67" s="3116">
        <v>1.35E-2</v>
      </c>
    </row>
    <row r="68" spans="2:17" s="2490" customFormat="1" ht="15.75" thickBot="1" x14ac:dyDescent="0.3">
      <c r="B68" s="3093" t="s">
        <v>637</v>
      </c>
      <c r="C68" s="3116">
        <f>C69+C72</f>
        <v>0.38640000000000002</v>
      </c>
      <c r="D68" s="3117">
        <f t="shared" ref="D68:O68" si="50">D69+D72</f>
        <v>0.35139999999999999</v>
      </c>
      <c r="E68" s="3117">
        <f t="shared" si="50"/>
        <v>0.35139999999999999</v>
      </c>
      <c r="F68" s="3117">
        <f t="shared" si="50"/>
        <v>0.35139999999999999</v>
      </c>
      <c r="G68" s="3117">
        <f t="shared" si="50"/>
        <v>0.35139999999999999</v>
      </c>
      <c r="H68" s="3117">
        <f t="shared" si="50"/>
        <v>0</v>
      </c>
      <c r="I68" s="3117">
        <f t="shared" si="50"/>
        <v>0</v>
      </c>
      <c r="J68" s="3117">
        <f t="shared" si="50"/>
        <v>0</v>
      </c>
      <c r="K68" s="3117">
        <f t="shared" si="50"/>
        <v>0</v>
      </c>
      <c r="L68" s="3117">
        <f t="shared" si="50"/>
        <v>0</v>
      </c>
      <c r="M68" s="3117">
        <f t="shared" si="50"/>
        <v>0.35139999999999999</v>
      </c>
      <c r="N68" s="3117">
        <f t="shared" si="50"/>
        <v>0.35139999999999999</v>
      </c>
      <c r="O68" s="3117">
        <f t="shared" si="50"/>
        <v>0.35139999999999999</v>
      </c>
    </row>
    <row r="69" spans="2:17" s="2490" customFormat="1" ht="15.75" thickBot="1" x14ac:dyDescent="0.3">
      <c r="B69" s="3077" t="s">
        <v>632</v>
      </c>
      <c r="C69" s="3116">
        <f>C70+C71</f>
        <v>0</v>
      </c>
      <c r="D69" s="3117">
        <f t="shared" ref="D69:O69" si="51">D70+D71</f>
        <v>0</v>
      </c>
      <c r="E69" s="3117">
        <f t="shared" si="51"/>
        <v>0</v>
      </c>
      <c r="F69" s="3117">
        <f t="shared" si="51"/>
        <v>0</v>
      </c>
      <c r="G69" s="3117">
        <f t="shared" si="51"/>
        <v>0</v>
      </c>
      <c r="H69" s="3117">
        <f t="shared" si="51"/>
        <v>0</v>
      </c>
      <c r="I69" s="3117">
        <f t="shared" si="51"/>
        <v>0</v>
      </c>
      <c r="J69" s="3117">
        <f t="shared" si="51"/>
        <v>0</v>
      </c>
      <c r="K69" s="3117">
        <f t="shared" si="51"/>
        <v>0</v>
      </c>
      <c r="L69" s="3117">
        <f t="shared" si="51"/>
        <v>0</v>
      </c>
      <c r="M69" s="3117">
        <f t="shared" si="51"/>
        <v>0</v>
      </c>
      <c r="N69" s="3117">
        <f t="shared" si="51"/>
        <v>0</v>
      </c>
      <c r="O69" s="3117">
        <f t="shared" si="51"/>
        <v>0</v>
      </c>
    </row>
    <row r="70" spans="2:17" s="2490" customFormat="1" ht="15.75" thickBot="1" x14ac:dyDescent="0.3">
      <c r="B70" s="3080" t="s">
        <v>634</v>
      </c>
      <c r="C70" s="3116">
        <v>0</v>
      </c>
      <c r="D70" s="3117">
        <v>0</v>
      </c>
      <c r="E70" s="3117">
        <v>0</v>
      </c>
      <c r="F70" s="3117">
        <v>0</v>
      </c>
      <c r="G70" s="3117">
        <v>0</v>
      </c>
      <c r="H70" s="3117"/>
      <c r="I70" s="3117"/>
      <c r="J70" s="3117"/>
      <c r="K70" s="3117"/>
      <c r="L70" s="3117"/>
      <c r="M70" s="3117">
        <v>0</v>
      </c>
      <c r="N70" s="3117">
        <v>0</v>
      </c>
      <c r="O70" s="3117">
        <v>0</v>
      </c>
    </row>
    <row r="71" spans="2:17" s="2490" customFormat="1" ht="15.75" thickBot="1" x14ac:dyDescent="0.3">
      <c r="B71" s="3080" t="s">
        <v>635</v>
      </c>
      <c r="C71" s="3116">
        <v>0</v>
      </c>
      <c r="D71" s="3117">
        <v>0</v>
      </c>
      <c r="E71" s="3117">
        <v>0</v>
      </c>
      <c r="F71" s="3117">
        <v>0</v>
      </c>
      <c r="G71" s="3117">
        <v>0</v>
      </c>
      <c r="H71" s="3117"/>
      <c r="I71" s="3117"/>
      <c r="J71" s="3117"/>
      <c r="K71" s="3117"/>
      <c r="L71" s="3117"/>
      <c r="M71" s="3117">
        <v>0</v>
      </c>
      <c r="N71" s="3117">
        <v>0</v>
      </c>
      <c r="O71" s="3117">
        <v>0</v>
      </c>
    </row>
    <row r="72" spans="2:17" s="2490" customFormat="1" ht="15.75" thickBot="1" x14ac:dyDescent="0.3">
      <c r="B72" s="3077" t="s">
        <v>631</v>
      </c>
      <c r="C72" s="3116">
        <f>C73+C74</f>
        <v>0.38640000000000002</v>
      </c>
      <c r="D72" s="3117">
        <f t="shared" ref="D72:O72" si="52">D73+D74</f>
        <v>0.35139999999999999</v>
      </c>
      <c r="E72" s="3117">
        <f t="shared" si="52"/>
        <v>0.35139999999999999</v>
      </c>
      <c r="F72" s="3117">
        <f t="shared" si="52"/>
        <v>0.35139999999999999</v>
      </c>
      <c r="G72" s="3117">
        <f t="shared" si="52"/>
        <v>0.35139999999999999</v>
      </c>
      <c r="H72" s="3117"/>
      <c r="I72" s="3117"/>
      <c r="J72" s="3117"/>
      <c r="K72" s="3117"/>
      <c r="L72" s="3117"/>
      <c r="M72" s="3117">
        <f t="shared" si="52"/>
        <v>0.35139999999999999</v>
      </c>
      <c r="N72" s="3117">
        <f t="shared" si="52"/>
        <v>0.35139999999999999</v>
      </c>
      <c r="O72" s="3117">
        <f t="shared" si="52"/>
        <v>0.35139999999999999</v>
      </c>
    </row>
    <row r="73" spans="2:17" s="2490" customFormat="1" ht="15.75" thickBot="1" x14ac:dyDescent="0.3">
      <c r="B73" s="3080" t="s">
        <v>634</v>
      </c>
      <c r="C73" s="3116">
        <v>0.125</v>
      </c>
      <c r="D73" s="3116">
        <v>0.125</v>
      </c>
      <c r="E73" s="3116">
        <v>0.125</v>
      </c>
      <c r="F73" s="3116">
        <v>0.125</v>
      </c>
      <c r="G73" s="3116">
        <v>0.125</v>
      </c>
      <c r="H73" s="3117"/>
      <c r="I73" s="3117"/>
      <c r="J73" s="3117"/>
      <c r="K73" s="3117"/>
      <c r="L73" s="3117"/>
      <c r="M73" s="3116">
        <v>0.125</v>
      </c>
      <c r="N73" s="3116">
        <v>0.125</v>
      </c>
      <c r="O73" s="3116">
        <v>0.125</v>
      </c>
    </row>
    <row r="74" spans="2:17" s="2490" customFormat="1" ht="15.75" thickBot="1" x14ac:dyDescent="0.3">
      <c r="B74" s="3080" t="s">
        <v>635</v>
      </c>
      <c r="C74" s="3116">
        <v>0.26140000000000002</v>
      </c>
      <c r="D74" s="3116">
        <v>0.22639999999999999</v>
      </c>
      <c r="E74" s="3116">
        <v>0.22639999999999999</v>
      </c>
      <c r="F74" s="3116">
        <v>0.22639999999999999</v>
      </c>
      <c r="G74" s="3116">
        <v>0.22639999999999999</v>
      </c>
      <c r="H74" s="3117"/>
      <c r="I74" s="3117"/>
      <c r="J74" s="3117"/>
      <c r="K74" s="3117"/>
      <c r="L74" s="3117"/>
      <c r="M74" s="3116">
        <v>0.22639999999999999</v>
      </c>
      <c r="N74" s="3116">
        <v>0.22639999999999999</v>
      </c>
      <c r="O74" s="3116">
        <v>0.22639999999999999</v>
      </c>
    </row>
    <row r="75" spans="2:17" s="2490" customFormat="1" thickBot="1" x14ac:dyDescent="0.25">
      <c r="B75" s="3118" t="s">
        <v>636</v>
      </c>
      <c r="C75" s="3119">
        <f>C76+C84+C91+C99+C106+C113</f>
        <v>4273.0545458333336</v>
      </c>
      <c r="D75" s="3120">
        <f>D76+D84+D91+D99+D106+D113</f>
        <v>1067.2524999999998</v>
      </c>
      <c r="E75" s="3120">
        <f t="shared" ref="E75:O75" si="53">E76+E84+E91+E99+E106+E113</f>
        <v>881.76660833333324</v>
      </c>
      <c r="F75" s="3120">
        <f t="shared" si="53"/>
        <v>773.30882083333324</v>
      </c>
      <c r="G75" s="3120">
        <f t="shared" si="53"/>
        <v>0</v>
      </c>
      <c r="H75" s="3120">
        <f t="shared" si="53"/>
        <v>0</v>
      </c>
      <c r="I75" s="3120">
        <f t="shared" si="53"/>
        <v>0</v>
      </c>
      <c r="J75" s="3120">
        <f t="shared" si="53"/>
        <v>0</v>
      </c>
      <c r="K75" s="3120">
        <f t="shared" si="53"/>
        <v>0</v>
      </c>
      <c r="L75" s="3120">
        <f t="shared" si="53"/>
        <v>0</v>
      </c>
      <c r="M75" s="3120">
        <f t="shared" si="53"/>
        <v>0</v>
      </c>
      <c r="N75" s="3120">
        <f t="shared" si="53"/>
        <v>668.02744999999982</v>
      </c>
      <c r="O75" s="3120">
        <f t="shared" si="53"/>
        <v>882.69916666666654</v>
      </c>
      <c r="P75" s="2494"/>
    </row>
    <row r="76" spans="2:17" s="2490" customFormat="1" ht="18.75" customHeight="1" x14ac:dyDescent="0.2">
      <c r="B76" s="3121" t="s">
        <v>638</v>
      </c>
      <c r="C76" s="3122">
        <f t="shared" ref="C76:O76" si="54">C77+C80</f>
        <v>0</v>
      </c>
      <c r="D76" s="3122">
        <f t="shared" si="54"/>
        <v>0</v>
      </c>
      <c r="E76" s="3122">
        <f t="shared" si="54"/>
        <v>0</v>
      </c>
      <c r="F76" s="3122">
        <f t="shared" si="54"/>
        <v>0</v>
      </c>
      <c r="G76" s="3122">
        <f t="shared" si="54"/>
        <v>0</v>
      </c>
      <c r="H76" s="3122"/>
      <c r="I76" s="3122"/>
      <c r="J76" s="3122"/>
      <c r="K76" s="3122"/>
      <c r="L76" s="3122"/>
      <c r="M76" s="3122">
        <f t="shared" si="54"/>
        <v>0</v>
      </c>
      <c r="N76" s="3122">
        <f t="shared" si="54"/>
        <v>0</v>
      </c>
      <c r="O76" s="3123">
        <f t="shared" si="54"/>
        <v>0</v>
      </c>
      <c r="Q76" s="2492"/>
    </row>
    <row r="77" spans="2:17" s="2490" customFormat="1" x14ac:dyDescent="0.25">
      <c r="B77" s="3077" t="s">
        <v>630</v>
      </c>
      <c r="C77" s="3124">
        <f>C78+C79</f>
        <v>0</v>
      </c>
      <c r="D77" s="3124">
        <f t="shared" ref="D77:O77" si="55">D78+D79</f>
        <v>0</v>
      </c>
      <c r="E77" s="3124">
        <f t="shared" si="55"/>
        <v>0</v>
      </c>
      <c r="F77" s="3124">
        <f t="shared" si="55"/>
        <v>0</v>
      </c>
      <c r="G77" s="3124">
        <f t="shared" si="55"/>
        <v>0</v>
      </c>
      <c r="H77" s="3124"/>
      <c r="I77" s="3124"/>
      <c r="J77" s="3124"/>
      <c r="K77" s="3124"/>
      <c r="L77" s="3124"/>
      <c r="M77" s="3124">
        <f t="shared" si="55"/>
        <v>0</v>
      </c>
      <c r="N77" s="3124">
        <f t="shared" si="55"/>
        <v>0</v>
      </c>
      <c r="O77" s="3125">
        <f t="shared" si="55"/>
        <v>0</v>
      </c>
    </row>
    <row r="78" spans="2:17" s="2490" customFormat="1" x14ac:dyDescent="0.25">
      <c r="B78" s="3080" t="s">
        <v>717</v>
      </c>
      <c r="C78" s="3126">
        <f>(C18-C19)*C12</f>
        <v>0</v>
      </c>
      <c r="D78" s="3126">
        <f>(D18-D19)*D12</f>
        <v>0</v>
      </c>
      <c r="E78" s="3126">
        <f>(E18-E19)*E12</f>
        <v>0</v>
      </c>
      <c r="F78" s="3126">
        <f>(F18-F19)*F12</f>
        <v>0</v>
      </c>
      <c r="G78" s="3126">
        <f>(G18-G19)*G12</f>
        <v>0</v>
      </c>
      <c r="H78" s="3126"/>
      <c r="I78" s="3126"/>
      <c r="J78" s="3126"/>
      <c r="K78" s="3126"/>
      <c r="L78" s="3126"/>
      <c r="M78" s="3126">
        <f>(M18-M19)*M12</f>
        <v>0</v>
      </c>
      <c r="N78" s="3126">
        <f>(N18-N19)*N12</f>
        <v>0</v>
      </c>
      <c r="O78" s="3127">
        <f>(O18-O19)*O12</f>
        <v>0</v>
      </c>
    </row>
    <row r="79" spans="2:17" s="2490" customFormat="1" x14ac:dyDescent="0.25">
      <c r="B79" s="3080" t="s">
        <v>698</v>
      </c>
      <c r="C79" s="3126">
        <f>C19*C11</f>
        <v>0</v>
      </c>
      <c r="D79" s="3126">
        <f>D19*D11</f>
        <v>0</v>
      </c>
      <c r="E79" s="3126">
        <f>E19*E11</f>
        <v>0</v>
      </c>
      <c r="F79" s="3126">
        <f>F19*F11</f>
        <v>0</v>
      </c>
      <c r="G79" s="3126">
        <f>G19*G11</f>
        <v>0</v>
      </c>
      <c r="H79" s="3126"/>
      <c r="I79" s="3126"/>
      <c r="J79" s="3126"/>
      <c r="K79" s="3126"/>
      <c r="L79" s="3126"/>
      <c r="M79" s="3126">
        <f>M19*M11</f>
        <v>0</v>
      </c>
      <c r="N79" s="3126">
        <f>N19*N11</f>
        <v>0</v>
      </c>
      <c r="O79" s="3127">
        <f>O19*O11</f>
        <v>0</v>
      </c>
    </row>
    <row r="80" spans="2:17" s="2490" customFormat="1" x14ac:dyDescent="0.25">
      <c r="B80" s="3077" t="s">
        <v>631</v>
      </c>
      <c r="C80" s="3124">
        <f t="shared" ref="C80:O80" si="56">C81+C83</f>
        <v>0</v>
      </c>
      <c r="D80" s="3124">
        <f t="shared" si="56"/>
        <v>0</v>
      </c>
      <c r="E80" s="3124">
        <f t="shared" si="56"/>
        <v>0</v>
      </c>
      <c r="F80" s="3124">
        <f t="shared" si="56"/>
        <v>0</v>
      </c>
      <c r="G80" s="3124">
        <f t="shared" si="56"/>
        <v>0</v>
      </c>
      <c r="H80" s="3124"/>
      <c r="I80" s="3124"/>
      <c r="J80" s="3124"/>
      <c r="K80" s="3124"/>
      <c r="L80" s="3124"/>
      <c r="M80" s="3124">
        <f t="shared" si="56"/>
        <v>0</v>
      </c>
      <c r="N80" s="3124">
        <f t="shared" si="56"/>
        <v>0</v>
      </c>
      <c r="O80" s="3125">
        <f t="shared" si="56"/>
        <v>0</v>
      </c>
    </row>
    <row r="81" spans="1:106" s="2490" customFormat="1" x14ac:dyDescent="0.25">
      <c r="B81" s="3080" t="s">
        <v>717</v>
      </c>
      <c r="C81" s="3126">
        <f>(C21-C22)*C12</f>
        <v>0</v>
      </c>
      <c r="D81" s="3126">
        <f>(D21-D22)*D12</f>
        <v>0</v>
      </c>
      <c r="E81" s="3126">
        <f>(E21-E22)*E12</f>
        <v>0</v>
      </c>
      <c r="F81" s="3126">
        <f>(F21-F22)*F12</f>
        <v>0</v>
      </c>
      <c r="G81" s="3126">
        <f>(G21-G22)*G12</f>
        <v>0</v>
      </c>
      <c r="H81" s="3126"/>
      <c r="I81" s="3126"/>
      <c r="J81" s="3126"/>
      <c r="K81" s="3126"/>
      <c r="L81" s="3126"/>
      <c r="M81" s="3126">
        <f>(M21-M22)*M12</f>
        <v>0</v>
      </c>
      <c r="N81" s="3126">
        <f>(N21-N22)*N12</f>
        <v>0</v>
      </c>
      <c r="O81" s="3127">
        <f>(O21-O22)*O12</f>
        <v>0</v>
      </c>
    </row>
    <row r="82" spans="1:106" s="2490" customFormat="1" x14ac:dyDescent="0.25">
      <c r="B82" s="3084"/>
      <c r="C82" s="3126">
        <f>C23*C12</f>
        <v>0</v>
      </c>
      <c r="D82" s="3126">
        <f>D23*D12</f>
        <v>0</v>
      </c>
      <c r="E82" s="3126">
        <f>E23*E12</f>
        <v>0</v>
      </c>
      <c r="F82" s="3126">
        <f>F23*F12</f>
        <v>0</v>
      </c>
      <c r="G82" s="3126">
        <f>G23*G12</f>
        <v>0</v>
      </c>
      <c r="H82" s="3126"/>
      <c r="I82" s="3126"/>
      <c r="J82" s="3126"/>
      <c r="K82" s="3126"/>
      <c r="L82" s="3126"/>
      <c r="M82" s="3126">
        <f>M23*M12</f>
        <v>0</v>
      </c>
      <c r="N82" s="3126">
        <f>N23*N12</f>
        <v>0</v>
      </c>
      <c r="O82" s="3127">
        <f>O23*O12</f>
        <v>0</v>
      </c>
    </row>
    <row r="83" spans="1:106" s="2490" customFormat="1" ht="15.75" thickBot="1" x14ac:dyDescent="0.3">
      <c r="B83" s="3112" t="s">
        <v>698</v>
      </c>
      <c r="C83" s="3128">
        <f>C22*C11</f>
        <v>0</v>
      </c>
      <c r="D83" s="3128">
        <f>D22*D11</f>
        <v>0</v>
      </c>
      <c r="E83" s="3128">
        <f>E22*E11</f>
        <v>0</v>
      </c>
      <c r="F83" s="3128">
        <f>F22*F11</f>
        <v>0</v>
      </c>
      <c r="G83" s="3128">
        <f>G22*G11</f>
        <v>0</v>
      </c>
      <c r="H83" s="3128"/>
      <c r="I83" s="3128"/>
      <c r="J83" s="3128"/>
      <c r="K83" s="3128"/>
      <c r="L83" s="3128"/>
      <c r="M83" s="3128">
        <f>M22*M11</f>
        <v>0</v>
      </c>
      <c r="N83" s="3128">
        <f>N22*N11</f>
        <v>0</v>
      </c>
      <c r="O83" s="3129">
        <f>O22*O11</f>
        <v>0</v>
      </c>
    </row>
    <row r="84" spans="1:106" s="2490" customFormat="1" ht="18.75" customHeight="1" thickBot="1" x14ac:dyDescent="0.25">
      <c r="B84" s="3130" t="s">
        <v>639</v>
      </c>
      <c r="C84" s="3131">
        <f t="shared" ref="C84:O84" si="57">C85+C88</f>
        <v>0</v>
      </c>
      <c r="D84" s="3131">
        <f t="shared" si="57"/>
        <v>0</v>
      </c>
      <c r="E84" s="3131">
        <f t="shared" si="57"/>
        <v>0</v>
      </c>
      <c r="F84" s="3131">
        <f t="shared" si="57"/>
        <v>0</v>
      </c>
      <c r="G84" s="3131">
        <f t="shared" si="57"/>
        <v>0</v>
      </c>
      <c r="H84" s="3131"/>
      <c r="I84" s="3131"/>
      <c r="J84" s="3131"/>
      <c r="K84" s="3131"/>
      <c r="L84" s="3131"/>
      <c r="M84" s="3131">
        <f t="shared" si="57"/>
        <v>0</v>
      </c>
      <c r="N84" s="3131">
        <f t="shared" si="57"/>
        <v>0</v>
      </c>
      <c r="O84" s="3132">
        <f t="shared" si="57"/>
        <v>0</v>
      </c>
    </row>
    <row r="85" spans="1:106" s="2490" customFormat="1" x14ac:dyDescent="0.25">
      <c r="B85" s="3133" t="s">
        <v>630</v>
      </c>
      <c r="C85" s="3134">
        <f t="shared" ref="C85:O85" si="58">C86+C87</f>
        <v>0</v>
      </c>
      <c r="D85" s="3134">
        <f t="shared" si="58"/>
        <v>0</v>
      </c>
      <c r="E85" s="3134">
        <f t="shared" si="58"/>
        <v>0</v>
      </c>
      <c r="F85" s="3134">
        <f t="shared" si="58"/>
        <v>0</v>
      </c>
      <c r="G85" s="3134">
        <f t="shared" si="58"/>
        <v>0</v>
      </c>
      <c r="H85" s="3134"/>
      <c r="I85" s="3134"/>
      <c r="J85" s="3134"/>
      <c r="K85" s="3134"/>
      <c r="L85" s="3134"/>
      <c r="M85" s="3134">
        <f t="shared" si="58"/>
        <v>0</v>
      </c>
      <c r="N85" s="3134">
        <f t="shared" si="58"/>
        <v>0</v>
      </c>
      <c r="O85" s="3135">
        <f t="shared" si="58"/>
        <v>0</v>
      </c>
    </row>
    <row r="86" spans="1:106" x14ac:dyDescent="0.25">
      <c r="B86" s="3080" t="s">
        <v>634</v>
      </c>
      <c r="C86" s="3136">
        <f>C26*$C$12</f>
        <v>0</v>
      </c>
      <c r="D86" s="3136">
        <f>D26*$D$12</f>
        <v>0</v>
      </c>
      <c r="E86" s="3136">
        <f>E26*$E$12</f>
        <v>0</v>
      </c>
      <c r="F86" s="3136">
        <f>F26*$F$12</f>
        <v>0</v>
      </c>
      <c r="G86" s="3136">
        <f>G26*$G$12</f>
        <v>0</v>
      </c>
      <c r="H86" s="3136"/>
      <c r="I86" s="3136"/>
      <c r="J86" s="3136"/>
      <c r="K86" s="3136"/>
      <c r="L86" s="3136"/>
      <c r="M86" s="3136">
        <f>M26*$M$12</f>
        <v>0</v>
      </c>
      <c r="N86" s="3136">
        <f>N26*$N$12</f>
        <v>0</v>
      </c>
      <c r="O86" s="3137">
        <f>O26*$O$12</f>
        <v>0</v>
      </c>
    </row>
    <row r="87" spans="1:106" x14ac:dyDescent="0.25">
      <c r="B87" s="3080" t="s">
        <v>635</v>
      </c>
      <c r="C87" s="3136">
        <f>C27*$C$12</f>
        <v>0</v>
      </c>
      <c r="D87" s="3136">
        <f>D27*$D$12</f>
        <v>0</v>
      </c>
      <c r="E87" s="3136">
        <f>E27*$E$12</f>
        <v>0</v>
      </c>
      <c r="F87" s="3136">
        <f>F27*$F$12</f>
        <v>0</v>
      </c>
      <c r="G87" s="3136">
        <f>G27*$G$12</f>
        <v>0</v>
      </c>
      <c r="H87" s="3136"/>
      <c r="I87" s="3136"/>
      <c r="J87" s="3136"/>
      <c r="K87" s="3136"/>
      <c r="L87" s="3136"/>
      <c r="M87" s="3136">
        <f>M27*$M$12</f>
        <v>0</v>
      </c>
      <c r="N87" s="3136">
        <f>N27*$N$12</f>
        <v>0</v>
      </c>
      <c r="O87" s="3137">
        <f>O27*$O$12</f>
        <v>0</v>
      </c>
    </row>
    <row r="88" spans="1:106" s="2490" customFormat="1" x14ac:dyDescent="0.25">
      <c r="B88" s="3077" t="s">
        <v>631</v>
      </c>
      <c r="C88" s="3134">
        <f t="shared" ref="C88:O88" si="59">C89+C90</f>
        <v>0</v>
      </c>
      <c r="D88" s="3134">
        <f t="shared" si="59"/>
        <v>0</v>
      </c>
      <c r="E88" s="3134">
        <f t="shared" si="59"/>
        <v>0</v>
      </c>
      <c r="F88" s="3134">
        <f t="shared" si="59"/>
        <v>0</v>
      </c>
      <c r="G88" s="3134">
        <f t="shared" si="59"/>
        <v>0</v>
      </c>
      <c r="H88" s="3134"/>
      <c r="I88" s="3134"/>
      <c r="J88" s="3134"/>
      <c r="K88" s="3134"/>
      <c r="L88" s="3134"/>
      <c r="M88" s="3134">
        <f t="shared" si="59"/>
        <v>0</v>
      </c>
      <c r="N88" s="3134">
        <f t="shared" si="59"/>
        <v>0</v>
      </c>
      <c r="O88" s="3135">
        <f t="shared" si="59"/>
        <v>0</v>
      </c>
    </row>
    <row r="89" spans="1:106" s="2490" customFormat="1" x14ac:dyDescent="0.25">
      <c r="B89" s="3080" t="s">
        <v>634</v>
      </c>
      <c r="C89" s="3136">
        <f>C29*$C$12</f>
        <v>0</v>
      </c>
      <c r="D89" s="3136">
        <f>D29*$D$12</f>
        <v>0</v>
      </c>
      <c r="E89" s="3136">
        <f>E29*$E$12</f>
        <v>0</v>
      </c>
      <c r="F89" s="3136">
        <f>F29*$F$12</f>
        <v>0</v>
      </c>
      <c r="G89" s="3136">
        <f>G29*$G$12</f>
        <v>0</v>
      </c>
      <c r="H89" s="3136"/>
      <c r="I89" s="3136"/>
      <c r="J89" s="3136"/>
      <c r="K89" s="3136"/>
      <c r="L89" s="3136"/>
      <c r="M89" s="3136">
        <f>M29*$M$12</f>
        <v>0</v>
      </c>
      <c r="N89" s="3136">
        <f>N29*$N$12</f>
        <v>0</v>
      </c>
      <c r="O89" s="3137">
        <f>O29*$O$12</f>
        <v>0</v>
      </c>
    </row>
    <row r="90" spans="1:106" s="2490" customFormat="1" x14ac:dyDescent="0.25">
      <c r="B90" s="3080" t="s">
        <v>635</v>
      </c>
      <c r="C90" s="3136">
        <f>C30*$C$12</f>
        <v>0</v>
      </c>
      <c r="D90" s="3136">
        <f>D30*$D$12</f>
        <v>0</v>
      </c>
      <c r="E90" s="3136">
        <f>E30*$E$12</f>
        <v>0</v>
      </c>
      <c r="F90" s="3136">
        <f>F30*$F$12</f>
        <v>0</v>
      </c>
      <c r="G90" s="3136">
        <f>G30*$G$12</f>
        <v>0</v>
      </c>
      <c r="H90" s="3136"/>
      <c r="I90" s="3136"/>
      <c r="J90" s="3136"/>
      <c r="K90" s="3136"/>
      <c r="L90" s="3136"/>
      <c r="M90" s="3136">
        <f>M30*$M$12</f>
        <v>0</v>
      </c>
      <c r="N90" s="3136">
        <f>N30*$N$12</f>
        <v>0</v>
      </c>
      <c r="O90" s="3137">
        <f>O30*$O$12</f>
        <v>0</v>
      </c>
    </row>
    <row r="91" spans="1:106" s="3141" customFormat="1" x14ac:dyDescent="0.25">
      <c r="A91" s="2490"/>
      <c r="B91" s="3093" t="s">
        <v>628</v>
      </c>
      <c r="C91" s="3138">
        <f>C92+C95</f>
        <v>0</v>
      </c>
      <c r="D91" s="3139">
        <f t="shared" ref="D91:O91" si="60">D92+D95</f>
        <v>0</v>
      </c>
      <c r="E91" s="3139">
        <f t="shared" si="60"/>
        <v>0</v>
      </c>
      <c r="F91" s="3139">
        <f t="shared" si="60"/>
        <v>0</v>
      </c>
      <c r="G91" s="3139">
        <f t="shared" si="60"/>
        <v>0</v>
      </c>
      <c r="H91" s="3139"/>
      <c r="I91" s="3139"/>
      <c r="J91" s="3139"/>
      <c r="K91" s="3139"/>
      <c r="L91" s="3139"/>
      <c r="M91" s="3139">
        <f t="shared" si="60"/>
        <v>0</v>
      </c>
      <c r="N91" s="3139">
        <f t="shared" si="60"/>
        <v>0</v>
      </c>
      <c r="O91" s="3140">
        <f t="shared" si="60"/>
        <v>0</v>
      </c>
      <c r="P91" s="2493"/>
      <c r="Q91" s="2490"/>
      <c r="R91" s="2490"/>
      <c r="S91" s="2490"/>
      <c r="T91" s="2490"/>
      <c r="U91" s="2490"/>
      <c r="V91" s="2490"/>
      <c r="W91" s="2490"/>
      <c r="X91" s="2490"/>
      <c r="Y91" s="2490"/>
      <c r="Z91" s="2490"/>
      <c r="AA91" s="2490"/>
      <c r="AB91" s="2490"/>
      <c r="AC91" s="2490"/>
      <c r="AD91" s="2490"/>
      <c r="AE91" s="2490"/>
      <c r="AF91" s="2490"/>
      <c r="AG91" s="2490"/>
      <c r="AH91" s="2490"/>
      <c r="AI91" s="2490"/>
      <c r="AJ91" s="2490"/>
      <c r="AK91" s="2490"/>
      <c r="AL91" s="2490"/>
      <c r="AM91" s="2490"/>
      <c r="AN91" s="2490"/>
      <c r="AO91" s="2490"/>
      <c r="AP91" s="2490"/>
      <c r="AQ91" s="2490"/>
      <c r="AR91" s="2490"/>
      <c r="AS91" s="2490"/>
      <c r="AT91" s="2490"/>
      <c r="AU91" s="2490"/>
      <c r="AV91" s="2490"/>
      <c r="AW91" s="2490"/>
      <c r="AX91" s="2490"/>
      <c r="AY91" s="2490"/>
      <c r="AZ91" s="2490"/>
      <c r="BA91" s="2490"/>
      <c r="BB91" s="2490"/>
      <c r="BC91" s="2490"/>
      <c r="BD91" s="2490"/>
      <c r="BE91" s="2490"/>
      <c r="BF91" s="2490"/>
      <c r="BG91" s="2490"/>
      <c r="BH91" s="2490"/>
      <c r="BI91" s="2490"/>
      <c r="BJ91" s="2490"/>
      <c r="BK91" s="2490"/>
      <c r="BL91" s="2490"/>
      <c r="BM91" s="2490"/>
      <c r="BN91" s="2490"/>
      <c r="BO91" s="2490"/>
      <c r="BP91" s="2490"/>
      <c r="BQ91" s="2490"/>
      <c r="BR91" s="2490"/>
      <c r="BS91" s="2490"/>
      <c r="BT91" s="2490"/>
      <c r="BU91" s="2490"/>
      <c r="BV91" s="2490"/>
      <c r="BW91" s="2490"/>
      <c r="BX91" s="2490"/>
      <c r="BY91" s="2490"/>
      <c r="BZ91" s="2490"/>
      <c r="CA91" s="2490"/>
      <c r="CB91" s="2490"/>
      <c r="CC91" s="2490"/>
      <c r="CD91" s="2490"/>
      <c r="CE91" s="2490"/>
      <c r="CF91" s="2490"/>
      <c r="CG91" s="2490"/>
      <c r="CH91" s="2490"/>
      <c r="CI91" s="2490"/>
      <c r="CJ91" s="2490"/>
      <c r="CK91" s="2490"/>
      <c r="CL91" s="2490"/>
      <c r="CM91" s="2490"/>
      <c r="CN91" s="2490"/>
      <c r="CO91" s="2490"/>
      <c r="CP91" s="2490"/>
      <c r="CQ91" s="2490"/>
      <c r="CR91" s="2490"/>
      <c r="CS91" s="2490"/>
      <c r="CT91" s="2490"/>
      <c r="CU91" s="2490"/>
      <c r="CV91" s="2490"/>
      <c r="CW91" s="2490"/>
      <c r="CX91" s="2490"/>
      <c r="CY91" s="2490"/>
      <c r="CZ91" s="2490"/>
      <c r="DA91" s="2490"/>
      <c r="DB91" s="2490"/>
    </row>
    <row r="92" spans="1:106" s="3110" customFormat="1" ht="15.75" thickBot="1" x14ac:dyDescent="0.3">
      <c r="A92" s="2490"/>
      <c r="B92" s="3458" t="s">
        <v>630</v>
      </c>
      <c r="C92" s="3459">
        <f t="shared" ref="C92:O92" si="61">C93+C94</f>
        <v>0</v>
      </c>
      <c r="D92" s="3459">
        <f t="shared" si="61"/>
        <v>0</v>
      </c>
      <c r="E92" s="3459">
        <f t="shared" si="61"/>
        <v>0</v>
      </c>
      <c r="F92" s="3459">
        <f t="shared" si="61"/>
        <v>0</v>
      </c>
      <c r="G92" s="3459">
        <f t="shared" si="61"/>
        <v>0</v>
      </c>
      <c r="H92" s="3459"/>
      <c r="I92" s="3459"/>
      <c r="J92" s="3459"/>
      <c r="K92" s="3459"/>
      <c r="L92" s="3459"/>
      <c r="M92" s="3459">
        <f t="shared" si="61"/>
        <v>0</v>
      </c>
      <c r="N92" s="3459">
        <f t="shared" si="61"/>
        <v>0</v>
      </c>
      <c r="O92" s="3460">
        <f t="shared" si="61"/>
        <v>0</v>
      </c>
      <c r="P92" s="2490"/>
      <c r="Q92" s="2490"/>
      <c r="R92" s="2490"/>
      <c r="S92" s="2490"/>
      <c r="T92" s="2490"/>
      <c r="U92" s="2490"/>
      <c r="V92" s="2490"/>
      <c r="W92" s="2490"/>
      <c r="X92" s="2490"/>
      <c r="Y92" s="2490"/>
      <c r="Z92" s="2490"/>
      <c r="AA92" s="2490"/>
      <c r="AB92" s="2490"/>
      <c r="AC92" s="2490"/>
      <c r="AD92" s="2490"/>
      <c r="AE92" s="2490"/>
      <c r="AF92" s="2490"/>
      <c r="AG92" s="2490"/>
      <c r="AH92" s="2490"/>
      <c r="AI92" s="2490"/>
      <c r="AJ92" s="2490"/>
      <c r="AK92" s="2490"/>
      <c r="AL92" s="2490"/>
      <c r="AM92" s="2490"/>
      <c r="AN92" s="2490"/>
      <c r="AO92" s="2490"/>
      <c r="AP92" s="2490"/>
      <c r="AQ92" s="2490"/>
      <c r="AR92" s="2490"/>
      <c r="AS92" s="2490"/>
      <c r="AT92" s="2490"/>
      <c r="AU92" s="2490"/>
      <c r="AV92" s="2490"/>
      <c r="AW92" s="2490"/>
      <c r="AX92" s="2490"/>
      <c r="AY92" s="2490"/>
      <c r="AZ92" s="2490"/>
      <c r="BA92" s="2490"/>
      <c r="BB92" s="2490"/>
      <c r="BC92" s="2490"/>
      <c r="BD92" s="2490"/>
      <c r="BE92" s="2490"/>
      <c r="BF92" s="2490"/>
      <c r="BG92" s="2490"/>
      <c r="BH92" s="2490"/>
      <c r="BI92" s="2490"/>
      <c r="BJ92" s="2490"/>
      <c r="BK92" s="2490"/>
      <c r="BL92" s="2490"/>
      <c r="BM92" s="2490"/>
      <c r="BN92" s="2490"/>
      <c r="BO92" s="2490"/>
      <c r="BP92" s="2490"/>
      <c r="BQ92" s="2490"/>
      <c r="BR92" s="2490"/>
      <c r="BS92" s="2490"/>
      <c r="BT92" s="2490"/>
      <c r="BU92" s="2490"/>
      <c r="BV92" s="2490"/>
      <c r="BW92" s="2490"/>
      <c r="BX92" s="2490"/>
      <c r="BY92" s="2490"/>
      <c r="BZ92" s="2490"/>
      <c r="CA92" s="2490"/>
      <c r="CB92" s="2490"/>
      <c r="CC92" s="2490"/>
      <c r="CD92" s="2490"/>
      <c r="CE92" s="2490"/>
      <c r="CF92" s="2490"/>
      <c r="CG92" s="2490"/>
      <c r="CH92" s="2490"/>
      <c r="CI92" s="2490"/>
      <c r="CJ92" s="2490"/>
      <c r="CK92" s="2490"/>
      <c r="CL92" s="2490"/>
      <c r="CM92" s="2490"/>
      <c r="CN92" s="2490"/>
      <c r="CO92" s="2490"/>
      <c r="CP92" s="2490"/>
      <c r="CQ92" s="2490"/>
      <c r="CR92" s="2490"/>
      <c r="CS92" s="2490"/>
      <c r="CT92" s="2490"/>
      <c r="CU92" s="2490"/>
      <c r="CV92" s="2490"/>
      <c r="CW92" s="2490"/>
      <c r="CX92" s="2490"/>
      <c r="CY92" s="2490"/>
      <c r="CZ92" s="2490"/>
      <c r="DA92" s="2490"/>
      <c r="DB92" s="2490"/>
    </row>
    <row r="93" spans="1:106" s="3110" customFormat="1" x14ac:dyDescent="0.25">
      <c r="A93" s="2490"/>
      <c r="B93" s="3457" t="s">
        <v>634</v>
      </c>
      <c r="C93" s="3136">
        <f>C33*$C$12</f>
        <v>0</v>
      </c>
      <c r="D93" s="3136">
        <f>D33*$D$12</f>
        <v>0</v>
      </c>
      <c r="E93" s="3136">
        <f>E33*$E$12</f>
        <v>0</v>
      </c>
      <c r="F93" s="3136">
        <f>F33*$F$12</f>
        <v>0</v>
      </c>
      <c r="G93" s="3136">
        <f>G33*$G$12</f>
        <v>0</v>
      </c>
      <c r="H93" s="3136"/>
      <c r="I93" s="3136"/>
      <c r="J93" s="3136"/>
      <c r="K93" s="3136"/>
      <c r="L93" s="3136"/>
      <c r="M93" s="3136">
        <f>M33*$M$12</f>
        <v>0</v>
      </c>
      <c r="N93" s="3136">
        <f>N33*$N$12</f>
        <v>0</v>
      </c>
      <c r="O93" s="3137">
        <f>O33*$O$12</f>
        <v>0</v>
      </c>
      <c r="P93" s="2490"/>
      <c r="Q93" s="2490"/>
      <c r="R93" s="2490"/>
      <c r="S93" s="2490"/>
      <c r="T93" s="2490"/>
      <c r="U93" s="2490"/>
      <c r="V93" s="2490"/>
      <c r="W93" s="2490"/>
      <c r="X93" s="2490"/>
      <c r="Y93" s="2490"/>
      <c r="Z93" s="2490"/>
      <c r="AA93" s="2490"/>
      <c r="AB93" s="2490"/>
      <c r="AC93" s="2490"/>
      <c r="AD93" s="2490"/>
      <c r="AE93" s="2490"/>
      <c r="AF93" s="2490"/>
      <c r="AG93" s="2490"/>
      <c r="AH93" s="2490"/>
      <c r="AI93" s="2490"/>
      <c r="AJ93" s="2490"/>
      <c r="AK93" s="2490"/>
      <c r="AL93" s="2490"/>
      <c r="AM93" s="2490"/>
      <c r="AN93" s="2490"/>
      <c r="AO93" s="2490"/>
      <c r="AP93" s="2490"/>
      <c r="AQ93" s="2490"/>
      <c r="AR93" s="2490"/>
      <c r="AS93" s="2490"/>
      <c r="AT93" s="2490"/>
      <c r="AU93" s="2490"/>
      <c r="AV93" s="2490"/>
      <c r="AW93" s="2490"/>
      <c r="AX93" s="2490"/>
      <c r="AY93" s="2490"/>
      <c r="AZ93" s="2490"/>
      <c r="BA93" s="2490"/>
      <c r="BB93" s="2490"/>
      <c r="BC93" s="2490"/>
      <c r="BD93" s="2490"/>
      <c r="BE93" s="2490"/>
      <c r="BF93" s="2490"/>
      <c r="BG93" s="2490"/>
      <c r="BH93" s="2490"/>
      <c r="BI93" s="2490"/>
      <c r="BJ93" s="2490"/>
      <c r="BK93" s="2490"/>
      <c r="BL93" s="2490"/>
      <c r="BM93" s="2490"/>
      <c r="BN93" s="2490"/>
      <c r="BO93" s="2490"/>
      <c r="BP93" s="2490"/>
      <c r="BQ93" s="2490"/>
      <c r="BR93" s="2490"/>
      <c r="BS93" s="2490"/>
      <c r="BT93" s="2490"/>
      <c r="BU93" s="2490"/>
      <c r="BV93" s="2490"/>
      <c r="BW93" s="2490"/>
      <c r="BX93" s="2490"/>
      <c r="BY93" s="2490"/>
      <c r="BZ93" s="2490"/>
      <c r="CA93" s="2490"/>
      <c r="CB93" s="2490"/>
      <c r="CC93" s="2490"/>
      <c r="CD93" s="2490"/>
      <c r="CE93" s="2490"/>
      <c r="CF93" s="2490"/>
      <c r="CG93" s="2490"/>
      <c r="CH93" s="2490"/>
      <c r="CI93" s="2490"/>
      <c r="CJ93" s="2490"/>
      <c r="CK93" s="2490"/>
      <c r="CL93" s="2490"/>
      <c r="CM93" s="2490"/>
      <c r="CN93" s="2490"/>
      <c r="CO93" s="2490"/>
      <c r="CP93" s="2490"/>
      <c r="CQ93" s="2490"/>
      <c r="CR93" s="2490"/>
      <c r="CS93" s="2490"/>
      <c r="CT93" s="2490"/>
      <c r="CU93" s="2490"/>
      <c r="CV93" s="2490"/>
      <c r="CW93" s="2490"/>
      <c r="CX93" s="2490"/>
      <c r="CY93" s="2490"/>
      <c r="CZ93" s="2490"/>
      <c r="DA93" s="2490"/>
      <c r="DB93" s="2490"/>
    </row>
    <row r="94" spans="1:106" s="3110" customFormat="1" x14ac:dyDescent="0.25">
      <c r="A94" s="2490"/>
      <c r="B94" s="3080" t="s">
        <v>635</v>
      </c>
      <c r="C94" s="3136">
        <f>C34*$C$12</f>
        <v>0</v>
      </c>
      <c r="D94" s="3136">
        <f>D34*$D$12</f>
        <v>0</v>
      </c>
      <c r="E94" s="3136">
        <f>E34*$E$12</f>
        <v>0</v>
      </c>
      <c r="F94" s="3136">
        <f>F34*$F$12</f>
        <v>0</v>
      </c>
      <c r="G94" s="3136">
        <f>G34*$G$12</f>
        <v>0</v>
      </c>
      <c r="H94" s="3136"/>
      <c r="I94" s="3136"/>
      <c r="J94" s="3136"/>
      <c r="K94" s="3136"/>
      <c r="L94" s="3136"/>
      <c r="M94" s="3136">
        <f>M34*$M$12</f>
        <v>0</v>
      </c>
      <c r="N94" s="3136">
        <f>N34*$N$12</f>
        <v>0</v>
      </c>
      <c r="O94" s="3136">
        <f>O34*$N$12</f>
        <v>0</v>
      </c>
      <c r="P94" s="2490"/>
      <c r="Q94" s="2490"/>
      <c r="R94" s="2490"/>
      <c r="S94" s="2490"/>
      <c r="T94" s="2490"/>
      <c r="U94" s="2490"/>
      <c r="V94" s="2490"/>
      <c r="W94" s="2490"/>
      <c r="X94" s="2490"/>
      <c r="Y94" s="2490"/>
      <c r="Z94" s="2490"/>
      <c r="AA94" s="2490"/>
      <c r="AB94" s="2490"/>
      <c r="AC94" s="2490"/>
      <c r="AD94" s="2490"/>
      <c r="AE94" s="2490"/>
      <c r="AF94" s="2490"/>
      <c r="AG94" s="2490"/>
      <c r="AH94" s="2490"/>
      <c r="AI94" s="2490"/>
      <c r="AJ94" s="2490"/>
      <c r="AK94" s="2490"/>
      <c r="AL94" s="2490"/>
      <c r="AM94" s="2490"/>
      <c r="AN94" s="2490"/>
      <c r="AO94" s="2490"/>
      <c r="AP94" s="2490"/>
      <c r="AQ94" s="2490"/>
      <c r="AR94" s="2490"/>
      <c r="AS94" s="2490"/>
      <c r="AT94" s="2490"/>
      <c r="AU94" s="2490"/>
      <c r="AV94" s="2490"/>
      <c r="AW94" s="2490"/>
      <c r="AX94" s="2490"/>
      <c r="AY94" s="2490"/>
      <c r="AZ94" s="2490"/>
      <c r="BA94" s="2490"/>
      <c r="BB94" s="2490"/>
      <c r="BC94" s="2490"/>
      <c r="BD94" s="2490"/>
      <c r="BE94" s="2490"/>
      <c r="BF94" s="2490"/>
      <c r="BG94" s="2490"/>
      <c r="BH94" s="2490"/>
      <c r="BI94" s="2490"/>
      <c r="BJ94" s="2490"/>
      <c r="BK94" s="2490"/>
      <c r="BL94" s="2490"/>
      <c r="BM94" s="2490"/>
      <c r="BN94" s="2490"/>
      <c r="BO94" s="2490"/>
      <c r="BP94" s="2490"/>
      <c r="BQ94" s="2490"/>
      <c r="BR94" s="2490"/>
      <c r="BS94" s="2490"/>
      <c r="BT94" s="2490"/>
      <c r="BU94" s="2490"/>
      <c r="BV94" s="2490"/>
      <c r="BW94" s="2490"/>
      <c r="BX94" s="2490"/>
      <c r="BY94" s="2490"/>
      <c r="BZ94" s="2490"/>
      <c r="CA94" s="2490"/>
      <c r="CB94" s="2490"/>
      <c r="CC94" s="2490"/>
      <c r="CD94" s="2490"/>
      <c r="CE94" s="2490"/>
      <c r="CF94" s="2490"/>
      <c r="CG94" s="2490"/>
      <c r="CH94" s="2490"/>
      <c r="CI94" s="2490"/>
      <c r="CJ94" s="2490"/>
      <c r="CK94" s="2490"/>
      <c r="CL94" s="2490"/>
      <c r="CM94" s="2490"/>
      <c r="CN94" s="2490"/>
      <c r="CO94" s="2490"/>
      <c r="CP94" s="2490"/>
      <c r="CQ94" s="2490"/>
      <c r="CR94" s="2490"/>
      <c r="CS94" s="2490"/>
      <c r="CT94" s="2490"/>
      <c r="CU94" s="2490"/>
      <c r="CV94" s="2490"/>
      <c r="CW94" s="2490"/>
      <c r="CX94" s="2490"/>
      <c r="CY94" s="2490"/>
      <c r="CZ94" s="2490"/>
      <c r="DA94" s="2490"/>
      <c r="DB94" s="2490"/>
    </row>
    <row r="95" spans="1:106" s="3110" customFormat="1" x14ac:dyDescent="0.25">
      <c r="A95" s="2490"/>
      <c r="B95" s="3077" t="s">
        <v>631</v>
      </c>
      <c r="C95" s="3134">
        <f t="shared" ref="C95:O95" si="62">C96+C98</f>
        <v>0</v>
      </c>
      <c r="D95" s="3134">
        <f>D96+D98</f>
        <v>0</v>
      </c>
      <c r="E95" s="3134">
        <f t="shared" si="62"/>
        <v>0</v>
      </c>
      <c r="F95" s="3134">
        <f t="shared" si="62"/>
        <v>0</v>
      </c>
      <c r="G95" s="3134">
        <f t="shared" si="62"/>
        <v>0</v>
      </c>
      <c r="H95" s="3134"/>
      <c r="I95" s="3134"/>
      <c r="J95" s="3134"/>
      <c r="K95" s="3134"/>
      <c r="L95" s="3134"/>
      <c r="M95" s="3134">
        <f t="shared" si="62"/>
        <v>0</v>
      </c>
      <c r="N95" s="3134">
        <f t="shared" si="62"/>
        <v>0</v>
      </c>
      <c r="O95" s="3135">
        <f t="shared" si="62"/>
        <v>0</v>
      </c>
      <c r="P95" s="2490"/>
      <c r="Q95" s="2490"/>
      <c r="R95" s="2490"/>
      <c r="S95" s="2490"/>
      <c r="T95" s="2490"/>
      <c r="U95" s="2490"/>
      <c r="V95" s="2490"/>
      <c r="W95" s="2490"/>
      <c r="X95" s="2490"/>
      <c r="Y95" s="2490"/>
      <c r="Z95" s="2490"/>
      <c r="AA95" s="2490"/>
      <c r="AB95" s="2490"/>
      <c r="AC95" s="2490"/>
      <c r="AD95" s="2490"/>
      <c r="AE95" s="2490"/>
      <c r="AF95" s="2490"/>
      <c r="AG95" s="2490"/>
      <c r="AH95" s="2490"/>
      <c r="AI95" s="2490"/>
      <c r="AJ95" s="2490"/>
      <c r="AK95" s="2490"/>
      <c r="AL95" s="2490"/>
      <c r="AM95" s="2490"/>
      <c r="AN95" s="2490"/>
      <c r="AO95" s="2490"/>
      <c r="AP95" s="2490"/>
      <c r="AQ95" s="2490"/>
      <c r="AR95" s="2490"/>
      <c r="AS95" s="2490"/>
      <c r="AT95" s="2490"/>
      <c r="AU95" s="2490"/>
      <c r="AV95" s="2490"/>
      <c r="AW95" s="2490"/>
      <c r="AX95" s="2490"/>
      <c r="AY95" s="2490"/>
      <c r="AZ95" s="2490"/>
      <c r="BA95" s="2490"/>
      <c r="BB95" s="2490"/>
      <c r="BC95" s="2490"/>
      <c r="BD95" s="2490"/>
      <c r="BE95" s="2490"/>
      <c r="BF95" s="2490"/>
      <c r="BG95" s="2490"/>
      <c r="BH95" s="2490"/>
      <c r="BI95" s="2490"/>
      <c r="BJ95" s="2490"/>
      <c r="BK95" s="2490"/>
      <c r="BL95" s="2490"/>
      <c r="BM95" s="2490"/>
      <c r="BN95" s="2490"/>
      <c r="BO95" s="2490"/>
      <c r="BP95" s="2490"/>
      <c r="BQ95" s="2490"/>
      <c r="BR95" s="2490"/>
      <c r="BS95" s="2490"/>
      <c r="BT95" s="2490"/>
      <c r="BU95" s="2490"/>
      <c r="BV95" s="2490"/>
      <c r="BW95" s="2490"/>
      <c r="BX95" s="2490"/>
      <c r="BY95" s="2490"/>
      <c r="BZ95" s="2490"/>
      <c r="CA95" s="2490"/>
      <c r="CB95" s="2490"/>
      <c r="CC95" s="2490"/>
      <c r="CD95" s="2490"/>
      <c r="CE95" s="2490"/>
      <c r="CF95" s="2490"/>
      <c r="CG95" s="2490"/>
      <c r="CH95" s="2490"/>
      <c r="CI95" s="2490"/>
      <c r="CJ95" s="2490"/>
      <c r="CK95" s="2490"/>
      <c r="CL95" s="2490"/>
      <c r="CM95" s="2490"/>
      <c r="CN95" s="2490"/>
      <c r="CO95" s="2490"/>
      <c r="CP95" s="2490"/>
      <c r="CQ95" s="2490"/>
      <c r="CR95" s="2490"/>
      <c r="CS95" s="2490"/>
      <c r="CT95" s="2490"/>
      <c r="CU95" s="2490"/>
      <c r="CV95" s="2490"/>
      <c r="CW95" s="2490"/>
      <c r="CX95" s="2490"/>
      <c r="CY95" s="2490"/>
      <c r="CZ95" s="2490"/>
      <c r="DA95" s="2490"/>
      <c r="DB95" s="2490"/>
    </row>
    <row r="96" spans="1:106" s="3110" customFormat="1" x14ac:dyDescent="0.25">
      <c r="A96" s="2490"/>
      <c r="B96" s="3080" t="s">
        <v>634</v>
      </c>
      <c r="C96" s="3136">
        <f>C36*$C$12</f>
        <v>0</v>
      </c>
      <c r="D96" s="3136">
        <f>D36*$D$12</f>
        <v>0</v>
      </c>
      <c r="E96" s="3136">
        <f>E36*$E$12</f>
        <v>0</v>
      </c>
      <c r="F96" s="3136">
        <f>F36*$F$12</f>
        <v>0</v>
      </c>
      <c r="G96" s="3136">
        <f>G36*$G$12</f>
        <v>0</v>
      </c>
      <c r="H96" s="3136"/>
      <c r="I96" s="3136"/>
      <c r="J96" s="3136"/>
      <c r="K96" s="3136"/>
      <c r="L96" s="3136"/>
      <c r="M96" s="3136">
        <f>M36*$M$12</f>
        <v>0</v>
      </c>
      <c r="N96" s="3136">
        <f>N36*$N$12</f>
        <v>0</v>
      </c>
      <c r="O96" s="3137">
        <f>O36*$O$12</f>
        <v>0</v>
      </c>
      <c r="P96" s="2490"/>
      <c r="Q96" s="2490"/>
      <c r="R96" s="2490"/>
      <c r="S96" s="2490"/>
      <c r="T96" s="2490"/>
      <c r="U96" s="2490"/>
      <c r="V96" s="2490"/>
      <c r="W96" s="2490"/>
      <c r="X96" s="2490"/>
      <c r="Y96" s="2490"/>
      <c r="Z96" s="2490"/>
      <c r="AA96" s="2490"/>
      <c r="AB96" s="2490"/>
      <c r="AC96" s="2490"/>
      <c r="AD96" s="2490"/>
      <c r="AE96" s="2490"/>
      <c r="AF96" s="2490"/>
      <c r="AG96" s="2490"/>
      <c r="AH96" s="2490"/>
      <c r="AI96" s="2490"/>
      <c r="AJ96" s="2490"/>
      <c r="AK96" s="2490"/>
      <c r="AL96" s="2490"/>
      <c r="AM96" s="2490"/>
      <c r="AN96" s="2490"/>
      <c r="AO96" s="2490"/>
      <c r="AP96" s="2490"/>
      <c r="AQ96" s="2490"/>
      <c r="AR96" s="2490"/>
      <c r="AS96" s="2490"/>
      <c r="AT96" s="2490"/>
      <c r="AU96" s="2490"/>
      <c r="AV96" s="2490"/>
      <c r="AW96" s="2490"/>
      <c r="AX96" s="2490"/>
      <c r="AY96" s="2490"/>
      <c r="AZ96" s="2490"/>
      <c r="BA96" s="2490"/>
      <c r="BB96" s="2490"/>
      <c r="BC96" s="2490"/>
      <c r="BD96" s="2490"/>
      <c r="BE96" s="2490"/>
      <c r="BF96" s="2490"/>
      <c r="BG96" s="2490"/>
      <c r="BH96" s="2490"/>
      <c r="BI96" s="2490"/>
      <c r="BJ96" s="2490"/>
      <c r="BK96" s="2490"/>
      <c r="BL96" s="2490"/>
      <c r="BM96" s="2490"/>
      <c r="BN96" s="2490"/>
      <c r="BO96" s="2490"/>
      <c r="BP96" s="2490"/>
      <c r="BQ96" s="2490"/>
      <c r="BR96" s="2490"/>
      <c r="BS96" s="2490"/>
      <c r="BT96" s="2490"/>
      <c r="BU96" s="2490"/>
      <c r="BV96" s="2490"/>
      <c r="BW96" s="2490"/>
      <c r="BX96" s="2490"/>
      <c r="BY96" s="2490"/>
      <c r="BZ96" s="2490"/>
      <c r="CA96" s="2490"/>
      <c r="CB96" s="2490"/>
      <c r="CC96" s="2490"/>
      <c r="CD96" s="2490"/>
      <c r="CE96" s="2490"/>
      <c r="CF96" s="2490"/>
      <c r="CG96" s="2490"/>
      <c r="CH96" s="2490"/>
      <c r="CI96" s="2490"/>
      <c r="CJ96" s="2490"/>
      <c r="CK96" s="2490"/>
      <c r="CL96" s="2490"/>
      <c r="CM96" s="2490"/>
      <c r="CN96" s="2490"/>
      <c r="CO96" s="2490"/>
      <c r="CP96" s="2490"/>
      <c r="CQ96" s="2490"/>
      <c r="CR96" s="2490"/>
      <c r="CS96" s="2490"/>
      <c r="CT96" s="2490"/>
      <c r="CU96" s="2490"/>
      <c r="CV96" s="2490"/>
      <c r="CW96" s="2490"/>
      <c r="CX96" s="2490"/>
      <c r="CY96" s="2490"/>
      <c r="CZ96" s="2490"/>
      <c r="DA96" s="2490"/>
      <c r="DB96" s="2490"/>
    </row>
    <row r="97" spans="1:106" s="3110" customFormat="1" x14ac:dyDescent="0.25">
      <c r="A97" s="2490"/>
      <c r="B97" s="3080"/>
      <c r="C97" s="3136">
        <f>SUM(D97:O97)</f>
        <v>0</v>
      </c>
      <c r="D97" s="3136">
        <f>D37*D12</f>
        <v>0</v>
      </c>
      <c r="E97" s="3136">
        <f>E37*E12</f>
        <v>0</v>
      </c>
      <c r="F97" s="3136">
        <f>F37*F12</f>
        <v>0</v>
      </c>
      <c r="G97" s="3136">
        <f>G37*G12</f>
        <v>0</v>
      </c>
      <c r="H97" s="3136"/>
      <c r="I97" s="3136"/>
      <c r="J97" s="3136"/>
      <c r="K97" s="3136"/>
      <c r="L97" s="3136"/>
      <c r="M97" s="3136">
        <f>M37*M12</f>
        <v>0</v>
      </c>
      <c r="N97" s="3136">
        <f>N37*N12</f>
        <v>0</v>
      </c>
      <c r="O97" s="3136">
        <f>O37*O12</f>
        <v>0</v>
      </c>
      <c r="P97" s="2490"/>
      <c r="Q97" s="2490"/>
      <c r="R97" s="2490"/>
      <c r="S97" s="2490"/>
      <c r="T97" s="2490"/>
      <c r="U97" s="2490"/>
      <c r="V97" s="2490"/>
      <c r="W97" s="2490"/>
      <c r="X97" s="2490"/>
      <c r="Y97" s="2490"/>
      <c r="Z97" s="2490"/>
      <c r="AA97" s="2490"/>
      <c r="AB97" s="2490"/>
      <c r="AC97" s="2490"/>
      <c r="AD97" s="2490"/>
      <c r="AE97" s="2490"/>
      <c r="AF97" s="2490"/>
      <c r="AG97" s="2490"/>
      <c r="AH97" s="2490"/>
      <c r="AI97" s="2490"/>
      <c r="AJ97" s="2490"/>
      <c r="AK97" s="2490"/>
      <c r="AL97" s="2490"/>
      <c r="AM97" s="2490"/>
      <c r="AN97" s="2490"/>
      <c r="AO97" s="2490"/>
      <c r="AP97" s="2490"/>
      <c r="AQ97" s="2490"/>
      <c r="AR97" s="2490"/>
      <c r="AS97" s="2490"/>
      <c r="AT97" s="2490"/>
      <c r="AU97" s="2490"/>
      <c r="AV97" s="2490"/>
      <c r="AW97" s="2490"/>
      <c r="AX97" s="2490"/>
      <c r="AY97" s="2490"/>
      <c r="AZ97" s="2490"/>
      <c r="BA97" s="2490"/>
      <c r="BB97" s="2490"/>
      <c r="BC97" s="2490"/>
      <c r="BD97" s="2490"/>
      <c r="BE97" s="2490"/>
      <c r="BF97" s="2490"/>
      <c r="BG97" s="2490"/>
      <c r="BH97" s="2490"/>
      <c r="BI97" s="2490"/>
      <c r="BJ97" s="2490"/>
      <c r="BK97" s="2490"/>
      <c r="BL97" s="2490"/>
      <c r="BM97" s="2490"/>
      <c r="BN97" s="2490"/>
      <c r="BO97" s="2490"/>
      <c r="BP97" s="2490"/>
      <c r="BQ97" s="2490"/>
      <c r="BR97" s="2490"/>
      <c r="BS97" s="2490"/>
      <c r="BT97" s="2490"/>
      <c r="BU97" s="2490"/>
      <c r="BV97" s="2490"/>
      <c r="BW97" s="2490"/>
      <c r="BX97" s="2490"/>
      <c r="BY97" s="2490"/>
      <c r="BZ97" s="2490"/>
      <c r="CA97" s="2490"/>
      <c r="CB97" s="2490"/>
      <c r="CC97" s="2490"/>
      <c r="CD97" s="2490"/>
      <c r="CE97" s="2490"/>
      <c r="CF97" s="2490"/>
      <c r="CG97" s="2490"/>
      <c r="CH97" s="2490"/>
      <c r="CI97" s="2490"/>
      <c r="CJ97" s="2490"/>
      <c r="CK97" s="2490"/>
      <c r="CL97" s="2490"/>
      <c r="CM97" s="2490"/>
      <c r="CN97" s="2490"/>
      <c r="CO97" s="2490"/>
      <c r="CP97" s="2490"/>
      <c r="CQ97" s="2490"/>
      <c r="CR97" s="2490"/>
      <c r="CS97" s="2490"/>
      <c r="CT97" s="2490"/>
      <c r="CU97" s="2490"/>
      <c r="CV97" s="2490"/>
      <c r="CW97" s="2490"/>
      <c r="CX97" s="2490"/>
      <c r="CY97" s="2490"/>
      <c r="CZ97" s="2490"/>
      <c r="DA97" s="2490"/>
      <c r="DB97" s="2490"/>
    </row>
    <row r="98" spans="1:106" s="3110" customFormat="1" x14ac:dyDescent="0.25">
      <c r="A98" s="2490"/>
      <c r="B98" s="3080" t="s">
        <v>635</v>
      </c>
      <c r="C98" s="3136">
        <f>C38*$C$12</f>
        <v>0</v>
      </c>
      <c r="D98" s="3136">
        <f>D38*$D$12</f>
        <v>0</v>
      </c>
      <c r="E98" s="3136">
        <f>E38*$E$12</f>
        <v>0</v>
      </c>
      <c r="F98" s="3136">
        <f>F38*$F$12</f>
        <v>0</v>
      </c>
      <c r="G98" s="3136">
        <f>G38*$G$12</f>
        <v>0</v>
      </c>
      <c r="H98" s="3136"/>
      <c r="I98" s="3136"/>
      <c r="J98" s="3136"/>
      <c r="K98" s="3136"/>
      <c r="L98" s="3136"/>
      <c r="M98" s="3136">
        <f>M38*$M$12</f>
        <v>0</v>
      </c>
      <c r="N98" s="3136">
        <f>N38*$N$12</f>
        <v>0</v>
      </c>
      <c r="O98" s="3137">
        <f>O38*$O$12</f>
        <v>0</v>
      </c>
      <c r="P98" s="2490"/>
      <c r="Q98" s="2490"/>
      <c r="R98" s="2490"/>
      <c r="S98" s="2490"/>
      <c r="T98" s="2490"/>
      <c r="U98" s="2490"/>
      <c r="V98" s="2490"/>
      <c r="W98" s="2490"/>
      <c r="X98" s="2490"/>
      <c r="Y98" s="2490"/>
      <c r="Z98" s="2490"/>
      <c r="AA98" s="2490"/>
      <c r="AB98" s="2490"/>
      <c r="AC98" s="2490"/>
      <c r="AD98" s="2490"/>
      <c r="AE98" s="2490"/>
      <c r="AF98" s="2490"/>
      <c r="AG98" s="2490"/>
      <c r="AH98" s="2490"/>
      <c r="AI98" s="2490"/>
      <c r="AJ98" s="2490"/>
      <c r="AK98" s="2490"/>
      <c r="AL98" s="2490"/>
      <c r="AM98" s="2490"/>
      <c r="AN98" s="2490"/>
      <c r="AO98" s="2490"/>
      <c r="AP98" s="2490"/>
      <c r="AQ98" s="2490"/>
      <c r="AR98" s="2490"/>
      <c r="AS98" s="2490"/>
      <c r="AT98" s="2490"/>
      <c r="AU98" s="2490"/>
      <c r="AV98" s="2490"/>
      <c r="AW98" s="2490"/>
      <c r="AX98" s="2490"/>
      <c r="AY98" s="2490"/>
      <c r="AZ98" s="2490"/>
      <c r="BA98" s="2490"/>
      <c r="BB98" s="2490"/>
      <c r="BC98" s="2490"/>
      <c r="BD98" s="2490"/>
      <c r="BE98" s="2490"/>
      <c r="BF98" s="2490"/>
      <c r="BG98" s="2490"/>
      <c r="BH98" s="2490"/>
      <c r="BI98" s="2490"/>
      <c r="BJ98" s="2490"/>
      <c r="BK98" s="2490"/>
      <c r="BL98" s="2490"/>
      <c r="BM98" s="2490"/>
      <c r="BN98" s="2490"/>
      <c r="BO98" s="2490"/>
      <c r="BP98" s="2490"/>
      <c r="BQ98" s="2490"/>
      <c r="BR98" s="2490"/>
      <c r="BS98" s="2490"/>
      <c r="BT98" s="2490"/>
      <c r="BU98" s="2490"/>
      <c r="BV98" s="2490"/>
      <c r="BW98" s="2490"/>
      <c r="BX98" s="2490"/>
      <c r="BY98" s="2490"/>
      <c r="BZ98" s="2490"/>
      <c r="CA98" s="2490"/>
      <c r="CB98" s="2490"/>
      <c r="CC98" s="2490"/>
      <c r="CD98" s="2490"/>
      <c r="CE98" s="2490"/>
      <c r="CF98" s="2490"/>
      <c r="CG98" s="2490"/>
      <c r="CH98" s="2490"/>
      <c r="CI98" s="2490"/>
      <c r="CJ98" s="2490"/>
      <c r="CK98" s="2490"/>
      <c r="CL98" s="2490"/>
      <c r="CM98" s="2490"/>
      <c r="CN98" s="2490"/>
      <c r="CO98" s="2490"/>
      <c r="CP98" s="2490"/>
      <c r="CQ98" s="2490"/>
      <c r="CR98" s="2490"/>
      <c r="CS98" s="2490"/>
      <c r="CT98" s="2490"/>
      <c r="CU98" s="2490"/>
      <c r="CV98" s="2490"/>
      <c r="CW98" s="2490"/>
      <c r="CX98" s="2490"/>
      <c r="CY98" s="2490"/>
      <c r="CZ98" s="2490"/>
      <c r="DA98" s="2490"/>
      <c r="DB98" s="2490"/>
    </row>
    <row r="99" spans="1:106" s="3110" customFormat="1" x14ac:dyDescent="0.25">
      <c r="A99" s="2490"/>
      <c r="B99" s="3093" t="s">
        <v>629</v>
      </c>
      <c r="C99" s="3138">
        <f t="shared" ref="C99:O99" si="63">C100+C103</f>
        <v>2614.6002521466667</v>
      </c>
      <c r="D99" s="3139">
        <f t="shared" si="63"/>
        <v>653.03136799999993</v>
      </c>
      <c r="E99" s="3139">
        <f t="shared" si="63"/>
        <v>539.53610274666664</v>
      </c>
      <c r="F99" s="3139">
        <f t="shared" si="63"/>
        <v>473.17285942666661</v>
      </c>
      <c r="G99" s="3139">
        <f t="shared" si="63"/>
        <v>0</v>
      </c>
      <c r="H99" s="3139">
        <f t="shared" si="63"/>
        <v>0</v>
      </c>
      <c r="I99" s="3139">
        <f t="shared" si="63"/>
        <v>0</v>
      </c>
      <c r="J99" s="3139">
        <f t="shared" si="63"/>
        <v>0</v>
      </c>
      <c r="K99" s="3139">
        <f t="shared" si="63"/>
        <v>0</v>
      </c>
      <c r="L99" s="3139">
        <f t="shared" si="63"/>
        <v>0</v>
      </c>
      <c r="M99" s="3139">
        <f t="shared" si="63"/>
        <v>0</v>
      </c>
      <c r="N99" s="3139">
        <f t="shared" si="63"/>
        <v>408.75320463999992</v>
      </c>
      <c r="O99" s="3140">
        <f t="shared" si="63"/>
        <v>540.10671733333322</v>
      </c>
      <c r="P99" s="2493"/>
      <c r="Q99" s="2490"/>
      <c r="R99" s="2490"/>
      <c r="S99" s="2490"/>
      <c r="T99" s="2490"/>
      <c r="U99" s="2490"/>
      <c r="V99" s="2490"/>
      <c r="W99" s="2490"/>
      <c r="X99" s="2490"/>
      <c r="Y99" s="2490"/>
      <c r="Z99" s="2490"/>
      <c r="AA99" s="2490"/>
      <c r="AB99" s="2490"/>
      <c r="AC99" s="2490"/>
      <c r="AD99" s="2490"/>
      <c r="AE99" s="2490"/>
      <c r="AF99" s="2490"/>
      <c r="AG99" s="2490"/>
      <c r="AH99" s="2490"/>
      <c r="AI99" s="2490"/>
      <c r="AJ99" s="2490"/>
      <c r="AK99" s="2490"/>
      <c r="AL99" s="2490"/>
      <c r="AM99" s="2490"/>
      <c r="AN99" s="2490"/>
      <c r="AO99" s="2490"/>
      <c r="AP99" s="2490"/>
      <c r="AQ99" s="2490"/>
      <c r="AR99" s="2490"/>
      <c r="AS99" s="2490"/>
      <c r="AT99" s="2490"/>
      <c r="AU99" s="2490"/>
      <c r="AV99" s="2490"/>
      <c r="AW99" s="2490"/>
      <c r="AX99" s="2490"/>
      <c r="AY99" s="2490"/>
      <c r="AZ99" s="2490"/>
      <c r="BA99" s="2490"/>
      <c r="BB99" s="2490"/>
      <c r="BC99" s="2490"/>
      <c r="BD99" s="2490"/>
      <c r="BE99" s="2490"/>
      <c r="BF99" s="2490"/>
      <c r="BG99" s="2490"/>
      <c r="BH99" s="2490"/>
      <c r="BI99" s="2490"/>
      <c r="BJ99" s="2490"/>
      <c r="BK99" s="2490"/>
      <c r="BL99" s="2490"/>
      <c r="BM99" s="2490"/>
      <c r="BN99" s="2490"/>
      <c r="BO99" s="2490"/>
      <c r="BP99" s="2490"/>
      <c r="BQ99" s="2490"/>
      <c r="BR99" s="2490"/>
      <c r="BS99" s="2490"/>
      <c r="BT99" s="2490"/>
      <c r="BU99" s="2490"/>
      <c r="BV99" s="2490"/>
      <c r="BW99" s="2490"/>
      <c r="BX99" s="2490"/>
      <c r="BY99" s="2490"/>
      <c r="BZ99" s="2490"/>
      <c r="CA99" s="2490"/>
      <c r="CB99" s="2490"/>
      <c r="CC99" s="2490"/>
      <c r="CD99" s="2490"/>
      <c r="CE99" s="2490"/>
      <c r="CF99" s="2490"/>
      <c r="CG99" s="2490"/>
      <c r="CH99" s="2490"/>
      <c r="CI99" s="2490"/>
      <c r="CJ99" s="2490"/>
      <c r="CK99" s="2490"/>
      <c r="CL99" s="2490"/>
      <c r="CM99" s="2490"/>
      <c r="CN99" s="2490"/>
      <c r="CO99" s="2490"/>
      <c r="CP99" s="2490"/>
      <c r="CQ99" s="2490"/>
      <c r="CR99" s="2490"/>
      <c r="CS99" s="2490"/>
      <c r="CT99" s="2490"/>
      <c r="CU99" s="2490"/>
      <c r="CV99" s="2490"/>
      <c r="CW99" s="2490"/>
      <c r="CX99" s="2490"/>
      <c r="CY99" s="2490"/>
      <c r="CZ99" s="2490"/>
      <c r="DA99" s="2490"/>
      <c r="DB99" s="2490"/>
    </row>
    <row r="100" spans="1:106" s="3110" customFormat="1" x14ac:dyDescent="0.25">
      <c r="A100" s="2490"/>
      <c r="B100" s="3077" t="s">
        <v>630</v>
      </c>
      <c r="C100" s="3134">
        <f t="shared" ref="C100:O100" si="64">C101+C102</f>
        <v>472.61801598</v>
      </c>
      <c r="D100" s="3134">
        <f t="shared" si="64"/>
        <v>118.04266799999999</v>
      </c>
      <c r="E100" s="3134">
        <f t="shared" si="64"/>
        <v>97.527139079999984</v>
      </c>
      <c r="F100" s="3134">
        <f t="shared" si="64"/>
        <v>85.531246259999989</v>
      </c>
      <c r="G100" s="3134">
        <f t="shared" si="64"/>
        <v>0</v>
      </c>
      <c r="H100" s="3134"/>
      <c r="I100" s="3134"/>
      <c r="J100" s="3134"/>
      <c r="K100" s="3134"/>
      <c r="L100" s="3134"/>
      <c r="M100" s="3134">
        <f t="shared" si="64"/>
        <v>0</v>
      </c>
      <c r="N100" s="3134">
        <f t="shared" si="64"/>
        <v>73.886678639999985</v>
      </c>
      <c r="O100" s="3135">
        <f t="shared" si="64"/>
        <v>97.630283999999989</v>
      </c>
      <c r="P100" s="2490"/>
      <c r="Q100" s="2490"/>
      <c r="R100" s="2490"/>
      <c r="S100" s="2490"/>
      <c r="T100" s="2490"/>
      <c r="U100" s="2490"/>
      <c r="V100" s="2490"/>
      <c r="W100" s="2490"/>
      <c r="X100" s="2490"/>
      <c r="Y100" s="2490"/>
      <c r="Z100" s="2490"/>
      <c r="AA100" s="2490"/>
      <c r="AB100" s="2490"/>
      <c r="AC100" s="2490"/>
      <c r="AD100" s="2490"/>
      <c r="AE100" s="2490"/>
      <c r="AF100" s="2490"/>
      <c r="AG100" s="2490"/>
      <c r="AH100" s="2490"/>
      <c r="AI100" s="2490"/>
      <c r="AJ100" s="2490"/>
      <c r="AK100" s="2490"/>
      <c r="AL100" s="2490"/>
      <c r="AM100" s="2490"/>
      <c r="AN100" s="2490"/>
      <c r="AO100" s="2490"/>
      <c r="AP100" s="2490"/>
      <c r="AQ100" s="2490"/>
      <c r="AR100" s="2490"/>
      <c r="AS100" s="2490"/>
      <c r="AT100" s="2490"/>
      <c r="AU100" s="2490"/>
      <c r="AV100" s="2490"/>
      <c r="AW100" s="2490"/>
      <c r="AX100" s="2490"/>
      <c r="AY100" s="2490"/>
      <c r="AZ100" s="2490"/>
      <c r="BA100" s="2490"/>
      <c r="BB100" s="2490"/>
      <c r="BC100" s="2490"/>
      <c r="BD100" s="2490"/>
      <c r="BE100" s="2490"/>
      <c r="BF100" s="2490"/>
      <c r="BG100" s="2490"/>
      <c r="BH100" s="2490"/>
      <c r="BI100" s="2490"/>
      <c r="BJ100" s="2490"/>
      <c r="BK100" s="2490"/>
      <c r="BL100" s="2490"/>
      <c r="BM100" s="2490"/>
      <c r="BN100" s="2490"/>
      <c r="BO100" s="2490"/>
      <c r="BP100" s="2490"/>
      <c r="BQ100" s="2490"/>
      <c r="BR100" s="2490"/>
      <c r="BS100" s="2490"/>
      <c r="BT100" s="2490"/>
      <c r="BU100" s="2490"/>
      <c r="BV100" s="2490"/>
      <c r="BW100" s="2490"/>
      <c r="BX100" s="2490"/>
      <c r="BY100" s="2490"/>
      <c r="BZ100" s="2490"/>
      <c r="CA100" s="2490"/>
      <c r="CB100" s="2490"/>
      <c r="CC100" s="2490"/>
      <c r="CD100" s="2490"/>
      <c r="CE100" s="2490"/>
      <c r="CF100" s="2490"/>
      <c r="CG100" s="2490"/>
      <c r="CH100" s="2490"/>
      <c r="CI100" s="2490"/>
      <c r="CJ100" s="2490"/>
      <c r="CK100" s="2490"/>
      <c r="CL100" s="2490"/>
      <c r="CM100" s="2490"/>
      <c r="CN100" s="2490"/>
      <c r="CO100" s="2490"/>
      <c r="CP100" s="2490"/>
      <c r="CQ100" s="2490"/>
      <c r="CR100" s="2490"/>
      <c r="CS100" s="2490"/>
      <c r="CT100" s="2490"/>
      <c r="CU100" s="2490"/>
      <c r="CV100" s="2490"/>
      <c r="CW100" s="2490"/>
      <c r="CX100" s="2490"/>
      <c r="CY100" s="2490"/>
      <c r="CZ100" s="2490"/>
      <c r="DA100" s="2490"/>
      <c r="DB100" s="2490"/>
    </row>
    <row r="101" spans="1:106" s="2490" customFormat="1" x14ac:dyDescent="0.25">
      <c r="B101" s="3080" t="s">
        <v>634</v>
      </c>
      <c r="C101" s="3136">
        <f>C41*$C$12</f>
        <v>354.93627546666664</v>
      </c>
      <c r="D101" s="3136">
        <f>D41*$D$12</f>
        <v>88.650079999999988</v>
      </c>
      <c r="E101" s="3136">
        <f>E41*$E$12</f>
        <v>73.242911466666655</v>
      </c>
      <c r="F101" s="3136">
        <f>F41*$F$12</f>
        <v>64.233992266666661</v>
      </c>
      <c r="G101" s="3136">
        <f>G41*$G$12</f>
        <v>0</v>
      </c>
      <c r="H101" s="3136"/>
      <c r="I101" s="3136"/>
      <c r="J101" s="3136"/>
      <c r="K101" s="3136"/>
      <c r="L101" s="3136"/>
      <c r="M101" s="3136">
        <f>M41*$M$12</f>
        <v>0</v>
      </c>
      <c r="N101" s="3136">
        <f>N41*$N$12</f>
        <v>55.488918399999996</v>
      </c>
      <c r="O101" s="3137">
        <f>O41*$O$12</f>
        <v>73.320373333333322</v>
      </c>
    </row>
    <row r="102" spans="1:106" s="2490" customFormat="1" x14ac:dyDescent="0.25">
      <c r="B102" s="3080" t="s">
        <v>635</v>
      </c>
      <c r="C102" s="3136">
        <f>C42*$C$12</f>
        <v>117.68174051333334</v>
      </c>
      <c r="D102" s="3136">
        <f>D42*$D$12</f>
        <v>29.392587999999996</v>
      </c>
      <c r="E102" s="3136">
        <f>E42*$E$12</f>
        <v>24.284227613333332</v>
      </c>
      <c r="F102" s="3136">
        <f>F42*$F$12</f>
        <v>21.297253993333332</v>
      </c>
      <c r="G102" s="3136">
        <f>G42*$G$12</f>
        <v>0</v>
      </c>
      <c r="H102" s="3136"/>
      <c r="I102" s="3136"/>
      <c r="J102" s="3136"/>
      <c r="K102" s="3136"/>
      <c r="L102" s="3136"/>
      <c r="M102" s="3136">
        <f>M42*$M$12</f>
        <v>0</v>
      </c>
      <c r="N102" s="3136">
        <f>N42*$N$12</f>
        <v>18.397760239999997</v>
      </c>
      <c r="O102" s="3137">
        <f>O42*$O$12</f>
        <v>24.309910666666664</v>
      </c>
    </row>
    <row r="103" spans="1:106" s="2490" customFormat="1" x14ac:dyDescent="0.25">
      <c r="B103" s="3077" t="s">
        <v>631</v>
      </c>
      <c r="C103" s="3134">
        <f t="shared" ref="C103:O103" si="65">C104+C105</f>
        <v>2141.9822361666666</v>
      </c>
      <c r="D103" s="3134">
        <f t="shared" si="65"/>
        <v>534.98869999999988</v>
      </c>
      <c r="E103" s="3134">
        <f t="shared" si="65"/>
        <v>442.00896366666666</v>
      </c>
      <c r="F103" s="3134">
        <f t="shared" si="65"/>
        <v>387.64161316666662</v>
      </c>
      <c r="G103" s="3134">
        <f t="shared" si="65"/>
        <v>0</v>
      </c>
      <c r="H103" s="3134"/>
      <c r="I103" s="3134"/>
      <c r="J103" s="3134"/>
      <c r="K103" s="3134"/>
      <c r="L103" s="3134"/>
      <c r="M103" s="3134">
        <f t="shared" si="65"/>
        <v>0</v>
      </c>
      <c r="N103" s="3134">
        <f t="shared" si="65"/>
        <v>334.86652599999996</v>
      </c>
      <c r="O103" s="3135">
        <f t="shared" si="65"/>
        <v>442.47643333333326</v>
      </c>
    </row>
    <row r="104" spans="1:106" s="2490" customFormat="1" x14ac:dyDescent="0.25">
      <c r="B104" s="3080" t="s">
        <v>634</v>
      </c>
      <c r="C104" s="3136">
        <f>C44*$C$12</f>
        <v>832.06372773333328</v>
      </c>
      <c r="D104" s="3136">
        <f>D44*$D$12</f>
        <v>207.81903999999994</v>
      </c>
      <c r="E104" s="3136">
        <f>E44*$E$12</f>
        <v>171.7005957333333</v>
      </c>
      <c r="F104" s="3136">
        <f>F44*$F$12</f>
        <v>150.58132613333331</v>
      </c>
      <c r="G104" s="3136">
        <f>G44*$G$12</f>
        <v>0</v>
      </c>
      <c r="H104" s="3136"/>
      <c r="I104" s="3136"/>
      <c r="J104" s="3136"/>
      <c r="K104" s="3136"/>
      <c r="L104" s="3136"/>
      <c r="M104" s="3136">
        <f>M44*$M$12</f>
        <v>0</v>
      </c>
      <c r="N104" s="3136">
        <f>N44*$N$12</f>
        <v>130.08057919999999</v>
      </c>
      <c r="O104" s="3137">
        <f>O44*$O$12</f>
        <v>171.88218666666663</v>
      </c>
    </row>
    <row r="105" spans="1:106" s="2490" customFormat="1" x14ac:dyDescent="0.25">
      <c r="B105" s="3080" t="s">
        <v>635</v>
      </c>
      <c r="C105" s="3136">
        <f>C45*$C$12</f>
        <v>1309.9185084333333</v>
      </c>
      <c r="D105" s="3136">
        <f>D45*$D$12</f>
        <v>327.16965999999991</v>
      </c>
      <c r="E105" s="3136">
        <f>E45*$E$12</f>
        <v>270.30836793333333</v>
      </c>
      <c r="F105" s="3136">
        <f>F45*$F$12</f>
        <v>237.06028703333328</v>
      </c>
      <c r="G105" s="3136">
        <f>G45*$G$12</f>
        <v>0</v>
      </c>
      <c r="H105" s="3136"/>
      <c r="I105" s="3136"/>
      <c r="J105" s="3136"/>
      <c r="K105" s="3136"/>
      <c r="L105" s="3136"/>
      <c r="M105" s="3136">
        <f>M45*$M$12</f>
        <v>0</v>
      </c>
      <c r="N105" s="3136">
        <f>N45*$N$12</f>
        <v>204.78594679999998</v>
      </c>
      <c r="O105" s="3137">
        <f>O45*$O$12</f>
        <v>270.59424666666661</v>
      </c>
    </row>
    <row r="106" spans="1:106" s="2490" customFormat="1" x14ac:dyDescent="0.25">
      <c r="B106" s="3093" t="s">
        <v>637</v>
      </c>
      <c r="C106" s="3138">
        <f>C107+C110</f>
        <v>1658.4542936866669</v>
      </c>
      <c r="D106" s="3139">
        <f t="shared" ref="D106:O106" si="66">D107+D110</f>
        <v>414.2211319999999</v>
      </c>
      <c r="E106" s="3139">
        <f t="shared" si="66"/>
        <v>342.2305055866666</v>
      </c>
      <c r="F106" s="3139">
        <f t="shared" si="66"/>
        <v>300.13596140666664</v>
      </c>
      <c r="G106" s="3139">
        <f t="shared" si="66"/>
        <v>0</v>
      </c>
      <c r="H106" s="3139">
        <f t="shared" si="66"/>
        <v>0</v>
      </c>
      <c r="I106" s="3139">
        <f t="shared" si="66"/>
        <v>0</v>
      </c>
      <c r="J106" s="3139">
        <f t="shared" si="66"/>
        <v>0</v>
      </c>
      <c r="K106" s="3139">
        <f t="shared" si="66"/>
        <v>0</v>
      </c>
      <c r="L106" s="3139">
        <f t="shared" si="66"/>
        <v>0</v>
      </c>
      <c r="M106" s="3139">
        <f t="shared" si="66"/>
        <v>0</v>
      </c>
      <c r="N106" s="3139">
        <f t="shared" si="66"/>
        <v>259.27424535999995</v>
      </c>
      <c r="O106" s="3140">
        <f t="shared" si="66"/>
        <v>342.59244933333326</v>
      </c>
      <c r="P106" s="2493"/>
    </row>
    <row r="107" spans="1:106" s="2490" customFormat="1" x14ac:dyDescent="0.25">
      <c r="B107" s="3077" t="s">
        <v>632</v>
      </c>
      <c r="C107" s="3134">
        <f t="shared" ref="C107:O107" si="67">C108+C109</f>
        <v>0</v>
      </c>
      <c r="D107" s="3134">
        <f t="shared" si="67"/>
        <v>0</v>
      </c>
      <c r="E107" s="3134">
        <f t="shared" si="67"/>
        <v>0</v>
      </c>
      <c r="F107" s="3134">
        <f t="shared" si="67"/>
        <v>0</v>
      </c>
      <c r="G107" s="3134">
        <f t="shared" si="67"/>
        <v>0</v>
      </c>
      <c r="H107" s="3134"/>
      <c r="I107" s="3134"/>
      <c r="J107" s="3134"/>
      <c r="K107" s="3134"/>
      <c r="L107" s="3134"/>
      <c r="M107" s="3134">
        <f t="shared" si="67"/>
        <v>0</v>
      </c>
      <c r="N107" s="3134">
        <f t="shared" si="67"/>
        <v>0</v>
      </c>
      <c r="O107" s="3135">
        <f t="shared" si="67"/>
        <v>0</v>
      </c>
    </row>
    <row r="108" spans="1:106" x14ac:dyDescent="0.25">
      <c r="B108" s="3080" t="s">
        <v>634</v>
      </c>
      <c r="C108" s="3136">
        <f>C48*$C$12</f>
        <v>0</v>
      </c>
      <c r="D108" s="3136">
        <f>D48*$D$12</f>
        <v>0</v>
      </c>
      <c r="E108" s="3136">
        <f>E48*$E$12</f>
        <v>0</v>
      </c>
      <c r="F108" s="3136">
        <f>F48*$F$12</f>
        <v>0</v>
      </c>
      <c r="G108" s="3136">
        <f>G48*$G$12</f>
        <v>0</v>
      </c>
      <c r="H108" s="3136"/>
      <c r="I108" s="3136"/>
      <c r="J108" s="3136"/>
      <c r="K108" s="3136"/>
      <c r="L108" s="3136"/>
      <c r="M108" s="3136">
        <f>M48*$M$12</f>
        <v>0</v>
      </c>
      <c r="N108" s="3136">
        <f>N48*$N$12</f>
        <v>0</v>
      </c>
      <c r="O108" s="3137">
        <f>O48*$O$12</f>
        <v>0</v>
      </c>
    </row>
    <row r="109" spans="1:106" x14ac:dyDescent="0.25">
      <c r="B109" s="3080" t="s">
        <v>635</v>
      </c>
      <c r="C109" s="3136">
        <f>C49*$C$12</f>
        <v>0</v>
      </c>
      <c r="D109" s="3136">
        <f>D49*$D$12</f>
        <v>0</v>
      </c>
      <c r="E109" s="3136">
        <f>E49*$E$12</f>
        <v>0</v>
      </c>
      <c r="F109" s="3136">
        <f>F49*$F$12</f>
        <v>0</v>
      </c>
      <c r="G109" s="3136">
        <f>G49*$G$12</f>
        <v>0</v>
      </c>
      <c r="H109" s="3136"/>
      <c r="I109" s="3136"/>
      <c r="J109" s="3136"/>
      <c r="K109" s="3136"/>
      <c r="L109" s="3136"/>
      <c r="M109" s="3136">
        <f>M49*$M$12</f>
        <v>0</v>
      </c>
      <c r="N109" s="3136">
        <f>N49*$N$12</f>
        <v>0</v>
      </c>
      <c r="O109" s="3137">
        <f>O49*$O$12</f>
        <v>0</v>
      </c>
    </row>
    <row r="110" spans="1:106" x14ac:dyDescent="0.25">
      <c r="B110" s="3077" t="s">
        <v>631</v>
      </c>
      <c r="C110" s="3134">
        <f t="shared" ref="C110:O110" si="68">C111+C112</f>
        <v>1658.4542936866669</v>
      </c>
      <c r="D110" s="3134">
        <f t="shared" si="68"/>
        <v>414.2211319999999</v>
      </c>
      <c r="E110" s="3134">
        <f t="shared" si="68"/>
        <v>342.2305055866666</v>
      </c>
      <c r="F110" s="3134">
        <f t="shared" si="68"/>
        <v>300.13596140666664</v>
      </c>
      <c r="G110" s="3134">
        <f t="shared" si="68"/>
        <v>0</v>
      </c>
      <c r="H110" s="3134"/>
      <c r="I110" s="3134"/>
      <c r="J110" s="3134"/>
      <c r="K110" s="3134"/>
      <c r="L110" s="3134"/>
      <c r="M110" s="3134">
        <f t="shared" si="68"/>
        <v>0</v>
      </c>
      <c r="N110" s="3134">
        <f t="shared" si="68"/>
        <v>259.27424535999995</v>
      </c>
      <c r="O110" s="3135">
        <f t="shared" si="68"/>
        <v>342.59244933333326</v>
      </c>
    </row>
    <row r="111" spans="1:106" x14ac:dyDescent="0.25">
      <c r="B111" s="3080" t="s">
        <v>634</v>
      </c>
      <c r="C111" s="3136">
        <f>C51*$C$12</f>
        <v>746.52990397333338</v>
      </c>
      <c r="D111" s="3136">
        <f>D51*$D$12</f>
        <v>186.45582399999995</v>
      </c>
      <c r="E111" s="3136">
        <f>E51*$E$12</f>
        <v>154.05025477333331</v>
      </c>
      <c r="F111" s="3136">
        <f>F51*$F$12</f>
        <v>135.10198701333331</v>
      </c>
      <c r="G111" s="3136">
        <f>G51*$G$12</f>
        <v>0</v>
      </c>
      <c r="H111" s="3136"/>
      <c r="I111" s="3136"/>
      <c r="J111" s="3136"/>
      <c r="K111" s="3136"/>
      <c r="L111" s="3136"/>
      <c r="M111" s="3136">
        <f>M51*$M$12</f>
        <v>0</v>
      </c>
      <c r="N111" s="3136">
        <f>N51*$N$12</f>
        <v>116.70865951999998</v>
      </c>
      <c r="O111" s="3137">
        <f>O51*$O$12</f>
        <v>154.21317866666664</v>
      </c>
    </row>
    <row r="112" spans="1:106" x14ac:dyDescent="0.25">
      <c r="B112" s="3080" t="s">
        <v>635</v>
      </c>
      <c r="C112" s="3136">
        <f>C52*$C$12</f>
        <v>911.92438971333343</v>
      </c>
      <c r="D112" s="3136">
        <f>D52*$D$12</f>
        <v>227.76530799999998</v>
      </c>
      <c r="E112" s="3136">
        <f>E52*$E$12</f>
        <v>188.18025081333332</v>
      </c>
      <c r="F112" s="3136">
        <f>F52*$F$12</f>
        <v>165.03397439333332</v>
      </c>
      <c r="G112" s="3136">
        <f>G52*$G$12</f>
        <v>0</v>
      </c>
      <c r="H112" s="3136"/>
      <c r="I112" s="3136"/>
      <c r="J112" s="3136"/>
      <c r="K112" s="3136"/>
      <c r="L112" s="3136"/>
      <c r="M112" s="3136">
        <f>M52*$M$12</f>
        <v>0</v>
      </c>
      <c r="N112" s="3136">
        <f>N52*$N$12</f>
        <v>142.56558583999998</v>
      </c>
      <c r="O112" s="3137">
        <f>O52*$O$12</f>
        <v>188.37927066666663</v>
      </c>
    </row>
    <row r="113" spans="2:16" x14ac:dyDescent="0.25">
      <c r="B113" s="3093" t="s">
        <v>633</v>
      </c>
      <c r="C113" s="3138">
        <f t="shared" ref="C113:O113" si="69">C114+C117</f>
        <v>0</v>
      </c>
      <c r="D113" s="3139">
        <f t="shared" si="69"/>
        <v>0</v>
      </c>
      <c r="E113" s="3139">
        <f t="shared" si="69"/>
        <v>0</v>
      </c>
      <c r="F113" s="3139">
        <f t="shared" si="69"/>
        <v>0</v>
      </c>
      <c r="G113" s="3139">
        <f t="shared" si="69"/>
        <v>0</v>
      </c>
      <c r="H113" s="3139"/>
      <c r="I113" s="3139"/>
      <c r="J113" s="3139"/>
      <c r="K113" s="3139"/>
      <c r="L113" s="3139"/>
      <c r="M113" s="3139">
        <f t="shared" si="69"/>
        <v>0</v>
      </c>
      <c r="N113" s="3139">
        <f t="shared" si="69"/>
        <v>0</v>
      </c>
      <c r="O113" s="3140">
        <f t="shared" si="69"/>
        <v>0</v>
      </c>
      <c r="P113" s="2493"/>
    </row>
    <row r="114" spans="2:16" x14ac:dyDescent="0.25">
      <c r="B114" s="3077" t="s">
        <v>632</v>
      </c>
      <c r="C114" s="3134">
        <f t="shared" ref="C114:O114" si="70">C115+C116</f>
        <v>0</v>
      </c>
      <c r="D114" s="3134">
        <f t="shared" si="70"/>
        <v>0</v>
      </c>
      <c r="E114" s="3134">
        <f t="shared" si="70"/>
        <v>0</v>
      </c>
      <c r="F114" s="3134">
        <f t="shared" si="70"/>
        <v>0</v>
      </c>
      <c r="G114" s="3134">
        <f t="shared" si="70"/>
        <v>0</v>
      </c>
      <c r="H114" s="3134"/>
      <c r="I114" s="3134"/>
      <c r="J114" s="3134"/>
      <c r="K114" s="3134"/>
      <c r="L114" s="3134"/>
      <c r="M114" s="3134">
        <f t="shared" si="70"/>
        <v>0</v>
      </c>
      <c r="N114" s="3134">
        <f t="shared" si="70"/>
        <v>0</v>
      </c>
      <c r="O114" s="3135">
        <f t="shared" si="70"/>
        <v>0</v>
      </c>
    </row>
    <row r="115" spans="2:16" x14ac:dyDescent="0.25">
      <c r="B115" s="3080" t="s">
        <v>634</v>
      </c>
      <c r="C115" s="3136">
        <f>C55*$C$12</f>
        <v>0</v>
      </c>
      <c r="D115" s="3136">
        <f>D55*$D$12</f>
        <v>0</v>
      </c>
      <c r="E115" s="3136">
        <f>E55*$E$12</f>
        <v>0</v>
      </c>
      <c r="F115" s="3136">
        <f>F55*$F$12</f>
        <v>0</v>
      </c>
      <c r="G115" s="3136">
        <f>G55*$G$12</f>
        <v>0</v>
      </c>
      <c r="H115" s="3136"/>
      <c r="I115" s="3136"/>
      <c r="J115" s="3136"/>
      <c r="K115" s="3136"/>
      <c r="L115" s="3136"/>
      <c r="M115" s="3136">
        <f>M55*$M$12</f>
        <v>0</v>
      </c>
      <c r="N115" s="3136">
        <f>N55*$N$12</f>
        <v>0</v>
      </c>
      <c r="O115" s="3137">
        <f>O55*$O$12</f>
        <v>0</v>
      </c>
    </row>
    <row r="116" spans="2:16" x14ac:dyDescent="0.25">
      <c r="B116" s="3080" t="s">
        <v>635</v>
      </c>
      <c r="C116" s="3136">
        <f>C56*$C$12</f>
        <v>0</v>
      </c>
      <c r="D116" s="3136">
        <f>D56*$D$12</f>
        <v>0</v>
      </c>
      <c r="E116" s="3136">
        <f>E56*$E$12</f>
        <v>0</v>
      </c>
      <c r="F116" s="3136">
        <f>F56*$F$12</f>
        <v>0</v>
      </c>
      <c r="G116" s="3136">
        <f>G56*$G$12</f>
        <v>0</v>
      </c>
      <c r="H116" s="3136"/>
      <c r="I116" s="3136"/>
      <c r="J116" s="3136"/>
      <c r="K116" s="3136"/>
      <c r="L116" s="3136"/>
      <c r="M116" s="3136">
        <f>M56*$M$12</f>
        <v>0</v>
      </c>
      <c r="N116" s="3136">
        <f>N56*$N$12</f>
        <v>0</v>
      </c>
      <c r="O116" s="3137">
        <f>O56*$O$12</f>
        <v>0</v>
      </c>
    </row>
    <row r="117" spans="2:16" x14ac:dyDescent="0.25">
      <c r="B117" s="3077" t="s">
        <v>631</v>
      </c>
      <c r="C117" s="3134">
        <f t="shared" ref="C117:O117" si="71">C118+C119</f>
        <v>0</v>
      </c>
      <c r="D117" s="3134">
        <f t="shared" si="71"/>
        <v>0</v>
      </c>
      <c r="E117" s="3134">
        <f t="shared" si="71"/>
        <v>0</v>
      </c>
      <c r="F117" s="3134">
        <f t="shared" si="71"/>
        <v>0</v>
      </c>
      <c r="G117" s="3134">
        <f t="shared" si="71"/>
        <v>0</v>
      </c>
      <c r="H117" s="3134"/>
      <c r="I117" s="3134"/>
      <c r="J117" s="3134"/>
      <c r="K117" s="3134"/>
      <c r="L117" s="3134"/>
      <c r="M117" s="3134">
        <f t="shared" si="71"/>
        <v>0</v>
      </c>
      <c r="N117" s="3134">
        <f t="shared" si="71"/>
        <v>0</v>
      </c>
      <c r="O117" s="3135">
        <f t="shared" si="71"/>
        <v>0</v>
      </c>
    </row>
    <row r="118" spans="2:16" x14ac:dyDescent="0.25">
      <c r="B118" s="3080" t="s">
        <v>634</v>
      </c>
      <c r="C118" s="3136">
        <f>C58*$C$12</f>
        <v>0</v>
      </c>
      <c r="D118" s="3136">
        <f>D58*$D$12</f>
        <v>0</v>
      </c>
      <c r="E118" s="3136">
        <f>E58*$E$12</f>
        <v>0</v>
      </c>
      <c r="F118" s="3136">
        <f>F58*$F$12</f>
        <v>0</v>
      </c>
      <c r="G118" s="3136">
        <f>G58*$G$12</f>
        <v>0</v>
      </c>
      <c r="H118" s="3136"/>
      <c r="I118" s="3136"/>
      <c r="J118" s="3136"/>
      <c r="K118" s="3136"/>
      <c r="L118" s="3136"/>
      <c r="M118" s="3136">
        <f>M58*$M$12</f>
        <v>0</v>
      </c>
      <c r="N118" s="3136">
        <f>N58*$N$12</f>
        <v>0</v>
      </c>
      <c r="O118" s="3137">
        <f>O58*$O$12</f>
        <v>0</v>
      </c>
    </row>
    <row r="119" spans="2:16" ht="15.75" thickBot="1" x14ac:dyDescent="0.3">
      <c r="B119" s="3112" t="s">
        <v>635</v>
      </c>
      <c r="C119" s="3190">
        <f>C59*$C$12</f>
        <v>0</v>
      </c>
      <c r="D119" s="3190">
        <f>D59*$D$12</f>
        <v>0</v>
      </c>
      <c r="E119" s="3190">
        <f>E59*$E$12</f>
        <v>0</v>
      </c>
      <c r="F119" s="3190">
        <f>F59*$F$12</f>
        <v>0</v>
      </c>
      <c r="G119" s="3190">
        <f>G59*$G$12</f>
        <v>0</v>
      </c>
      <c r="H119" s="3190"/>
      <c r="I119" s="3190"/>
      <c r="J119" s="3190"/>
      <c r="K119" s="3190"/>
      <c r="L119" s="3190"/>
      <c r="M119" s="3190">
        <f>M59*$M$12</f>
        <v>0</v>
      </c>
      <c r="N119" s="3190">
        <f>N59*$N$12</f>
        <v>0</v>
      </c>
      <c r="O119" s="3191">
        <f>O59*$O$12</f>
        <v>0</v>
      </c>
    </row>
    <row r="120" spans="2:16" ht="15.75" thickBot="1" x14ac:dyDescent="0.3">
      <c r="B120" s="3146" t="s">
        <v>3160</v>
      </c>
      <c r="C120" s="3454">
        <f>C121+C128</f>
        <v>1540.7392</v>
      </c>
      <c r="D120" s="3455">
        <f>D121+D128</f>
        <v>131.21680000000001</v>
      </c>
      <c r="E120" s="3455">
        <f t="shared" ref="E120:O120" si="72">E121+E128</f>
        <v>118.5184</v>
      </c>
      <c r="F120" s="3455">
        <f t="shared" si="72"/>
        <v>131.21680000000001</v>
      </c>
      <c r="G120" s="3455">
        <f t="shared" si="72"/>
        <v>126.98400000000001</v>
      </c>
      <c r="H120" s="3455">
        <f t="shared" si="72"/>
        <v>131.21680000000001</v>
      </c>
      <c r="I120" s="3455">
        <f t="shared" si="72"/>
        <v>126.98400000000001</v>
      </c>
      <c r="J120" s="3455">
        <f t="shared" si="72"/>
        <v>131.21680000000001</v>
      </c>
      <c r="K120" s="3455">
        <f t="shared" si="72"/>
        <v>126.98400000000001</v>
      </c>
      <c r="L120" s="3455">
        <f t="shared" si="72"/>
        <v>126.98400000000001</v>
      </c>
      <c r="M120" s="3455">
        <f t="shared" si="72"/>
        <v>131.21680000000001</v>
      </c>
      <c r="N120" s="3455">
        <f t="shared" si="72"/>
        <v>126.98400000000001</v>
      </c>
      <c r="O120" s="3456">
        <f t="shared" si="72"/>
        <v>131.21680000000001</v>
      </c>
    </row>
    <row r="121" spans="2:16" x14ac:dyDescent="0.25">
      <c r="B121" s="3093" t="s">
        <v>629</v>
      </c>
      <c r="C121" s="3451">
        <f>SUM(D121:O121)</f>
        <v>1284.92</v>
      </c>
      <c r="D121" s="3452">
        <f>D122+D125</f>
        <v>109.43</v>
      </c>
      <c r="E121" s="3452">
        <f t="shared" ref="E121:O121" si="73">E122+E125</f>
        <v>98.84</v>
      </c>
      <c r="F121" s="3452">
        <f t="shared" si="73"/>
        <v>109.43</v>
      </c>
      <c r="G121" s="3452">
        <f t="shared" si="73"/>
        <v>105.9</v>
      </c>
      <c r="H121" s="3452">
        <f t="shared" si="73"/>
        <v>109.43</v>
      </c>
      <c r="I121" s="3452">
        <f t="shared" si="73"/>
        <v>105.9</v>
      </c>
      <c r="J121" s="3452">
        <f t="shared" si="73"/>
        <v>109.43</v>
      </c>
      <c r="K121" s="3452">
        <f t="shared" si="73"/>
        <v>105.9</v>
      </c>
      <c r="L121" s="3452">
        <f t="shared" si="73"/>
        <v>105.9</v>
      </c>
      <c r="M121" s="3452">
        <f t="shared" si="73"/>
        <v>109.43</v>
      </c>
      <c r="N121" s="3452">
        <f t="shared" si="73"/>
        <v>105.9</v>
      </c>
      <c r="O121" s="3453">
        <f t="shared" si="73"/>
        <v>109.43</v>
      </c>
    </row>
    <row r="122" spans="2:16" x14ac:dyDescent="0.25">
      <c r="B122" s="3077" t="s">
        <v>630</v>
      </c>
      <c r="C122" s="3126">
        <f>SUM(D122:O122)</f>
        <v>655.56399999999996</v>
      </c>
      <c r="D122" s="3193">
        <f>D123+D124</f>
        <v>55.831000000000003</v>
      </c>
      <c r="E122" s="3193">
        <f t="shared" ref="E122:O122" si="74">E123+E124</f>
        <v>50.428000000000004</v>
      </c>
      <c r="F122" s="3193">
        <f t="shared" si="74"/>
        <v>55.831000000000003</v>
      </c>
      <c r="G122" s="3193">
        <f t="shared" si="74"/>
        <v>54.03</v>
      </c>
      <c r="H122" s="3193">
        <f t="shared" si="74"/>
        <v>55.831000000000003</v>
      </c>
      <c r="I122" s="3193">
        <f t="shared" si="74"/>
        <v>54.03</v>
      </c>
      <c r="J122" s="3193">
        <f t="shared" si="74"/>
        <v>55.831000000000003</v>
      </c>
      <c r="K122" s="3193">
        <f t="shared" si="74"/>
        <v>54.03</v>
      </c>
      <c r="L122" s="3193">
        <f t="shared" si="74"/>
        <v>54.03</v>
      </c>
      <c r="M122" s="3193">
        <f t="shared" si="74"/>
        <v>55.831000000000003</v>
      </c>
      <c r="N122" s="3193">
        <f t="shared" si="74"/>
        <v>54.03</v>
      </c>
      <c r="O122" s="3197">
        <f t="shared" si="74"/>
        <v>55.831000000000003</v>
      </c>
    </row>
    <row r="123" spans="2:16" x14ac:dyDescent="0.25">
      <c r="B123" s="3080" t="s">
        <v>634</v>
      </c>
      <c r="C123" s="3126">
        <f t="shared" ref="C123:C127" si="75">SUM(D123:O123)</f>
        <v>540.54000000000008</v>
      </c>
      <c r="D123" s="3193">
        <f>$D$63*D13</f>
        <v>46.035000000000004</v>
      </c>
      <c r="E123" s="3193">
        <f t="shared" ref="E123:O123" si="76">$D$63*E13</f>
        <v>41.580000000000005</v>
      </c>
      <c r="F123" s="3193">
        <f t="shared" si="76"/>
        <v>46.035000000000004</v>
      </c>
      <c r="G123" s="3193">
        <f t="shared" si="76"/>
        <v>44.550000000000004</v>
      </c>
      <c r="H123" s="3193">
        <f t="shared" si="76"/>
        <v>46.035000000000004</v>
      </c>
      <c r="I123" s="3193">
        <f t="shared" si="76"/>
        <v>44.550000000000004</v>
      </c>
      <c r="J123" s="3193">
        <f t="shared" si="76"/>
        <v>46.035000000000004</v>
      </c>
      <c r="K123" s="3193">
        <f t="shared" si="76"/>
        <v>44.550000000000004</v>
      </c>
      <c r="L123" s="3193">
        <f t="shared" si="76"/>
        <v>44.550000000000004</v>
      </c>
      <c r="M123" s="3193">
        <f t="shared" si="76"/>
        <v>46.035000000000004</v>
      </c>
      <c r="N123" s="3193">
        <f t="shared" si="76"/>
        <v>44.550000000000004</v>
      </c>
      <c r="O123" s="3197">
        <f t="shared" si="76"/>
        <v>46.035000000000004</v>
      </c>
    </row>
    <row r="124" spans="2:16" x14ac:dyDescent="0.25">
      <c r="B124" s="3080" t="s">
        <v>635</v>
      </c>
      <c r="C124" s="3126">
        <f t="shared" si="75"/>
        <v>115.024</v>
      </c>
      <c r="D124" s="3193">
        <f>$D$64*D13</f>
        <v>9.7959999999999994</v>
      </c>
      <c r="E124" s="3193">
        <f t="shared" ref="E124:O124" si="77">$D$64*E13</f>
        <v>8.8480000000000008</v>
      </c>
      <c r="F124" s="3193">
        <f t="shared" si="77"/>
        <v>9.7959999999999994</v>
      </c>
      <c r="G124" s="3193">
        <f t="shared" si="77"/>
        <v>9.48</v>
      </c>
      <c r="H124" s="3193">
        <f t="shared" si="77"/>
        <v>9.7959999999999994</v>
      </c>
      <c r="I124" s="3193">
        <f t="shared" si="77"/>
        <v>9.48</v>
      </c>
      <c r="J124" s="3193">
        <f t="shared" si="77"/>
        <v>9.7959999999999994</v>
      </c>
      <c r="K124" s="3193">
        <f t="shared" si="77"/>
        <v>9.48</v>
      </c>
      <c r="L124" s="3193">
        <f t="shared" si="77"/>
        <v>9.48</v>
      </c>
      <c r="M124" s="3193">
        <f t="shared" si="77"/>
        <v>9.7959999999999994</v>
      </c>
      <c r="N124" s="3193">
        <f t="shared" si="77"/>
        <v>9.48</v>
      </c>
      <c r="O124" s="3197">
        <f t="shared" si="77"/>
        <v>9.7959999999999994</v>
      </c>
    </row>
    <row r="125" spans="2:16" x14ac:dyDescent="0.25">
      <c r="B125" s="3077" t="s">
        <v>631</v>
      </c>
      <c r="C125" s="3126">
        <f t="shared" si="75"/>
        <v>629.35600000000011</v>
      </c>
      <c r="D125" s="3193">
        <f>D126+D127</f>
        <v>53.599000000000004</v>
      </c>
      <c r="E125" s="3193">
        <f t="shared" ref="E125:O125" si="78">E126+E127</f>
        <v>48.411999999999999</v>
      </c>
      <c r="F125" s="3193">
        <f t="shared" si="78"/>
        <v>53.599000000000004</v>
      </c>
      <c r="G125" s="3193">
        <f t="shared" si="78"/>
        <v>51.870000000000005</v>
      </c>
      <c r="H125" s="3193">
        <f t="shared" si="78"/>
        <v>53.599000000000004</v>
      </c>
      <c r="I125" s="3193">
        <f t="shared" si="78"/>
        <v>51.870000000000005</v>
      </c>
      <c r="J125" s="3193">
        <f t="shared" si="78"/>
        <v>53.599000000000004</v>
      </c>
      <c r="K125" s="3193">
        <f t="shared" si="78"/>
        <v>51.870000000000005</v>
      </c>
      <c r="L125" s="3193">
        <f t="shared" si="78"/>
        <v>51.870000000000005</v>
      </c>
      <c r="M125" s="3193">
        <f t="shared" si="78"/>
        <v>53.599000000000004</v>
      </c>
      <c r="N125" s="3193">
        <f t="shared" si="78"/>
        <v>51.870000000000005</v>
      </c>
      <c r="O125" s="3197">
        <f t="shared" si="78"/>
        <v>53.599000000000004</v>
      </c>
    </row>
    <row r="126" spans="2:16" x14ac:dyDescent="0.25">
      <c r="B126" s="3080" t="s">
        <v>634</v>
      </c>
      <c r="C126" s="3126">
        <f t="shared" si="75"/>
        <v>619.52800000000002</v>
      </c>
      <c r="D126" s="3193">
        <f>$D$66*D13</f>
        <v>52.762</v>
      </c>
      <c r="E126" s="3193">
        <f t="shared" ref="E126:O126" si="79">$D$66*E13</f>
        <v>47.655999999999999</v>
      </c>
      <c r="F126" s="3193">
        <f t="shared" si="79"/>
        <v>52.762</v>
      </c>
      <c r="G126" s="3193">
        <f t="shared" si="79"/>
        <v>51.06</v>
      </c>
      <c r="H126" s="3193">
        <f t="shared" si="79"/>
        <v>52.762</v>
      </c>
      <c r="I126" s="3193">
        <f t="shared" si="79"/>
        <v>51.06</v>
      </c>
      <c r="J126" s="3193">
        <f t="shared" si="79"/>
        <v>52.762</v>
      </c>
      <c r="K126" s="3193">
        <f t="shared" si="79"/>
        <v>51.06</v>
      </c>
      <c r="L126" s="3193">
        <f t="shared" si="79"/>
        <v>51.06</v>
      </c>
      <c r="M126" s="3193">
        <f t="shared" si="79"/>
        <v>52.762</v>
      </c>
      <c r="N126" s="3193">
        <f t="shared" si="79"/>
        <v>51.06</v>
      </c>
      <c r="O126" s="3197">
        <f t="shared" si="79"/>
        <v>52.762</v>
      </c>
    </row>
    <row r="127" spans="2:16" x14ac:dyDescent="0.25">
      <c r="B127" s="3080" t="s">
        <v>635</v>
      </c>
      <c r="C127" s="3126">
        <f t="shared" si="75"/>
        <v>9.8279999999999994</v>
      </c>
      <c r="D127" s="3193">
        <f>$D$67*D13</f>
        <v>0.83699999999999997</v>
      </c>
      <c r="E127" s="3193">
        <f t="shared" ref="E127:O127" si="80">$D$67*E13</f>
        <v>0.75600000000000001</v>
      </c>
      <c r="F127" s="3193">
        <f t="shared" si="80"/>
        <v>0.83699999999999997</v>
      </c>
      <c r="G127" s="3193">
        <f t="shared" si="80"/>
        <v>0.80999999999999994</v>
      </c>
      <c r="H127" s="3193">
        <f t="shared" si="80"/>
        <v>0.83699999999999997</v>
      </c>
      <c r="I127" s="3193">
        <f t="shared" si="80"/>
        <v>0.80999999999999994</v>
      </c>
      <c r="J127" s="3193">
        <f t="shared" si="80"/>
        <v>0.83699999999999997</v>
      </c>
      <c r="K127" s="3193">
        <f t="shared" si="80"/>
        <v>0.80999999999999994</v>
      </c>
      <c r="L127" s="3193">
        <f t="shared" si="80"/>
        <v>0.80999999999999994</v>
      </c>
      <c r="M127" s="3193">
        <f t="shared" si="80"/>
        <v>0.83699999999999997</v>
      </c>
      <c r="N127" s="3193">
        <f t="shared" si="80"/>
        <v>0.80999999999999994</v>
      </c>
      <c r="O127" s="3197">
        <f t="shared" si="80"/>
        <v>0.83699999999999997</v>
      </c>
    </row>
    <row r="128" spans="2:16" x14ac:dyDescent="0.25">
      <c r="B128" s="3093" t="s">
        <v>637</v>
      </c>
      <c r="C128" s="3194">
        <f>SUM(D128:O128)</f>
        <v>255.81920000000002</v>
      </c>
      <c r="D128" s="3192">
        <f>D129+D132</f>
        <v>21.786799999999999</v>
      </c>
      <c r="E128" s="3192">
        <f t="shared" ref="E128:O128" si="81">E129+E132</f>
        <v>19.6784</v>
      </c>
      <c r="F128" s="3192">
        <f t="shared" si="81"/>
        <v>21.786799999999999</v>
      </c>
      <c r="G128" s="3192">
        <f t="shared" si="81"/>
        <v>21.084</v>
      </c>
      <c r="H128" s="3192">
        <f t="shared" si="81"/>
        <v>21.786799999999999</v>
      </c>
      <c r="I128" s="3192">
        <f t="shared" si="81"/>
        <v>21.084</v>
      </c>
      <c r="J128" s="3192">
        <f t="shared" si="81"/>
        <v>21.786799999999999</v>
      </c>
      <c r="K128" s="3192">
        <f t="shared" si="81"/>
        <v>21.084</v>
      </c>
      <c r="L128" s="3192">
        <f t="shared" si="81"/>
        <v>21.084</v>
      </c>
      <c r="M128" s="3192">
        <f t="shared" si="81"/>
        <v>21.786799999999999</v>
      </c>
      <c r="N128" s="3192">
        <f t="shared" si="81"/>
        <v>21.084</v>
      </c>
      <c r="O128" s="3196">
        <f t="shared" si="81"/>
        <v>21.786799999999999</v>
      </c>
    </row>
    <row r="129" spans="1:23" x14ac:dyDescent="0.25">
      <c r="B129" s="3077" t="s">
        <v>632</v>
      </c>
      <c r="C129" s="3126">
        <f t="shared" ref="C129:C134" si="82">SUM(D129:O129)</f>
        <v>0</v>
      </c>
      <c r="D129" s="3193">
        <f>D130+D131</f>
        <v>0</v>
      </c>
      <c r="E129" s="3193">
        <f t="shared" ref="E129:O129" si="83">E130+E131</f>
        <v>0</v>
      </c>
      <c r="F129" s="3193">
        <f t="shared" si="83"/>
        <v>0</v>
      </c>
      <c r="G129" s="3193">
        <f t="shared" si="83"/>
        <v>0</v>
      </c>
      <c r="H129" s="3193">
        <f t="shared" si="83"/>
        <v>0</v>
      </c>
      <c r="I129" s="3193">
        <f t="shared" si="83"/>
        <v>0</v>
      </c>
      <c r="J129" s="3193">
        <f t="shared" si="83"/>
        <v>0</v>
      </c>
      <c r="K129" s="3193">
        <f t="shared" si="83"/>
        <v>0</v>
      </c>
      <c r="L129" s="3193">
        <f t="shared" si="83"/>
        <v>0</v>
      </c>
      <c r="M129" s="3193">
        <f t="shared" si="83"/>
        <v>0</v>
      </c>
      <c r="N129" s="3193">
        <f t="shared" si="83"/>
        <v>0</v>
      </c>
      <c r="O129" s="3197">
        <f t="shared" si="83"/>
        <v>0</v>
      </c>
    </row>
    <row r="130" spans="1:23" x14ac:dyDescent="0.25">
      <c r="B130" s="3080" t="s">
        <v>634</v>
      </c>
      <c r="C130" s="3126">
        <f t="shared" si="82"/>
        <v>0</v>
      </c>
      <c r="D130" s="3193">
        <f>$D$70*D13</f>
        <v>0</v>
      </c>
      <c r="E130" s="3193">
        <f t="shared" ref="E130:O130" si="84">$D$70*E13</f>
        <v>0</v>
      </c>
      <c r="F130" s="3193">
        <f t="shared" si="84"/>
        <v>0</v>
      </c>
      <c r="G130" s="3193">
        <f t="shared" si="84"/>
        <v>0</v>
      </c>
      <c r="H130" s="3193">
        <f t="shared" si="84"/>
        <v>0</v>
      </c>
      <c r="I130" s="3193">
        <f t="shared" si="84"/>
        <v>0</v>
      </c>
      <c r="J130" s="3193">
        <f t="shared" si="84"/>
        <v>0</v>
      </c>
      <c r="K130" s="3193">
        <f t="shared" si="84"/>
        <v>0</v>
      </c>
      <c r="L130" s="3193">
        <f t="shared" si="84"/>
        <v>0</v>
      </c>
      <c r="M130" s="3193">
        <f t="shared" si="84"/>
        <v>0</v>
      </c>
      <c r="N130" s="3193">
        <f t="shared" si="84"/>
        <v>0</v>
      </c>
      <c r="O130" s="3197">
        <f t="shared" si="84"/>
        <v>0</v>
      </c>
    </row>
    <row r="131" spans="1:23" x14ac:dyDescent="0.25">
      <c r="B131" s="3080" t="s">
        <v>635</v>
      </c>
      <c r="C131" s="3126">
        <f t="shared" si="82"/>
        <v>0</v>
      </c>
      <c r="D131" s="3193">
        <f>$D$71*D13</f>
        <v>0</v>
      </c>
      <c r="E131" s="3193">
        <f t="shared" ref="E131:O131" si="85">$D$71*E13</f>
        <v>0</v>
      </c>
      <c r="F131" s="3193">
        <f t="shared" si="85"/>
        <v>0</v>
      </c>
      <c r="G131" s="3193">
        <f t="shared" si="85"/>
        <v>0</v>
      </c>
      <c r="H131" s="3193">
        <f t="shared" si="85"/>
        <v>0</v>
      </c>
      <c r="I131" s="3193">
        <f t="shared" si="85"/>
        <v>0</v>
      </c>
      <c r="J131" s="3193">
        <f t="shared" si="85"/>
        <v>0</v>
      </c>
      <c r="K131" s="3193">
        <f t="shared" si="85"/>
        <v>0</v>
      </c>
      <c r="L131" s="3193">
        <f t="shared" si="85"/>
        <v>0</v>
      </c>
      <c r="M131" s="3193">
        <f t="shared" si="85"/>
        <v>0</v>
      </c>
      <c r="N131" s="3193">
        <f t="shared" si="85"/>
        <v>0</v>
      </c>
      <c r="O131" s="3197">
        <f t="shared" si="85"/>
        <v>0</v>
      </c>
    </row>
    <row r="132" spans="1:23" x14ac:dyDescent="0.25">
      <c r="B132" s="3077" t="s">
        <v>631</v>
      </c>
      <c r="C132" s="3126">
        <f t="shared" si="82"/>
        <v>255.81920000000002</v>
      </c>
      <c r="D132" s="3193">
        <f>D133+D134</f>
        <v>21.786799999999999</v>
      </c>
      <c r="E132" s="3193">
        <f t="shared" ref="E132:O132" si="86">E133+E134</f>
        <v>19.6784</v>
      </c>
      <c r="F132" s="3193">
        <f t="shared" si="86"/>
        <v>21.786799999999999</v>
      </c>
      <c r="G132" s="3193">
        <f t="shared" si="86"/>
        <v>21.084</v>
      </c>
      <c r="H132" s="3193">
        <f t="shared" si="86"/>
        <v>21.786799999999999</v>
      </c>
      <c r="I132" s="3193">
        <f t="shared" si="86"/>
        <v>21.084</v>
      </c>
      <c r="J132" s="3193">
        <f t="shared" si="86"/>
        <v>21.786799999999999</v>
      </c>
      <c r="K132" s="3193">
        <f t="shared" si="86"/>
        <v>21.084</v>
      </c>
      <c r="L132" s="3193">
        <f t="shared" si="86"/>
        <v>21.084</v>
      </c>
      <c r="M132" s="3193">
        <f t="shared" si="86"/>
        <v>21.786799999999999</v>
      </c>
      <c r="N132" s="3193">
        <f t="shared" si="86"/>
        <v>21.084</v>
      </c>
      <c r="O132" s="3197">
        <f t="shared" si="86"/>
        <v>21.786799999999999</v>
      </c>
    </row>
    <row r="133" spans="1:23" x14ac:dyDescent="0.25">
      <c r="B133" s="3080" t="s">
        <v>634</v>
      </c>
      <c r="C133" s="3126">
        <f t="shared" si="82"/>
        <v>91</v>
      </c>
      <c r="D133" s="3193">
        <f>$D$73*D13</f>
        <v>7.75</v>
      </c>
      <c r="E133" s="3193">
        <f t="shared" ref="E133:O133" si="87">$D$73*E13</f>
        <v>7</v>
      </c>
      <c r="F133" s="3193">
        <f t="shared" si="87"/>
        <v>7.75</v>
      </c>
      <c r="G133" s="3193">
        <f t="shared" si="87"/>
        <v>7.5</v>
      </c>
      <c r="H133" s="3193">
        <f t="shared" si="87"/>
        <v>7.75</v>
      </c>
      <c r="I133" s="3193">
        <f t="shared" si="87"/>
        <v>7.5</v>
      </c>
      <c r="J133" s="3193">
        <f t="shared" si="87"/>
        <v>7.75</v>
      </c>
      <c r="K133" s="3193">
        <f t="shared" si="87"/>
        <v>7.5</v>
      </c>
      <c r="L133" s="3193">
        <f t="shared" si="87"/>
        <v>7.5</v>
      </c>
      <c r="M133" s="3193">
        <f t="shared" si="87"/>
        <v>7.75</v>
      </c>
      <c r="N133" s="3193">
        <f t="shared" si="87"/>
        <v>7.5</v>
      </c>
      <c r="O133" s="3197">
        <f t="shared" si="87"/>
        <v>7.75</v>
      </c>
    </row>
    <row r="134" spans="1:23" ht="15.75" thickBot="1" x14ac:dyDescent="0.3">
      <c r="B134" s="3112" t="s">
        <v>635</v>
      </c>
      <c r="C134" s="3128">
        <f t="shared" si="82"/>
        <v>164.8192</v>
      </c>
      <c r="D134" s="3195">
        <f>$D$74*D13</f>
        <v>14.036799999999999</v>
      </c>
      <c r="E134" s="3195">
        <f t="shared" ref="E134:O134" si="88">$D$74*E13</f>
        <v>12.6784</v>
      </c>
      <c r="F134" s="3195">
        <f t="shared" si="88"/>
        <v>14.036799999999999</v>
      </c>
      <c r="G134" s="3195">
        <f t="shared" si="88"/>
        <v>13.584</v>
      </c>
      <c r="H134" s="3195">
        <f t="shared" si="88"/>
        <v>14.036799999999999</v>
      </c>
      <c r="I134" s="3195">
        <f t="shared" si="88"/>
        <v>13.584</v>
      </c>
      <c r="J134" s="3195">
        <f t="shared" si="88"/>
        <v>14.036799999999999</v>
      </c>
      <c r="K134" s="3195">
        <f t="shared" si="88"/>
        <v>13.584</v>
      </c>
      <c r="L134" s="3195">
        <f t="shared" si="88"/>
        <v>13.584</v>
      </c>
      <c r="M134" s="3195">
        <f t="shared" si="88"/>
        <v>14.036799999999999</v>
      </c>
      <c r="N134" s="3195">
        <f t="shared" si="88"/>
        <v>13.584</v>
      </c>
      <c r="O134" s="3198">
        <f t="shared" si="88"/>
        <v>14.036799999999999</v>
      </c>
    </row>
    <row r="135" spans="1:23" x14ac:dyDescent="0.25">
      <c r="B135" s="3143"/>
      <c r="C135" s="3142"/>
      <c r="D135" s="3142"/>
      <c r="E135" s="3142"/>
      <c r="F135" s="3142"/>
      <c r="G135" s="3142"/>
      <c r="H135" s="3142"/>
      <c r="I135" s="3142"/>
      <c r="J135" s="3142"/>
      <c r="K135" s="3142"/>
      <c r="L135" s="3142"/>
      <c r="M135" s="3142"/>
      <c r="N135" s="3142"/>
      <c r="O135" s="3142"/>
    </row>
    <row r="136" spans="1:23" ht="15.75" x14ac:dyDescent="0.25">
      <c r="B136" s="3144" t="s">
        <v>1339</v>
      </c>
    </row>
    <row r="137" spans="1:23" ht="14.25" customHeight="1" thickBot="1" x14ac:dyDescent="0.3"/>
    <row r="138" spans="1:23" ht="30" thickBot="1" x14ac:dyDescent="0.3">
      <c r="A138" s="3448"/>
      <c r="B138" s="3145"/>
      <c r="C138" s="3146" t="s">
        <v>498</v>
      </c>
      <c r="D138" s="3147" t="s">
        <v>10</v>
      </c>
      <c r="E138" s="3148" t="s">
        <v>11</v>
      </c>
      <c r="F138" s="3147" t="s">
        <v>497</v>
      </c>
      <c r="G138" s="3148" t="s">
        <v>13</v>
      </c>
      <c r="H138" s="3052" t="s">
        <v>140</v>
      </c>
      <c r="I138" s="3052" t="s">
        <v>15</v>
      </c>
      <c r="J138" s="3052" t="s">
        <v>16</v>
      </c>
      <c r="K138" s="3052" t="s">
        <v>17</v>
      </c>
      <c r="L138" s="3052" t="s">
        <v>18</v>
      </c>
      <c r="M138" s="3147" t="s">
        <v>19</v>
      </c>
      <c r="N138" s="3148" t="s">
        <v>20</v>
      </c>
      <c r="O138" s="3148" t="s">
        <v>21</v>
      </c>
    </row>
    <row r="139" spans="1:23" s="2490" customFormat="1" ht="15.75" thickBot="1" x14ac:dyDescent="0.3">
      <c r="A139" s="3449"/>
      <c r="B139" s="3149" t="s">
        <v>750</v>
      </c>
      <c r="C139" s="3150">
        <f t="shared" ref="C139:O139" si="89">C140+C167</f>
        <v>862.11599999999999</v>
      </c>
      <c r="D139" s="3150">
        <f>D140+D167</f>
        <v>269.25</v>
      </c>
      <c r="E139" s="3150">
        <f t="shared" si="89"/>
        <v>101.27999999999999</v>
      </c>
      <c r="F139" s="3150">
        <f t="shared" si="89"/>
        <v>110.39999999999999</v>
      </c>
      <c r="G139" s="3150">
        <f t="shared" si="89"/>
        <v>39.74</v>
      </c>
      <c r="H139" s="3150">
        <f t="shared" si="89"/>
        <v>20.088000000000001</v>
      </c>
      <c r="I139" s="3150">
        <f t="shared" si="89"/>
        <v>25.271000000000001</v>
      </c>
      <c r="J139" s="3150">
        <f t="shared" si="89"/>
        <v>21.119</v>
      </c>
      <c r="K139" s="3150">
        <f t="shared" si="89"/>
        <v>22.119</v>
      </c>
      <c r="L139" s="3150">
        <f t="shared" si="89"/>
        <v>19.908999999999999</v>
      </c>
      <c r="M139" s="3150">
        <f t="shared" si="89"/>
        <v>24.520000000000003</v>
      </c>
      <c r="N139" s="3150">
        <f t="shared" si="89"/>
        <v>88.509999999999991</v>
      </c>
      <c r="O139" s="3150">
        <f t="shared" si="89"/>
        <v>119.91000000000001</v>
      </c>
      <c r="P139" s="3151"/>
      <c r="Q139" s="2493"/>
    </row>
    <row r="140" spans="1:23" ht="15.75" thickBot="1" x14ac:dyDescent="0.3">
      <c r="A140" s="3448"/>
      <c r="B140" s="3152" t="s">
        <v>3182</v>
      </c>
      <c r="C140" s="3153">
        <f t="shared" ref="C140:O140" si="90">C141+C147</f>
        <v>862.11599999999999</v>
      </c>
      <c r="D140" s="3153">
        <f t="shared" si="90"/>
        <v>269.25</v>
      </c>
      <c r="E140" s="3153">
        <f t="shared" si="90"/>
        <v>101.27999999999999</v>
      </c>
      <c r="F140" s="3153">
        <f t="shared" si="90"/>
        <v>110.39999999999999</v>
      </c>
      <c r="G140" s="3153">
        <f t="shared" si="90"/>
        <v>39.74</v>
      </c>
      <c r="H140" s="3153">
        <f t="shared" si="90"/>
        <v>20.088000000000001</v>
      </c>
      <c r="I140" s="3153">
        <f t="shared" si="90"/>
        <v>25.271000000000001</v>
      </c>
      <c r="J140" s="3153">
        <f>J141+J147</f>
        <v>21.119</v>
      </c>
      <c r="K140" s="3153">
        <f t="shared" si="90"/>
        <v>22.119</v>
      </c>
      <c r="L140" s="3153">
        <f t="shared" si="90"/>
        <v>19.908999999999999</v>
      </c>
      <c r="M140" s="3153">
        <f t="shared" si="90"/>
        <v>24.520000000000003</v>
      </c>
      <c r="N140" s="3153">
        <f t="shared" si="90"/>
        <v>88.509999999999991</v>
      </c>
      <c r="O140" s="3153">
        <f t="shared" si="90"/>
        <v>119.91000000000001</v>
      </c>
      <c r="P140" s="3155"/>
      <c r="Q140" s="2493"/>
    </row>
    <row r="141" spans="1:23" x14ac:dyDescent="0.25">
      <c r="A141" s="3448"/>
      <c r="B141" s="3156" t="s">
        <v>630</v>
      </c>
      <c r="C141" s="3157">
        <f>SUM(D141:O141)</f>
        <v>186.33700000000002</v>
      </c>
      <c r="D141" s="3157">
        <v>49.994</v>
      </c>
      <c r="E141" s="3157">
        <v>13.712999999999999</v>
      </c>
      <c r="F141" s="3157">
        <v>24.154</v>
      </c>
      <c r="G141" s="3157">
        <v>13.504</v>
      </c>
      <c r="H141" s="3157">
        <v>7.6130000000000004</v>
      </c>
      <c r="I141" s="3157">
        <v>7.4829999999999997</v>
      </c>
      <c r="J141" s="3157">
        <v>4.3490000000000002</v>
      </c>
      <c r="K141" s="3157">
        <v>4.2130000000000001</v>
      </c>
      <c r="L141" s="3157">
        <v>5.4029999999999996</v>
      </c>
      <c r="M141" s="3157">
        <v>7.3819999999999997</v>
      </c>
      <c r="N141" s="3157">
        <v>17.399999999999999</v>
      </c>
      <c r="O141" s="3157">
        <v>31.129000000000001</v>
      </c>
      <c r="P141" s="3159">
        <f>C140+C154</f>
        <v>6675.9097458333335</v>
      </c>
      <c r="Q141" s="3160">
        <f>C140/P141</f>
        <v>0.12913835459475415</v>
      </c>
    </row>
    <row r="142" spans="1:23" x14ac:dyDescent="0.25">
      <c r="A142" s="3448"/>
      <c r="B142" s="3161" t="s">
        <v>3</v>
      </c>
      <c r="C142" s="3162">
        <f t="shared" ref="C142:O142" si="91">C141*(C156/C155)</f>
        <v>0</v>
      </c>
      <c r="D142" s="3162">
        <f>D141*(D156/D155)</f>
        <v>0</v>
      </c>
      <c r="E142" s="3162">
        <f t="shared" si="91"/>
        <v>0</v>
      </c>
      <c r="F142" s="3162">
        <f t="shared" si="91"/>
        <v>0</v>
      </c>
      <c r="G142" s="3162">
        <f t="shared" si="91"/>
        <v>0</v>
      </c>
      <c r="H142" s="3162">
        <f t="shared" si="91"/>
        <v>0</v>
      </c>
      <c r="I142" s="3162">
        <f t="shared" si="91"/>
        <v>0</v>
      </c>
      <c r="J142" s="3162">
        <f t="shared" si="91"/>
        <v>0</v>
      </c>
      <c r="K142" s="3162">
        <f t="shared" si="91"/>
        <v>0</v>
      </c>
      <c r="L142" s="3162">
        <f t="shared" si="91"/>
        <v>0</v>
      </c>
      <c r="M142" s="3162">
        <f t="shared" si="91"/>
        <v>0</v>
      </c>
      <c r="N142" s="3162">
        <f t="shared" si="91"/>
        <v>0</v>
      </c>
      <c r="O142" s="3162">
        <f t="shared" si="91"/>
        <v>0</v>
      </c>
      <c r="P142" s="3159">
        <f>C141+C155</f>
        <v>1314.5190159799999</v>
      </c>
      <c r="Q142" s="3160">
        <f>C141/P142</f>
        <v>0.14175298929478178</v>
      </c>
    </row>
    <row r="143" spans="1:23" ht="15.75" thickBot="1" x14ac:dyDescent="0.3">
      <c r="A143" s="3448"/>
      <c r="B143" s="3165" t="s">
        <v>754</v>
      </c>
      <c r="C143" s="3166">
        <f t="shared" ref="C143:O143" si="92">C141*(C157/C155)</f>
        <v>0</v>
      </c>
      <c r="D143" s="3166">
        <f>D141*(D157/D155)</f>
        <v>0</v>
      </c>
      <c r="E143" s="3166">
        <f t="shared" si="92"/>
        <v>0</v>
      </c>
      <c r="F143" s="3166">
        <f t="shared" si="92"/>
        <v>0</v>
      </c>
      <c r="G143" s="3166">
        <f t="shared" si="92"/>
        <v>0</v>
      </c>
      <c r="H143" s="3166">
        <f t="shared" si="92"/>
        <v>0</v>
      </c>
      <c r="I143" s="3166">
        <f t="shared" si="92"/>
        <v>0</v>
      </c>
      <c r="J143" s="3166">
        <f t="shared" si="92"/>
        <v>0</v>
      </c>
      <c r="K143" s="3166">
        <f t="shared" si="92"/>
        <v>0</v>
      </c>
      <c r="L143" s="3166">
        <f t="shared" si="92"/>
        <v>0</v>
      </c>
      <c r="M143" s="3166">
        <f t="shared" si="92"/>
        <v>0</v>
      </c>
      <c r="N143" s="3166">
        <f t="shared" si="92"/>
        <v>0</v>
      </c>
      <c r="O143" s="3166">
        <f t="shared" si="92"/>
        <v>0</v>
      </c>
      <c r="P143" s="3159">
        <f>C147+C161</f>
        <v>5361.3907298533341</v>
      </c>
      <c r="Q143" s="3160">
        <f>C147/P143</f>
        <v>0.12604546731450156</v>
      </c>
      <c r="R143" s="3159"/>
      <c r="S143" s="3159"/>
      <c r="T143" s="3159"/>
      <c r="U143" s="3159"/>
      <c r="V143" s="3159"/>
      <c r="W143" s="3159"/>
    </row>
    <row r="144" spans="1:23" x14ac:dyDescent="0.25">
      <c r="A144" s="3448"/>
      <c r="B144" s="3161" t="s">
        <v>163</v>
      </c>
      <c r="C144" s="3162">
        <f>SUM(D144:O144)</f>
        <v>186.33700000000002</v>
      </c>
      <c r="D144" s="3162">
        <f>D141*(D158/D155)</f>
        <v>49.994</v>
      </c>
      <c r="E144" s="3162">
        <f t="shared" ref="E144:O144" si="93">E141*(E158/E155)</f>
        <v>13.712999999999999</v>
      </c>
      <c r="F144" s="3162">
        <f t="shared" si="93"/>
        <v>24.154</v>
      </c>
      <c r="G144" s="3162">
        <f t="shared" si="93"/>
        <v>13.504</v>
      </c>
      <c r="H144" s="3162">
        <f t="shared" si="93"/>
        <v>7.6130000000000004</v>
      </c>
      <c r="I144" s="3162">
        <f t="shared" si="93"/>
        <v>7.4829999999999997</v>
      </c>
      <c r="J144" s="3162">
        <f t="shared" si="93"/>
        <v>4.3490000000000002</v>
      </c>
      <c r="K144" s="3162">
        <f t="shared" si="93"/>
        <v>4.2130000000000001</v>
      </c>
      <c r="L144" s="3162">
        <f t="shared" si="93"/>
        <v>5.4029999999999996</v>
      </c>
      <c r="M144" s="3162">
        <f t="shared" si="93"/>
        <v>7.3819999999999997</v>
      </c>
      <c r="N144" s="3162">
        <f t="shared" si="93"/>
        <v>17.399999999999999</v>
      </c>
      <c r="O144" s="3162">
        <f t="shared" si="93"/>
        <v>31.129000000000001</v>
      </c>
    </row>
    <row r="145" spans="1:18" x14ac:dyDescent="0.25">
      <c r="A145" s="3448"/>
      <c r="B145" s="3161" t="s">
        <v>755</v>
      </c>
      <c r="C145" s="3162">
        <f>SUM(D145:O145)</f>
        <v>0</v>
      </c>
      <c r="D145" s="3162">
        <f t="shared" ref="D145:O145" si="94">D141*(D159/D155)</f>
        <v>0</v>
      </c>
      <c r="E145" s="3162">
        <f t="shared" si="94"/>
        <v>0</v>
      </c>
      <c r="F145" s="3162">
        <f t="shared" si="94"/>
        <v>0</v>
      </c>
      <c r="G145" s="3162">
        <f t="shared" si="94"/>
        <v>0</v>
      </c>
      <c r="H145" s="3162">
        <f t="shared" si="94"/>
        <v>0</v>
      </c>
      <c r="I145" s="3162">
        <f t="shared" si="94"/>
        <v>0</v>
      </c>
      <c r="J145" s="3162">
        <f t="shared" si="94"/>
        <v>0</v>
      </c>
      <c r="K145" s="3162">
        <f t="shared" si="94"/>
        <v>0</v>
      </c>
      <c r="L145" s="3162">
        <f t="shared" si="94"/>
        <v>0</v>
      </c>
      <c r="M145" s="3162">
        <f t="shared" si="94"/>
        <v>0</v>
      </c>
      <c r="N145" s="3162">
        <f t="shared" si="94"/>
        <v>0</v>
      </c>
      <c r="O145" s="3162">
        <f t="shared" si="94"/>
        <v>0</v>
      </c>
    </row>
    <row r="146" spans="1:18" x14ac:dyDescent="0.25">
      <c r="A146" s="3448"/>
      <c r="B146" s="3161" t="s">
        <v>170</v>
      </c>
      <c r="C146" s="3162">
        <f t="shared" ref="C146:O146" si="95">C141*(C160/C155)</f>
        <v>0</v>
      </c>
      <c r="D146" s="3162">
        <f t="shared" si="95"/>
        <v>0</v>
      </c>
      <c r="E146" s="3162">
        <f t="shared" si="95"/>
        <v>0</v>
      </c>
      <c r="F146" s="3162">
        <f t="shared" si="95"/>
        <v>0</v>
      </c>
      <c r="G146" s="3162">
        <f t="shared" si="95"/>
        <v>0</v>
      </c>
      <c r="H146" s="3162">
        <f t="shared" si="95"/>
        <v>0</v>
      </c>
      <c r="I146" s="3162">
        <f t="shared" si="95"/>
        <v>0</v>
      </c>
      <c r="J146" s="3162">
        <f t="shared" si="95"/>
        <v>0</v>
      </c>
      <c r="K146" s="3162">
        <f t="shared" si="95"/>
        <v>0</v>
      </c>
      <c r="L146" s="3162">
        <f t="shared" si="95"/>
        <v>0</v>
      </c>
      <c r="M146" s="3162">
        <f t="shared" si="95"/>
        <v>0</v>
      </c>
      <c r="N146" s="3162">
        <f t="shared" si="95"/>
        <v>0</v>
      </c>
      <c r="O146" s="3162">
        <f t="shared" si="95"/>
        <v>0</v>
      </c>
    </row>
    <row r="147" spans="1:18" x14ac:dyDescent="0.25">
      <c r="A147" s="3448"/>
      <c r="B147" s="3156" t="s">
        <v>631</v>
      </c>
      <c r="C147" s="3157">
        <f>SUM(D147:O147)</f>
        <v>675.779</v>
      </c>
      <c r="D147" s="3157">
        <v>219.256</v>
      </c>
      <c r="E147" s="3157">
        <v>87.566999999999993</v>
      </c>
      <c r="F147" s="3157">
        <v>86.245999999999995</v>
      </c>
      <c r="G147" s="3157">
        <v>26.236000000000001</v>
      </c>
      <c r="H147" s="3157">
        <v>12.475</v>
      </c>
      <c r="I147" s="3157">
        <v>17.788</v>
      </c>
      <c r="J147" s="3157">
        <v>16.77</v>
      </c>
      <c r="K147" s="3157">
        <v>17.905999999999999</v>
      </c>
      <c r="L147" s="3157">
        <v>14.506</v>
      </c>
      <c r="M147" s="3157">
        <v>17.138000000000002</v>
      </c>
      <c r="N147" s="3157">
        <v>71.11</v>
      </c>
      <c r="O147" s="3157">
        <v>88.781000000000006</v>
      </c>
    </row>
    <row r="148" spans="1:18" x14ac:dyDescent="0.25">
      <c r="A148" s="3448"/>
      <c r="B148" s="3161" t="s">
        <v>3</v>
      </c>
      <c r="C148" s="3162">
        <f>SUM(D148:O148)</f>
        <v>0</v>
      </c>
      <c r="D148" s="3162">
        <f t="shared" ref="D148:O148" si="96">D147*(D162/D161)</f>
        <v>0</v>
      </c>
      <c r="E148" s="3162">
        <f t="shared" si="96"/>
        <v>0</v>
      </c>
      <c r="F148" s="3162">
        <f t="shared" si="96"/>
        <v>0</v>
      </c>
      <c r="G148" s="3162">
        <f t="shared" si="96"/>
        <v>0</v>
      </c>
      <c r="H148" s="3162">
        <f t="shared" si="96"/>
        <v>0</v>
      </c>
      <c r="I148" s="3162">
        <f t="shared" si="96"/>
        <v>0</v>
      </c>
      <c r="J148" s="3162">
        <f t="shared" si="96"/>
        <v>0</v>
      </c>
      <c r="K148" s="3162">
        <f t="shared" si="96"/>
        <v>0</v>
      </c>
      <c r="L148" s="3162">
        <f t="shared" si="96"/>
        <v>0</v>
      </c>
      <c r="M148" s="3162">
        <f t="shared" si="96"/>
        <v>0</v>
      </c>
      <c r="N148" s="3162">
        <f t="shared" si="96"/>
        <v>0</v>
      </c>
      <c r="O148" s="3162">
        <f t="shared" si="96"/>
        <v>0</v>
      </c>
    </row>
    <row r="149" spans="1:18" x14ac:dyDescent="0.25">
      <c r="A149" s="3448"/>
      <c r="B149" s="3161" t="s">
        <v>754</v>
      </c>
      <c r="C149" s="3162">
        <f t="shared" ref="C149:C152" si="97">SUM(D149:O149)</f>
        <v>0</v>
      </c>
      <c r="D149" s="3162">
        <f t="shared" ref="D149:O149" si="98">D147*(D163/D161)</f>
        <v>0</v>
      </c>
      <c r="E149" s="3162">
        <f t="shared" si="98"/>
        <v>0</v>
      </c>
      <c r="F149" s="3162">
        <f t="shared" si="98"/>
        <v>0</v>
      </c>
      <c r="G149" s="3162">
        <f t="shared" si="98"/>
        <v>0</v>
      </c>
      <c r="H149" s="3162">
        <f t="shared" si="98"/>
        <v>0</v>
      </c>
      <c r="I149" s="3162">
        <f t="shared" si="98"/>
        <v>0</v>
      </c>
      <c r="J149" s="3162">
        <f t="shared" si="98"/>
        <v>0</v>
      </c>
      <c r="K149" s="3162">
        <f t="shared" si="98"/>
        <v>0</v>
      </c>
      <c r="L149" s="3162">
        <f t="shared" si="98"/>
        <v>0</v>
      </c>
      <c r="M149" s="3162">
        <f t="shared" si="98"/>
        <v>0</v>
      </c>
      <c r="N149" s="3162">
        <f t="shared" si="98"/>
        <v>0</v>
      </c>
      <c r="O149" s="3162">
        <f t="shared" si="98"/>
        <v>0</v>
      </c>
    </row>
    <row r="150" spans="1:18" x14ac:dyDescent="0.25">
      <c r="A150" s="3448"/>
      <c r="B150" s="3161" t="s">
        <v>163</v>
      </c>
      <c r="C150" s="3162">
        <f t="shared" si="97"/>
        <v>405.93691081898589</v>
      </c>
      <c r="D150" s="3162">
        <f t="shared" ref="D150:O150" si="99">D147*(D164/D161)</f>
        <v>125.95347932461223</v>
      </c>
      <c r="E150" s="3162">
        <f t="shared" si="99"/>
        <v>50.385061083239805</v>
      </c>
      <c r="F150" s="3162">
        <f t="shared" si="99"/>
        <v>49.865126119879804</v>
      </c>
      <c r="G150" s="3162">
        <f t="shared" si="99"/>
        <v>18.653690270581464</v>
      </c>
      <c r="H150" s="3162">
        <f t="shared" si="99"/>
        <v>8.869674726540012</v>
      </c>
      <c r="I150" s="3162">
        <f t="shared" si="99"/>
        <v>12.647196315486472</v>
      </c>
      <c r="J150" s="3162">
        <f t="shared" si="99"/>
        <v>11.923402417962004</v>
      </c>
      <c r="K150" s="3162">
        <f t="shared" si="99"/>
        <v>12.731093839953942</v>
      </c>
      <c r="L150" s="3162">
        <f t="shared" si="99"/>
        <v>10.31370754173863</v>
      </c>
      <c r="M150" s="3162">
        <f t="shared" si="99"/>
        <v>12.185048934945309</v>
      </c>
      <c r="N150" s="3162">
        <f t="shared" si="99"/>
        <v>41.224778763884331</v>
      </c>
      <c r="O150" s="3162">
        <f t="shared" si="99"/>
        <v>51.184651480161932</v>
      </c>
    </row>
    <row r="151" spans="1:18" x14ac:dyDescent="0.25">
      <c r="A151" s="3448"/>
      <c r="B151" s="3161" t="s">
        <v>755</v>
      </c>
      <c r="C151" s="3162">
        <f t="shared" si="97"/>
        <v>269.8420891810141</v>
      </c>
      <c r="D151" s="3162">
        <f>D147*(D165/D161)</f>
        <v>93.302520675387754</v>
      </c>
      <c r="E151" s="3162">
        <f t="shared" ref="E151:O151" si="100">E147*(E165/E161)</f>
        <v>37.181938916760181</v>
      </c>
      <c r="F151" s="3162">
        <f t="shared" si="100"/>
        <v>36.380873880120205</v>
      </c>
      <c r="G151" s="3162">
        <f t="shared" si="100"/>
        <v>7.5823097294185375</v>
      </c>
      <c r="H151" s="3162">
        <f t="shared" si="100"/>
        <v>3.6053252734599881</v>
      </c>
      <c r="I151" s="3162">
        <f t="shared" si="100"/>
        <v>5.1408036845135285</v>
      </c>
      <c r="J151" s="3162">
        <f t="shared" si="100"/>
        <v>4.8465975820379956</v>
      </c>
      <c r="K151" s="3162">
        <f t="shared" si="100"/>
        <v>5.1749061600460555</v>
      </c>
      <c r="L151" s="3162">
        <f t="shared" si="100"/>
        <v>4.1922924582613703</v>
      </c>
      <c r="M151" s="3162">
        <f t="shared" si="100"/>
        <v>4.952951065054692</v>
      </c>
      <c r="N151" s="3162">
        <f t="shared" si="100"/>
        <v>29.885221236115672</v>
      </c>
      <c r="O151" s="3162">
        <f t="shared" si="100"/>
        <v>37.596348519838074</v>
      </c>
    </row>
    <row r="152" spans="1:18" x14ac:dyDescent="0.25">
      <c r="A152" s="3448"/>
      <c r="B152" s="3161" t="s">
        <v>170</v>
      </c>
      <c r="C152" s="3162">
        <f t="shared" si="97"/>
        <v>0</v>
      </c>
      <c r="D152" s="3162">
        <f t="shared" ref="D152:O152" si="101">D147*(D166/D161)</f>
        <v>0</v>
      </c>
      <c r="E152" s="3162">
        <f t="shared" si="101"/>
        <v>0</v>
      </c>
      <c r="F152" s="3162">
        <f t="shared" si="101"/>
        <v>0</v>
      </c>
      <c r="G152" s="3162">
        <f t="shared" si="101"/>
        <v>0</v>
      </c>
      <c r="H152" s="3162">
        <f t="shared" si="101"/>
        <v>0</v>
      </c>
      <c r="I152" s="3162">
        <f t="shared" si="101"/>
        <v>0</v>
      </c>
      <c r="J152" s="3162">
        <f t="shared" si="101"/>
        <v>0</v>
      </c>
      <c r="K152" s="3162">
        <f t="shared" si="101"/>
        <v>0</v>
      </c>
      <c r="L152" s="3162">
        <f t="shared" si="101"/>
        <v>0</v>
      </c>
      <c r="M152" s="3162">
        <f t="shared" si="101"/>
        <v>0</v>
      </c>
      <c r="N152" s="3162">
        <f t="shared" si="101"/>
        <v>0</v>
      </c>
      <c r="O152" s="3162">
        <f t="shared" si="101"/>
        <v>0</v>
      </c>
    </row>
    <row r="153" spans="1:18" x14ac:dyDescent="0.25">
      <c r="A153" s="3448"/>
      <c r="B153" s="3163"/>
      <c r="C153" s="3162"/>
      <c r="D153" s="3162"/>
      <c r="E153" s="3162"/>
      <c r="F153" s="3162"/>
      <c r="G153" s="3162"/>
      <c r="H153" s="3162"/>
      <c r="I153" s="3162"/>
      <c r="J153" s="3162"/>
      <c r="K153" s="3162"/>
      <c r="L153" s="3162"/>
      <c r="M153" s="3162"/>
      <c r="N153" s="3162"/>
      <c r="O153" s="3162"/>
    </row>
    <row r="154" spans="1:18" x14ac:dyDescent="0.25">
      <c r="A154" s="3448"/>
      <c r="B154" s="3164" t="s">
        <v>753</v>
      </c>
      <c r="C154" s="3158">
        <f>C155+C161</f>
        <v>5813.7937458333336</v>
      </c>
      <c r="D154" s="3158">
        <f t="shared" ref="D154:O154" si="102">D155+D161</f>
        <v>1198.4692999999997</v>
      </c>
      <c r="E154" s="3158">
        <f t="shared" si="102"/>
        <v>1000.2850083333333</v>
      </c>
      <c r="F154" s="3158">
        <f t="shared" si="102"/>
        <v>904.52562083333316</v>
      </c>
      <c r="G154" s="3158">
        <f t="shared" si="102"/>
        <v>126.98400000000001</v>
      </c>
      <c r="H154" s="3158">
        <f t="shared" si="102"/>
        <v>131.21680000000001</v>
      </c>
      <c r="I154" s="3158">
        <f t="shared" si="102"/>
        <v>126.98400000000001</v>
      </c>
      <c r="J154" s="3158">
        <f t="shared" si="102"/>
        <v>131.21680000000001</v>
      </c>
      <c r="K154" s="3158">
        <f t="shared" si="102"/>
        <v>126.98400000000001</v>
      </c>
      <c r="L154" s="3158">
        <f t="shared" si="102"/>
        <v>126.98400000000001</v>
      </c>
      <c r="M154" s="3158">
        <f t="shared" si="102"/>
        <v>131.21680000000001</v>
      </c>
      <c r="N154" s="3158">
        <f t="shared" si="102"/>
        <v>795.01144999999985</v>
      </c>
      <c r="O154" s="3158">
        <f t="shared" si="102"/>
        <v>1013.9159666666665</v>
      </c>
      <c r="R154" s="3159">
        <f>C154-C159</f>
        <v>5813.7937458333336</v>
      </c>
    </row>
    <row r="155" spans="1:18" s="2490" customFormat="1" x14ac:dyDescent="0.25">
      <c r="A155" s="3449"/>
      <c r="B155" s="3156" t="s">
        <v>630</v>
      </c>
      <c r="C155" s="3157">
        <f>SUM(C156:C160)</f>
        <v>1128.18201598</v>
      </c>
      <c r="D155" s="3157">
        <f t="shared" ref="D155:O155" si="103">SUM(D156:D160)</f>
        <v>173.87366800000001</v>
      </c>
      <c r="E155" s="3157">
        <f t="shared" si="103"/>
        <v>147.95513907999998</v>
      </c>
      <c r="F155" s="3157">
        <f t="shared" si="103"/>
        <v>141.36224626000001</v>
      </c>
      <c r="G155" s="3157">
        <f t="shared" si="103"/>
        <v>54.03</v>
      </c>
      <c r="H155" s="3157">
        <f t="shared" si="103"/>
        <v>55.831000000000003</v>
      </c>
      <c r="I155" s="3157">
        <f t="shared" si="103"/>
        <v>54.03</v>
      </c>
      <c r="J155" s="3157">
        <f t="shared" si="103"/>
        <v>55.831000000000003</v>
      </c>
      <c r="K155" s="3157">
        <f t="shared" si="103"/>
        <v>54.03</v>
      </c>
      <c r="L155" s="3157">
        <f t="shared" si="103"/>
        <v>54.03</v>
      </c>
      <c r="M155" s="3157">
        <f t="shared" si="103"/>
        <v>55.831000000000003</v>
      </c>
      <c r="N155" s="3157">
        <f t="shared" si="103"/>
        <v>127.91667863999999</v>
      </c>
      <c r="O155" s="3157">
        <f t="shared" si="103"/>
        <v>153.46128399999998</v>
      </c>
    </row>
    <row r="156" spans="1:18" x14ac:dyDescent="0.25">
      <c r="A156" s="3448"/>
      <c r="B156" s="3161" t="s">
        <v>3</v>
      </c>
      <c r="C156" s="3162">
        <f>SUM(D156:O156)</f>
        <v>0</v>
      </c>
      <c r="D156" s="3162">
        <f t="shared" ref="D156:O156" si="104">D77+D85</f>
        <v>0</v>
      </c>
      <c r="E156" s="3162">
        <f t="shared" si="104"/>
        <v>0</v>
      </c>
      <c r="F156" s="3162">
        <f t="shared" si="104"/>
        <v>0</v>
      </c>
      <c r="G156" s="3162">
        <f t="shared" si="104"/>
        <v>0</v>
      </c>
      <c r="H156" s="3162">
        <f t="shared" si="104"/>
        <v>0</v>
      </c>
      <c r="I156" s="3162">
        <f t="shared" si="104"/>
        <v>0</v>
      </c>
      <c r="J156" s="3162">
        <f t="shared" si="104"/>
        <v>0</v>
      </c>
      <c r="K156" s="3162">
        <f t="shared" si="104"/>
        <v>0</v>
      </c>
      <c r="L156" s="3162">
        <f t="shared" si="104"/>
        <v>0</v>
      </c>
      <c r="M156" s="3162">
        <f t="shared" si="104"/>
        <v>0</v>
      </c>
      <c r="N156" s="3162">
        <f t="shared" si="104"/>
        <v>0</v>
      </c>
      <c r="O156" s="3162">
        <f t="shared" si="104"/>
        <v>0</v>
      </c>
    </row>
    <row r="157" spans="1:18" x14ac:dyDescent="0.25">
      <c r="A157" s="3448"/>
      <c r="B157" s="3161" t="s">
        <v>754</v>
      </c>
      <c r="C157" s="3162">
        <f>SUM(D157:O157)</f>
        <v>0</v>
      </c>
      <c r="D157" s="3162">
        <f t="shared" ref="D157:O157" si="105">D92</f>
        <v>0</v>
      </c>
      <c r="E157" s="3162">
        <f t="shared" si="105"/>
        <v>0</v>
      </c>
      <c r="F157" s="3162">
        <f t="shared" si="105"/>
        <v>0</v>
      </c>
      <c r="G157" s="3162">
        <f t="shared" si="105"/>
        <v>0</v>
      </c>
      <c r="H157" s="3162">
        <f t="shared" si="105"/>
        <v>0</v>
      </c>
      <c r="I157" s="3162">
        <f t="shared" si="105"/>
        <v>0</v>
      </c>
      <c r="J157" s="3162">
        <f t="shared" si="105"/>
        <v>0</v>
      </c>
      <c r="K157" s="3162">
        <f t="shared" si="105"/>
        <v>0</v>
      </c>
      <c r="L157" s="3162">
        <f t="shared" si="105"/>
        <v>0</v>
      </c>
      <c r="M157" s="3162">
        <f t="shared" si="105"/>
        <v>0</v>
      </c>
      <c r="N157" s="3162">
        <f t="shared" si="105"/>
        <v>0</v>
      </c>
      <c r="O157" s="3162">
        <f t="shared" si="105"/>
        <v>0</v>
      </c>
    </row>
    <row r="158" spans="1:18" x14ac:dyDescent="0.25">
      <c r="A158" s="3448"/>
      <c r="B158" s="3161" t="s">
        <v>163</v>
      </c>
      <c r="C158" s="3162">
        <f>SUM(D158:O158)</f>
        <v>1128.18201598</v>
      </c>
      <c r="D158" s="3162">
        <f t="shared" ref="D158:O158" si="106">D100+D122</f>
        <v>173.87366800000001</v>
      </c>
      <c r="E158" s="3162">
        <f t="shared" si="106"/>
        <v>147.95513907999998</v>
      </c>
      <c r="F158" s="3162">
        <f t="shared" si="106"/>
        <v>141.36224626000001</v>
      </c>
      <c r="G158" s="3162">
        <f t="shared" si="106"/>
        <v>54.03</v>
      </c>
      <c r="H158" s="3162">
        <f t="shared" si="106"/>
        <v>55.831000000000003</v>
      </c>
      <c r="I158" s="3162">
        <f t="shared" si="106"/>
        <v>54.03</v>
      </c>
      <c r="J158" s="3162">
        <f t="shared" si="106"/>
        <v>55.831000000000003</v>
      </c>
      <c r="K158" s="3162">
        <f t="shared" si="106"/>
        <v>54.03</v>
      </c>
      <c r="L158" s="3162">
        <f t="shared" si="106"/>
        <v>54.03</v>
      </c>
      <c r="M158" s="3162">
        <f t="shared" si="106"/>
        <v>55.831000000000003</v>
      </c>
      <c r="N158" s="3162">
        <f t="shared" si="106"/>
        <v>127.91667863999999</v>
      </c>
      <c r="O158" s="3162">
        <f t="shared" si="106"/>
        <v>153.46128399999998</v>
      </c>
    </row>
    <row r="159" spans="1:18" x14ac:dyDescent="0.25">
      <c r="A159" s="3448"/>
      <c r="B159" s="3161" t="s">
        <v>755</v>
      </c>
      <c r="C159" s="3162">
        <f>SUM(D159:O159)</f>
        <v>0</v>
      </c>
      <c r="D159" s="3162">
        <f t="shared" ref="D159:O159" si="107">D107+D129</f>
        <v>0</v>
      </c>
      <c r="E159" s="3162">
        <f t="shared" si="107"/>
        <v>0</v>
      </c>
      <c r="F159" s="3162">
        <f t="shared" si="107"/>
        <v>0</v>
      </c>
      <c r="G159" s="3162">
        <f t="shared" si="107"/>
        <v>0</v>
      </c>
      <c r="H159" s="3162">
        <f t="shared" si="107"/>
        <v>0</v>
      </c>
      <c r="I159" s="3162">
        <f t="shared" si="107"/>
        <v>0</v>
      </c>
      <c r="J159" s="3162">
        <f t="shared" si="107"/>
        <v>0</v>
      </c>
      <c r="K159" s="3162">
        <f t="shared" si="107"/>
        <v>0</v>
      </c>
      <c r="L159" s="3162">
        <f t="shared" si="107"/>
        <v>0</v>
      </c>
      <c r="M159" s="3162">
        <f t="shared" si="107"/>
        <v>0</v>
      </c>
      <c r="N159" s="3162">
        <f t="shared" si="107"/>
        <v>0</v>
      </c>
      <c r="O159" s="3162">
        <f t="shared" si="107"/>
        <v>0</v>
      </c>
    </row>
    <row r="160" spans="1:18" x14ac:dyDescent="0.25">
      <c r="A160" s="3448"/>
      <c r="B160" s="3161" t="s">
        <v>170</v>
      </c>
      <c r="C160" s="3162">
        <f>SUM(D160:O160)</f>
        <v>0</v>
      </c>
      <c r="D160" s="3162">
        <f t="shared" ref="D160:O160" si="108">D114</f>
        <v>0</v>
      </c>
      <c r="E160" s="3162">
        <f t="shared" si="108"/>
        <v>0</v>
      </c>
      <c r="F160" s="3162">
        <f t="shared" si="108"/>
        <v>0</v>
      </c>
      <c r="G160" s="3162">
        <f t="shared" si="108"/>
        <v>0</v>
      </c>
      <c r="H160" s="3162">
        <f t="shared" si="108"/>
        <v>0</v>
      </c>
      <c r="I160" s="3162">
        <f t="shared" si="108"/>
        <v>0</v>
      </c>
      <c r="J160" s="3162">
        <f t="shared" si="108"/>
        <v>0</v>
      </c>
      <c r="K160" s="3162">
        <f t="shared" si="108"/>
        <v>0</v>
      </c>
      <c r="L160" s="3162">
        <f t="shared" si="108"/>
        <v>0</v>
      </c>
      <c r="M160" s="3162">
        <f t="shared" si="108"/>
        <v>0</v>
      </c>
      <c r="N160" s="3162">
        <f t="shared" si="108"/>
        <v>0</v>
      </c>
      <c r="O160" s="3162">
        <f t="shared" si="108"/>
        <v>0</v>
      </c>
    </row>
    <row r="161" spans="1:17" s="2490" customFormat="1" x14ac:dyDescent="0.25">
      <c r="A161" s="3449"/>
      <c r="B161" s="3156" t="s">
        <v>631</v>
      </c>
      <c r="C161" s="3157">
        <f>SUM(C162:C166)</f>
        <v>4685.6117298533336</v>
      </c>
      <c r="D161" s="3157">
        <f t="shared" ref="D161:O161" si="109">SUM(D162:D166)</f>
        <v>1024.5956319999998</v>
      </c>
      <c r="E161" s="3157">
        <f t="shared" si="109"/>
        <v>852.3298692533333</v>
      </c>
      <c r="F161" s="3157">
        <f t="shared" si="109"/>
        <v>763.16337457333316</v>
      </c>
      <c r="G161" s="3157">
        <f t="shared" si="109"/>
        <v>72.954000000000008</v>
      </c>
      <c r="H161" s="3157">
        <f t="shared" si="109"/>
        <v>75.385800000000003</v>
      </c>
      <c r="I161" s="3157">
        <f t="shared" si="109"/>
        <v>72.954000000000008</v>
      </c>
      <c r="J161" s="3157">
        <f t="shared" si="109"/>
        <v>75.385800000000003</v>
      </c>
      <c r="K161" s="3157">
        <f t="shared" si="109"/>
        <v>72.954000000000008</v>
      </c>
      <c r="L161" s="3157">
        <f t="shared" si="109"/>
        <v>72.954000000000008</v>
      </c>
      <c r="M161" s="3157">
        <f t="shared" si="109"/>
        <v>75.385800000000003</v>
      </c>
      <c r="N161" s="3157">
        <f t="shared" si="109"/>
        <v>667.09477135999987</v>
      </c>
      <c r="O161" s="3157">
        <f t="shared" si="109"/>
        <v>860.45468266666649</v>
      </c>
    </row>
    <row r="162" spans="1:17" x14ac:dyDescent="0.25">
      <c r="A162" s="3448"/>
      <c r="B162" s="3161" t="s">
        <v>3</v>
      </c>
      <c r="C162" s="3162">
        <f t="shared" ref="C162:C168" si="110">SUM(D162:O162)</f>
        <v>0</v>
      </c>
      <c r="D162" s="3162">
        <f t="shared" ref="D162:O162" si="111">(D80-D82)+D88</f>
        <v>0</v>
      </c>
      <c r="E162" s="3162">
        <f t="shared" si="111"/>
        <v>0</v>
      </c>
      <c r="F162" s="3162">
        <f t="shared" si="111"/>
        <v>0</v>
      </c>
      <c r="G162" s="3162">
        <f t="shared" si="111"/>
        <v>0</v>
      </c>
      <c r="H162" s="3162">
        <f t="shared" si="111"/>
        <v>0</v>
      </c>
      <c r="I162" s="3162">
        <f t="shared" si="111"/>
        <v>0</v>
      </c>
      <c r="J162" s="3162">
        <f t="shared" si="111"/>
        <v>0</v>
      </c>
      <c r="K162" s="3162">
        <f t="shared" si="111"/>
        <v>0</v>
      </c>
      <c r="L162" s="3162">
        <f t="shared" si="111"/>
        <v>0</v>
      </c>
      <c r="M162" s="3162">
        <f t="shared" si="111"/>
        <v>0</v>
      </c>
      <c r="N162" s="3162">
        <f t="shared" si="111"/>
        <v>0</v>
      </c>
      <c r="O162" s="3162">
        <f t="shared" si="111"/>
        <v>0</v>
      </c>
    </row>
    <row r="163" spans="1:17" x14ac:dyDescent="0.25">
      <c r="A163" s="3448"/>
      <c r="B163" s="3161" t="s">
        <v>754</v>
      </c>
      <c r="C163" s="3162">
        <f t="shared" si="110"/>
        <v>0</v>
      </c>
      <c r="D163" s="3162">
        <f t="shared" ref="D163:O163" si="112">D95-D97</f>
        <v>0</v>
      </c>
      <c r="E163" s="3162">
        <f t="shared" si="112"/>
        <v>0</v>
      </c>
      <c r="F163" s="3162">
        <f t="shared" si="112"/>
        <v>0</v>
      </c>
      <c r="G163" s="3162">
        <f t="shared" si="112"/>
        <v>0</v>
      </c>
      <c r="H163" s="3162">
        <f t="shared" si="112"/>
        <v>0</v>
      </c>
      <c r="I163" s="3162">
        <f t="shared" si="112"/>
        <v>0</v>
      </c>
      <c r="J163" s="3162">
        <f t="shared" si="112"/>
        <v>0</v>
      </c>
      <c r="K163" s="3162">
        <f t="shared" si="112"/>
        <v>0</v>
      </c>
      <c r="L163" s="3162">
        <f t="shared" si="112"/>
        <v>0</v>
      </c>
      <c r="M163" s="3162">
        <f t="shared" si="112"/>
        <v>0</v>
      </c>
      <c r="N163" s="3162">
        <f t="shared" si="112"/>
        <v>0</v>
      </c>
      <c r="O163" s="3162">
        <f t="shared" si="112"/>
        <v>0</v>
      </c>
    </row>
    <row r="164" spans="1:17" x14ac:dyDescent="0.25">
      <c r="A164" s="3448"/>
      <c r="B164" s="3161" t="s">
        <v>163</v>
      </c>
      <c r="C164" s="3162">
        <f t="shared" si="110"/>
        <v>2771.3382361666663</v>
      </c>
      <c r="D164" s="3162">
        <f t="shared" ref="D164:O164" si="113">D103+D125</f>
        <v>588.58769999999993</v>
      </c>
      <c r="E164" s="3162">
        <f t="shared" si="113"/>
        <v>490.42096366666664</v>
      </c>
      <c r="F164" s="3162">
        <f t="shared" si="113"/>
        <v>441.24061316666661</v>
      </c>
      <c r="G164" s="3162">
        <f t="shared" si="113"/>
        <v>51.870000000000005</v>
      </c>
      <c r="H164" s="3162">
        <f t="shared" si="113"/>
        <v>53.599000000000004</v>
      </c>
      <c r="I164" s="3162">
        <f t="shared" si="113"/>
        <v>51.870000000000005</v>
      </c>
      <c r="J164" s="3162">
        <f t="shared" si="113"/>
        <v>53.599000000000004</v>
      </c>
      <c r="K164" s="3162">
        <f t="shared" si="113"/>
        <v>51.870000000000005</v>
      </c>
      <c r="L164" s="3162">
        <f t="shared" si="113"/>
        <v>51.870000000000005</v>
      </c>
      <c r="M164" s="3162">
        <f t="shared" si="113"/>
        <v>53.599000000000004</v>
      </c>
      <c r="N164" s="3162">
        <f t="shared" si="113"/>
        <v>386.73652599999997</v>
      </c>
      <c r="O164" s="3162">
        <f t="shared" si="113"/>
        <v>496.07543333333325</v>
      </c>
    </row>
    <row r="165" spans="1:17" x14ac:dyDescent="0.25">
      <c r="A165" s="3448"/>
      <c r="B165" s="3161" t="s">
        <v>755</v>
      </c>
      <c r="C165" s="3162">
        <f t="shared" si="110"/>
        <v>1914.2734936866668</v>
      </c>
      <c r="D165" s="3162">
        <f t="shared" ref="D165:O165" si="114">D110+D132</f>
        <v>436.00793199999987</v>
      </c>
      <c r="E165" s="3162">
        <f t="shared" si="114"/>
        <v>361.90890558666661</v>
      </c>
      <c r="F165" s="3162">
        <f t="shared" si="114"/>
        <v>321.92276140666661</v>
      </c>
      <c r="G165" s="3162">
        <f t="shared" si="114"/>
        <v>21.084</v>
      </c>
      <c r="H165" s="3162">
        <f t="shared" si="114"/>
        <v>21.786799999999999</v>
      </c>
      <c r="I165" s="3162">
        <f t="shared" si="114"/>
        <v>21.084</v>
      </c>
      <c r="J165" s="3162">
        <f t="shared" si="114"/>
        <v>21.786799999999999</v>
      </c>
      <c r="K165" s="3162">
        <f t="shared" si="114"/>
        <v>21.084</v>
      </c>
      <c r="L165" s="3162">
        <f t="shared" si="114"/>
        <v>21.084</v>
      </c>
      <c r="M165" s="3162">
        <f t="shared" si="114"/>
        <v>21.786799999999999</v>
      </c>
      <c r="N165" s="3162">
        <f t="shared" si="114"/>
        <v>280.35824535999996</v>
      </c>
      <c r="O165" s="3162">
        <f t="shared" si="114"/>
        <v>364.37924933333329</v>
      </c>
    </row>
    <row r="166" spans="1:17" ht="15.75" thickBot="1" x14ac:dyDescent="0.3">
      <c r="A166" s="3448"/>
      <c r="B166" s="3165" t="s">
        <v>170</v>
      </c>
      <c r="C166" s="3162">
        <f t="shared" si="110"/>
        <v>0</v>
      </c>
      <c r="D166" s="3166">
        <f t="shared" ref="D166:O166" si="115">D117</f>
        <v>0</v>
      </c>
      <c r="E166" s="3166">
        <f t="shared" si="115"/>
        <v>0</v>
      </c>
      <c r="F166" s="3166">
        <f t="shared" si="115"/>
        <v>0</v>
      </c>
      <c r="G166" s="3166">
        <f t="shared" si="115"/>
        <v>0</v>
      </c>
      <c r="H166" s="3166">
        <f t="shared" si="115"/>
        <v>0</v>
      </c>
      <c r="I166" s="3166">
        <f t="shared" si="115"/>
        <v>0</v>
      </c>
      <c r="J166" s="3166">
        <f t="shared" si="115"/>
        <v>0</v>
      </c>
      <c r="K166" s="3166">
        <f t="shared" si="115"/>
        <v>0</v>
      </c>
      <c r="L166" s="3166">
        <f t="shared" si="115"/>
        <v>0</v>
      </c>
      <c r="M166" s="3166">
        <f t="shared" si="115"/>
        <v>0</v>
      </c>
      <c r="N166" s="3166">
        <f t="shared" si="115"/>
        <v>0</v>
      </c>
      <c r="O166" s="3166">
        <f t="shared" si="115"/>
        <v>0</v>
      </c>
    </row>
    <row r="167" spans="1:17" s="2490" customFormat="1" thickBot="1" x14ac:dyDescent="0.25">
      <c r="A167" s="3449"/>
      <c r="B167" s="3167"/>
      <c r="C167" s="3154">
        <f t="shared" si="110"/>
        <v>0</v>
      </c>
      <c r="D167" s="3154">
        <v>0</v>
      </c>
      <c r="E167" s="3154">
        <v>0</v>
      </c>
      <c r="F167" s="3154">
        <v>0</v>
      </c>
      <c r="G167" s="3154">
        <v>0</v>
      </c>
      <c r="H167" s="3154"/>
      <c r="I167" s="3154"/>
      <c r="J167" s="3154"/>
      <c r="K167" s="3154"/>
      <c r="L167" s="3154"/>
      <c r="M167" s="3154">
        <v>0</v>
      </c>
      <c r="N167" s="3154">
        <v>0</v>
      </c>
      <c r="O167" s="3154">
        <v>0</v>
      </c>
    </row>
    <row r="168" spans="1:17" x14ac:dyDescent="0.25">
      <c r="A168" s="3448"/>
      <c r="B168" s="3168" t="s">
        <v>631</v>
      </c>
      <c r="C168" s="3169">
        <f t="shared" si="110"/>
        <v>0</v>
      </c>
      <c r="D168" s="3169">
        <f>D167</f>
        <v>0</v>
      </c>
      <c r="E168" s="3169">
        <f t="shared" ref="E168:N168" si="116">E167</f>
        <v>0</v>
      </c>
      <c r="F168" s="3169">
        <f t="shared" si="116"/>
        <v>0</v>
      </c>
      <c r="G168" s="3169">
        <f t="shared" si="116"/>
        <v>0</v>
      </c>
      <c r="H168" s="3169"/>
      <c r="I168" s="3169"/>
      <c r="J168" s="3169"/>
      <c r="K168" s="3169"/>
      <c r="L168" s="3169"/>
      <c r="M168" s="3169">
        <f t="shared" si="116"/>
        <v>0</v>
      </c>
      <c r="N168" s="3169">
        <f t="shared" si="116"/>
        <v>0</v>
      </c>
      <c r="O168" s="3169">
        <v>0</v>
      </c>
      <c r="Q168" s="3170"/>
    </row>
    <row r="169" spans="1:17" x14ac:dyDescent="0.25">
      <c r="A169" s="3448"/>
      <c r="B169" s="3171" t="s">
        <v>751</v>
      </c>
      <c r="C169" s="3172"/>
      <c r="D169" s="3172"/>
      <c r="E169" s="3172"/>
      <c r="F169" s="3172"/>
      <c r="G169" s="3172"/>
      <c r="H169" s="3172"/>
      <c r="I169" s="3172"/>
      <c r="J169" s="3172"/>
      <c r="K169" s="3172"/>
      <c r="L169" s="3172"/>
      <c r="M169" s="3172"/>
      <c r="N169" s="3172"/>
      <c r="O169" s="3172"/>
    </row>
    <row r="170" spans="1:17" x14ac:dyDescent="0.25">
      <c r="A170" s="3448"/>
      <c r="B170" s="3171" t="s">
        <v>752</v>
      </c>
      <c r="C170" s="3172"/>
      <c r="D170" s="3172"/>
      <c r="E170" s="3172"/>
      <c r="F170" s="3172"/>
      <c r="G170" s="3172"/>
      <c r="H170" s="3172"/>
      <c r="I170" s="3172"/>
      <c r="J170" s="3172"/>
      <c r="K170" s="3172"/>
      <c r="L170" s="3172"/>
      <c r="M170" s="3172"/>
      <c r="N170" s="3172"/>
      <c r="O170" s="3172"/>
    </row>
    <row r="171" spans="1:17" x14ac:dyDescent="0.25">
      <c r="A171" s="3448"/>
      <c r="B171" s="3173"/>
      <c r="C171" s="3173"/>
      <c r="D171" s="3173"/>
      <c r="E171" s="3173"/>
      <c r="F171" s="3173"/>
      <c r="G171" s="3173"/>
      <c r="H171" s="3173"/>
      <c r="I171" s="3173"/>
      <c r="J171" s="3173"/>
      <c r="K171" s="3173"/>
      <c r="L171" s="3173"/>
      <c r="M171" s="3173"/>
      <c r="N171" s="3173"/>
      <c r="O171" s="3173"/>
    </row>
    <row r="172" spans="1:17" x14ac:dyDescent="0.25">
      <c r="A172" s="3448"/>
      <c r="B172" s="3174" t="s">
        <v>753</v>
      </c>
      <c r="C172" s="3175">
        <f>C173+C174</f>
        <v>0</v>
      </c>
      <c r="D172" s="3175">
        <f t="shared" ref="D172:O172" si="117">D173+D174</f>
        <v>0</v>
      </c>
      <c r="E172" s="3175">
        <f t="shared" si="117"/>
        <v>0</v>
      </c>
      <c r="F172" s="3175">
        <f t="shared" si="117"/>
        <v>0</v>
      </c>
      <c r="G172" s="3175">
        <f t="shared" si="117"/>
        <v>0</v>
      </c>
      <c r="H172" s="3175"/>
      <c r="I172" s="3175"/>
      <c r="J172" s="3175"/>
      <c r="K172" s="3175"/>
      <c r="L172" s="3175"/>
      <c r="M172" s="3175">
        <f t="shared" si="117"/>
        <v>0</v>
      </c>
      <c r="N172" s="3175">
        <f t="shared" si="117"/>
        <v>0</v>
      </c>
      <c r="O172" s="3175">
        <f t="shared" si="117"/>
        <v>0</v>
      </c>
    </row>
    <row r="173" spans="1:17" x14ac:dyDescent="0.25">
      <c r="A173" s="3448"/>
      <c r="B173" s="3171" t="s">
        <v>751</v>
      </c>
      <c r="C173" s="3176">
        <f>C82</f>
        <v>0</v>
      </c>
      <c r="D173" s="3176">
        <f>D82</f>
        <v>0</v>
      </c>
      <c r="E173" s="3176">
        <f>E82</f>
        <v>0</v>
      </c>
      <c r="F173" s="3176">
        <f>F82</f>
        <v>0</v>
      </c>
      <c r="G173" s="3176">
        <f>G82</f>
        <v>0</v>
      </c>
      <c r="H173" s="3176"/>
      <c r="I173" s="3176"/>
      <c r="J173" s="3176"/>
      <c r="K173" s="3176"/>
      <c r="L173" s="3176"/>
      <c r="M173" s="3176">
        <f>M82</f>
        <v>0</v>
      </c>
      <c r="N173" s="3176">
        <f>N82</f>
        <v>0</v>
      </c>
      <c r="O173" s="3176">
        <f>O82</f>
        <v>0</v>
      </c>
    </row>
    <row r="174" spans="1:17" ht="15.75" thickBot="1" x14ac:dyDescent="0.3">
      <c r="A174" s="3448"/>
      <c r="B174" s="3177" t="s">
        <v>752</v>
      </c>
      <c r="C174" s="3178">
        <f>C97</f>
        <v>0</v>
      </c>
      <c r="D174" s="3178">
        <f>D97</f>
        <v>0</v>
      </c>
      <c r="E174" s="3178">
        <f>E97</f>
        <v>0</v>
      </c>
      <c r="F174" s="3178">
        <f>F97</f>
        <v>0</v>
      </c>
      <c r="G174" s="3178">
        <f>G97</f>
        <v>0</v>
      </c>
      <c r="H174" s="3178"/>
      <c r="I174" s="3178"/>
      <c r="J174" s="3178"/>
      <c r="K174" s="3178"/>
      <c r="L174" s="3178"/>
      <c r="M174" s="3178">
        <f>M97</f>
        <v>0</v>
      </c>
      <c r="N174" s="3178">
        <f>N97</f>
        <v>0</v>
      </c>
      <c r="O174" s="3178">
        <f>O97</f>
        <v>0</v>
      </c>
    </row>
    <row r="175" spans="1:17" ht="15.75" thickBot="1" x14ac:dyDescent="0.3"/>
    <row r="176" spans="1:17" ht="15.75" thickBot="1" x14ac:dyDescent="0.3">
      <c r="B176" s="3179" t="s">
        <v>787</v>
      </c>
      <c r="C176" s="3180">
        <f t="shared" ref="C176:O176" si="118">C139+C75+C120</f>
        <v>6675.9097458333335</v>
      </c>
      <c r="D176" s="3181">
        <f t="shared" si="118"/>
        <v>1467.7192999999997</v>
      </c>
      <c r="E176" s="3181">
        <f t="shared" si="118"/>
        <v>1101.5650083333333</v>
      </c>
      <c r="F176" s="3181">
        <f t="shared" si="118"/>
        <v>1014.9256208333333</v>
      </c>
      <c r="G176" s="3181">
        <f t="shared" si="118"/>
        <v>166.72400000000002</v>
      </c>
      <c r="H176" s="3181">
        <f t="shared" si="118"/>
        <v>151.3048</v>
      </c>
      <c r="I176" s="3181">
        <f t="shared" si="118"/>
        <v>152.255</v>
      </c>
      <c r="J176" s="3181">
        <f t="shared" si="118"/>
        <v>152.33580000000001</v>
      </c>
      <c r="K176" s="3181">
        <f t="shared" si="118"/>
        <v>149.10300000000001</v>
      </c>
      <c r="L176" s="3181">
        <f t="shared" si="118"/>
        <v>146.893</v>
      </c>
      <c r="M176" s="3181">
        <f t="shared" si="118"/>
        <v>155.73680000000002</v>
      </c>
      <c r="N176" s="3181">
        <f t="shared" si="118"/>
        <v>883.52144999999985</v>
      </c>
      <c r="O176" s="3181">
        <f t="shared" si="118"/>
        <v>1133.8259666666665</v>
      </c>
    </row>
    <row r="177" spans="2:18" x14ac:dyDescent="0.25">
      <c r="B177" s="3182" t="s">
        <v>3165</v>
      </c>
      <c r="C177" s="3183">
        <f>C176-C180</f>
        <v>6675.9097458333335</v>
      </c>
      <c r="D177" s="3183">
        <f t="shared" ref="D177:O177" si="119">D176-D180</f>
        <v>1467.7192999999997</v>
      </c>
      <c r="E177" s="3183">
        <f t="shared" si="119"/>
        <v>1101.5650083333333</v>
      </c>
      <c r="F177" s="3183">
        <f t="shared" si="119"/>
        <v>1014.9256208333333</v>
      </c>
      <c r="G177" s="3183">
        <f t="shared" si="119"/>
        <v>166.72400000000002</v>
      </c>
      <c r="H177" s="3183">
        <f t="shared" si="119"/>
        <v>151.3048</v>
      </c>
      <c r="I177" s="3183">
        <f t="shared" si="119"/>
        <v>152.255</v>
      </c>
      <c r="J177" s="3183">
        <f t="shared" si="119"/>
        <v>152.33580000000001</v>
      </c>
      <c r="K177" s="3183">
        <f t="shared" si="119"/>
        <v>149.10300000000001</v>
      </c>
      <c r="L177" s="3183">
        <f t="shared" si="119"/>
        <v>146.893</v>
      </c>
      <c r="M177" s="3183">
        <f t="shared" si="119"/>
        <v>155.73680000000002</v>
      </c>
      <c r="N177" s="3183">
        <f t="shared" si="119"/>
        <v>883.52144999999985</v>
      </c>
      <c r="O177" s="3183">
        <f t="shared" si="119"/>
        <v>1133.8259666666665</v>
      </c>
    </row>
    <row r="178" spans="2:18" x14ac:dyDescent="0.25">
      <c r="B178" s="3184" t="s">
        <v>632</v>
      </c>
      <c r="C178" s="3185">
        <f t="shared" ref="C178:O178" si="120">C141+C155</f>
        <v>1314.5190159799999</v>
      </c>
      <c r="D178" s="3185">
        <f t="shared" si="120"/>
        <v>223.86766800000001</v>
      </c>
      <c r="E178" s="3185">
        <f t="shared" si="120"/>
        <v>161.66813907999997</v>
      </c>
      <c r="F178" s="3185">
        <f t="shared" si="120"/>
        <v>165.51624626</v>
      </c>
      <c r="G178" s="3185">
        <f t="shared" si="120"/>
        <v>67.534000000000006</v>
      </c>
      <c r="H178" s="3185">
        <f t="shared" si="120"/>
        <v>63.444000000000003</v>
      </c>
      <c r="I178" s="3185">
        <f t="shared" si="120"/>
        <v>61.512999999999998</v>
      </c>
      <c r="J178" s="3185">
        <f t="shared" si="120"/>
        <v>60.180000000000007</v>
      </c>
      <c r="K178" s="3185">
        <f t="shared" si="120"/>
        <v>58.243000000000002</v>
      </c>
      <c r="L178" s="3185">
        <f t="shared" si="120"/>
        <v>59.433</v>
      </c>
      <c r="M178" s="3185">
        <f t="shared" si="120"/>
        <v>63.213000000000001</v>
      </c>
      <c r="N178" s="3185">
        <f t="shared" si="120"/>
        <v>145.31667863999999</v>
      </c>
      <c r="O178" s="3185">
        <f t="shared" si="120"/>
        <v>184.59028399999997</v>
      </c>
    </row>
    <row r="179" spans="2:18" x14ac:dyDescent="0.25">
      <c r="B179" s="3184" t="s">
        <v>631</v>
      </c>
      <c r="C179" s="3185">
        <f t="shared" ref="C179:O179" si="121">C161+C147</f>
        <v>5361.3907298533341</v>
      </c>
      <c r="D179" s="3185">
        <f t="shared" si="121"/>
        <v>1243.8516319999999</v>
      </c>
      <c r="E179" s="3185">
        <f t="shared" si="121"/>
        <v>939.89686925333331</v>
      </c>
      <c r="F179" s="3185">
        <f t="shared" si="121"/>
        <v>849.40937457333314</v>
      </c>
      <c r="G179" s="3185">
        <f t="shared" si="121"/>
        <v>99.190000000000012</v>
      </c>
      <c r="H179" s="3185">
        <f t="shared" si="121"/>
        <v>87.860799999999998</v>
      </c>
      <c r="I179" s="3185">
        <f t="shared" si="121"/>
        <v>90.742000000000004</v>
      </c>
      <c r="J179" s="3450">
        <f t="shared" si="121"/>
        <v>92.155799999999999</v>
      </c>
      <c r="K179" s="3185">
        <f t="shared" si="121"/>
        <v>90.860000000000014</v>
      </c>
      <c r="L179" s="3185">
        <f t="shared" si="121"/>
        <v>87.460000000000008</v>
      </c>
      <c r="M179" s="3450">
        <f t="shared" si="121"/>
        <v>92.523800000000008</v>
      </c>
      <c r="N179" s="3185">
        <f t="shared" si="121"/>
        <v>738.20477135999988</v>
      </c>
      <c r="O179" s="3185">
        <f t="shared" si="121"/>
        <v>949.23568266666643</v>
      </c>
    </row>
    <row r="180" spans="2:18" ht="15.75" thickBot="1" x14ac:dyDescent="0.3">
      <c r="B180" s="3186"/>
      <c r="C180" s="3187">
        <f>C167+C97+C82</f>
        <v>0</v>
      </c>
      <c r="D180" s="3188">
        <f>D167+D97+D82</f>
        <v>0</v>
      </c>
      <c r="E180" s="3187">
        <f>E167+E97+E82</f>
        <v>0</v>
      </c>
      <c r="F180" s="3188">
        <f>F167+F97+F82</f>
        <v>0</v>
      </c>
      <c r="G180" s="3187">
        <f>G167+G97+G82</f>
        <v>0</v>
      </c>
      <c r="H180" s="3187"/>
      <c r="I180" s="3187"/>
      <c r="J180" s="3187"/>
      <c r="K180" s="3187"/>
      <c r="L180" s="3187"/>
      <c r="M180" s="3188">
        <f>M167+M97+M82</f>
        <v>0</v>
      </c>
      <c r="N180" s="3187">
        <f>N167+N97+N82</f>
        <v>0</v>
      </c>
      <c r="O180" s="3189">
        <f>O167+O97+O82</f>
        <v>0</v>
      </c>
    </row>
    <row r="183" spans="2:18" x14ac:dyDescent="0.25">
      <c r="B183" s="3008"/>
      <c r="C183" s="3008"/>
      <c r="D183" s="3008" t="s">
        <v>3433</v>
      </c>
      <c r="E183" s="3008"/>
      <c r="F183" s="3008"/>
      <c r="G183" s="3008"/>
      <c r="H183" s="3008"/>
      <c r="I183" s="3008"/>
      <c r="J183" s="3008"/>
      <c r="K183" s="3008"/>
      <c r="L183" s="3008" t="s">
        <v>3434</v>
      </c>
      <c r="M183" s="3008"/>
      <c r="N183" s="3008"/>
      <c r="O183" s="3008"/>
      <c r="P183" s="3008"/>
      <c r="Q183" s="3008"/>
      <c r="R183" s="3008"/>
    </row>
    <row r="184" spans="2:18" x14ac:dyDescent="0.25">
      <c r="B184" s="3008"/>
      <c r="C184" s="3008"/>
      <c r="D184" s="3008"/>
      <c r="E184" s="3008"/>
      <c r="F184" s="3008"/>
      <c r="G184" s="3008"/>
      <c r="H184" s="3008"/>
      <c r="I184" s="3008"/>
      <c r="J184" s="3008"/>
      <c r="K184" s="3008"/>
      <c r="L184" s="3008"/>
      <c r="M184" s="3008"/>
      <c r="N184" s="3008"/>
      <c r="O184" s="3008"/>
      <c r="P184" s="3008"/>
      <c r="Q184" s="3008"/>
      <c r="R184" s="3008"/>
    </row>
    <row r="185" spans="2:18" x14ac:dyDescent="0.25">
      <c r="B185" s="3008"/>
      <c r="C185" s="3008"/>
      <c r="D185" s="3008"/>
      <c r="E185" s="3008"/>
      <c r="F185" s="3008"/>
      <c r="G185" s="3008"/>
      <c r="H185" s="3008"/>
      <c r="I185" s="3008"/>
      <c r="J185" s="3008"/>
      <c r="K185" s="3008"/>
      <c r="L185" s="3008"/>
      <c r="M185" s="3008"/>
      <c r="N185" s="3008"/>
      <c r="O185" s="3008"/>
      <c r="P185" s="3008"/>
      <c r="Q185" s="3008"/>
      <c r="R185" s="3008"/>
    </row>
    <row r="186" spans="2:18" x14ac:dyDescent="0.25">
      <c r="B186" s="3008"/>
      <c r="C186" s="3008"/>
      <c r="D186" s="3008"/>
      <c r="E186" s="3008"/>
      <c r="F186" s="3008"/>
      <c r="G186" s="3008"/>
      <c r="H186" s="3008"/>
      <c r="I186" s="3008"/>
      <c r="J186" s="3008"/>
      <c r="K186" s="3008"/>
      <c r="L186" s="3008"/>
      <c r="M186" s="3008"/>
      <c r="N186" s="3008"/>
      <c r="O186" s="3008"/>
      <c r="P186" s="3008"/>
      <c r="Q186" s="3008"/>
      <c r="R186" s="3008"/>
    </row>
    <row r="187" spans="2:18" x14ac:dyDescent="0.25">
      <c r="B187" s="3008"/>
      <c r="C187" s="3008"/>
      <c r="D187" s="3008"/>
      <c r="E187" s="3008"/>
      <c r="F187" s="3008"/>
      <c r="G187" s="3008"/>
      <c r="H187" s="3008"/>
      <c r="I187" s="3008"/>
      <c r="J187" s="3008"/>
      <c r="K187" s="3008"/>
      <c r="L187" s="3008"/>
      <c r="M187" s="3008"/>
      <c r="N187" s="3008"/>
      <c r="O187" s="3008"/>
      <c r="P187" s="3008"/>
      <c r="Q187" s="3008"/>
      <c r="R187" s="3008"/>
    </row>
    <row r="188" spans="2:18" x14ac:dyDescent="0.25">
      <c r="B188" s="3008"/>
      <c r="C188" s="3008"/>
      <c r="D188" s="3008"/>
      <c r="E188" s="3008"/>
      <c r="F188" s="3008"/>
      <c r="G188" s="3008"/>
      <c r="H188" s="3008"/>
      <c r="I188" s="3008"/>
      <c r="J188" s="3008"/>
      <c r="K188" s="3008"/>
      <c r="L188" s="3008"/>
      <c r="M188" s="3008"/>
      <c r="N188" s="3008"/>
      <c r="O188" s="3008"/>
      <c r="P188" s="3008"/>
      <c r="Q188" s="3008"/>
      <c r="R188" s="3008"/>
    </row>
    <row r="189" spans="2:18" x14ac:dyDescent="0.25">
      <c r="B189" s="3008"/>
      <c r="C189" s="3008"/>
      <c r="D189" s="3008"/>
      <c r="E189" s="3008"/>
      <c r="F189" s="3008"/>
      <c r="G189" s="3008"/>
      <c r="H189" s="3008"/>
      <c r="I189" s="3008"/>
      <c r="J189" s="3008"/>
      <c r="K189" s="3008"/>
      <c r="L189" s="3008"/>
      <c r="M189" s="3008"/>
      <c r="N189" s="3008"/>
      <c r="O189" s="3008"/>
      <c r="P189" s="3008"/>
      <c r="Q189" s="3008"/>
      <c r="R189" s="3008"/>
    </row>
    <row r="190" spans="2:18" x14ac:dyDescent="0.25">
      <c r="B190" s="3008"/>
      <c r="C190" s="3008"/>
      <c r="D190" s="3008"/>
      <c r="E190" s="3008"/>
      <c r="F190" s="3008"/>
      <c r="G190" s="3008"/>
      <c r="H190" s="3008"/>
      <c r="I190" s="3008"/>
      <c r="J190" s="3008"/>
      <c r="K190" s="3008"/>
      <c r="L190" s="3008"/>
      <c r="M190" s="3008"/>
      <c r="N190" s="3008"/>
      <c r="O190" s="3008"/>
      <c r="P190" s="3008"/>
      <c r="Q190" s="3008"/>
      <c r="R190" s="3008"/>
    </row>
    <row r="191" spans="2:18" x14ac:dyDescent="0.25">
      <c r="B191" s="3008"/>
      <c r="C191" s="3008"/>
      <c r="D191" s="3008"/>
      <c r="E191" s="3008"/>
      <c r="F191" s="3008"/>
      <c r="G191" s="3008"/>
      <c r="H191" s="3008"/>
      <c r="I191" s="3008"/>
      <c r="J191" s="3008"/>
      <c r="K191" s="3008"/>
      <c r="L191" s="3008"/>
      <c r="M191" s="3008"/>
      <c r="N191" s="3008"/>
      <c r="O191" s="3008"/>
      <c r="P191" s="3008"/>
      <c r="Q191" s="3008"/>
      <c r="R191" s="3008"/>
    </row>
    <row r="192" spans="2:18" x14ac:dyDescent="0.25">
      <c r="B192" s="3008"/>
      <c r="C192" s="3008"/>
      <c r="D192" s="3008"/>
      <c r="E192" s="3008"/>
      <c r="F192" s="3008"/>
      <c r="G192" s="3008"/>
      <c r="H192" s="3008"/>
      <c r="I192" s="3008"/>
      <c r="J192" s="3008"/>
      <c r="K192" s="3008"/>
      <c r="L192" s="3008"/>
      <c r="M192" s="3008"/>
      <c r="N192" s="3008"/>
      <c r="O192" s="3008"/>
      <c r="P192" s="3008"/>
      <c r="Q192" s="3008"/>
      <c r="R192" s="3008"/>
    </row>
    <row r="193" spans="1:19" x14ac:dyDescent="0.25">
      <c r="B193" s="3047" t="s">
        <v>3396</v>
      </c>
      <c r="C193" s="3008"/>
      <c r="D193" s="3008"/>
      <c r="E193" s="3008"/>
      <c r="F193" s="3008"/>
      <c r="G193" s="3008"/>
      <c r="H193" s="3008"/>
      <c r="I193" s="3008"/>
      <c r="J193" s="3008"/>
      <c r="K193" s="3008"/>
      <c r="L193" s="3008"/>
      <c r="M193" s="3008"/>
      <c r="N193" s="3008"/>
      <c r="O193" s="3008"/>
      <c r="P193" s="3008"/>
      <c r="Q193" s="3008"/>
      <c r="R193" s="3008"/>
    </row>
    <row r="194" spans="1:19" x14ac:dyDescent="0.25">
      <c r="B194" s="3008"/>
      <c r="C194" s="3008"/>
      <c r="D194" s="3008"/>
      <c r="E194" s="3008"/>
      <c r="F194" s="3008"/>
      <c r="G194" s="3008"/>
      <c r="H194" s="3008"/>
      <c r="I194" s="3008"/>
      <c r="J194" s="3008"/>
      <c r="K194" s="3008"/>
      <c r="L194" s="3008"/>
      <c r="M194" s="3008"/>
      <c r="N194" s="3008"/>
      <c r="O194" s="3008"/>
      <c r="P194" s="3008"/>
      <c r="Q194" s="3008"/>
      <c r="R194" s="3008"/>
    </row>
    <row r="195" spans="1:19" x14ac:dyDescent="0.25">
      <c r="B195" s="3008"/>
      <c r="C195" s="3008"/>
      <c r="D195" s="3008"/>
      <c r="E195" s="3008"/>
      <c r="F195" s="3008"/>
      <c r="G195" s="3008"/>
      <c r="H195" s="3008"/>
      <c r="I195" s="3008"/>
      <c r="J195" s="3008"/>
      <c r="K195" s="3008"/>
      <c r="L195" s="3008"/>
      <c r="M195" s="3008"/>
      <c r="N195" s="3008"/>
      <c r="O195" s="3008"/>
      <c r="P195" s="3008"/>
      <c r="Q195" s="3008"/>
      <c r="R195" s="3008"/>
    </row>
    <row r="196" spans="1:19" x14ac:dyDescent="0.25">
      <c r="B196" s="3008"/>
      <c r="C196" s="3008"/>
      <c r="D196" s="3008"/>
      <c r="E196" s="3008"/>
      <c r="F196" s="3008"/>
      <c r="G196" s="3008"/>
      <c r="H196" s="3008"/>
      <c r="I196" s="3008"/>
      <c r="J196" s="3008"/>
      <c r="K196" s="3008"/>
      <c r="L196" s="3008"/>
      <c r="M196" s="3008"/>
      <c r="N196" s="3008"/>
      <c r="O196" s="3008"/>
      <c r="P196" s="3008"/>
      <c r="Q196" s="3008"/>
      <c r="R196" s="3008"/>
    </row>
    <row r="197" spans="1:19" x14ac:dyDescent="0.25">
      <c r="B197" s="3008"/>
      <c r="C197" s="3008"/>
      <c r="D197" s="3008"/>
      <c r="E197" s="3008"/>
      <c r="F197" s="3008"/>
      <c r="G197" s="3008"/>
      <c r="H197" s="3008"/>
      <c r="I197" s="3008"/>
      <c r="J197" s="3008"/>
      <c r="K197" s="3008"/>
      <c r="L197" s="3008"/>
      <c r="M197" s="3008"/>
      <c r="N197" s="3008"/>
      <c r="O197" s="3008"/>
      <c r="P197" s="3008"/>
      <c r="Q197" s="3008"/>
      <c r="R197" s="3008"/>
    </row>
    <row r="198" spans="1:19" x14ac:dyDescent="0.25">
      <c r="E198" s="3008"/>
      <c r="F198" s="3008"/>
      <c r="G198" s="3008"/>
      <c r="H198" s="3008"/>
      <c r="I198" s="3008"/>
      <c r="J198" s="3008"/>
      <c r="K198" s="3008"/>
      <c r="L198" s="3008"/>
      <c r="M198" s="3008"/>
      <c r="N198" s="3008"/>
      <c r="O198" s="3008"/>
      <c r="P198" s="3008"/>
      <c r="Q198" s="3008"/>
      <c r="R198" s="3008"/>
    </row>
    <row r="200" spans="1:19" s="2490" customFormat="1" ht="29.25" x14ac:dyDescent="0.25">
      <c r="A200" s="3073"/>
      <c r="B200" s="3074" t="s">
        <v>638</v>
      </c>
      <c r="C200" s="3075">
        <f>C201+C204</f>
        <v>0</v>
      </c>
      <c r="D200" s="3075">
        <f t="shared" ref="D200:O200" si="122">D201+D204</f>
        <v>0</v>
      </c>
      <c r="E200" s="3075">
        <f t="shared" si="122"/>
        <v>0</v>
      </c>
      <c r="F200" s="3075">
        <f t="shared" si="122"/>
        <v>0</v>
      </c>
      <c r="G200" s="3075">
        <f t="shared" si="122"/>
        <v>0</v>
      </c>
      <c r="H200" s="3075"/>
      <c r="I200" s="3075"/>
      <c r="J200" s="3075"/>
      <c r="K200" s="3075"/>
      <c r="L200" s="3075"/>
      <c r="M200" s="3075">
        <f t="shared" si="122"/>
        <v>0</v>
      </c>
      <c r="N200" s="3075">
        <f t="shared" si="122"/>
        <v>0</v>
      </c>
      <c r="O200" s="3076">
        <f t="shared" si="122"/>
        <v>0</v>
      </c>
      <c r="R200" s="2492"/>
    </row>
    <row r="201" spans="1:19" s="2490" customFormat="1" x14ac:dyDescent="0.25">
      <c r="B201" s="3077" t="s">
        <v>630</v>
      </c>
      <c r="C201" s="3078">
        <f t="shared" ref="C201:C206" si="123">C17+C25</f>
        <v>0</v>
      </c>
      <c r="D201" s="3078">
        <f t="shared" ref="D201:O201" si="124">D202</f>
        <v>0</v>
      </c>
      <c r="E201" s="3078">
        <f t="shared" si="124"/>
        <v>0</v>
      </c>
      <c r="F201" s="3078">
        <f t="shared" si="124"/>
        <v>0</v>
      </c>
      <c r="G201" s="3078">
        <f t="shared" si="124"/>
        <v>0</v>
      </c>
      <c r="H201" s="3078"/>
      <c r="I201" s="3078"/>
      <c r="J201" s="3078"/>
      <c r="K201" s="3078"/>
      <c r="L201" s="3078"/>
      <c r="M201" s="3078">
        <f t="shared" si="124"/>
        <v>0</v>
      </c>
      <c r="N201" s="3078">
        <f t="shared" si="124"/>
        <v>0</v>
      </c>
      <c r="O201" s="3079">
        <f t="shared" si="124"/>
        <v>0</v>
      </c>
      <c r="P201" s="2491"/>
    </row>
    <row r="202" spans="1:19" s="2490" customFormat="1" x14ac:dyDescent="0.25">
      <c r="B202" s="3080" t="s">
        <v>634</v>
      </c>
      <c r="C202" s="3078">
        <f t="shared" si="123"/>
        <v>0</v>
      </c>
      <c r="D202" s="3082">
        <f t="shared" ref="D202:F203" si="125">C202</f>
        <v>0</v>
      </c>
      <c r="E202" s="3082">
        <f t="shared" si="125"/>
        <v>0</v>
      </c>
      <c r="F202" s="3082">
        <f t="shared" si="125"/>
        <v>0</v>
      </c>
      <c r="G202" s="3082">
        <f t="shared" ref="G202:G203" si="126">F202</f>
        <v>0</v>
      </c>
      <c r="H202" s="3082"/>
      <c r="I202" s="3082"/>
      <c r="J202" s="3082"/>
      <c r="K202" s="3082"/>
      <c r="L202" s="3082"/>
      <c r="M202" s="3082">
        <f t="shared" ref="M202:M203" si="127">G202</f>
        <v>0</v>
      </c>
      <c r="N202" s="3082">
        <f t="shared" ref="N202:N203" si="128">M202</f>
        <v>0</v>
      </c>
      <c r="O202" s="3083">
        <f t="shared" ref="O202:O203" si="129">N202</f>
        <v>0</v>
      </c>
    </row>
    <row r="203" spans="1:19" s="2490" customFormat="1" x14ac:dyDescent="0.25">
      <c r="B203" s="3084" t="s">
        <v>640</v>
      </c>
      <c r="C203" s="3078">
        <f t="shared" si="123"/>
        <v>0</v>
      </c>
      <c r="D203" s="3082">
        <f t="shared" si="125"/>
        <v>0</v>
      </c>
      <c r="E203" s="3082">
        <f t="shared" si="125"/>
        <v>0</v>
      </c>
      <c r="F203" s="3082">
        <f t="shared" si="125"/>
        <v>0</v>
      </c>
      <c r="G203" s="3082">
        <f t="shared" si="126"/>
        <v>0</v>
      </c>
      <c r="H203" s="3082"/>
      <c r="I203" s="3082"/>
      <c r="J203" s="3082"/>
      <c r="K203" s="3082"/>
      <c r="L203" s="3082"/>
      <c r="M203" s="3082">
        <f t="shared" si="127"/>
        <v>0</v>
      </c>
      <c r="N203" s="3082">
        <f t="shared" si="128"/>
        <v>0</v>
      </c>
      <c r="O203" s="3083">
        <f t="shared" si="129"/>
        <v>0</v>
      </c>
      <c r="P203" s="2491"/>
    </row>
    <row r="204" spans="1:19" s="2490" customFormat="1" x14ac:dyDescent="0.25">
      <c r="B204" s="3077" t="s">
        <v>631</v>
      </c>
      <c r="C204" s="3078">
        <f t="shared" si="123"/>
        <v>0</v>
      </c>
      <c r="D204" s="3078">
        <f t="shared" ref="D204:O204" si="130">D205</f>
        <v>0</v>
      </c>
      <c r="E204" s="3078">
        <f t="shared" si="130"/>
        <v>0</v>
      </c>
      <c r="F204" s="3078">
        <f t="shared" si="130"/>
        <v>0</v>
      </c>
      <c r="G204" s="3078">
        <f t="shared" si="130"/>
        <v>0</v>
      </c>
      <c r="H204" s="3078"/>
      <c r="I204" s="3078"/>
      <c r="J204" s="3078"/>
      <c r="K204" s="3078"/>
      <c r="L204" s="3078"/>
      <c r="M204" s="3078">
        <f t="shared" si="130"/>
        <v>0</v>
      </c>
      <c r="N204" s="3078">
        <f t="shared" si="130"/>
        <v>0</v>
      </c>
      <c r="O204" s="3079">
        <f t="shared" si="130"/>
        <v>0</v>
      </c>
      <c r="P204" s="2491"/>
      <c r="R204" s="3086"/>
      <c r="S204" s="3086"/>
    </row>
    <row r="205" spans="1:19" s="2490" customFormat="1" x14ac:dyDescent="0.25">
      <c r="B205" s="3080" t="s">
        <v>634</v>
      </c>
      <c r="C205" s="3078">
        <f t="shared" si="123"/>
        <v>0</v>
      </c>
      <c r="D205" s="3082">
        <f t="shared" ref="D205:F207" si="131">C205</f>
        <v>0</v>
      </c>
      <c r="E205" s="3082">
        <f t="shared" si="131"/>
        <v>0</v>
      </c>
      <c r="F205" s="3082">
        <f t="shared" si="131"/>
        <v>0</v>
      </c>
      <c r="G205" s="3082">
        <f t="shared" ref="G205:G207" si="132">F205</f>
        <v>0</v>
      </c>
      <c r="H205" s="3082"/>
      <c r="I205" s="3082"/>
      <c r="J205" s="3082"/>
      <c r="K205" s="3082"/>
      <c r="L205" s="3082"/>
      <c r="M205" s="3082">
        <f t="shared" ref="M205:M207" si="133">G205</f>
        <v>0</v>
      </c>
      <c r="N205" s="3082">
        <f t="shared" ref="N205:N207" si="134">M205</f>
        <v>0</v>
      </c>
      <c r="O205" s="3083">
        <f t="shared" ref="O205:O207" si="135">N205</f>
        <v>0</v>
      </c>
      <c r="R205" s="3087"/>
      <c r="S205" s="3088"/>
    </row>
    <row r="206" spans="1:19" s="2490" customFormat="1" x14ac:dyDescent="0.25">
      <c r="B206" s="3084" t="s">
        <v>640</v>
      </c>
      <c r="C206" s="3078">
        <f t="shared" si="123"/>
        <v>0</v>
      </c>
      <c r="D206" s="3082">
        <f t="shared" si="131"/>
        <v>0</v>
      </c>
      <c r="E206" s="3082">
        <f t="shared" si="131"/>
        <v>0</v>
      </c>
      <c r="F206" s="3082">
        <f t="shared" si="131"/>
        <v>0</v>
      </c>
      <c r="G206" s="3082">
        <f t="shared" si="132"/>
        <v>0</v>
      </c>
      <c r="H206" s="3082"/>
      <c r="I206" s="3082"/>
      <c r="J206" s="3082"/>
      <c r="K206" s="3082"/>
      <c r="L206" s="3082"/>
      <c r="M206" s="3082">
        <f t="shared" si="133"/>
        <v>0</v>
      </c>
      <c r="N206" s="3082">
        <f t="shared" si="134"/>
        <v>0</v>
      </c>
      <c r="O206" s="3083">
        <f t="shared" si="135"/>
        <v>0</v>
      </c>
      <c r="P206" s="2491"/>
      <c r="R206" s="3086"/>
      <c r="S206" s="3086"/>
    </row>
    <row r="207" spans="1:19" s="2490" customFormat="1" x14ac:dyDescent="0.25">
      <c r="B207" s="3084"/>
      <c r="C207" s="3089"/>
      <c r="D207" s="3089">
        <f t="shared" si="131"/>
        <v>0</v>
      </c>
      <c r="E207" s="3089">
        <f t="shared" si="131"/>
        <v>0</v>
      </c>
      <c r="F207" s="3089">
        <f t="shared" si="131"/>
        <v>0</v>
      </c>
      <c r="G207" s="3089">
        <f t="shared" si="132"/>
        <v>0</v>
      </c>
      <c r="H207" s="3089"/>
      <c r="I207" s="3089"/>
      <c r="J207" s="3089"/>
      <c r="K207" s="3089"/>
      <c r="L207" s="3089"/>
      <c r="M207" s="3089">
        <f t="shared" si="133"/>
        <v>0</v>
      </c>
      <c r="N207" s="3089">
        <f t="shared" si="134"/>
        <v>0</v>
      </c>
      <c r="O207" s="3090">
        <f t="shared" si="135"/>
        <v>0</v>
      </c>
      <c r="P207" s="2491"/>
      <c r="R207" s="3086"/>
      <c r="S207" s="3086"/>
    </row>
    <row r="209" spans="3:5" x14ac:dyDescent="0.25">
      <c r="D209" s="3170"/>
      <c r="E209" s="3170"/>
    </row>
    <row r="210" spans="3:5" x14ac:dyDescent="0.25">
      <c r="D210" s="3170"/>
    </row>
    <row r="211" spans="3:5" x14ac:dyDescent="0.25">
      <c r="D211" s="3170"/>
    </row>
    <row r="213" spans="3:5" x14ac:dyDescent="0.25">
      <c r="C213" s="3170"/>
      <c r="D213" s="3170"/>
    </row>
    <row r="214" spans="3:5" x14ac:dyDescent="0.25">
      <c r="C214" s="3170"/>
      <c r="D214" s="3170"/>
    </row>
  </sheetData>
  <pageMargins left="0.70866141732283472" right="0.31496062992125984" top="0.74803149606299213" bottom="0.55118110236220474" header="0.31496062992125984" footer="0.31496062992125984"/>
  <pageSetup paperSize="9" scale="65" orientation="landscape" r:id="rId1"/>
  <rowBreaks count="5" manualBreakCount="5">
    <brk id="41" max="105" man="1"/>
    <brk id="87" max="105" man="1"/>
    <brk id="135" max="16383" man="1"/>
    <brk id="195" max="16383" man="1"/>
    <brk id="199" max="16383" man="1"/>
  </rowBreaks>
  <colBreaks count="1" manualBreakCount="1">
    <brk id="1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pageSetUpPr fitToPage="1"/>
  </sheetPr>
  <dimension ref="A1:E42"/>
  <sheetViews>
    <sheetView topLeftCell="A15" zoomScaleNormal="100" workbookViewId="0">
      <selection activeCell="H31" sqref="H31"/>
    </sheetView>
  </sheetViews>
  <sheetFormatPr defaultColWidth="9.140625" defaultRowHeight="15" x14ac:dyDescent="0.25"/>
  <cols>
    <col min="1" max="1" width="62" style="18" customWidth="1"/>
    <col min="2" max="2" width="37" style="18" customWidth="1"/>
    <col min="3" max="3" width="15.85546875" style="18" customWidth="1"/>
    <col min="4" max="16384" width="9.140625" style="18"/>
  </cols>
  <sheetData>
    <row r="1" spans="1:3" x14ac:dyDescent="0.25">
      <c r="B1" s="18" t="s">
        <v>448</v>
      </c>
    </row>
    <row r="2" spans="1:3" ht="108.75" customHeight="1" x14ac:dyDescent="0.25">
      <c r="B2" s="110" t="s">
        <v>559</v>
      </c>
    </row>
    <row r="3" spans="1:3" x14ac:dyDescent="0.25">
      <c r="B3" s="110"/>
    </row>
    <row r="4" spans="1:3" x14ac:dyDescent="0.25">
      <c r="B4" s="787" t="s">
        <v>449</v>
      </c>
    </row>
    <row r="5" spans="1:3" ht="30" x14ac:dyDescent="0.25">
      <c r="B5" s="2094" t="s">
        <v>2746</v>
      </c>
    </row>
    <row r="6" spans="1:3" x14ac:dyDescent="0.25">
      <c r="B6" s="2095" t="s">
        <v>450</v>
      </c>
    </row>
    <row r="7" spans="1:3" ht="30" x14ac:dyDescent="0.25">
      <c r="B7" s="2094" t="s">
        <v>2750</v>
      </c>
    </row>
    <row r="10" spans="1:3" ht="16.5" x14ac:dyDescent="0.25">
      <c r="A10" s="3674" t="s">
        <v>424</v>
      </c>
      <c r="B10" s="3674"/>
    </row>
    <row r="11" spans="1:3" ht="16.5" x14ac:dyDescent="0.25">
      <c r="A11" s="3674" t="s">
        <v>2745</v>
      </c>
      <c r="B11" s="3674"/>
    </row>
    <row r="12" spans="1:3" ht="33.6" customHeight="1" x14ac:dyDescent="0.25">
      <c r="A12" s="3679" t="str">
        <f>'Вхідні дані'!C2</f>
        <v>на теплову енергію, її виробництво, транспортування та постачання, послуги з постачання теплової енергії</v>
      </c>
      <c r="B12" s="3679"/>
    </row>
    <row r="13" spans="1:3" x14ac:dyDescent="0.25">
      <c r="A13" s="3680" t="s">
        <v>425</v>
      </c>
      <c r="B13" s="3680"/>
    </row>
    <row r="14" spans="1:3" ht="50.45" customHeight="1" x14ac:dyDescent="0.25">
      <c r="A14" s="3678" t="s">
        <v>3174</v>
      </c>
      <c r="B14" s="3678"/>
      <c r="C14" s="2489"/>
    </row>
    <row r="15" spans="1:3" x14ac:dyDescent="0.25">
      <c r="A15" s="3677" t="s">
        <v>426</v>
      </c>
      <c r="B15" s="3677"/>
    </row>
    <row r="16" spans="1:3" x14ac:dyDescent="0.25">
      <c r="A16" s="55"/>
    </row>
    <row r="17" spans="1:5" ht="50.45" customHeight="1" x14ac:dyDescent="0.25">
      <c r="A17" s="3676" t="s">
        <v>3178</v>
      </c>
      <c r="B17" s="3676"/>
      <c r="C17" s="155"/>
    </row>
    <row r="18" spans="1:5" ht="67.150000000000006" customHeight="1" x14ac:dyDescent="0.25">
      <c r="A18" s="3676" t="s">
        <v>3176</v>
      </c>
      <c r="B18" s="3676"/>
      <c r="C18" s="155"/>
    </row>
    <row r="19" spans="1:5" ht="50.45" customHeight="1" x14ac:dyDescent="0.25">
      <c r="A19" s="3676" t="s">
        <v>3177</v>
      </c>
      <c r="B19" s="3676"/>
      <c r="C19" s="155"/>
    </row>
    <row r="20" spans="1:5" x14ac:dyDescent="0.25">
      <c r="A20" s="3677" t="s">
        <v>427</v>
      </c>
      <c r="B20" s="3677"/>
    </row>
    <row r="21" spans="1:5" x14ac:dyDescent="0.25">
      <c r="A21" s="52"/>
    </row>
    <row r="22" spans="1:5" ht="16.5" x14ac:dyDescent="0.25">
      <c r="A22" s="3676" t="s">
        <v>2264</v>
      </c>
      <c r="B22" s="3676"/>
    </row>
    <row r="23" spans="1:5" ht="37.15" customHeight="1" x14ac:dyDescent="0.25">
      <c r="A23" s="3681" t="str">
        <f>'Вхідні дані'!C2</f>
        <v>на теплову енергію, її виробництво, транспортування та постачання, послуги з постачання теплової енергії</v>
      </c>
      <c r="B23" s="3681"/>
    </row>
    <row r="24" spans="1:5" ht="15.75" x14ac:dyDescent="0.25">
      <c r="A24" s="3685" t="s">
        <v>425</v>
      </c>
      <c r="B24" s="3685"/>
    </row>
    <row r="25" spans="1:5" x14ac:dyDescent="0.25">
      <c r="A25" s="52"/>
    </row>
    <row r="26" spans="1:5" ht="36" customHeight="1" x14ac:dyDescent="0.25">
      <c r="A26" s="3681" t="s">
        <v>2267</v>
      </c>
      <c r="B26" s="3681"/>
    </row>
    <row r="27" spans="1:5" ht="16.5" hidden="1" x14ac:dyDescent="0.25">
      <c r="A27" s="3683"/>
      <c r="B27" s="3683"/>
      <c r="D27" s="158"/>
      <c r="E27" s="158"/>
    </row>
    <row r="28" spans="1:5" x14ac:dyDescent="0.25">
      <c r="A28" s="3682" t="s">
        <v>428</v>
      </c>
      <c r="B28" s="3682"/>
    </row>
    <row r="29" spans="1:5" x14ac:dyDescent="0.25">
      <c r="A29" s="56"/>
    </row>
    <row r="30" spans="1:5" ht="19.5" customHeight="1" x14ac:dyDescent="0.25">
      <c r="A30" s="3683" t="s">
        <v>429</v>
      </c>
      <c r="B30" s="3683"/>
    </row>
    <row r="31" spans="1:5" x14ac:dyDescent="0.25">
      <c r="A31" s="52"/>
    </row>
    <row r="32" spans="1:5" ht="16.5" x14ac:dyDescent="0.25">
      <c r="A32" s="3683" t="s">
        <v>2144</v>
      </c>
      <c r="B32" s="3683"/>
    </row>
    <row r="33" spans="1:3" ht="18.75" x14ac:dyDescent="0.25">
      <c r="A33" s="54"/>
    </row>
    <row r="34" spans="1:3" s="58" customFormat="1" ht="50.25" customHeight="1" x14ac:dyDescent="0.25">
      <c r="A34" s="3676" t="s">
        <v>3441</v>
      </c>
      <c r="B34" s="3676"/>
      <c r="C34" s="66"/>
    </row>
    <row r="35" spans="1:3" s="1198" customFormat="1" ht="12.75" x14ac:dyDescent="0.2">
      <c r="A35" s="3688" t="s">
        <v>2145</v>
      </c>
      <c r="B35" s="3688"/>
      <c r="C35" s="1197"/>
    </row>
    <row r="36" spans="1:3" s="58" customFormat="1" ht="9.6" customHeight="1" x14ac:dyDescent="0.25">
      <c r="A36" s="66"/>
      <c r="B36" s="66"/>
      <c r="C36" s="66"/>
    </row>
    <row r="37" spans="1:3" s="58" customFormat="1" ht="9.6" customHeight="1" x14ac:dyDescent="0.25">
      <c r="A37" s="67"/>
      <c r="B37" s="66"/>
      <c r="C37" s="66"/>
    </row>
    <row r="38" spans="1:3" s="58" customFormat="1" ht="15.75" x14ac:dyDescent="0.25">
      <c r="A38" s="3686" t="s">
        <v>3436</v>
      </c>
      <c r="B38" s="3687"/>
    </row>
    <row r="39" spans="1:3" s="58" customFormat="1" ht="15.75" x14ac:dyDescent="0.25">
      <c r="A39" s="3684" t="s">
        <v>430</v>
      </c>
      <c r="B39" s="3684"/>
    </row>
    <row r="40" spans="1:3" x14ac:dyDescent="0.25">
      <c r="A40" s="52"/>
    </row>
    <row r="41" spans="1:3" ht="27" customHeight="1" x14ac:dyDescent="0.25">
      <c r="A41" s="3675" t="s">
        <v>431</v>
      </c>
      <c r="B41" s="3675"/>
    </row>
    <row r="42" spans="1:3" ht="3.6" customHeight="1" x14ac:dyDescent="0.25"/>
  </sheetData>
  <mergeCells count="23">
    <mergeCell ref="A20:B20"/>
    <mergeCell ref="A24:B24"/>
    <mergeCell ref="A38:B38"/>
    <mergeCell ref="A35:B35"/>
    <mergeCell ref="A34:B34"/>
    <mergeCell ref="A32:B32"/>
    <mergeCell ref="A30:B30"/>
    <mergeCell ref="A11:B11"/>
    <mergeCell ref="A10:B10"/>
    <mergeCell ref="A41:B41"/>
    <mergeCell ref="A18:B18"/>
    <mergeCell ref="A17:B17"/>
    <mergeCell ref="A15:B15"/>
    <mergeCell ref="A14:B14"/>
    <mergeCell ref="A12:B12"/>
    <mergeCell ref="A13:B13"/>
    <mergeCell ref="A26:B26"/>
    <mergeCell ref="A28:B28"/>
    <mergeCell ref="A27:B27"/>
    <mergeCell ref="A23:B23"/>
    <mergeCell ref="A22:B22"/>
    <mergeCell ref="A19:B19"/>
    <mergeCell ref="A39:B39"/>
  </mergeCells>
  <pageMargins left="0.7" right="0.33" top="0.75" bottom="0.33" header="0.3" footer="0.3"/>
  <pageSetup paperSize="9" scale="93" fitToHeight="0" orientation="portrait" r:id="rId1"/>
  <rowBreaks count="2" manualBreakCount="2">
    <brk id="31" max="1" man="1"/>
    <brk id="41"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1"/>
  </sheetPr>
  <dimension ref="A1:AB45"/>
  <sheetViews>
    <sheetView view="pageBreakPreview" zoomScale="60" zoomScaleNormal="88" workbookViewId="0">
      <selection activeCell="M35" sqref="M35"/>
    </sheetView>
  </sheetViews>
  <sheetFormatPr defaultColWidth="9.140625" defaultRowHeight="12.75" x14ac:dyDescent="0.2"/>
  <cols>
    <col min="1" max="1" width="37.5703125" style="160" customWidth="1"/>
    <col min="2" max="2" width="6.28515625" style="160" customWidth="1"/>
    <col min="3" max="3" width="6.42578125" style="160" customWidth="1"/>
    <col min="4" max="4" width="6.140625" style="160" customWidth="1"/>
    <col min="5" max="5" width="5.85546875" style="160" customWidth="1"/>
    <col min="6" max="6" width="7" style="160" customWidth="1"/>
    <col min="7" max="7" width="7.85546875" style="160" customWidth="1"/>
    <col min="8" max="8" width="8" style="160" customWidth="1"/>
    <col min="9" max="9" width="6.140625" style="160" customWidth="1"/>
    <col min="10" max="10" width="7.85546875" style="160" customWidth="1"/>
    <col min="11" max="11" width="5.85546875" style="160" customWidth="1"/>
    <col min="12" max="12" width="7.5703125" style="160" customWidth="1"/>
    <col min="13" max="13" width="7.28515625" style="160" customWidth="1"/>
    <col min="14" max="14" width="6.5703125" style="160" hidden="1" customWidth="1"/>
    <col min="15" max="15" width="5.85546875" style="160" hidden="1" customWidth="1"/>
    <col min="16" max="16" width="10.5703125" style="160" bestFit="1" customWidth="1"/>
    <col min="17" max="17" width="9.140625" style="160"/>
    <col min="18" max="18" width="14.85546875" style="160" bestFit="1" customWidth="1"/>
    <col min="19" max="16384" width="9.140625" style="160"/>
  </cols>
  <sheetData>
    <row r="1" spans="1:26" ht="15" x14ac:dyDescent="0.25">
      <c r="A1" s="3009"/>
      <c r="B1" s="3008"/>
      <c r="C1" s="3008"/>
      <c r="D1" s="3008"/>
      <c r="E1" s="3008"/>
      <c r="F1" s="3008"/>
      <c r="G1" s="3008"/>
      <c r="H1" s="3008"/>
      <c r="I1" s="3008"/>
      <c r="J1" s="3008"/>
      <c r="K1" s="3009"/>
      <c r="L1" s="3009"/>
      <c r="M1" s="3009"/>
      <c r="N1" s="3008"/>
      <c r="O1" s="3008"/>
      <c r="P1" s="3008"/>
      <c r="Q1" s="3008"/>
    </row>
    <row r="2" spans="1:26" ht="15" x14ac:dyDescent="0.25">
      <c r="A2" s="3008"/>
      <c r="B2" s="3008"/>
      <c r="C2" s="3008"/>
      <c r="D2" s="3008"/>
      <c r="E2" s="3008"/>
      <c r="F2" s="3008"/>
      <c r="G2" s="3008"/>
      <c r="H2" s="3008"/>
      <c r="I2" s="3008"/>
      <c r="J2" s="3008"/>
      <c r="K2" s="3008"/>
      <c r="L2" s="3008"/>
      <c r="M2" s="3008"/>
      <c r="N2" s="3008"/>
      <c r="O2" s="3008"/>
      <c r="P2" s="3008"/>
      <c r="Q2" s="3008"/>
    </row>
    <row r="3" spans="1:26" ht="15" x14ac:dyDescent="0.25">
      <c r="A3" s="3007"/>
      <c r="B3" s="3008"/>
      <c r="C3" s="3008"/>
      <c r="D3" s="3008"/>
      <c r="E3" s="3008"/>
      <c r="F3" s="3008"/>
      <c r="G3" s="3008"/>
      <c r="H3" s="3008"/>
      <c r="I3" s="3008"/>
      <c r="J3" s="3008"/>
      <c r="K3" s="3008"/>
      <c r="L3" s="3008"/>
      <c r="M3" s="3008"/>
      <c r="N3" s="3008"/>
      <c r="O3" s="3008"/>
      <c r="P3" s="3008"/>
      <c r="Q3" s="3008"/>
      <c r="R3" s="161"/>
      <c r="S3" s="161"/>
      <c r="T3" s="161"/>
      <c r="U3" s="161"/>
      <c r="V3" s="161"/>
      <c r="W3" s="161"/>
      <c r="X3" s="161"/>
      <c r="Y3" s="161"/>
      <c r="Z3" s="161"/>
    </row>
    <row r="4" spans="1:26" ht="15" x14ac:dyDescent="0.25">
      <c r="A4" s="3007"/>
      <c r="B4" s="3008"/>
      <c r="C4" s="3008"/>
      <c r="D4" s="3008"/>
      <c r="E4" s="3008"/>
      <c r="F4" s="3008"/>
      <c r="G4" s="3008"/>
      <c r="H4" s="3008"/>
      <c r="I4" s="3008"/>
      <c r="J4" s="3008"/>
      <c r="K4" s="3008"/>
      <c r="L4" s="3008"/>
      <c r="M4" s="3008"/>
      <c r="N4" s="3008"/>
      <c r="O4" s="3008"/>
      <c r="P4" s="3008"/>
      <c r="Q4" s="3008"/>
      <c r="R4" s="161"/>
      <c r="S4" s="161"/>
      <c r="T4" s="161"/>
      <c r="U4" s="161"/>
      <c r="V4" s="161"/>
      <c r="W4" s="161"/>
      <c r="X4" s="161"/>
      <c r="Y4" s="161"/>
      <c r="Z4" s="161"/>
    </row>
    <row r="5" spans="1:26" ht="15" x14ac:dyDescent="0.25">
      <c r="A5" s="3007"/>
      <c r="B5" s="3008"/>
      <c r="C5" s="3008"/>
      <c r="D5" s="3008"/>
      <c r="E5" s="3008"/>
      <c r="F5" s="3008"/>
      <c r="G5" s="3008"/>
      <c r="H5" s="3008"/>
      <c r="I5" s="3008"/>
      <c r="J5" s="3008"/>
      <c r="K5" s="3008"/>
      <c r="L5" s="3008"/>
      <c r="M5" s="3008"/>
      <c r="N5" s="3008"/>
      <c r="O5" s="3008"/>
      <c r="P5" s="3008"/>
      <c r="Q5" s="3008"/>
      <c r="R5" s="161"/>
      <c r="S5" s="161"/>
      <c r="T5" s="161"/>
      <c r="U5" s="161"/>
      <c r="V5" s="161"/>
      <c r="W5" s="161"/>
      <c r="X5" s="161"/>
      <c r="Y5" s="161"/>
      <c r="Z5" s="161"/>
    </row>
    <row r="6" spans="1:26" ht="27.75" customHeight="1" thickBot="1" x14ac:dyDescent="0.35">
      <c r="A6" s="3983" t="s">
        <v>606</v>
      </c>
      <c r="B6" s="3983"/>
      <c r="C6" s="3983"/>
      <c r="D6" s="3983"/>
      <c r="E6" s="3983"/>
      <c r="F6" s="3983"/>
      <c r="G6" s="3983"/>
      <c r="H6" s="3983"/>
      <c r="I6" s="3983"/>
      <c r="J6" s="3983"/>
      <c r="K6" s="3983"/>
      <c r="L6" s="3983"/>
      <c r="M6" s="3983"/>
      <c r="N6" s="3983"/>
      <c r="O6" s="3983"/>
      <c r="P6" s="3983"/>
      <c r="Q6" s="3983"/>
      <c r="R6" s="161"/>
      <c r="S6" s="161"/>
      <c r="T6" s="161"/>
      <c r="U6" s="161"/>
      <c r="V6" s="161"/>
      <c r="W6" s="161"/>
      <c r="X6" s="161"/>
      <c r="Y6" s="161"/>
      <c r="Z6" s="161"/>
    </row>
    <row r="7" spans="1:26" ht="30" x14ac:dyDescent="0.25">
      <c r="A7" s="3010" t="s">
        <v>607</v>
      </c>
      <c r="B7" s="3985" t="s">
        <v>608</v>
      </c>
      <c r="C7" s="3985"/>
      <c r="D7" s="3985"/>
      <c r="E7" s="3985"/>
      <c r="F7" s="3985"/>
      <c r="G7" s="3985"/>
      <c r="H7" s="3985"/>
      <c r="I7" s="3985"/>
      <c r="J7" s="3985"/>
      <c r="K7" s="3985"/>
      <c r="L7" s="3985"/>
      <c r="M7" s="3985"/>
      <c r="N7" s="3985"/>
      <c r="O7" s="3985"/>
      <c r="P7" s="3986" t="s">
        <v>609</v>
      </c>
      <c r="Q7" s="3986"/>
      <c r="R7" s="161"/>
      <c r="S7" s="161"/>
      <c r="T7" s="161"/>
      <c r="U7" s="161"/>
      <c r="V7" s="161"/>
      <c r="W7" s="161"/>
      <c r="X7" s="161"/>
      <c r="Y7" s="161"/>
      <c r="Z7" s="161"/>
    </row>
    <row r="8" spans="1:26" ht="45" x14ac:dyDescent="0.25">
      <c r="A8" s="3011" t="s">
        <v>462</v>
      </c>
      <c r="B8" s="3012">
        <v>10</v>
      </c>
      <c r="C8" s="3012">
        <v>11</v>
      </c>
      <c r="D8" s="3012">
        <v>12</v>
      </c>
      <c r="E8" s="3012">
        <v>1</v>
      </c>
      <c r="F8" s="3012">
        <v>2</v>
      </c>
      <c r="G8" s="3012">
        <v>3</v>
      </c>
      <c r="H8" s="3012">
        <v>4</v>
      </c>
      <c r="I8" s="3012">
        <v>5</v>
      </c>
      <c r="J8" s="3012">
        <v>6</v>
      </c>
      <c r="K8" s="3012">
        <v>7</v>
      </c>
      <c r="L8" s="3012">
        <v>8</v>
      </c>
      <c r="M8" s="3012">
        <v>9</v>
      </c>
      <c r="N8" s="3013"/>
      <c r="O8" s="3013">
        <v>12</v>
      </c>
      <c r="P8" s="3045" t="s">
        <v>610</v>
      </c>
      <c r="Q8" s="3045" t="s">
        <v>611</v>
      </c>
      <c r="R8" s="161"/>
      <c r="S8" s="161"/>
      <c r="T8" s="161"/>
      <c r="U8" s="161"/>
      <c r="V8" s="161"/>
      <c r="W8" s="161"/>
      <c r="X8" s="161"/>
      <c r="Y8" s="161"/>
      <c r="Z8" s="161"/>
    </row>
    <row r="9" spans="1:26" ht="15" x14ac:dyDescent="0.25">
      <c r="A9" s="3023" t="s">
        <v>612</v>
      </c>
      <c r="B9" s="3019">
        <v>0</v>
      </c>
      <c r="C9" s="3018">
        <v>30</v>
      </c>
      <c r="D9" s="3017">
        <v>31</v>
      </c>
      <c r="E9" s="3018">
        <v>31</v>
      </c>
      <c r="F9" s="3018">
        <v>28</v>
      </c>
      <c r="G9" s="3015">
        <v>31</v>
      </c>
      <c r="H9" s="3015">
        <v>2</v>
      </c>
      <c r="I9" s="3015">
        <v>0</v>
      </c>
      <c r="J9" s="3015">
        <v>0</v>
      </c>
      <c r="K9" s="3015">
        <v>0</v>
      </c>
      <c r="L9" s="3015">
        <v>0</v>
      </c>
      <c r="M9" s="3015">
        <v>0</v>
      </c>
      <c r="N9" s="3020">
        <v>0</v>
      </c>
      <c r="O9" s="3019">
        <v>0</v>
      </c>
      <c r="P9" s="3021">
        <f>ROUND(B9+C9+D9+E9+F9+G9+H9,0)</f>
        <v>153</v>
      </c>
      <c r="Q9" s="3022"/>
      <c r="R9" s="161"/>
      <c r="S9" s="161"/>
      <c r="T9" s="161"/>
      <c r="U9" s="161"/>
      <c r="V9" s="161"/>
      <c r="W9" s="161"/>
      <c r="X9" s="161"/>
      <c r="Y9" s="161"/>
      <c r="Z9" s="161"/>
    </row>
    <row r="10" spans="1:26" ht="15" x14ac:dyDescent="0.25">
      <c r="A10" s="3023" t="s">
        <v>2331</v>
      </c>
      <c r="B10" s="3019">
        <v>0</v>
      </c>
      <c r="C10" s="3018">
        <v>18</v>
      </c>
      <c r="D10" s="3017">
        <v>31</v>
      </c>
      <c r="E10" s="3018">
        <v>31</v>
      </c>
      <c r="F10" s="3018">
        <v>29</v>
      </c>
      <c r="G10" s="3015">
        <v>11</v>
      </c>
      <c r="H10" s="3015">
        <v>0</v>
      </c>
      <c r="I10" s="3015">
        <v>0</v>
      </c>
      <c r="J10" s="3015">
        <v>0</v>
      </c>
      <c r="K10" s="3015">
        <v>0</v>
      </c>
      <c r="L10" s="3015">
        <v>0</v>
      </c>
      <c r="M10" s="3015">
        <v>0</v>
      </c>
      <c r="N10" s="3020">
        <v>0</v>
      </c>
      <c r="O10" s="3019">
        <v>0</v>
      </c>
      <c r="P10" s="3021">
        <f>ROUND(B10+C10+D10+E10+F10+G10+H10,0)</f>
        <v>120</v>
      </c>
      <c r="Q10" s="3022"/>
      <c r="R10" s="161"/>
      <c r="S10" s="161"/>
      <c r="T10" s="161"/>
      <c r="U10" s="161"/>
      <c r="V10" s="161"/>
      <c r="W10" s="161"/>
      <c r="X10" s="161"/>
      <c r="Y10" s="161"/>
      <c r="Z10" s="161"/>
    </row>
    <row r="11" spans="1:26" ht="15" x14ac:dyDescent="0.25">
      <c r="A11" s="3014" t="s">
        <v>2332</v>
      </c>
      <c r="B11" s="3019">
        <v>0</v>
      </c>
      <c r="C11" s="3018">
        <v>19</v>
      </c>
      <c r="D11" s="3017">
        <v>31</v>
      </c>
      <c r="E11" s="3018">
        <v>31</v>
      </c>
      <c r="F11" s="3018">
        <v>28</v>
      </c>
      <c r="G11" s="3020">
        <v>31</v>
      </c>
      <c r="H11" s="3015">
        <v>0</v>
      </c>
      <c r="I11" s="3015">
        <v>0</v>
      </c>
      <c r="J11" s="3015">
        <v>0</v>
      </c>
      <c r="K11" s="3015">
        <v>0</v>
      </c>
      <c r="L11" s="3015">
        <v>0</v>
      </c>
      <c r="M11" s="3015">
        <v>0</v>
      </c>
      <c r="N11" s="3020">
        <v>0</v>
      </c>
      <c r="O11" s="3019">
        <v>0</v>
      </c>
      <c r="P11" s="3021">
        <f>ROUND(B11+C11+D11+E11+F11+G11+H11,1)</f>
        <v>140</v>
      </c>
      <c r="Q11" s="3024"/>
      <c r="R11" s="161"/>
      <c r="S11" s="161"/>
      <c r="T11" s="161"/>
      <c r="U11" s="161"/>
      <c r="V11" s="161"/>
      <c r="W11" s="161"/>
      <c r="X11" s="161"/>
      <c r="Y11" s="161"/>
      <c r="Z11" s="161"/>
    </row>
    <row r="12" spans="1:26" ht="15" x14ac:dyDescent="0.25">
      <c r="A12" s="3014" t="s">
        <v>3157</v>
      </c>
      <c r="B12" s="3015">
        <v>0</v>
      </c>
      <c r="C12" s="3016">
        <v>15</v>
      </c>
      <c r="D12" s="3017">
        <v>31</v>
      </c>
      <c r="E12" s="3018">
        <v>31</v>
      </c>
      <c r="F12" s="3018">
        <v>28</v>
      </c>
      <c r="G12" s="3020">
        <v>22</v>
      </c>
      <c r="H12" s="3015">
        <v>0</v>
      </c>
      <c r="I12" s="3020">
        <v>0</v>
      </c>
      <c r="J12" s="3020">
        <v>0</v>
      </c>
      <c r="K12" s="3020">
        <v>0</v>
      </c>
      <c r="L12" s="3020">
        <v>0</v>
      </c>
      <c r="M12" s="3015">
        <v>0</v>
      </c>
      <c r="N12" s="3020">
        <v>0</v>
      </c>
      <c r="O12" s="3019">
        <v>0</v>
      </c>
      <c r="P12" s="3021">
        <f>ROUND(B12+C12+D12+E12+F12+G12+H12,0)</f>
        <v>127</v>
      </c>
      <c r="Q12" s="3022"/>
      <c r="R12" s="161"/>
      <c r="S12" s="161"/>
      <c r="T12" s="161"/>
      <c r="U12" s="161"/>
      <c r="V12" s="161"/>
      <c r="W12" s="161"/>
      <c r="X12" s="161"/>
      <c r="Y12" s="161"/>
      <c r="Z12" s="161"/>
    </row>
    <row r="13" spans="1:26" ht="15" x14ac:dyDescent="0.25">
      <c r="A13" s="3014" t="s">
        <v>3365</v>
      </c>
      <c r="B13" s="3015">
        <v>0</v>
      </c>
      <c r="C13" s="3016">
        <v>30</v>
      </c>
      <c r="D13" s="3017">
        <v>31</v>
      </c>
      <c r="E13" s="3018">
        <v>31</v>
      </c>
      <c r="F13" s="3018">
        <v>28</v>
      </c>
      <c r="G13" s="3020">
        <v>31</v>
      </c>
      <c r="H13" s="3015">
        <v>0</v>
      </c>
      <c r="I13" s="3020">
        <v>0</v>
      </c>
      <c r="J13" s="3020">
        <v>0</v>
      </c>
      <c r="K13" s="3020">
        <v>0</v>
      </c>
      <c r="L13" s="3020">
        <v>0</v>
      </c>
      <c r="M13" s="3020">
        <v>0</v>
      </c>
      <c r="N13" s="3020">
        <v>0</v>
      </c>
      <c r="O13" s="3019">
        <v>0</v>
      </c>
      <c r="P13" s="3021">
        <f>ROUND(B13+C13+D13+E13+F13+G13+H13,0)</f>
        <v>151</v>
      </c>
      <c r="Q13" s="3022"/>
      <c r="R13" s="161"/>
      <c r="S13" s="161"/>
      <c r="T13" s="161"/>
      <c r="U13" s="161"/>
      <c r="V13" s="161"/>
      <c r="W13" s="161"/>
      <c r="X13" s="161"/>
      <c r="Y13" s="161"/>
      <c r="Z13" s="161"/>
    </row>
    <row r="14" spans="1:26" ht="30" x14ac:dyDescent="0.25">
      <c r="A14" s="3025" t="s">
        <v>613</v>
      </c>
      <c r="B14" s="3026">
        <f>ROUND((B9+B10+B11+B12+B13)/5,2)</f>
        <v>0</v>
      </c>
      <c r="C14" s="3027">
        <f>ROUND((C9+C10+C11+C12+C13)/5,2)</f>
        <v>22.4</v>
      </c>
      <c r="D14" s="3026">
        <f>SUM(D9:D13)/5</f>
        <v>31</v>
      </c>
      <c r="E14" s="3026">
        <f>ROUND((E9+E10+E11+E12+E13)/5,0)</f>
        <v>31</v>
      </c>
      <c r="F14" s="3026">
        <f>ROUND((F9+F10+F11+F12+F13)/5,2)</f>
        <v>28.2</v>
      </c>
      <c r="G14" s="3026">
        <f>ROUND((G9+G10+G11+G12+G13)/5,1)</f>
        <v>25.2</v>
      </c>
      <c r="H14" s="3026">
        <f>(ROUND((H9+H10+H11+H12+H13)/5,2))</f>
        <v>0.4</v>
      </c>
      <c r="I14" s="3019">
        <v>0</v>
      </c>
      <c r="J14" s="3019">
        <v>0</v>
      </c>
      <c r="K14" s="3019">
        <v>0</v>
      </c>
      <c r="L14" s="3019">
        <v>0</v>
      </c>
      <c r="M14" s="3019">
        <f>ROUND((M9+M10+M11+M12+M13)/5,0)</f>
        <v>0</v>
      </c>
      <c r="N14" s="3019">
        <f>ROUND((N9+N10+N11+N12+N13)/5,0)</f>
        <v>0</v>
      </c>
      <c r="O14" s="3019">
        <f>SUM(O9:O13)/5</f>
        <v>0</v>
      </c>
      <c r="P14" s="3987">
        <f>ROUND(SUM(B14:H14),15)</f>
        <v>138.19999999999999</v>
      </c>
      <c r="Q14" s="3989"/>
      <c r="R14" s="161"/>
      <c r="S14" s="161"/>
      <c r="T14" s="161"/>
      <c r="U14" s="161"/>
      <c r="V14" s="161"/>
      <c r="W14" s="161"/>
      <c r="X14" s="161"/>
      <c r="Y14" s="161"/>
      <c r="Z14" s="161"/>
    </row>
    <row r="15" spans="1:26" ht="27" customHeight="1" x14ac:dyDescent="0.25">
      <c r="A15" s="3025" t="s">
        <v>614</v>
      </c>
      <c r="B15" s="3028"/>
      <c r="C15" s="3028"/>
      <c r="D15" s="3028"/>
      <c r="E15" s="3028"/>
      <c r="F15" s="3029">
        <v>0</v>
      </c>
      <c r="G15" s="3029">
        <v>0</v>
      </c>
      <c r="H15" s="3029">
        <v>0</v>
      </c>
      <c r="I15" s="3029">
        <f>ROUND((I9+I10+I11)/5,0)</f>
        <v>0</v>
      </c>
      <c r="J15" s="3029">
        <f>ROUND((J9+J10+J11)/5,0)</f>
        <v>0</v>
      </c>
      <c r="K15" s="3029">
        <f>ROUND((K9+K10+K11)/5,0)</f>
        <v>0</v>
      </c>
      <c r="L15" s="3029">
        <f>ROUND((L9+L10+L11)/5,0)</f>
        <v>0</v>
      </c>
      <c r="M15" s="3028"/>
      <c r="N15" s="3028"/>
      <c r="O15" s="3019"/>
      <c r="P15" s="3988"/>
      <c r="Q15" s="3990"/>
      <c r="R15" s="161"/>
      <c r="S15" s="163"/>
      <c r="T15" s="161"/>
      <c r="U15" s="161"/>
      <c r="V15" s="161"/>
      <c r="W15" s="161"/>
      <c r="X15" s="161"/>
      <c r="Y15" s="161"/>
      <c r="Z15" s="161"/>
    </row>
    <row r="16" spans="1:26" ht="15" x14ac:dyDescent="0.25">
      <c r="A16" s="3019"/>
      <c r="B16" s="3984" t="s">
        <v>615</v>
      </c>
      <c r="C16" s="3984"/>
      <c r="D16" s="3984"/>
      <c r="E16" s="3984"/>
      <c r="F16" s="3984"/>
      <c r="G16" s="3984"/>
      <c r="H16" s="3984"/>
      <c r="I16" s="3984"/>
      <c r="J16" s="3984"/>
      <c r="K16" s="3984"/>
      <c r="L16" s="3984"/>
      <c r="M16" s="3984"/>
      <c r="N16" s="3984"/>
      <c r="O16" s="3984"/>
      <c r="P16" s="3019"/>
      <c r="Q16" s="3019"/>
      <c r="R16" s="161"/>
      <c r="S16" s="161"/>
      <c r="T16" s="161"/>
      <c r="U16" s="161"/>
      <c r="V16" s="161"/>
      <c r="W16" s="161"/>
      <c r="X16" s="161"/>
      <c r="Y16" s="161"/>
      <c r="Z16" s="161"/>
    </row>
    <row r="17" spans="1:28" ht="45" x14ac:dyDescent="0.25">
      <c r="A17" s="3019"/>
      <c r="B17" s="3012">
        <v>10</v>
      </c>
      <c r="C17" s="3012">
        <v>11</v>
      </c>
      <c r="D17" s="3012">
        <v>12</v>
      </c>
      <c r="E17" s="3012">
        <v>1</v>
      </c>
      <c r="F17" s="3012">
        <v>2</v>
      </c>
      <c r="G17" s="3012">
        <v>3</v>
      </c>
      <c r="H17" s="3012">
        <v>4</v>
      </c>
      <c r="I17" s="3012">
        <v>5</v>
      </c>
      <c r="J17" s="3012">
        <v>6</v>
      </c>
      <c r="K17" s="3012">
        <v>7</v>
      </c>
      <c r="L17" s="3012">
        <v>8</v>
      </c>
      <c r="M17" s="3012">
        <v>9</v>
      </c>
      <c r="N17" s="3013">
        <v>11</v>
      </c>
      <c r="O17" s="3013">
        <v>12</v>
      </c>
      <c r="P17" s="3045" t="s">
        <v>610</v>
      </c>
      <c r="Q17" s="3045" t="s">
        <v>611</v>
      </c>
      <c r="R17" s="161"/>
      <c r="S17" s="161"/>
      <c r="T17" s="161"/>
      <c r="U17" s="161"/>
      <c r="V17" s="161"/>
      <c r="W17" s="161"/>
      <c r="X17" s="161"/>
      <c r="Y17" s="161"/>
      <c r="Z17" s="161"/>
    </row>
    <row r="18" spans="1:28" ht="15" x14ac:dyDescent="0.25">
      <c r="A18" s="3023" t="s">
        <v>612</v>
      </c>
      <c r="B18" s="3020">
        <v>0</v>
      </c>
      <c r="C18" s="3031">
        <v>2.1</v>
      </c>
      <c r="D18" s="3016">
        <v>1.4</v>
      </c>
      <c r="E18" s="3031">
        <v>-0.1</v>
      </c>
      <c r="F18" s="3031">
        <v>2.8</v>
      </c>
      <c r="G18" s="3016">
        <v>6.3</v>
      </c>
      <c r="H18" s="3016">
        <v>7.7</v>
      </c>
      <c r="I18" s="3032"/>
      <c r="J18" s="3032"/>
      <c r="K18" s="3032"/>
      <c r="L18" s="3032"/>
      <c r="M18" s="3030"/>
      <c r="N18" s="3032"/>
      <c r="O18" s="3032"/>
      <c r="P18" s="3034">
        <f>ROUND((B9*B18+C9*C18+D9*D18+E9*E18+F9*F18+G9*G18+H9*H18)/P9,3)</f>
        <v>2.5649999999999999</v>
      </c>
      <c r="Q18" s="3029" t="e">
        <f>(B18*B9+C18*C9+D18*D9+E18*E9+F18*F9+G18*G9+H18*H9+I18*I9+J18*J9+K18*K9+L18*L9+M18*M9+N18*N9+O18*O9)/Q9</f>
        <v>#DIV/0!</v>
      </c>
      <c r="R18" s="161"/>
      <c r="S18" s="161"/>
      <c r="T18" s="161"/>
      <c r="U18" s="161"/>
      <c r="V18" s="161"/>
      <c r="W18" s="161"/>
      <c r="X18" s="161"/>
      <c r="Y18" s="161"/>
      <c r="Z18" s="161"/>
    </row>
    <row r="19" spans="1:28" ht="15" x14ac:dyDescent="0.25">
      <c r="A19" s="3023" t="s">
        <v>2331</v>
      </c>
      <c r="B19" s="3035"/>
      <c r="C19" s="3031">
        <v>9.9</v>
      </c>
      <c r="D19" s="3016">
        <v>5.5</v>
      </c>
      <c r="E19" s="3016">
        <v>2.5</v>
      </c>
      <c r="F19" s="3031">
        <v>4.5999999999999996</v>
      </c>
      <c r="G19" s="3016">
        <v>7.7</v>
      </c>
      <c r="H19" s="3016">
        <v>0</v>
      </c>
      <c r="I19" s="3020"/>
      <c r="J19" s="3020"/>
      <c r="K19" s="3020"/>
      <c r="L19" s="3020"/>
      <c r="M19" s="3033"/>
      <c r="N19" s="3020"/>
      <c r="O19" s="3020"/>
      <c r="P19" s="3034">
        <f>ROUND((B10*B19+C10*C19+D10*D19+E10*E19+F10*F19+G10*G19+H10*H19)/P10,3)</f>
        <v>5.3689999999999998</v>
      </c>
      <c r="Q19" s="3029" t="e">
        <f>(B19*B10+C19*C10+D19*D10+E19*E10+F19*F10+G19*G10+H19*H10+I19*I10+J19*J10+K19*K10+L19*L10+M19*M10+N19*N10+O19*O10)/Q10</f>
        <v>#DIV/0!</v>
      </c>
      <c r="R19" s="162"/>
      <c r="S19" s="161"/>
      <c r="T19" s="161"/>
      <c r="U19" s="161"/>
      <c r="V19" s="161"/>
      <c r="W19" s="161"/>
      <c r="X19" s="161"/>
      <c r="Y19" s="161"/>
      <c r="Z19" s="161"/>
    </row>
    <row r="20" spans="1:28" ht="15" x14ac:dyDescent="0.25">
      <c r="A20" s="3014" t="s">
        <v>2332</v>
      </c>
      <c r="B20" s="3020"/>
      <c r="C20" s="3031">
        <v>6.5</v>
      </c>
      <c r="D20" s="3016">
        <v>4.2</v>
      </c>
      <c r="E20" s="3016">
        <v>1.3</v>
      </c>
      <c r="F20" s="3031">
        <v>0.9</v>
      </c>
      <c r="G20" s="3016">
        <v>3.8</v>
      </c>
      <c r="H20" s="3016">
        <v>0</v>
      </c>
      <c r="I20" s="3020"/>
      <c r="J20" s="3020"/>
      <c r="K20" s="3020"/>
      <c r="L20" s="3020"/>
      <c r="M20" s="3035"/>
      <c r="N20" s="3020"/>
      <c r="O20" s="3020"/>
      <c r="P20" s="3034">
        <f>ROUND((B11*B20+C11*C20+D11*D20+E11*E20+F11*F20+G11*G20+H11*H20)/P11,3)</f>
        <v>3.121</v>
      </c>
      <c r="Q20" s="3029" t="e">
        <f>(B20*B11+C20*C11+D20*D11+E20*E11+F20*F11+G20*G11+H20*H11+I20*I11+J20*J11+K20*K11+L20*L11+M20*M11+N20*N11+O20*O11)/Q11</f>
        <v>#DIV/0!</v>
      </c>
      <c r="R20" s="161"/>
      <c r="S20" s="161"/>
      <c r="T20" s="161"/>
      <c r="U20" s="161"/>
      <c r="V20" s="161"/>
      <c r="W20" s="161"/>
      <c r="X20" s="161"/>
      <c r="Y20" s="161"/>
      <c r="Z20" s="161"/>
    </row>
    <row r="21" spans="1:28" ht="15" x14ac:dyDescent="0.25">
      <c r="A21" s="3014" t="s">
        <v>3157</v>
      </c>
      <c r="B21" s="3020"/>
      <c r="C21" s="3031">
        <v>8.6</v>
      </c>
      <c r="D21" s="3016">
        <v>5.4</v>
      </c>
      <c r="E21" s="3016">
        <v>1.1000000000000001</v>
      </c>
      <c r="F21" s="3036">
        <v>4.0999999999999996</v>
      </c>
      <c r="G21" s="3016">
        <v>3.6</v>
      </c>
      <c r="H21" s="3016"/>
      <c r="I21" s="3020"/>
      <c r="J21" s="3020"/>
      <c r="K21" s="3020"/>
      <c r="L21" s="3020"/>
      <c r="M21" s="3035"/>
      <c r="N21" s="3020"/>
      <c r="O21" s="3035"/>
      <c r="P21" s="3034">
        <f>ROUND((B12*B21+C12*C21+D12*D21+E12*E21+F12*F21+G12*G21+H12*H21)/P12,3)</f>
        <v>4.13</v>
      </c>
      <c r="Q21" s="3029" t="e">
        <f>(B21*B12+C21*C12+D21*D12+E21*E12+F21*F12+G21*G12+H21*H12+I21*I12+J21*J12+K21*K12+L21*L12+M21*M12+N21*N12+O21*O12)/Q12</f>
        <v>#DIV/0!</v>
      </c>
      <c r="R21" s="161"/>
      <c r="S21" s="161"/>
      <c r="T21" s="161"/>
      <c r="U21" s="161"/>
      <c r="V21" s="161"/>
      <c r="W21" s="161"/>
      <c r="X21" s="161"/>
      <c r="Y21" s="161"/>
      <c r="Z21" s="161"/>
    </row>
    <row r="22" spans="1:28" ht="15" x14ac:dyDescent="0.25">
      <c r="A22" s="3014" t="s">
        <v>3366</v>
      </c>
      <c r="B22" s="3020"/>
      <c r="C22" s="3031">
        <v>6.8</v>
      </c>
      <c r="D22" s="3016">
        <v>4.5</v>
      </c>
      <c r="E22" s="3016">
        <v>3.2</v>
      </c>
      <c r="F22" s="3036">
        <v>2.4</v>
      </c>
      <c r="G22" s="3016">
        <v>6</v>
      </c>
      <c r="H22" s="3016"/>
      <c r="I22" s="3020"/>
      <c r="J22" s="3020"/>
      <c r="K22" s="3020"/>
      <c r="L22" s="3020"/>
      <c r="M22" s="3035"/>
      <c r="N22" s="3020"/>
      <c r="O22" s="3020"/>
      <c r="P22" s="3034">
        <f>ROUND((B13*B22+C13*C22+D13*D22+E13*E22+F13*F22+G13*G22+H13*H22)/P13,3)</f>
        <v>4.609</v>
      </c>
      <c r="Q22" s="3029" t="e">
        <f>(B22*B13+C22*C13+D22*D13+E22*E13+F22*F13+G22*G13+H22*H13+I22*I13+J22*J13+K22*K13+L22*L13+M22*M13+N22*N13+O22*O13)/Q13</f>
        <v>#DIV/0!</v>
      </c>
      <c r="R22" s="161"/>
      <c r="S22" s="161"/>
      <c r="T22" s="161"/>
      <c r="U22" s="161"/>
      <c r="V22" s="161"/>
      <c r="W22" s="161"/>
      <c r="X22" s="161"/>
      <c r="Y22" s="161"/>
      <c r="Z22" s="161"/>
    </row>
    <row r="23" spans="1:28" ht="42.75" customHeight="1" x14ac:dyDescent="0.25">
      <c r="A23" s="3025" t="s">
        <v>616</v>
      </c>
      <c r="B23" s="3021"/>
      <c r="C23" s="3021">
        <f>(C18*C9+C19*C10+C20*C11+C12*C21+C13*C22)/SUM(C9:C13)</f>
        <v>6.2294642857142861</v>
      </c>
      <c r="D23" s="3021">
        <f>(D18*D9+D19*D10+D20*D11+D12*D21+D13*D22)/SUM(D9:D13)</f>
        <v>4.2</v>
      </c>
      <c r="E23" s="3026">
        <f>(E18*E9+E19*E10+E20*E11+E12*E21+E13*E22)/SUM(E9:E13)</f>
        <v>1.6</v>
      </c>
      <c r="F23" s="3037">
        <f>(F9*F18+F10*F19+F11*F20+F12*F21+F13*F22)/(F9+F10+F11+F12+F13)</f>
        <v>2.9716312056737584</v>
      </c>
      <c r="G23" s="3021">
        <f>(G9*G18+G10*G19+G11*G20+G12*G21+G13*G22)/(G9+G10+G11+G12+G13)</f>
        <v>5.2619047619047619</v>
      </c>
      <c r="H23" s="3021">
        <f>(H9*H18+H10*H19+H11*H20+H12*H21+H13*H22)/(H9+H10+H11+H12+H13)</f>
        <v>7.7</v>
      </c>
      <c r="I23" s="3021"/>
      <c r="J23" s="3021"/>
      <c r="K23" s="3021"/>
      <c r="L23" s="3021"/>
      <c r="M23" s="3021"/>
      <c r="N23" s="3021"/>
      <c r="O23" s="3021"/>
      <c r="P23" s="3972">
        <f>ROUND((B23*B14+C23*C14+D23*D14+E23*E14+F14*F23+G14*G23+H14*H23)/((P9+P10+P11+P12+P13)/5),2)</f>
        <v>3.9</v>
      </c>
      <c r="Q23" s="3974"/>
      <c r="R23" s="161"/>
      <c r="S23" s="162"/>
      <c r="T23" s="162"/>
      <c r="U23" s="161"/>
      <c r="V23" s="161"/>
      <c r="W23" s="161"/>
      <c r="X23" s="161"/>
      <c r="Y23" s="161"/>
      <c r="Z23" s="161"/>
    </row>
    <row r="24" spans="1:28" ht="39.75" customHeight="1" x14ac:dyDescent="0.25">
      <c r="A24" s="3025" t="s">
        <v>617</v>
      </c>
      <c r="B24" s="3019"/>
      <c r="C24" s="3019"/>
      <c r="D24" s="3019"/>
      <c r="E24" s="3019"/>
      <c r="F24" s="3026"/>
      <c r="G24" s="3026"/>
      <c r="H24" s="3026"/>
      <c r="I24" s="3026"/>
      <c r="J24" s="3026"/>
      <c r="K24" s="3026"/>
      <c r="L24" s="3026"/>
      <c r="M24" s="3019"/>
      <c r="N24" s="3019"/>
      <c r="O24" s="3019"/>
      <c r="P24" s="3973"/>
      <c r="Q24" s="3975"/>
      <c r="R24" s="164"/>
      <c r="S24" s="161"/>
      <c r="T24" s="161"/>
      <c r="U24" s="161"/>
      <c r="V24" s="161"/>
      <c r="W24" s="161"/>
      <c r="X24" s="161"/>
      <c r="Y24" s="161"/>
      <c r="Z24" s="161"/>
    </row>
    <row r="25" spans="1:28" ht="15.75" thickBot="1" x14ac:dyDescent="0.3">
      <c r="A25" s="3976" t="s">
        <v>3256</v>
      </c>
      <c r="B25" s="3977"/>
      <c r="C25" s="3977"/>
      <c r="D25" s="3977"/>
      <c r="E25" s="3977"/>
      <c r="F25" s="3977"/>
      <c r="G25" s="3977"/>
      <c r="H25" s="3977"/>
      <c r="I25" s="3977"/>
      <c r="J25" s="3977"/>
      <c r="K25" s="3977"/>
      <c r="L25" s="3977"/>
      <c r="M25" s="3977"/>
      <c r="N25" s="3977"/>
      <c r="O25" s="3977"/>
      <c r="P25" s="3977"/>
      <c r="Q25" s="3977"/>
      <c r="R25" s="161"/>
      <c r="S25" s="161"/>
      <c r="T25" s="161"/>
      <c r="U25" s="161"/>
      <c r="V25" s="161"/>
      <c r="W25" s="161"/>
      <c r="X25" s="161"/>
      <c r="Y25" s="161"/>
      <c r="Z25" s="161"/>
    </row>
    <row r="26" spans="1:28" ht="31.5" customHeight="1" x14ac:dyDescent="0.25">
      <c r="A26" s="3038" t="s">
        <v>618</v>
      </c>
      <c r="B26" s="3978" t="s">
        <v>619</v>
      </c>
      <c r="C26" s="3978"/>
      <c r="D26" s="3978"/>
      <c r="E26" s="3978"/>
      <c r="F26" s="3978"/>
      <c r="G26" s="3978"/>
      <c r="H26" s="3978"/>
      <c r="I26" s="3978"/>
      <c r="J26" s="3978"/>
      <c r="K26" s="3978"/>
      <c r="L26" s="3978"/>
      <c r="M26" s="3978"/>
      <c r="N26" s="3978"/>
      <c r="O26" s="3978"/>
      <c r="P26" s="3979" t="s">
        <v>609</v>
      </c>
      <c r="Q26" s="3980"/>
      <c r="R26" s="161"/>
      <c r="S26" s="161"/>
      <c r="T26" s="161"/>
      <c r="U26" s="161"/>
      <c r="V26" s="161"/>
      <c r="W26" s="161"/>
      <c r="X26" s="161"/>
      <c r="Y26" s="161"/>
      <c r="Z26" s="161"/>
    </row>
    <row r="27" spans="1:28" ht="45" x14ac:dyDescent="0.25">
      <c r="A27" s="3039" t="s">
        <v>620</v>
      </c>
      <c r="B27" s="3012">
        <v>10</v>
      </c>
      <c r="C27" s="3040">
        <v>11</v>
      </c>
      <c r="D27" s="3012">
        <v>12</v>
      </c>
      <c r="E27" s="3012">
        <v>1</v>
      </c>
      <c r="F27" s="3012">
        <v>2</v>
      </c>
      <c r="G27" s="3012">
        <v>3</v>
      </c>
      <c r="H27" s="3012">
        <v>4</v>
      </c>
      <c r="I27" s="3012">
        <v>5</v>
      </c>
      <c r="J27" s="3012">
        <v>6</v>
      </c>
      <c r="K27" s="3012">
        <v>7</v>
      </c>
      <c r="L27" s="3012">
        <v>8</v>
      </c>
      <c r="M27" s="3012">
        <v>9</v>
      </c>
      <c r="N27" s="3012">
        <v>11</v>
      </c>
      <c r="O27" s="3012">
        <v>12</v>
      </c>
      <c r="P27" s="3045" t="s">
        <v>610</v>
      </c>
      <c r="Q27" s="3046" t="s">
        <v>611</v>
      </c>
      <c r="R27" s="161"/>
      <c r="S27" s="165"/>
      <c r="T27" s="161"/>
      <c r="U27" s="161"/>
      <c r="V27" s="161"/>
      <c r="W27" s="161"/>
      <c r="X27" s="161"/>
      <c r="Y27" s="161"/>
      <c r="Z27" s="161"/>
    </row>
    <row r="28" spans="1:28" ht="15" x14ac:dyDescent="0.25">
      <c r="A28" s="3041" t="s">
        <v>621</v>
      </c>
      <c r="B28" s="3024">
        <v>0</v>
      </c>
      <c r="C28" s="3024">
        <f>ROUND(C14+8,0)</f>
        <v>30</v>
      </c>
      <c r="D28" s="3024">
        <f>D14</f>
        <v>31</v>
      </c>
      <c r="E28" s="3024">
        <f>E14</f>
        <v>31</v>
      </c>
      <c r="F28" s="3024">
        <f>F14-0.2</f>
        <v>28</v>
      </c>
      <c r="G28" s="3024">
        <f>G14+5.8</f>
        <v>31</v>
      </c>
      <c r="H28" s="3024">
        <f>ROUND(H14,0)</f>
        <v>0</v>
      </c>
      <c r="I28" s="3024">
        <f t="shared" ref="I28:O28" si="0">I14</f>
        <v>0</v>
      </c>
      <c r="J28" s="3024">
        <f t="shared" si="0"/>
        <v>0</v>
      </c>
      <c r="K28" s="3022">
        <f t="shared" si="0"/>
        <v>0</v>
      </c>
      <c r="L28" s="3022">
        <f t="shared" si="0"/>
        <v>0</v>
      </c>
      <c r="M28" s="3022">
        <f t="shared" si="0"/>
        <v>0</v>
      </c>
      <c r="N28" s="3022">
        <f t="shared" si="0"/>
        <v>0</v>
      </c>
      <c r="O28" s="3022">
        <f t="shared" si="0"/>
        <v>0</v>
      </c>
      <c r="P28" s="3042">
        <f>ROUND(SUM(B28:H28),2)</f>
        <v>151</v>
      </c>
      <c r="Q28" s="3043">
        <f>SUM(B28:O28)</f>
        <v>151</v>
      </c>
      <c r="R28" s="161"/>
      <c r="S28" s="161"/>
      <c r="T28" s="161"/>
      <c r="U28" s="161"/>
      <c r="V28" s="161"/>
      <c r="W28" s="161"/>
      <c r="X28" s="161"/>
      <c r="Y28" s="161"/>
      <c r="Z28" s="161"/>
      <c r="AA28" s="161"/>
    </row>
    <row r="29" spans="1:28" ht="15" x14ac:dyDescent="0.25">
      <c r="A29" s="3041" t="s">
        <v>615</v>
      </c>
      <c r="B29" s="3021">
        <f>ROUND(B23,5)</f>
        <v>0</v>
      </c>
      <c r="C29" s="3021">
        <f t="shared" ref="C29:O29" si="1">ROUND(C23,5)</f>
        <v>6.2294600000000004</v>
      </c>
      <c r="D29" s="3021">
        <f t="shared" si="1"/>
        <v>4.2</v>
      </c>
      <c r="E29" s="3021">
        <f t="shared" si="1"/>
        <v>1.6</v>
      </c>
      <c r="F29" s="3021">
        <f>ROUND(F23,5)</f>
        <v>2.9716300000000002</v>
      </c>
      <c r="G29" s="3021">
        <f t="shared" si="1"/>
        <v>5.2618999999999998</v>
      </c>
      <c r="H29" s="3021">
        <f t="shared" si="1"/>
        <v>7.7</v>
      </c>
      <c r="I29" s="3021">
        <f>ROUND(I23,5)</f>
        <v>0</v>
      </c>
      <c r="J29" s="3021">
        <f t="shared" si="1"/>
        <v>0</v>
      </c>
      <c r="K29" s="3021">
        <f t="shared" si="1"/>
        <v>0</v>
      </c>
      <c r="L29" s="3021">
        <f t="shared" si="1"/>
        <v>0</v>
      </c>
      <c r="M29" s="3021">
        <f t="shared" si="1"/>
        <v>0</v>
      </c>
      <c r="N29" s="3021">
        <f t="shared" si="1"/>
        <v>0</v>
      </c>
      <c r="O29" s="3021">
        <f t="shared" si="1"/>
        <v>0</v>
      </c>
      <c r="P29" s="3042">
        <f>ROUND((B29*B28+C29*C28+D29*D28+E29*E28+F28*F29+G28*G29+H28*H29)/SUM(B28:H28),2)</f>
        <v>4.0599999999999996</v>
      </c>
      <c r="Q29" s="3044">
        <f>(B29*B28+C29*C28+D29*D28+E29*E28+M29*M28+N29*N28+O29*O28+F29*F28+G29*G28+H29*H28+I29*I28+J29*J28+K29*K28+L29*L28)/SUM(B28:O28)</f>
        <v>4.0596578807947026</v>
      </c>
      <c r="R29" s="161"/>
      <c r="S29" s="161"/>
      <c r="T29" s="161"/>
      <c r="U29" s="161"/>
      <c r="V29" s="161"/>
      <c r="W29" s="161"/>
      <c r="X29" s="161"/>
      <c r="Y29" s="161"/>
      <c r="Z29" s="161"/>
      <c r="AA29" s="161"/>
    </row>
    <row r="30" spans="1:28" ht="26.25" customHeight="1" x14ac:dyDescent="0.25">
      <c r="A30" s="3045" t="s">
        <v>622</v>
      </c>
      <c r="B30" s="3024">
        <f>B28</f>
        <v>0</v>
      </c>
      <c r="C30" s="3024">
        <f t="shared" ref="C30:H30" si="2">C28</f>
        <v>30</v>
      </c>
      <c r="D30" s="3024">
        <f t="shared" si="2"/>
        <v>31</v>
      </c>
      <c r="E30" s="3024">
        <f t="shared" si="2"/>
        <v>31</v>
      </c>
      <c r="F30" s="3024">
        <f t="shared" si="2"/>
        <v>28</v>
      </c>
      <c r="G30" s="3024">
        <f t="shared" si="2"/>
        <v>31</v>
      </c>
      <c r="H30" s="3024">
        <f t="shared" si="2"/>
        <v>0</v>
      </c>
      <c r="I30" s="3024">
        <f t="shared" ref="I30:O30" si="3">I14</f>
        <v>0</v>
      </c>
      <c r="J30" s="3022">
        <f t="shared" si="3"/>
        <v>0</v>
      </c>
      <c r="K30" s="3022">
        <f t="shared" si="3"/>
        <v>0</v>
      </c>
      <c r="L30" s="3022">
        <f t="shared" si="3"/>
        <v>0</v>
      </c>
      <c r="M30" s="3022">
        <f t="shared" si="3"/>
        <v>0</v>
      </c>
      <c r="N30" s="3022">
        <f t="shared" si="3"/>
        <v>0</v>
      </c>
      <c r="O30" s="3022">
        <f t="shared" si="3"/>
        <v>0</v>
      </c>
      <c r="P30" s="3972">
        <f>ROUND((B30*B29+C30*C29+D30*D29+E30*E29+F29*F30+G29*G30+H29*H30)/SUM(B30:H30),10)</f>
        <v>4.0596578807999997</v>
      </c>
      <c r="Q30" s="3981" t="s">
        <v>623</v>
      </c>
      <c r="R30" s="161"/>
      <c r="S30" s="161"/>
      <c r="T30" s="161"/>
      <c r="U30" s="161"/>
      <c r="V30" s="166"/>
      <c r="W30" s="167"/>
      <c r="X30" s="161"/>
      <c r="Y30" s="161"/>
      <c r="Z30" s="166"/>
      <c r="AA30" s="168"/>
    </row>
    <row r="31" spans="1:28" ht="29.25" customHeight="1" x14ac:dyDescent="0.25">
      <c r="A31" s="3045" t="s">
        <v>624</v>
      </c>
      <c r="B31" s="3019"/>
      <c r="C31" s="3019"/>
      <c r="D31" s="3019"/>
      <c r="E31" s="3035"/>
      <c r="F31" s="3035"/>
      <c r="G31" s="3035"/>
      <c r="H31" s="3035"/>
      <c r="I31" s="3035"/>
      <c r="J31" s="3035"/>
      <c r="K31" s="3035"/>
      <c r="L31" s="3035"/>
      <c r="M31" s="3035"/>
      <c r="N31" s="3020"/>
      <c r="O31" s="3019"/>
      <c r="P31" s="3973"/>
      <c r="Q31" s="3982"/>
      <c r="R31" s="2475">
        <f>(P23-P30)/P30</f>
        <v>-3.9327915181004723E-2</v>
      </c>
      <c r="S31" s="161"/>
      <c r="T31" s="161"/>
      <c r="U31" s="161"/>
      <c r="V31" s="3968"/>
      <c r="W31" s="3968"/>
      <c r="X31" s="3968"/>
      <c r="Y31" s="3968"/>
      <c r="Z31" s="3968"/>
      <c r="AA31" s="3968"/>
      <c r="AB31" s="3968"/>
    </row>
    <row r="32" spans="1:28" ht="15" x14ac:dyDescent="0.25">
      <c r="A32" s="3969" t="s">
        <v>625</v>
      </c>
      <c r="B32" s="3970"/>
      <c r="C32" s="3970"/>
      <c r="D32" s="3970"/>
      <c r="E32" s="3970"/>
      <c r="F32" s="3970"/>
      <c r="G32" s="3970"/>
      <c r="H32" s="3970"/>
      <c r="I32" s="3970"/>
      <c r="J32" s="3970"/>
      <c r="K32" s="3970"/>
      <c r="L32" s="3970"/>
      <c r="M32" s="3970"/>
      <c r="N32" s="3970"/>
      <c r="O32" s="3970"/>
      <c r="P32" s="3970"/>
      <c r="Q32" s="3971"/>
      <c r="R32" s="161"/>
      <c r="S32" s="161"/>
      <c r="T32" s="161"/>
      <c r="U32" s="161"/>
      <c r="V32" s="161"/>
      <c r="W32" s="161"/>
      <c r="X32" s="161"/>
      <c r="Y32" s="161"/>
      <c r="Z32" s="161"/>
    </row>
    <row r="33" spans="1:26" ht="15" x14ac:dyDescent="0.25">
      <c r="A33" s="3008"/>
      <c r="B33" s="3008"/>
      <c r="C33" s="3008"/>
      <c r="D33" s="3008"/>
      <c r="E33" s="3008"/>
      <c r="F33" s="3008"/>
      <c r="G33" s="3008"/>
      <c r="H33" s="3008"/>
      <c r="I33" s="3008"/>
      <c r="J33" s="3008" t="s">
        <v>861</v>
      </c>
      <c r="K33" s="3008"/>
      <c r="L33" s="3008"/>
      <c r="M33" s="3008"/>
      <c r="N33" s="3008"/>
      <c r="O33" s="3008"/>
      <c r="P33" s="3008"/>
      <c r="Q33" s="3008"/>
      <c r="R33" s="161"/>
      <c r="S33" s="161"/>
      <c r="T33" s="161"/>
      <c r="U33" s="161"/>
      <c r="V33" s="161"/>
      <c r="W33" s="161"/>
      <c r="X33" s="161"/>
      <c r="Y33" s="161"/>
      <c r="Z33" s="161"/>
    </row>
    <row r="34" spans="1:26" ht="15" x14ac:dyDescent="0.25">
      <c r="A34" s="3008"/>
      <c r="B34" s="3008"/>
      <c r="C34" s="3008" t="s">
        <v>3433</v>
      </c>
      <c r="D34" s="3008"/>
      <c r="E34" s="3008"/>
      <c r="F34" s="3008"/>
      <c r="G34" s="3008"/>
      <c r="H34" s="3008"/>
      <c r="I34" s="3008"/>
      <c r="J34" s="3008"/>
      <c r="K34" s="3008"/>
      <c r="L34" s="3008"/>
      <c r="M34" s="3008" t="s">
        <v>3434</v>
      </c>
      <c r="N34" s="3008"/>
      <c r="O34" s="3008"/>
      <c r="P34" s="3008"/>
      <c r="Q34" s="3008"/>
      <c r="R34" s="161"/>
      <c r="S34" s="161"/>
      <c r="T34" s="161"/>
      <c r="U34" s="161"/>
      <c r="V34" s="161"/>
      <c r="W34" s="161"/>
      <c r="X34" s="161"/>
      <c r="Y34" s="161"/>
      <c r="Z34" s="161"/>
    </row>
    <row r="35" spans="1:26" ht="13.5" customHeight="1" x14ac:dyDescent="0.25">
      <c r="A35" s="3008"/>
      <c r="B35" s="3008"/>
      <c r="C35" s="3008"/>
      <c r="D35" s="3008"/>
      <c r="E35" s="3008"/>
      <c r="F35" s="3008"/>
      <c r="G35" s="3008"/>
      <c r="H35" s="3008"/>
      <c r="I35" s="3008"/>
      <c r="J35" s="3008"/>
      <c r="K35" s="3008"/>
      <c r="L35" s="3008"/>
      <c r="M35" s="3008"/>
      <c r="N35" s="3008"/>
      <c r="O35" s="3008"/>
      <c r="P35" s="3008"/>
      <c r="Q35" s="3008"/>
      <c r="R35" s="161"/>
      <c r="S35" s="161"/>
      <c r="T35" s="161"/>
      <c r="U35" s="161"/>
      <c r="V35" s="161"/>
      <c r="W35" s="161"/>
      <c r="X35" s="161"/>
      <c r="Y35" s="161"/>
      <c r="Z35" s="161"/>
    </row>
    <row r="36" spans="1:26" ht="15" x14ac:dyDescent="0.25">
      <c r="A36" s="3008"/>
      <c r="B36" s="3008"/>
      <c r="C36" s="3008"/>
      <c r="D36" s="3008"/>
      <c r="E36" s="3008"/>
      <c r="F36" s="3008"/>
      <c r="G36" s="3008"/>
      <c r="H36" s="3008"/>
      <c r="I36" s="3008"/>
      <c r="J36" s="3008"/>
      <c r="K36" s="3008"/>
      <c r="L36" s="3008"/>
      <c r="M36" s="3008"/>
      <c r="N36" s="3008"/>
      <c r="O36" s="3008"/>
      <c r="P36" s="3008"/>
      <c r="Q36" s="3008"/>
      <c r="R36" s="161"/>
      <c r="S36" s="161"/>
      <c r="T36" s="161"/>
      <c r="U36" s="161"/>
      <c r="V36" s="161"/>
      <c r="W36" s="161"/>
      <c r="X36" s="161"/>
      <c r="Y36" s="161"/>
      <c r="Z36" s="161"/>
    </row>
    <row r="37" spans="1:26" ht="15" x14ac:dyDescent="0.25">
      <c r="A37" s="3047" t="s">
        <v>3367</v>
      </c>
      <c r="B37" s="3008"/>
      <c r="C37" s="3008"/>
      <c r="D37" s="3008"/>
      <c r="E37" s="3008"/>
      <c r="F37" s="3008"/>
      <c r="G37" s="3008"/>
      <c r="H37" s="3008"/>
      <c r="I37" s="3008"/>
      <c r="J37" s="3008"/>
      <c r="K37" s="3008"/>
      <c r="L37" s="3008"/>
      <c r="M37" s="3008"/>
      <c r="N37" s="3008"/>
      <c r="O37" s="3008"/>
      <c r="P37" s="3008"/>
      <c r="Q37" s="3008"/>
      <c r="R37" s="161"/>
      <c r="S37" s="161"/>
      <c r="T37" s="161"/>
      <c r="U37" s="161"/>
      <c r="V37" s="161"/>
      <c r="W37" s="161"/>
      <c r="X37" s="161"/>
      <c r="Y37" s="161"/>
      <c r="Z37" s="161"/>
    </row>
    <row r="38" spans="1:26" ht="14.25" x14ac:dyDescent="0.2">
      <c r="A38" s="161"/>
      <c r="B38" s="161"/>
      <c r="C38" s="161"/>
      <c r="D38" s="161"/>
      <c r="E38" s="161"/>
      <c r="F38" s="161"/>
      <c r="G38" s="161"/>
      <c r="H38" s="161"/>
      <c r="I38" s="161"/>
      <c r="J38" s="161"/>
      <c r="K38" s="161"/>
      <c r="L38" s="161"/>
      <c r="M38" s="161"/>
      <c r="N38" s="161"/>
      <c r="O38" s="161"/>
      <c r="P38" s="161"/>
      <c r="Q38" s="161"/>
      <c r="R38" s="161"/>
      <c r="S38" s="161"/>
      <c r="T38" s="161"/>
      <c r="U38" s="161"/>
      <c r="V38" s="161"/>
      <c r="W38" s="161"/>
      <c r="X38" s="161"/>
      <c r="Y38" s="161"/>
      <c r="Z38" s="161"/>
    </row>
    <row r="39" spans="1:26" ht="14.25" x14ac:dyDescent="0.2">
      <c r="A39" s="161"/>
      <c r="B39" s="161"/>
      <c r="C39" s="161"/>
      <c r="D39" s="161"/>
      <c r="E39" s="161"/>
      <c r="F39" s="161"/>
      <c r="G39" s="161"/>
      <c r="H39" s="161"/>
      <c r="I39" s="161"/>
      <c r="J39" s="161"/>
      <c r="K39" s="161"/>
      <c r="L39" s="161"/>
      <c r="M39" s="161"/>
      <c r="N39" s="161"/>
      <c r="O39" s="161"/>
      <c r="P39" s="161"/>
      <c r="Q39" s="161"/>
      <c r="R39" s="161"/>
      <c r="S39" s="161"/>
      <c r="T39" s="161"/>
      <c r="U39" s="161"/>
      <c r="V39" s="161"/>
      <c r="W39" s="161"/>
      <c r="X39" s="161"/>
      <c r="Y39" s="161"/>
      <c r="Z39" s="161"/>
    </row>
    <row r="40" spans="1:26" ht="14.25" x14ac:dyDescent="0.2">
      <c r="A40" s="161"/>
      <c r="B40" s="161"/>
      <c r="C40" s="161"/>
      <c r="D40" s="161"/>
      <c r="E40" s="161"/>
      <c r="F40" s="161"/>
      <c r="G40" s="161"/>
      <c r="H40" s="161"/>
      <c r="I40" s="161"/>
      <c r="J40" s="161"/>
      <c r="K40" s="161"/>
      <c r="L40" s="161"/>
      <c r="M40" s="161"/>
      <c r="N40" s="161"/>
      <c r="O40" s="161"/>
      <c r="P40" s="161"/>
      <c r="Q40" s="161"/>
      <c r="R40" s="161"/>
      <c r="S40" s="161"/>
      <c r="T40" s="161"/>
      <c r="U40" s="161"/>
      <c r="V40" s="161"/>
      <c r="W40" s="161"/>
      <c r="X40" s="161"/>
      <c r="Y40" s="161"/>
      <c r="Z40" s="161"/>
    </row>
    <row r="41" spans="1:26" ht="14.25" x14ac:dyDescent="0.2">
      <c r="A41" s="161"/>
      <c r="B41" s="161"/>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61"/>
    </row>
    <row r="42" spans="1:26" ht="14.25" x14ac:dyDescent="0.2">
      <c r="A42" s="161"/>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row>
    <row r="43" spans="1:26" ht="14.25" x14ac:dyDescent="0.2">
      <c r="A43" s="161"/>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row>
    <row r="44" spans="1:26" ht="14.25" x14ac:dyDescent="0.2">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row>
    <row r="45" spans="1:26" ht="14.25" x14ac:dyDescent="0.2">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row>
  </sheetData>
  <mergeCells count="15">
    <mergeCell ref="A6:Q6"/>
    <mergeCell ref="B16:O16"/>
    <mergeCell ref="B7:O7"/>
    <mergeCell ref="P7:Q7"/>
    <mergeCell ref="P14:P15"/>
    <mergeCell ref="Q14:Q15"/>
    <mergeCell ref="V31:AB31"/>
    <mergeCell ref="A32:Q32"/>
    <mergeCell ref="P23:P24"/>
    <mergeCell ref="Q23:Q24"/>
    <mergeCell ref="A25:Q25"/>
    <mergeCell ref="B26:O26"/>
    <mergeCell ref="P26:Q26"/>
    <mergeCell ref="P30:P31"/>
    <mergeCell ref="Q30:Q31"/>
  </mergeCells>
  <pageMargins left="1.2204724409448819" right="0.35433070866141736" top="0.55118110236220474" bottom="0.39370078740157483" header="0.62992125984251968" footer="0.31496062992125984"/>
  <pageSetup paperSize="9" scale="70" orientation="landscape" r:id="rId1"/>
  <rowBreaks count="1" manualBreakCount="1">
    <brk id="39" max="16383" man="1"/>
  </rowBreaks>
  <colBreaks count="1" manualBreakCount="1">
    <brk id="17" max="1048575" man="1"/>
  </col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V210"/>
  <sheetViews>
    <sheetView view="pageBreakPreview" zoomScale="60" zoomScaleNormal="93" workbookViewId="0">
      <selection activeCell="E168" sqref="E168"/>
    </sheetView>
  </sheetViews>
  <sheetFormatPr defaultColWidth="9.140625" defaultRowHeight="15.75" x14ac:dyDescent="0.25"/>
  <cols>
    <col min="1" max="1" width="4.7109375" style="457" customWidth="1"/>
    <col min="2" max="2" width="62.42578125" style="457" customWidth="1"/>
    <col min="3" max="3" width="14.42578125" style="457" customWidth="1"/>
    <col min="4" max="5" width="13.85546875" style="457" customWidth="1"/>
    <col min="6" max="6" width="17.140625" style="457" customWidth="1"/>
    <col min="7" max="7" width="20" style="457" customWidth="1"/>
    <col min="8" max="8" width="17.5703125" style="457" customWidth="1"/>
    <col min="9" max="9" width="16.85546875" style="457" customWidth="1"/>
    <col min="10" max="10" width="14" style="457" customWidth="1"/>
    <col min="11" max="11" width="18.7109375" style="3199" customWidth="1"/>
    <col min="12" max="12" width="21.7109375" style="3200" customWidth="1"/>
    <col min="13" max="13" width="33.5703125" style="457" customWidth="1"/>
    <col min="14" max="14" width="13.42578125" style="457" customWidth="1"/>
    <col min="15" max="15" width="20.28515625" style="457" customWidth="1"/>
    <col min="16" max="16" width="13.7109375" style="457" bestFit="1" customWidth="1"/>
    <col min="17" max="17" width="16.42578125" style="457" bestFit="1" customWidth="1"/>
    <col min="18" max="18" width="13.7109375" style="457" customWidth="1"/>
    <col min="19" max="19" width="13.5703125" style="457" bestFit="1" customWidth="1"/>
    <col min="20" max="20" width="9.140625" style="457"/>
    <col min="21" max="22" width="9.5703125" style="457" bestFit="1" customWidth="1"/>
    <col min="23" max="16384" width="9.140625" style="457"/>
  </cols>
  <sheetData>
    <row r="1" spans="2:17" x14ac:dyDescent="0.25">
      <c r="M1" s="3200"/>
      <c r="Q1" s="2050"/>
    </row>
    <row r="2" spans="2:17" ht="18.75" x14ac:dyDescent="0.3">
      <c r="B2" s="3201"/>
      <c r="I2" s="3202" t="s">
        <v>835</v>
      </c>
      <c r="L2" s="457"/>
      <c r="M2" s="2506"/>
      <c r="N2" s="2050"/>
      <c r="O2" s="2050"/>
      <c r="P2" s="2050"/>
    </row>
    <row r="3" spans="2:17" ht="18" customHeight="1" x14ac:dyDescent="0.25">
      <c r="I3" s="457" t="str">
        <f>'Вхідні дані'!F1</f>
        <v>станом на 01.08.2023 року</v>
      </c>
      <c r="L3" s="2506"/>
    </row>
    <row r="4" spans="2:17" ht="19.5" x14ac:dyDescent="0.3">
      <c r="B4" s="3203" t="s">
        <v>1605</v>
      </c>
      <c r="C4" s="3204"/>
      <c r="D4" s="3205" t="str">
        <f>'Вхідні дані'!$F$5</f>
        <v>ЧФ ДП "АМПУ"</v>
      </c>
      <c r="E4" s="3205"/>
      <c r="F4" s="3205"/>
      <c r="G4" s="3205" t="s">
        <v>461</v>
      </c>
      <c r="H4" s="3205" t="str">
        <f>'Вхідні дані'!$F$6</f>
        <v>2023-2024</v>
      </c>
      <c r="I4" s="3205" t="s">
        <v>648</v>
      </c>
      <c r="J4" s="3206"/>
      <c r="K4" s="3207"/>
      <c r="L4" s="3208"/>
    </row>
    <row r="5" spans="2:17" ht="18.75" x14ac:dyDescent="0.3">
      <c r="B5" s="3206"/>
      <c r="F5" s="3209"/>
      <c r="G5" s="3210"/>
      <c r="H5" s="3210"/>
      <c r="I5" s="3210"/>
      <c r="J5" s="3210"/>
      <c r="K5" s="3207"/>
      <c r="L5" s="3208"/>
    </row>
    <row r="6" spans="2:17" ht="19.5" thickBot="1" x14ac:dyDescent="0.35">
      <c r="B6" s="3211" t="s">
        <v>2135</v>
      </c>
      <c r="F6" s="3212">
        <f>SUM(G6:J6)</f>
        <v>1</v>
      </c>
      <c r="G6" s="3212">
        <f>КОНТРОЛЬ!K43</f>
        <v>0</v>
      </c>
      <c r="H6" s="3212">
        <f>КОНТРОЛЬ!K44</f>
        <v>0</v>
      </c>
      <c r="I6" s="3212">
        <f>КОНТРОЛЬ!K45</f>
        <v>0</v>
      </c>
      <c r="J6" s="3212">
        <f>КОНТРОЛЬ!K46</f>
        <v>1</v>
      </c>
      <c r="K6" s="457"/>
      <c r="L6" s="3213"/>
    </row>
    <row r="7" spans="2:17" ht="19.5" thickBot="1" x14ac:dyDescent="0.25">
      <c r="B7" s="3994" t="s">
        <v>2379</v>
      </c>
      <c r="C7" s="3214" t="s">
        <v>963</v>
      </c>
      <c r="D7" s="3214" t="s">
        <v>963</v>
      </c>
      <c r="E7" s="3214" t="s">
        <v>973</v>
      </c>
      <c r="F7" s="3214" t="s">
        <v>964</v>
      </c>
      <c r="G7" s="3996" t="s">
        <v>938</v>
      </c>
      <c r="H7" s="3997"/>
      <c r="I7" s="3997"/>
      <c r="J7" s="3998"/>
      <c r="K7" s="3215"/>
      <c r="L7" s="3216"/>
    </row>
    <row r="8" spans="2:17" ht="50.25" thickBot="1" x14ac:dyDescent="0.25">
      <c r="B8" s="3995"/>
      <c r="C8" s="3214">
        <f>'Вхідні дані'!$F$8</f>
        <v>2021</v>
      </c>
      <c r="D8" s="3214">
        <f>'Вхідні дані'!$F$7</f>
        <v>2022</v>
      </c>
      <c r="E8" s="3217" t="str">
        <f>'Вхідні дані'!$F$9</f>
        <v xml:space="preserve">Ріш. № 297 від 25.10.2022 </v>
      </c>
      <c r="F8" s="3214" t="str">
        <f>'Вхідні дані'!$F$6</f>
        <v>2023-2024</v>
      </c>
      <c r="G8" s="3218" t="str">
        <f>'Вхідні дані'!$C$11</f>
        <v>населення</v>
      </c>
      <c r="H8" s="3218" t="str">
        <f>'Вхідні дані'!$D$11</f>
        <v>релігія</v>
      </c>
      <c r="I8" s="3218" t="str">
        <f>'Вхідні дані'!$E$11</f>
        <v>бюджетні установи</v>
      </c>
      <c r="J8" s="3218" t="str">
        <f>'Вхідні дані'!$F$11</f>
        <v>інші споживачі</v>
      </c>
      <c r="K8" s="3215"/>
      <c r="L8" s="3219"/>
    </row>
    <row r="9" spans="2:17" ht="37.5" x14ac:dyDescent="0.3">
      <c r="B9" s="3220" t="s">
        <v>1622</v>
      </c>
      <c r="C9" s="468">
        <f t="shared" ref="C9" si="0">C10+C28+C30</f>
        <v>37690.845695999997</v>
      </c>
      <c r="D9" s="468">
        <f t="shared" ref="D9:J9" si="1">D10+D28+D30</f>
        <v>41665.44953999998</v>
      </c>
      <c r="E9" s="468">
        <f>E10+E28+E30</f>
        <v>67516.94</v>
      </c>
      <c r="F9" s="468">
        <f t="shared" si="1"/>
        <v>19934.384574720101</v>
      </c>
      <c r="G9" s="468">
        <f t="shared" si="1"/>
        <v>0</v>
      </c>
      <c r="H9" s="468">
        <f t="shared" si="1"/>
        <v>0</v>
      </c>
      <c r="I9" s="468">
        <f t="shared" si="1"/>
        <v>0</v>
      </c>
      <c r="J9" s="468">
        <f t="shared" si="1"/>
        <v>19934.384574720101</v>
      </c>
      <c r="K9" s="3221"/>
      <c r="L9" s="3222"/>
      <c r="N9" s="2050"/>
    </row>
    <row r="10" spans="2:17" ht="18.75" x14ac:dyDescent="0.3">
      <c r="B10" s="3223" t="s">
        <v>1596</v>
      </c>
      <c r="C10" s="1475">
        <f t="shared" ref="C10" si="2">SUM(C11:C27)-C12-C13-C14</f>
        <v>26999.075995999996</v>
      </c>
      <c r="D10" s="1475">
        <f t="shared" ref="D10:J10" si="3">SUM(D11:D27)-D12-D13-D14</f>
        <v>34406.110289999975</v>
      </c>
      <c r="E10" s="1475">
        <f t="shared" si="3"/>
        <v>55382.93</v>
      </c>
      <c r="F10" s="1475">
        <f t="shared" si="3"/>
        <v>11700.1908266641</v>
      </c>
      <c r="G10" s="1475">
        <f t="shared" si="3"/>
        <v>0</v>
      </c>
      <c r="H10" s="1475">
        <f t="shared" si="3"/>
        <v>0</v>
      </c>
      <c r="I10" s="1475">
        <f t="shared" si="3"/>
        <v>0</v>
      </c>
      <c r="J10" s="1475">
        <f t="shared" si="3"/>
        <v>11700.1908266641</v>
      </c>
      <c r="K10" s="3221"/>
      <c r="L10" s="3222"/>
      <c r="N10" s="2050"/>
    </row>
    <row r="11" spans="2:17" ht="37.5" x14ac:dyDescent="0.3">
      <c r="B11" s="3224" t="s">
        <v>1849</v>
      </c>
      <c r="C11" s="474">
        <f>C12+C13+C14</f>
        <v>26361.535099999997</v>
      </c>
      <c r="D11" s="474">
        <f>SUM(D12:D14)</f>
        <v>34017.8249</v>
      </c>
      <c r="E11" s="474">
        <f>SUM(E12:E14)</f>
        <v>54631.040000000001</v>
      </c>
      <c r="F11" s="474">
        <f>SUM(G11:J11)</f>
        <v>11323.637583522617</v>
      </c>
      <c r="G11" s="474">
        <f>'Д 8_Паливо'!I48</f>
        <v>0</v>
      </c>
      <c r="H11" s="474">
        <f>'Д 8_Паливо'!I49</f>
        <v>0</v>
      </c>
      <c r="I11" s="474">
        <f>'Д 8_Паливо'!I30</f>
        <v>0</v>
      </c>
      <c r="J11" s="474">
        <f>'Д 8_Паливо'!I31</f>
        <v>11323.637583522617</v>
      </c>
      <c r="K11" s="3225" t="s">
        <v>1624</v>
      </c>
      <c r="L11" s="3226"/>
      <c r="M11" s="457">
        <f>F11*I6</f>
        <v>0</v>
      </c>
      <c r="N11" s="2050"/>
      <c r="O11" s="873"/>
    </row>
    <row r="12" spans="2:17" ht="18.75" x14ac:dyDescent="0.3">
      <c r="B12" s="3227" t="s">
        <v>440</v>
      </c>
      <c r="C12" s="474">
        <f>24699193.24/1000</f>
        <v>24699.193239999997</v>
      </c>
      <c r="D12" s="474">
        <f>31922780.02/1000</f>
        <v>31922.780019999998</v>
      </c>
      <c r="E12" s="474">
        <v>52940.37</v>
      </c>
      <c r="F12" s="474">
        <f>SUM(G12:J12)</f>
        <v>10876.769957878316</v>
      </c>
      <c r="G12" s="474">
        <f>'Д 8_Паливо'!I11</f>
        <v>0</v>
      </c>
      <c r="H12" s="474">
        <f>'Д 8_Паливо'!I12</f>
        <v>0</v>
      </c>
      <c r="I12" s="474">
        <f>'Д 8_Паливо'!I13</f>
        <v>0</v>
      </c>
      <c r="J12" s="474">
        <f>'Д 8_Паливо'!I14</f>
        <v>10876.769957878316</v>
      </c>
      <c r="K12" s="3225" t="s">
        <v>1624</v>
      </c>
      <c r="L12" s="3222"/>
      <c r="N12" s="2050"/>
      <c r="O12" s="873"/>
    </row>
    <row r="13" spans="2:17" ht="18.75" x14ac:dyDescent="0.3">
      <c r="B13" s="3227" t="s">
        <v>1850</v>
      </c>
      <c r="C13" s="474">
        <f>215837.5/1000</f>
        <v>215.83750000000001</v>
      </c>
      <c r="D13" s="474">
        <f>81103.12/1000</f>
        <v>81.10311999999999</v>
      </c>
      <c r="E13" s="474">
        <v>236.45</v>
      </c>
      <c r="F13" s="474">
        <f>SUM(G13:J13)</f>
        <v>49.758825604933058</v>
      </c>
      <c r="G13" s="474">
        <f>'Д 8_Паливо'!I17</f>
        <v>0</v>
      </c>
      <c r="H13" s="474">
        <f>'Д 8_Паливо'!I18</f>
        <v>0</v>
      </c>
      <c r="I13" s="474">
        <f>'Д 8_Паливо'!I19</f>
        <v>0</v>
      </c>
      <c r="J13" s="474">
        <f>'Д 8_Паливо'!I20</f>
        <v>49.758825604933058</v>
      </c>
      <c r="K13" s="3225" t="s">
        <v>1624</v>
      </c>
      <c r="L13" s="3222"/>
      <c r="N13" s="2050"/>
      <c r="O13" s="873"/>
    </row>
    <row r="14" spans="2:17" ht="18.75" x14ac:dyDescent="0.3">
      <c r="B14" s="3227" t="s">
        <v>1851</v>
      </c>
      <c r="C14" s="474">
        <f>1446504.36/1000</f>
        <v>1446.5043600000001</v>
      </c>
      <c r="D14" s="474">
        <f>2013941.76/1000</f>
        <v>2013.9417599999999</v>
      </c>
      <c r="E14" s="474">
        <v>1454.22</v>
      </c>
      <c r="F14" s="474">
        <f>SUM(G14:J14)</f>
        <v>397.1088000393691</v>
      </c>
      <c r="G14" s="474">
        <f>'Д 8_Паливо'!I23</f>
        <v>0</v>
      </c>
      <c r="H14" s="474">
        <f>'Д 8_Паливо'!I24</f>
        <v>0</v>
      </c>
      <c r="I14" s="474">
        <f>'Д 8_Паливо'!I25</f>
        <v>0</v>
      </c>
      <c r="J14" s="474">
        <f>'Д 8_Паливо'!I26</f>
        <v>397.1088000393691</v>
      </c>
      <c r="K14" s="3225" t="s">
        <v>1624</v>
      </c>
      <c r="L14" s="3228"/>
      <c r="N14" s="2050"/>
      <c r="O14" s="873"/>
    </row>
    <row r="15" spans="2:17" ht="19.5" customHeight="1" x14ac:dyDescent="0.3">
      <c r="B15" s="3224" t="s">
        <v>1950</v>
      </c>
      <c r="C15" s="474">
        <f>395668.996/1000</f>
        <v>395.66899599999999</v>
      </c>
      <c r="D15" s="474">
        <f>229169.52/1000</f>
        <v>229.16951999999998</v>
      </c>
      <c r="E15" s="474">
        <v>466.11</v>
      </c>
      <c r="F15" s="3602">
        <f>'Д 9_ЕЕ'!D25</f>
        <v>195.55061826148037</v>
      </c>
      <c r="G15" s="474">
        <f t="shared" ref="G15:G20" si="4">F15*$G$6</f>
        <v>0</v>
      </c>
      <c r="H15" s="474">
        <f t="shared" ref="H15:H20" si="5">F15*$H$6</f>
        <v>0</v>
      </c>
      <c r="I15" s="474">
        <f>F15*$I$6</f>
        <v>0</v>
      </c>
      <c r="J15" s="474">
        <f t="shared" ref="J15:J20" si="6">F15*$J$6</f>
        <v>195.55061826148037</v>
      </c>
      <c r="K15" s="3225" t="s">
        <v>1625</v>
      </c>
      <c r="L15" s="3222"/>
      <c r="N15" s="2050"/>
      <c r="O15" s="873"/>
    </row>
    <row r="16" spans="2:17" ht="37.5" x14ac:dyDescent="0.3">
      <c r="B16" s="3224" t="s">
        <v>1623</v>
      </c>
      <c r="C16" s="474">
        <f>(15526.8+35493.1)/1000</f>
        <v>51.019899999999993</v>
      </c>
      <c r="D16" s="474">
        <f>29322.91/1000</f>
        <v>29.32291</v>
      </c>
      <c r="E16" s="474">
        <v>38.79</v>
      </c>
      <c r="F16" s="474">
        <f>([37]Лист1!$F$23+[37]Лист1!$G$23)*'Вхідні дані'!D77</f>
        <v>35.642039999999994</v>
      </c>
      <c r="G16" s="474">
        <f t="shared" si="4"/>
        <v>0</v>
      </c>
      <c r="H16" s="474">
        <f t="shared" si="5"/>
        <v>0</v>
      </c>
      <c r="I16" s="474">
        <f t="shared" ref="I16:I20" si="7">F16*$I$6</f>
        <v>0</v>
      </c>
      <c r="J16" s="474">
        <f t="shared" si="6"/>
        <v>35.642039999999994</v>
      </c>
      <c r="K16" s="3229" t="s">
        <v>1818</v>
      </c>
      <c r="L16" s="3226"/>
      <c r="N16" s="2050"/>
      <c r="O16" s="873"/>
    </row>
    <row r="17" spans="1:17" ht="18.75" x14ac:dyDescent="0.3">
      <c r="B17" s="3224" t="s">
        <v>1626</v>
      </c>
      <c r="C17" s="3230">
        <f>22007.18/1000</f>
        <v>22.007180000000002</v>
      </c>
      <c r="D17" s="3230">
        <f>13477.5/1000</f>
        <v>13.477499999999999</v>
      </c>
      <c r="E17" s="3230">
        <v>19.39</v>
      </c>
      <c r="F17" s="474">
        <f>13*1491.25/1000*'Вхідні дані'!D77</f>
        <v>20.491266249999999</v>
      </c>
      <c r="G17" s="474">
        <f t="shared" si="4"/>
        <v>0</v>
      </c>
      <c r="H17" s="474">
        <f t="shared" si="5"/>
        <v>0</v>
      </c>
      <c r="I17" s="474">
        <f>F17*$I$6</f>
        <v>0</v>
      </c>
      <c r="J17" s="474">
        <f t="shared" si="6"/>
        <v>20.491266249999999</v>
      </c>
      <c r="K17" s="3229" t="s">
        <v>1646</v>
      </c>
      <c r="N17" s="2050"/>
      <c r="O17" s="873"/>
      <c r="P17" s="3231"/>
    </row>
    <row r="18" spans="1:17" ht="18.75" x14ac:dyDescent="0.3">
      <c r="B18" s="3224" t="s">
        <v>965</v>
      </c>
      <c r="C18" s="3230">
        <f>5591.72/1000</f>
        <v>5.5917200000000005</v>
      </c>
      <c r="D18" s="3230">
        <f>1137.87/1000</f>
        <v>1.1378699999999999</v>
      </c>
      <c r="E18" s="3230">
        <v>57.1</v>
      </c>
      <c r="F18" s="3232">
        <f>([38]Лист1!$E$4+[38]Лист1!$E$5)/1000*'Вхідні дані'!D77</f>
        <v>3.1266060000000002</v>
      </c>
      <c r="G18" s="474">
        <f t="shared" si="4"/>
        <v>0</v>
      </c>
      <c r="H18" s="474">
        <f t="shared" si="5"/>
        <v>0</v>
      </c>
      <c r="I18" s="474">
        <f t="shared" si="7"/>
        <v>0</v>
      </c>
      <c r="J18" s="474">
        <f t="shared" si="6"/>
        <v>3.1266060000000002</v>
      </c>
      <c r="K18" s="3229" t="s">
        <v>945</v>
      </c>
      <c r="N18" s="2050"/>
      <c r="O18" s="873"/>
    </row>
    <row r="19" spans="1:17" ht="18.75" x14ac:dyDescent="0.3">
      <c r="B19" s="3224" t="s">
        <v>966</v>
      </c>
      <c r="C19" s="3230">
        <f>95131.77/1000</f>
        <v>95.131770000000003</v>
      </c>
      <c r="D19" s="3230">
        <f>33369.05/1000</f>
        <v>33.369050000000001</v>
      </c>
      <c r="E19" s="3230">
        <v>101.03</v>
      </c>
      <c r="F19" s="3232">
        <f>D19*'Вхідні дані'!D77</f>
        <v>35.271085849999999</v>
      </c>
      <c r="G19" s="474">
        <f t="shared" si="4"/>
        <v>0</v>
      </c>
      <c r="H19" s="474">
        <f t="shared" si="5"/>
        <v>0</v>
      </c>
      <c r="I19" s="474">
        <f t="shared" si="7"/>
        <v>0</v>
      </c>
      <c r="J19" s="474">
        <f t="shared" si="6"/>
        <v>35.271085849999999</v>
      </c>
      <c r="K19" s="3225" t="s">
        <v>995</v>
      </c>
      <c r="L19" s="3226"/>
      <c r="N19" s="2050"/>
      <c r="O19" s="873"/>
    </row>
    <row r="20" spans="1:17" ht="18.75" x14ac:dyDescent="0.3">
      <c r="B20" s="3224" t="s">
        <v>967</v>
      </c>
      <c r="C20" s="3230">
        <f>8134.45/1000</f>
        <v>8.1344499999999993</v>
      </c>
      <c r="D20" s="3230">
        <f>2914.45/1000</f>
        <v>2.91445</v>
      </c>
      <c r="E20" s="3230">
        <v>9.17</v>
      </c>
      <c r="F20" s="3230">
        <f>D20*'Вхідні дані'!D77</f>
        <v>3.0805736499999998</v>
      </c>
      <c r="G20" s="474">
        <f t="shared" si="4"/>
        <v>0</v>
      </c>
      <c r="H20" s="474">
        <f t="shared" si="5"/>
        <v>0</v>
      </c>
      <c r="I20" s="474">
        <f t="shared" si="7"/>
        <v>0</v>
      </c>
      <c r="J20" s="474">
        <f t="shared" si="6"/>
        <v>3.0805736499999998</v>
      </c>
      <c r="K20" s="3225" t="s">
        <v>1352</v>
      </c>
      <c r="L20" s="3226"/>
      <c r="N20" s="2050"/>
      <c r="O20" s="873"/>
    </row>
    <row r="21" spans="1:17" ht="18" hidden="1" customHeight="1" x14ac:dyDescent="0.3">
      <c r="B21" s="3224" t="s">
        <v>1514</v>
      </c>
      <c r="C21" s="3230"/>
      <c r="D21" s="3230"/>
      <c r="E21" s="3230"/>
      <c r="F21" s="3230">
        <f>D21*'Вхідні дані'!$D$77</f>
        <v>0</v>
      </c>
      <c r="G21" s="474">
        <f t="shared" ref="G21:G72" si="8">F21*$G$6</f>
        <v>0</v>
      </c>
      <c r="H21" s="474">
        <f t="shared" ref="H21:H72" si="9">F21*$H$6</f>
        <v>0</v>
      </c>
      <c r="I21" s="474">
        <f t="shared" ref="I21:I72" si="10">F21*$I$6</f>
        <v>0</v>
      </c>
      <c r="J21" s="474">
        <f t="shared" ref="J21:J72" si="11">F21*$J$6</f>
        <v>0</v>
      </c>
      <c r="K21" s="3225"/>
      <c r="L21" s="3226"/>
      <c r="N21" s="2050"/>
      <c r="O21" s="873"/>
    </row>
    <row r="22" spans="1:17" ht="18.75" x14ac:dyDescent="0.3">
      <c r="B22" s="3224" t="s">
        <v>946</v>
      </c>
      <c r="C22" s="3230">
        <f>22415.22/1000</f>
        <v>22.415220000000001</v>
      </c>
      <c r="D22" s="3230">
        <f>26221.01/1000</f>
        <v>26.22101</v>
      </c>
      <c r="E22" s="3230">
        <v>23.81</v>
      </c>
      <c r="F22" s="3232">
        <f>D22*'Вхідні дані'!D77</f>
        <v>27.71560757</v>
      </c>
      <c r="G22" s="474">
        <f t="shared" si="8"/>
        <v>0</v>
      </c>
      <c r="H22" s="474">
        <f t="shared" si="9"/>
        <v>0</v>
      </c>
      <c r="I22" s="474">
        <f t="shared" si="10"/>
        <v>0</v>
      </c>
      <c r="J22" s="474">
        <f t="shared" si="11"/>
        <v>27.71560757</v>
      </c>
      <c r="K22" s="3225" t="s">
        <v>995</v>
      </c>
      <c r="L22" s="3226"/>
      <c r="N22" s="2050"/>
      <c r="O22" s="873"/>
    </row>
    <row r="23" spans="1:17" ht="18.75" x14ac:dyDescent="0.3">
      <c r="B23" s="3224" t="s">
        <v>968</v>
      </c>
      <c r="C23" s="3230">
        <f>11951.81/1000</f>
        <v>11.95181</v>
      </c>
      <c r="D23" s="3230">
        <f>28351.3/1000</f>
        <v>28.351299999999998</v>
      </c>
      <c r="E23" s="3230">
        <v>12.69</v>
      </c>
      <c r="F23" s="3230">
        <f>D23*'Вхідні дані'!$D$77</f>
        <v>29.967324099999995</v>
      </c>
      <c r="G23" s="474">
        <f t="shared" si="8"/>
        <v>0</v>
      </c>
      <c r="H23" s="474">
        <f t="shared" si="9"/>
        <v>0</v>
      </c>
      <c r="I23" s="474">
        <f t="shared" si="10"/>
        <v>0</v>
      </c>
      <c r="J23" s="474">
        <f t="shared" si="11"/>
        <v>29.967324099999995</v>
      </c>
      <c r="K23" s="3225" t="s">
        <v>995</v>
      </c>
      <c r="L23" s="3226"/>
      <c r="N23" s="2050"/>
      <c r="O23" s="873"/>
    </row>
    <row r="24" spans="1:17" ht="18.75" hidden="1" x14ac:dyDescent="0.3">
      <c r="B24" s="3224" t="s">
        <v>969</v>
      </c>
      <c r="E24" s="3230"/>
      <c r="F24" s="3230">
        <v>0</v>
      </c>
      <c r="G24" s="474">
        <f t="shared" si="8"/>
        <v>0</v>
      </c>
      <c r="H24" s="474">
        <f t="shared" si="9"/>
        <v>0</v>
      </c>
      <c r="I24" s="474">
        <f t="shared" si="10"/>
        <v>0</v>
      </c>
      <c r="J24" s="474">
        <f t="shared" si="11"/>
        <v>0</v>
      </c>
      <c r="K24" s="3225"/>
      <c r="L24" s="3226"/>
      <c r="N24" s="2050"/>
      <c r="O24" s="873"/>
    </row>
    <row r="25" spans="1:17" ht="18.75" hidden="1" x14ac:dyDescent="0.3">
      <c r="B25" s="3224" t="s">
        <v>970</v>
      </c>
      <c r="C25" s="3230"/>
      <c r="D25" s="3230"/>
      <c r="E25" s="3230"/>
      <c r="F25" s="3230">
        <f>D25*'Вхідні дані'!$D$77</f>
        <v>0</v>
      </c>
      <c r="G25" s="474">
        <f t="shared" si="8"/>
        <v>0</v>
      </c>
      <c r="H25" s="474">
        <f t="shared" si="9"/>
        <v>0</v>
      </c>
      <c r="I25" s="474">
        <f t="shared" si="10"/>
        <v>0</v>
      </c>
      <c r="J25" s="474">
        <f t="shared" si="11"/>
        <v>0</v>
      </c>
      <c r="K25" s="3225"/>
      <c r="L25" s="3226"/>
      <c r="N25" s="2050"/>
      <c r="O25" s="873"/>
    </row>
    <row r="26" spans="1:17" ht="18.75" x14ac:dyDescent="0.3">
      <c r="B26" s="3224" t="s">
        <v>971</v>
      </c>
      <c r="C26" s="3230">
        <f>25619.85/1000</f>
        <v>25.61985</v>
      </c>
      <c r="D26" s="3230">
        <f>24321.78/1000</f>
        <v>24.32178</v>
      </c>
      <c r="E26" s="3230">
        <v>23.8</v>
      </c>
      <c r="F26" s="3232">
        <f>D26*'Вхідні дані'!D77</f>
        <v>25.708121459999997</v>
      </c>
      <c r="G26" s="474">
        <f t="shared" si="8"/>
        <v>0</v>
      </c>
      <c r="H26" s="474">
        <f t="shared" si="9"/>
        <v>0</v>
      </c>
      <c r="I26" s="474">
        <f t="shared" si="10"/>
        <v>0</v>
      </c>
      <c r="J26" s="474">
        <f t="shared" si="11"/>
        <v>25.708121459999997</v>
      </c>
      <c r="K26" s="3225" t="s">
        <v>1352</v>
      </c>
      <c r="L26" s="3226"/>
      <c r="N26" s="2050"/>
      <c r="O26" s="873"/>
    </row>
    <row r="27" spans="1:17" ht="18.75" hidden="1" x14ac:dyDescent="0.3">
      <c r="B27" s="3224" t="s">
        <v>972</v>
      </c>
      <c r="C27" s="3230"/>
      <c r="D27" s="3230"/>
      <c r="E27" s="3230"/>
      <c r="F27" s="3230">
        <v>0</v>
      </c>
      <c r="G27" s="474">
        <f t="shared" si="8"/>
        <v>0</v>
      </c>
      <c r="H27" s="474">
        <f t="shared" si="9"/>
        <v>0</v>
      </c>
      <c r="I27" s="474">
        <f t="shared" si="10"/>
        <v>0</v>
      </c>
      <c r="J27" s="474">
        <f t="shared" si="11"/>
        <v>0</v>
      </c>
      <c r="K27" s="3225"/>
      <c r="L27" s="3226"/>
      <c r="N27" s="2050"/>
      <c r="O27" s="873"/>
    </row>
    <row r="28" spans="1:17" ht="18.75" x14ac:dyDescent="0.3">
      <c r="B28" s="3233" t="s">
        <v>1598</v>
      </c>
      <c r="C28" s="3234">
        <f>4389877.42/1000</f>
        <v>4389.8774199999998</v>
      </c>
      <c r="D28" s="3234">
        <f>3114222.43/1000</f>
        <v>3114.2224300000003</v>
      </c>
      <c r="E28" s="1475">
        <v>5029.51</v>
      </c>
      <c r="F28" s="1475">
        <f>ФОП!H9/1000</f>
        <v>2967.8816200000001</v>
      </c>
      <c r="G28" s="1475">
        <f t="shared" si="8"/>
        <v>0</v>
      </c>
      <c r="H28" s="1475">
        <f t="shared" si="9"/>
        <v>0</v>
      </c>
      <c r="I28" s="1475">
        <f t="shared" si="10"/>
        <v>0</v>
      </c>
      <c r="J28" s="1475">
        <f t="shared" si="11"/>
        <v>2967.8816200000001</v>
      </c>
      <c r="K28" s="3199" t="s">
        <v>1602</v>
      </c>
      <c r="L28" s="3226"/>
      <c r="N28" s="2050"/>
      <c r="O28" s="873"/>
    </row>
    <row r="29" spans="1:17" ht="18.75" hidden="1" x14ac:dyDescent="0.3">
      <c r="B29" s="3227" t="s">
        <v>948</v>
      </c>
      <c r="C29" s="474"/>
      <c r="D29" s="474"/>
      <c r="E29" s="474"/>
      <c r="F29" s="474">
        <f>ФОП!H10/1000</f>
        <v>0</v>
      </c>
      <c r="G29" s="474">
        <f t="shared" si="8"/>
        <v>0</v>
      </c>
      <c r="H29" s="474">
        <f t="shared" si="9"/>
        <v>0</v>
      </c>
      <c r="I29" s="474">
        <f t="shared" si="10"/>
        <v>0</v>
      </c>
      <c r="J29" s="474">
        <f t="shared" si="11"/>
        <v>0</v>
      </c>
      <c r="K29" s="3199" t="s">
        <v>1602</v>
      </c>
      <c r="L29" s="3226"/>
      <c r="M29" s="2050"/>
      <c r="N29" s="2050"/>
      <c r="O29" s="873"/>
    </row>
    <row r="30" spans="1:17" ht="18.75" x14ac:dyDescent="0.3">
      <c r="B30" s="3233" t="s">
        <v>1599</v>
      </c>
      <c r="C30" s="3234">
        <f>SUM(C31:C80)</f>
        <v>6301.8922799999991</v>
      </c>
      <c r="D30" s="3234">
        <f>SUM(D31:D80)</f>
        <v>4145.1168200000002</v>
      </c>
      <c r="E30" s="3234">
        <f>SUM(E31:E80)</f>
        <v>7104.5000000000009</v>
      </c>
      <c r="F30" s="3234">
        <f>SUM(F31:F80)</f>
        <v>5266.3121280560008</v>
      </c>
      <c r="G30" s="1475">
        <f t="shared" si="8"/>
        <v>0</v>
      </c>
      <c r="H30" s="1475">
        <f t="shared" si="9"/>
        <v>0</v>
      </c>
      <c r="I30" s="1475">
        <f t="shared" si="10"/>
        <v>0</v>
      </c>
      <c r="J30" s="1475">
        <f t="shared" si="11"/>
        <v>5266.3121280560008</v>
      </c>
      <c r="L30" s="3222"/>
      <c r="M30" s="2050"/>
      <c r="N30" s="2050"/>
      <c r="O30" s="873"/>
    </row>
    <row r="31" spans="1:17" ht="37.5" x14ac:dyDescent="0.3">
      <c r="B31" s="3224" t="s">
        <v>542</v>
      </c>
      <c r="C31" s="3230">
        <f>978338.74/1000</f>
        <v>978.33874000000003</v>
      </c>
      <c r="D31" s="3230">
        <f>662134.55/1000</f>
        <v>662.13454999999999</v>
      </c>
      <c r="E31" s="3230">
        <v>1106.49</v>
      </c>
      <c r="F31" s="3230">
        <f>F28*22%</f>
        <v>652.93395640000006</v>
      </c>
      <c r="G31" s="474">
        <f t="shared" si="8"/>
        <v>0</v>
      </c>
      <c r="H31" s="474">
        <f t="shared" si="9"/>
        <v>0</v>
      </c>
      <c r="I31" s="474">
        <f t="shared" si="10"/>
        <v>0</v>
      </c>
      <c r="J31" s="474">
        <f t="shared" si="11"/>
        <v>652.93395640000006</v>
      </c>
      <c r="K31" s="3199" t="s">
        <v>1602</v>
      </c>
      <c r="L31" s="3226"/>
      <c r="N31" s="2050"/>
      <c r="O31" s="873"/>
    </row>
    <row r="32" spans="1:17" s="3235" customFormat="1" ht="37.5" x14ac:dyDescent="0.3">
      <c r="A32" s="457"/>
      <c r="B32" s="3224" t="s">
        <v>1600</v>
      </c>
      <c r="C32" s="3230">
        <f>1500245.66/1000</f>
        <v>1500.2456599999998</v>
      </c>
      <c r="D32" s="3230">
        <f>1484044.14/1000</f>
        <v>1484.04414</v>
      </c>
      <c r="E32" s="3230">
        <v>2255</v>
      </c>
      <c r="F32" s="3230">
        <f>[39]TDSheet!$AG$62/1000</f>
        <v>1904.3854900000008</v>
      </c>
      <c r="G32" s="474">
        <f t="shared" si="8"/>
        <v>0</v>
      </c>
      <c r="H32" s="474">
        <f t="shared" si="9"/>
        <v>0</v>
      </c>
      <c r="I32" s="474">
        <f t="shared" si="10"/>
        <v>0</v>
      </c>
      <c r="J32" s="474">
        <f t="shared" si="11"/>
        <v>1904.3854900000008</v>
      </c>
      <c r="K32" s="3229" t="s">
        <v>1660</v>
      </c>
      <c r="L32" s="3226"/>
      <c r="N32" s="2050"/>
      <c r="O32" s="873"/>
      <c r="P32" s="3236"/>
      <c r="Q32" s="3236"/>
    </row>
    <row r="33" spans="1:17" s="3235" customFormat="1" ht="56.45" hidden="1" customHeight="1" x14ac:dyDescent="0.3">
      <c r="A33" s="457"/>
      <c r="B33" s="3224" t="s">
        <v>1601</v>
      </c>
      <c r="C33" s="3230">
        <v>0</v>
      </c>
      <c r="D33" s="3230">
        <v>0</v>
      </c>
      <c r="E33" s="3230">
        <v>0</v>
      </c>
      <c r="F33" s="3230">
        <v>0</v>
      </c>
      <c r="G33" s="474">
        <f t="shared" si="8"/>
        <v>0</v>
      </c>
      <c r="H33" s="474">
        <f t="shared" si="9"/>
        <v>0</v>
      </c>
      <c r="I33" s="474">
        <f t="shared" si="10"/>
        <v>0</v>
      </c>
      <c r="J33" s="474">
        <f t="shared" si="11"/>
        <v>0</v>
      </c>
      <c r="K33" s="3225"/>
      <c r="L33" s="3226"/>
      <c r="N33" s="2050"/>
      <c r="O33" s="873"/>
    </row>
    <row r="34" spans="1:17" ht="18" customHeight="1" x14ac:dyDescent="0.3">
      <c r="B34" s="3237" t="s">
        <v>1334</v>
      </c>
      <c r="C34" s="3238">
        <f>1011106.98/1000</f>
        <v>1011.10698</v>
      </c>
      <c r="D34" s="3238">
        <v>0</v>
      </c>
      <c r="E34" s="3230">
        <v>740.1</v>
      </c>
      <c r="F34" s="3230">
        <f>'[40]ремонтні роботи'!$E$36</f>
        <v>500</v>
      </c>
      <c r="G34" s="474">
        <f t="shared" si="8"/>
        <v>0</v>
      </c>
      <c r="H34" s="474">
        <f t="shared" si="9"/>
        <v>0</v>
      </c>
      <c r="I34" s="474">
        <f t="shared" si="10"/>
        <v>0</v>
      </c>
      <c r="J34" s="474">
        <f t="shared" si="11"/>
        <v>500</v>
      </c>
      <c r="K34" s="3225" t="s">
        <v>3401</v>
      </c>
      <c r="L34" s="3226"/>
      <c r="M34" s="2050"/>
      <c r="N34" s="2050"/>
      <c r="O34" s="873"/>
    </row>
    <row r="35" spans="1:17" ht="18" hidden="1" customHeight="1" x14ac:dyDescent="0.3">
      <c r="B35" s="3237" t="s">
        <v>1484</v>
      </c>
      <c r="C35" s="3238"/>
      <c r="D35" s="3238"/>
      <c r="E35" s="3238"/>
      <c r="F35" s="3238"/>
      <c r="G35" s="474">
        <f t="shared" si="8"/>
        <v>0</v>
      </c>
      <c r="H35" s="474">
        <f t="shared" si="9"/>
        <v>0</v>
      </c>
      <c r="I35" s="474">
        <f t="shared" si="10"/>
        <v>0</v>
      </c>
      <c r="J35" s="474">
        <f t="shared" si="11"/>
        <v>0</v>
      </c>
      <c r="K35" s="3225"/>
      <c r="L35" s="3226"/>
      <c r="M35" s="2050"/>
      <c r="N35" s="2050"/>
      <c r="O35" s="873"/>
    </row>
    <row r="36" spans="1:17" ht="37.5" x14ac:dyDescent="0.3">
      <c r="B36" s="3237" t="s">
        <v>1627</v>
      </c>
      <c r="C36" s="3230"/>
      <c r="D36" s="3230"/>
      <c r="E36" s="3230">
        <v>5.29</v>
      </c>
      <c r="F36" s="3230">
        <f>([37]Лист1!$F$18*[37]Лист1!$F$22+[37]Лист1!$G$18*[37]Лист1!$G$22)*'Вхідні дані'!D77/1000</f>
        <v>2.8092840299999997</v>
      </c>
      <c r="G36" s="474">
        <f t="shared" si="8"/>
        <v>0</v>
      </c>
      <c r="H36" s="474">
        <f t="shared" si="9"/>
        <v>0</v>
      </c>
      <c r="I36" s="474">
        <f t="shared" si="10"/>
        <v>0</v>
      </c>
      <c r="J36" s="474">
        <f t="shared" si="11"/>
        <v>2.8092840299999997</v>
      </c>
      <c r="K36" s="3229"/>
      <c r="L36" s="3226"/>
      <c r="M36" s="2050"/>
      <c r="N36" s="2050"/>
      <c r="O36" s="873"/>
      <c r="P36" s="3236"/>
      <c r="Q36" s="3236"/>
    </row>
    <row r="37" spans="1:17" ht="18.75" hidden="1" x14ac:dyDescent="0.3">
      <c r="B37" s="3237" t="s">
        <v>951</v>
      </c>
      <c r="C37" s="474"/>
      <c r="D37" s="474"/>
      <c r="E37" s="474"/>
      <c r="F37" s="474"/>
      <c r="G37" s="474"/>
      <c r="H37" s="474"/>
      <c r="I37" s="474"/>
      <c r="J37" s="474"/>
      <c r="L37" s="3226"/>
      <c r="M37" s="2050"/>
      <c r="N37" s="2050"/>
      <c r="O37" s="873"/>
    </row>
    <row r="38" spans="1:17" ht="18.75" hidden="1" x14ac:dyDescent="0.3">
      <c r="B38" s="3237" t="s">
        <v>952</v>
      </c>
      <c r="C38" s="474"/>
      <c r="D38" s="474"/>
      <c r="E38" s="474"/>
      <c r="F38" s="474"/>
      <c r="G38" s="474">
        <f t="shared" si="8"/>
        <v>0</v>
      </c>
      <c r="H38" s="474">
        <f t="shared" si="9"/>
        <v>0</v>
      </c>
      <c r="I38" s="474">
        <f t="shared" si="10"/>
        <v>0</v>
      </c>
      <c r="J38" s="474">
        <f t="shared" si="11"/>
        <v>0</v>
      </c>
      <c r="K38" s="3225"/>
      <c r="L38" s="3226"/>
      <c r="M38" s="2050"/>
      <c r="N38" s="2050"/>
      <c r="O38" s="873"/>
    </row>
    <row r="39" spans="1:17" ht="18.75" x14ac:dyDescent="0.3">
      <c r="B39" s="3237" t="s">
        <v>1345</v>
      </c>
      <c r="C39" s="474">
        <f>12894.31/1000</f>
        <v>12.894309999999999</v>
      </c>
      <c r="D39" s="474">
        <v>0</v>
      </c>
      <c r="E39" s="474">
        <v>15.34</v>
      </c>
      <c r="F39" s="474">
        <v>0</v>
      </c>
      <c r="G39" s="474">
        <f t="shared" si="8"/>
        <v>0</v>
      </c>
      <c r="H39" s="474">
        <f t="shared" si="9"/>
        <v>0</v>
      </c>
      <c r="I39" s="474">
        <f t="shared" si="10"/>
        <v>0</v>
      </c>
      <c r="J39" s="474">
        <f t="shared" si="11"/>
        <v>0</v>
      </c>
      <c r="K39" s="3225"/>
      <c r="L39" s="3226"/>
      <c r="M39" s="2050"/>
      <c r="N39" s="2050"/>
      <c r="O39" s="873"/>
    </row>
    <row r="40" spans="1:17" ht="18.75" x14ac:dyDescent="0.3">
      <c r="B40" s="3237" t="s">
        <v>3196</v>
      </c>
      <c r="C40" s="474">
        <f>13773.12/1000</f>
        <v>13.77312</v>
      </c>
      <c r="D40" s="474">
        <v>0</v>
      </c>
      <c r="E40" s="474">
        <v>14.66</v>
      </c>
      <c r="F40" s="474">
        <f>C40*'Вхідні дані'!D77</f>
        <v>14.55818784</v>
      </c>
      <c r="G40" s="474">
        <f>F40*$G$6</f>
        <v>0</v>
      </c>
      <c r="H40" s="474">
        <f>F40*$H$6</f>
        <v>0</v>
      </c>
      <c r="I40" s="474">
        <f>F40*$I$6</f>
        <v>0</v>
      </c>
      <c r="J40" s="474">
        <f>F40*$J$6</f>
        <v>14.55818784</v>
      </c>
      <c r="K40" s="3199" t="s">
        <v>2691</v>
      </c>
      <c r="M40" s="2050"/>
      <c r="N40" s="2050"/>
      <c r="O40" s="873"/>
    </row>
    <row r="41" spans="1:17" ht="18.75" x14ac:dyDescent="0.3">
      <c r="B41" s="3237" t="s">
        <v>1346</v>
      </c>
      <c r="C41" s="474">
        <f>(10289.48+104617.84-700)/1000</f>
        <v>114.20732</v>
      </c>
      <c r="D41" s="474">
        <f>57900.99/1000</f>
        <v>57.90099</v>
      </c>
      <c r="E41" s="474">
        <v>163</v>
      </c>
      <c r="F41" s="474">
        <f>'[40]технічне обслуговування'!$K$51*'Вхідні дані'!D77</f>
        <v>174.405</v>
      </c>
      <c r="G41" s="474">
        <f t="shared" si="8"/>
        <v>0</v>
      </c>
      <c r="H41" s="474">
        <f t="shared" si="9"/>
        <v>0</v>
      </c>
      <c r="I41" s="474">
        <f t="shared" si="10"/>
        <v>0</v>
      </c>
      <c r="J41" s="474">
        <f t="shared" si="11"/>
        <v>174.405</v>
      </c>
      <c r="K41" s="3199" t="s">
        <v>1592</v>
      </c>
      <c r="M41" s="2050"/>
      <c r="N41" s="2050"/>
      <c r="O41" s="873"/>
    </row>
    <row r="42" spans="1:17" ht="18.75" hidden="1" x14ac:dyDescent="0.3">
      <c r="B42" s="3237" t="s">
        <v>1347</v>
      </c>
      <c r="C42" s="474"/>
      <c r="D42" s="474"/>
      <c r="E42" s="474">
        <v>0</v>
      </c>
      <c r="F42" s="474">
        <v>0</v>
      </c>
      <c r="G42" s="474">
        <f t="shared" si="8"/>
        <v>0</v>
      </c>
      <c r="H42" s="474">
        <f t="shared" si="9"/>
        <v>0</v>
      </c>
      <c r="I42" s="474">
        <f t="shared" si="10"/>
        <v>0</v>
      </c>
      <c r="J42" s="474">
        <f t="shared" si="11"/>
        <v>0</v>
      </c>
      <c r="M42" s="2050"/>
      <c r="N42" s="2050"/>
      <c r="O42" s="873"/>
    </row>
    <row r="43" spans="1:17" ht="19.5" thickBot="1" x14ac:dyDescent="0.35">
      <c r="B43" s="3467" t="s">
        <v>3179</v>
      </c>
      <c r="C43" s="571">
        <f>1546.02/1000</f>
        <v>1.5460199999999999</v>
      </c>
      <c r="D43" s="571">
        <f>1080/1000</f>
        <v>1.08</v>
      </c>
      <c r="E43" s="571">
        <v>1.08</v>
      </c>
      <c r="F43" s="571">
        <f>99*12/1000</f>
        <v>1.1879999999999999</v>
      </c>
      <c r="G43" s="571">
        <f t="shared" si="8"/>
        <v>0</v>
      </c>
      <c r="H43" s="571">
        <f t="shared" si="9"/>
        <v>0</v>
      </c>
      <c r="I43" s="571">
        <f t="shared" si="10"/>
        <v>0</v>
      </c>
      <c r="J43" s="571">
        <f t="shared" si="11"/>
        <v>1.1879999999999999</v>
      </c>
      <c r="K43" s="3225" t="s">
        <v>3402</v>
      </c>
      <c r="L43" s="3226"/>
      <c r="M43" s="2050"/>
      <c r="N43" s="2050"/>
      <c r="O43" s="873"/>
    </row>
    <row r="44" spans="1:17" ht="18.75" x14ac:dyDescent="0.3">
      <c r="B44" s="3466" t="s">
        <v>1349</v>
      </c>
      <c r="C44" s="3312">
        <f>3072.72/1000</f>
        <v>3.0727199999999999</v>
      </c>
      <c r="D44" s="3312">
        <v>0</v>
      </c>
      <c r="E44" s="3312">
        <v>5.7</v>
      </c>
      <c r="F44" s="3312"/>
      <c r="G44" s="3312">
        <f t="shared" si="8"/>
        <v>0</v>
      </c>
      <c r="H44" s="3312">
        <f t="shared" si="9"/>
        <v>0</v>
      </c>
      <c r="I44" s="3312">
        <f t="shared" si="10"/>
        <v>0</v>
      </c>
      <c r="J44" s="3312">
        <f t="shared" si="11"/>
        <v>0</v>
      </c>
      <c r="M44" s="2050"/>
      <c r="N44" s="2050"/>
      <c r="O44" s="873"/>
    </row>
    <row r="45" spans="1:17" ht="37.5" x14ac:dyDescent="0.3">
      <c r="B45" s="3237" t="s">
        <v>3180</v>
      </c>
      <c r="C45" s="3230">
        <f>1500/1000</f>
        <v>1.5</v>
      </c>
      <c r="D45" s="3230">
        <v>0</v>
      </c>
      <c r="E45" s="3230">
        <v>0.17</v>
      </c>
      <c r="F45" s="3239">
        <v>0</v>
      </c>
      <c r="G45" s="3240">
        <f t="shared" si="8"/>
        <v>0</v>
      </c>
      <c r="H45" s="3240">
        <f t="shared" si="9"/>
        <v>0</v>
      </c>
      <c r="I45" s="3241">
        <f>F45*$I$6</f>
        <v>0</v>
      </c>
      <c r="J45" s="3240">
        <f t="shared" si="11"/>
        <v>0</v>
      </c>
      <c r="K45" s="3242"/>
      <c r="L45" s="3226"/>
      <c r="M45" s="3243"/>
      <c r="N45" s="2050"/>
      <c r="O45" s="873"/>
    </row>
    <row r="46" spans="1:17" ht="18.75" x14ac:dyDescent="0.3">
      <c r="B46" s="3237" t="s">
        <v>3181</v>
      </c>
      <c r="C46" s="3230">
        <f>520/1000</f>
        <v>0.52</v>
      </c>
      <c r="D46" s="3230">
        <f>576/1000</f>
        <v>0.57599999999999996</v>
      </c>
      <c r="E46" s="3230">
        <v>0.61</v>
      </c>
      <c r="F46" s="3230">
        <f>0.86*'Вхідні дані'!D77</f>
        <v>0.90901999999999994</v>
      </c>
      <c r="G46" s="474">
        <f>F46*$G$6</f>
        <v>0</v>
      </c>
      <c r="H46" s="474">
        <f>F46*$H$6</f>
        <v>0</v>
      </c>
      <c r="I46" s="474">
        <f>F46*$I$6</f>
        <v>0</v>
      </c>
      <c r="J46" s="474">
        <f>F46*$J$6</f>
        <v>0.90901999999999994</v>
      </c>
      <c r="K46" s="3199" t="s">
        <v>3403</v>
      </c>
      <c r="M46" s="2050"/>
      <c r="N46" s="2050"/>
      <c r="O46" s="873"/>
    </row>
    <row r="47" spans="1:17" ht="18.75" x14ac:dyDescent="0.3">
      <c r="B47" s="3244" t="s">
        <v>1351</v>
      </c>
      <c r="C47" s="3230">
        <f>10683.73/1000</f>
        <v>10.683729999999999</v>
      </c>
      <c r="D47" s="3230">
        <f>9330.39/1000</f>
        <v>9.3303899999999995</v>
      </c>
      <c r="E47" s="3230">
        <v>13.84</v>
      </c>
      <c r="F47" s="3230">
        <f>D47*'Вхідні дані'!D77</f>
        <v>9.8622222299999986</v>
      </c>
      <c r="G47" s="474">
        <f t="shared" si="8"/>
        <v>0</v>
      </c>
      <c r="H47" s="474">
        <f t="shared" si="9"/>
        <v>0</v>
      </c>
      <c r="I47" s="474">
        <f t="shared" si="10"/>
        <v>0</v>
      </c>
      <c r="J47" s="474">
        <f t="shared" si="11"/>
        <v>9.8622222299999986</v>
      </c>
      <c r="K47" s="3199" t="s">
        <v>3404</v>
      </c>
      <c r="N47" s="2050"/>
      <c r="O47" s="873"/>
    </row>
    <row r="48" spans="1:17" ht="18.75" customHeight="1" x14ac:dyDescent="0.3">
      <c r="B48" s="3244" t="s">
        <v>3183</v>
      </c>
      <c r="C48" s="3230">
        <f>141173.73/1000</f>
        <v>141.17373000000001</v>
      </c>
      <c r="D48" s="3230">
        <f>133133.84/1000</f>
        <v>133.13383999999999</v>
      </c>
      <c r="E48" s="3230">
        <v>176.03</v>
      </c>
      <c r="F48" s="3230">
        <f>F28*3.5%</f>
        <v>103.87585670000001</v>
      </c>
      <c r="G48" s="474">
        <f t="shared" si="8"/>
        <v>0</v>
      </c>
      <c r="H48" s="474">
        <f t="shared" si="9"/>
        <v>0</v>
      </c>
      <c r="I48" s="474">
        <f t="shared" si="10"/>
        <v>0</v>
      </c>
      <c r="J48" s="474">
        <f t="shared" si="11"/>
        <v>103.87585670000001</v>
      </c>
      <c r="K48" s="3199" t="s">
        <v>3405</v>
      </c>
      <c r="N48" s="2050"/>
      <c r="O48" s="873"/>
    </row>
    <row r="49" spans="2:15" ht="18.75" customHeight="1" x14ac:dyDescent="0.3">
      <c r="B49" s="3244" t="s">
        <v>3184</v>
      </c>
      <c r="C49" s="3230">
        <f>129727.9/1000</f>
        <v>129.72790000000001</v>
      </c>
      <c r="D49" s="3230">
        <f>35228.24/1000</f>
        <v>35.22824</v>
      </c>
      <c r="E49" s="3230">
        <v>150.88999999999999</v>
      </c>
      <c r="F49" s="3230">
        <f>F28*0%</f>
        <v>0</v>
      </c>
      <c r="G49" s="474">
        <f t="shared" si="8"/>
        <v>0</v>
      </c>
      <c r="H49" s="474">
        <f t="shared" si="9"/>
        <v>0</v>
      </c>
      <c r="I49" s="474">
        <f t="shared" si="10"/>
        <v>0</v>
      </c>
      <c r="J49" s="474">
        <f>F49*$J$6</f>
        <v>0</v>
      </c>
      <c r="K49" s="3199" t="s">
        <v>3425</v>
      </c>
      <c r="N49" s="2050"/>
      <c r="O49" s="873"/>
    </row>
    <row r="50" spans="2:15" ht="37.5" customHeight="1" x14ac:dyDescent="0.3">
      <c r="B50" s="3237" t="s">
        <v>3185</v>
      </c>
      <c r="C50" s="3230">
        <f>(6038.58+5840.86)/1000</f>
        <v>11.879439999999999</v>
      </c>
      <c r="D50" s="3230">
        <f>4329.41/1000</f>
        <v>4.3294100000000002</v>
      </c>
      <c r="E50" s="3230">
        <v>11.88</v>
      </c>
      <c r="F50" s="3230">
        <f>D50</f>
        <v>4.3294100000000002</v>
      </c>
      <c r="G50" s="474">
        <f t="shared" si="8"/>
        <v>0</v>
      </c>
      <c r="H50" s="474">
        <f t="shared" si="9"/>
        <v>0</v>
      </c>
      <c r="I50" s="474">
        <f t="shared" si="10"/>
        <v>0</v>
      </c>
      <c r="J50" s="474">
        <f t="shared" si="11"/>
        <v>4.3294100000000002</v>
      </c>
      <c r="K50" s="3225"/>
      <c r="L50" s="3226"/>
      <c r="N50" s="2050"/>
      <c r="O50" s="873"/>
    </row>
    <row r="51" spans="2:15" ht="18.75" customHeight="1" x14ac:dyDescent="0.3">
      <c r="B51" s="3244" t="s">
        <v>3186</v>
      </c>
      <c r="C51" s="3230">
        <f>69091/1000</f>
        <v>69.090999999999994</v>
      </c>
      <c r="D51" s="3230">
        <f>57858/1000</f>
        <v>57.857999999999997</v>
      </c>
      <c r="E51" s="3230">
        <v>115.72</v>
      </c>
      <c r="F51" s="3230">
        <f>7650*12/1000</f>
        <v>91.8</v>
      </c>
      <c r="G51" s="474">
        <f t="shared" si="8"/>
        <v>0</v>
      </c>
      <c r="H51" s="474">
        <f t="shared" si="9"/>
        <v>0</v>
      </c>
      <c r="I51" s="474">
        <f t="shared" si="10"/>
        <v>0</v>
      </c>
      <c r="J51" s="474">
        <f t="shared" si="11"/>
        <v>91.8</v>
      </c>
      <c r="K51" s="3199" t="s">
        <v>3406</v>
      </c>
      <c r="L51" s="3226"/>
      <c r="N51" s="2050"/>
      <c r="O51" s="873"/>
    </row>
    <row r="52" spans="2:15" ht="18.75" customHeight="1" x14ac:dyDescent="0.3">
      <c r="B52" s="3244" t="s">
        <v>3188</v>
      </c>
      <c r="C52" s="3230">
        <f>233.5/1000</f>
        <v>0.23350000000000001</v>
      </c>
      <c r="D52" s="3230">
        <v>0</v>
      </c>
      <c r="E52" s="3230">
        <v>0</v>
      </c>
      <c r="F52" s="3230">
        <v>0</v>
      </c>
      <c r="G52" s="474">
        <f>F52*$G$6</f>
        <v>0</v>
      </c>
      <c r="H52" s="474">
        <f>F52*$H$6</f>
        <v>0</v>
      </c>
      <c r="I52" s="474">
        <f>F52*$I$6</f>
        <v>0</v>
      </c>
      <c r="J52" s="474">
        <f>F52*$J$6</f>
        <v>0</v>
      </c>
      <c r="K52" s="3225" t="s">
        <v>3195</v>
      </c>
      <c r="L52" s="3226"/>
      <c r="N52" s="2050"/>
      <c r="O52" s="873"/>
    </row>
    <row r="53" spans="2:15" ht="18.75" customHeight="1" x14ac:dyDescent="0.3">
      <c r="B53" s="3244" t="s">
        <v>3187</v>
      </c>
      <c r="C53" s="3230"/>
      <c r="D53" s="3230"/>
      <c r="E53" s="3230">
        <v>0</v>
      </c>
      <c r="F53" s="3230">
        <v>0</v>
      </c>
      <c r="G53" s="474">
        <f>F53*$G$6</f>
        <v>0</v>
      </c>
      <c r="H53" s="474">
        <f>F53*$H$6</f>
        <v>0</v>
      </c>
      <c r="I53" s="474">
        <f>F53*$I$6</f>
        <v>0</v>
      </c>
      <c r="J53" s="474">
        <f>F53*$J$6</f>
        <v>0</v>
      </c>
      <c r="K53" s="3225" t="s">
        <v>3195</v>
      </c>
      <c r="L53" s="3226"/>
      <c r="N53" s="2050"/>
      <c r="O53" s="873"/>
    </row>
    <row r="54" spans="2:15" ht="57" customHeight="1" x14ac:dyDescent="0.3">
      <c r="B54" s="3244" t="s">
        <v>2765</v>
      </c>
      <c r="C54" s="3230"/>
      <c r="D54" s="3230"/>
      <c r="E54" s="3230">
        <v>8</v>
      </c>
      <c r="F54" s="3230">
        <f>46500/1000*'Вхідні дані'!D77</f>
        <v>49.150499999999994</v>
      </c>
      <c r="G54" s="474">
        <f>F54*$G$6</f>
        <v>0</v>
      </c>
      <c r="H54" s="474">
        <f>F54*$H$6</f>
        <v>0</v>
      </c>
      <c r="I54" s="474">
        <f>F54*$I$6</f>
        <v>0</v>
      </c>
      <c r="J54" s="474">
        <f>F54*$J$6</f>
        <v>49.150499999999994</v>
      </c>
      <c r="K54" s="3225" t="s">
        <v>3407</v>
      </c>
      <c r="L54" s="3226"/>
      <c r="N54" s="2050"/>
      <c r="O54" s="873"/>
    </row>
    <row r="55" spans="2:15" ht="18.75" customHeight="1" x14ac:dyDescent="0.3">
      <c r="B55" s="3244" t="s">
        <v>3189</v>
      </c>
      <c r="C55" s="3230">
        <f>1133027.43/1000</f>
        <v>1133.0274299999999</v>
      </c>
      <c r="D55" s="3230">
        <f>875494.6/1000</f>
        <v>875.49459999999999</v>
      </c>
      <c r="E55" s="3230">
        <v>1203.28</v>
      </c>
      <c r="F55" s="3230">
        <f>D55*'Вхідні дані'!D77</f>
        <v>925.39779219999991</v>
      </c>
      <c r="G55" s="474">
        <f t="shared" si="8"/>
        <v>0</v>
      </c>
      <c r="H55" s="474">
        <f t="shared" si="9"/>
        <v>0</v>
      </c>
      <c r="I55" s="474">
        <f>F55*$I$6</f>
        <v>0</v>
      </c>
      <c r="J55" s="474">
        <f>F55*$J$6</f>
        <v>925.39779219999991</v>
      </c>
      <c r="N55" s="2050"/>
      <c r="O55" s="873"/>
    </row>
    <row r="56" spans="2:15" ht="18.75" customHeight="1" x14ac:dyDescent="0.3">
      <c r="B56" s="3244" t="s">
        <v>3190</v>
      </c>
      <c r="C56" s="3230">
        <f>231282/1000</f>
        <v>231.28200000000001</v>
      </c>
      <c r="D56" s="3230">
        <f>236421.6/1000</f>
        <v>236.42160000000001</v>
      </c>
      <c r="E56" s="3230">
        <v>231.28</v>
      </c>
      <c r="F56" s="3230">
        <f>19487.65*12/1000*'Вхідні дані'!D77</f>
        <v>247.18135260000003</v>
      </c>
      <c r="G56" s="474">
        <f t="shared" si="8"/>
        <v>0</v>
      </c>
      <c r="H56" s="474">
        <f t="shared" si="9"/>
        <v>0</v>
      </c>
      <c r="I56" s="474">
        <f t="shared" si="10"/>
        <v>0</v>
      </c>
      <c r="J56" s="474">
        <f t="shared" si="11"/>
        <v>247.18135260000003</v>
      </c>
      <c r="N56" s="2050"/>
      <c r="O56" s="873"/>
    </row>
    <row r="57" spans="2:15" ht="18.75" customHeight="1" x14ac:dyDescent="0.3">
      <c r="B57" s="3244" t="s">
        <v>3191</v>
      </c>
      <c r="C57" s="3230">
        <f>1138959/1000*0.2</f>
        <v>227.79180000000002</v>
      </c>
      <c r="D57" s="3230">
        <f>113055.32/1000</f>
        <v>113.05532000000001</v>
      </c>
      <c r="E57" s="3230">
        <v>252.34</v>
      </c>
      <c r="F57" s="3601">
        <f>'Д 9_ЕЕ'!D12*(1.88*'Вхідні дані'!D77)</f>
        <v>71.234916816000009</v>
      </c>
      <c r="G57" s="474">
        <f t="shared" si="8"/>
        <v>0</v>
      </c>
      <c r="H57" s="474">
        <f t="shared" si="9"/>
        <v>0</v>
      </c>
      <c r="I57" s="474">
        <f t="shared" si="10"/>
        <v>0</v>
      </c>
      <c r="J57" s="474">
        <f t="shared" si="11"/>
        <v>71.234916816000009</v>
      </c>
      <c r="K57" s="3225"/>
      <c r="L57" s="3226"/>
      <c r="N57" s="2050"/>
      <c r="O57" s="873"/>
    </row>
    <row r="58" spans="2:15" ht="16.5" customHeight="1" x14ac:dyDescent="0.3">
      <c r="B58" s="3244" t="s">
        <v>3192</v>
      </c>
      <c r="C58" s="3230">
        <f>124986.47/1000</f>
        <v>124.98647</v>
      </c>
      <c r="D58" s="3230">
        <f>52555.37/1000</f>
        <v>52.555370000000003</v>
      </c>
      <c r="E58" s="3230">
        <v>99.89</v>
      </c>
      <c r="F58" s="3601">
        <f>(([37]Лист1!$F$11*[37]Лист1!$Z$19*'Вхідні дані'!D77)+([37]Лист1!$G$11*[37]Лист1!$AA$19*'Вхідні дані'!D77))/1000</f>
        <v>92.422853879999977</v>
      </c>
      <c r="G58" s="474">
        <f t="shared" si="8"/>
        <v>0</v>
      </c>
      <c r="H58" s="474">
        <f t="shared" si="9"/>
        <v>0</v>
      </c>
      <c r="I58" s="474">
        <f t="shared" si="10"/>
        <v>0</v>
      </c>
      <c r="J58" s="474">
        <f t="shared" si="11"/>
        <v>92.422853879999977</v>
      </c>
      <c r="K58" s="3242"/>
      <c r="L58" s="3226"/>
      <c r="N58" s="2050"/>
      <c r="O58" s="873"/>
    </row>
    <row r="59" spans="2:15" ht="18.75" customHeight="1" x14ac:dyDescent="0.3">
      <c r="B59" s="3244" t="s">
        <v>3193</v>
      </c>
      <c r="C59" s="3230">
        <f>114828.56/1000</f>
        <v>114.82856</v>
      </c>
      <c r="D59" s="3230">
        <f>111937.35/1000</f>
        <v>111.93735000000001</v>
      </c>
      <c r="E59" s="3230">
        <v>107.43</v>
      </c>
      <c r="F59" s="3230">
        <f>8324.52*12/1000*'Вхідні дані'!D77</f>
        <v>105.58821168</v>
      </c>
      <c r="G59" s="474">
        <f t="shared" si="8"/>
        <v>0</v>
      </c>
      <c r="H59" s="474">
        <f t="shared" si="9"/>
        <v>0</v>
      </c>
      <c r="I59" s="474">
        <f t="shared" si="10"/>
        <v>0</v>
      </c>
      <c r="J59" s="474">
        <f t="shared" si="11"/>
        <v>105.58821168</v>
      </c>
      <c r="L59" s="3245"/>
      <c r="N59" s="2050"/>
      <c r="O59" s="873"/>
    </row>
    <row r="60" spans="2:15" ht="18.75" customHeight="1" x14ac:dyDescent="0.3">
      <c r="B60" s="3244" t="s">
        <v>3194</v>
      </c>
      <c r="C60" s="3230">
        <f>96776.08/1000</f>
        <v>96.776080000000007</v>
      </c>
      <c r="D60" s="3230">
        <f>61660.24/1000</f>
        <v>61.660239999999995</v>
      </c>
      <c r="E60" s="3230">
        <v>102.78</v>
      </c>
      <c r="F60" s="3230">
        <f>D60*'Вхідні дані'!D77</f>
        <v>65.17487367999999</v>
      </c>
      <c r="G60" s="474">
        <f t="shared" si="8"/>
        <v>0</v>
      </c>
      <c r="H60" s="474">
        <f t="shared" si="9"/>
        <v>0</v>
      </c>
      <c r="I60" s="474">
        <f t="shared" si="10"/>
        <v>0</v>
      </c>
      <c r="J60" s="474">
        <f t="shared" si="11"/>
        <v>65.17487367999999</v>
      </c>
      <c r="L60" s="3245"/>
      <c r="N60" s="2050"/>
      <c r="O60" s="873"/>
    </row>
    <row r="61" spans="2:15" ht="18.75" hidden="1" customHeight="1" x14ac:dyDescent="0.3">
      <c r="B61" s="3244" t="s">
        <v>1531</v>
      </c>
      <c r="C61" s="3230"/>
      <c r="D61" s="3230"/>
      <c r="E61" s="3230"/>
      <c r="F61" s="3230"/>
      <c r="G61" s="474">
        <f t="shared" si="8"/>
        <v>0</v>
      </c>
      <c r="H61" s="474">
        <f>F61*$H$6</f>
        <v>0</v>
      </c>
      <c r="I61" s="474">
        <f t="shared" si="10"/>
        <v>0</v>
      </c>
      <c r="J61" s="474">
        <f t="shared" si="11"/>
        <v>0</v>
      </c>
      <c r="L61" s="3226"/>
      <c r="N61" s="2050"/>
      <c r="O61" s="873"/>
    </row>
    <row r="62" spans="2:15" ht="16.5" hidden="1" customHeight="1" x14ac:dyDescent="0.3">
      <c r="B62" s="3244" t="s">
        <v>2295</v>
      </c>
      <c r="C62" s="3230"/>
      <c r="D62" s="3230"/>
      <c r="E62" s="3230">
        <v>0</v>
      </c>
      <c r="F62" s="3230">
        <f>D62</f>
        <v>0</v>
      </c>
      <c r="G62" s="474">
        <f t="shared" si="8"/>
        <v>0</v>
      </c>
      <c r="H62" s="474">
        <f t="shared" si="9"/>
        <v>0</v>
      </c>
      <c r="I62" s="474">
        <f t="shared" si="10"/>
        <v>0</v>
      </c>
      <c r="J62" s="474">
        <f t="shared" si="11"/>
        <v>0</v>
      </c>
      <c r="L62" s="3226"/>
      <c r="N62" s="2050"/>
      <c r="O62" s="873"/>
    </row>
    <row r="63" spans="2:15" ht="16.5" hidden="1" customHeight="1" x14ac:dyDescent="0.3">
      <c r="B63" s="3244" t="s">
        <v>1483</v>
      </c>
      <c r="C63" s="3230"/>
      <c r="D63" s="3230"/>
      <c r="E63" s="3230"/>
      <c r="F63" s="3230"/>
      <c r="G63" s="474">
        <f t="shared" si="8"/>
        <v>0</v>
      </c>
      <c r="H63" s="474">
        <f t="shared" si="9"/>
        <v>0</v>
      </c>
      <c r="I63" s="474">
        <f t="shared" si="10"/>
        <v>0</v>
      </c>
      <c r="J63" s="474">
        <f t="shared" si="11"/>
        <v>0</v>
      </c>
      <c r="L63" s="3226"/>
      <c r="N63" s="2050"/>
      <c r="O63" s="873"/>
    </row>
    <row r="64" spans="2:15" ht="16.5" hidden="1" customHeight="1" x14ac:dyDescent="0.3">
      <c r="B64" s="3244" t="s">
        <v>1526</v>
      </c>
      <c r="C64" s="3230"/>
      <c r="D64" s="3230"/>
      <c r="E64" s="3230"/>
      <c r="F64" s="3230"/>
      <c r="G64" s="474">
        <f t="shared" si="8"/>
        <v>0</v>
      </c>
      <c r="H64" s="474">
        <f t="shared" si="9"/>
        <v>0</v>
      </c>
      <c r="I64" s="474">
        <f t="shared" si="10"/>
        <v>0</v>
      </c>
      <c r="J64" s="474">
        <f t="shared" si="11"/>
        <v>0</v>
      </c>
      <c r="K64" s="3225"/>
      <c r="L64" s="3226"/>
      <c r="N64" s="2050"/>
      <c r="O64" s="873"/>
    </row>
    <row r="65" spans="2:15" ht="16.5" customHeight="1" x14ac:dyDescent="0.3">
      <c r="B65" s="3224" t="s">
        <v>1525</v>
      </c>
      <c r="C65" s="3230"/>
      <c r="D65" s="3230"/>
      <c r="E65" s="3230">
        <v>0</v>
      </c>
      <c r="F65" s="3230">
        <v>0</v>
      </c>
      <c r="G65" s="474">
        <f t="shared" si="8"/>
        <v>0</v>
      </c>
      <c r="H65" s="474">
        <f t="shared" si="9"/>
        <v>0</v>
      </c>
      <c r="I65" s="474">
        <f t="shared" si="10"/>
        <v>0</v>
      </c>
      <c r="J65" s="474">
        <f t="shared" si="11"/>
        <v>0</v>
      </c>
      <c r="K65" s="3225"/>
      <c r="L65" s="3226"/>
      <c r="N65" s="2050"/>
      <c r="O65" s="873"/>
    </row>
    <row r="66" spans="2:15" ht="16.5" customHeight="1" x14ac:dyDescent="0.3">
      <c r="B66" s="3224" t="s">
        <v>1335</v>
      </c>
      <c r="C66" s="3238"/>
      <c r="D66" s="3238"/>
      <c r="E66" s="3238"/>
      <c r="F66" s="3238"/>
      <c r="G66" s="474"/>
      <c r="H66" s="474"/>
      <c r="I66" s="474"/>
      <c r="J66" s="474"/>
      <c r="K66" s="3225"/>
      <c r="L66" s="3226"/>
      <c r="N66" s="2050"/>
      <c r="O66" s="873"/>
    </row>
    <row r="67" spans="2:15" ht="18.75" x14ac:dyDescent="0.3">
      <c r="B67" s="3227" t="s">
        <v>1336</v>
      </c>
      <c r="C67" s="3238">
        <f>(3958.9+731.05)/1000</f>
        <v>4.6899499999999996</v>
      </c>
      <c r="D67" s="3238">
        <f>(724.07+3542.88)/1000</f>
        <v>4.2669499999999996</v>
      </c>
      <c r="E67" s="3238">
        <v>4.2699999999999996</v>
      </c>
      <c r="F67" s="3238">
        <f>[41]Лист1!$D$4/1000</f>
        <v>5.0051999999999994</v>
      </c>
      <c r="G67" s="474">
        <f t="shared" si="8"/>
        <v>0</v>
      </c>
      <c r="H67" s="474">
        <f t="shared" si="9"/>
        <v>0</v>
      </c>
      <c r="I67" s="474">
        <f t="shared" si="10"/>
        <v>0</v>
      </c>
      <c r="J67" s="474">
        <f t="shared" si="11"/>
        <v>5.0051999999999994</v>
      </c>
      <c r="K67" s="3199" t="s">
        <v>1519</v>
      </c>
      <c r="L67" s="3226"/>
      <c r="M67" s="2050"/>
      <c r="N67" s="2050"/>
      <c r="O67" s="873"/>
    </row>
    <row r="68" spans="2:15" ht="18.75" x14ac:dyDescent="0.3">
      <c r="B68" s="3227" t="s">
        <v>1337</v>
      </c>
      <c r="C68" s="3238"/>
      <c r="D68" s="3238"/>
      <c r="E68" s="3238">
        <v>0</v>
      </c>
      <c r="F68" s="3238">
        <v>0</v>
      </c>
      <c r="G68" s="474">
        <f t="shared" si="8"/>
        <v>0</v>
      </c>
      <c r="H68" s="474">
        <f t="shared" si="9"/>
        <v>0</v>
      </c>
      <c r="I68" s="474">
        <f t="shared" si="10"/>
        <v>0</v>
      </c>
      <c r="J68" s="474">
        <f t="shared" si="11"/>
        <v>0</v>
      </c>
      <c r="L68" s="3226"/>
      <c r="M68" s="2050"/>
      <c r="N68" s="2050"/>
      <c r="O68" s="873"/>
    </row>
    <row r="69" spans="2:15" ht="37.5" hidden="1" x14ac:dyDescent="0.3">
      <c r="B69" s="3246" t="s">
        <v>1524</v>
      </c>
      <c r="C69" s="3230"/>
      <c r="D69" s="3230"/>
      <c r="E69" s="3230"/>
      <c r="F69" s="3230"/>
      <c r="G69" s="474">
        <f t="shared" si="8"/>
        <v>0</v>
      </c>
      <c r="H69" s="474">
        <f t="shared" si="9"/>
        <v>0</v>
      </c>
      <c r="I69" s="474">
        <f t="shared" si="10"/>
        <v>0</v>
      </c>
      <c r="J69" s="474">
        <f t="shared" si="11"/>
        <v>0</v>
      </c>
      <c r="K69" s="3225"/>
      <c r="L69" s="3226"/>
      <c r="N69" s="2050"/>
      <c r="O69" s="873"/>
    </row>
    <row r="70" spans="2:15" ht="18.75" x14ac:dyDescent="0.3">
      <c r="B70" s="3237" t="s">
        <v>1343</v>
      </c>
      <c r="C70" s="3230">
        <f>(47327.34+274051.76)/1000</f>
        <v>321.37909999999999</v>
      </c>
      <c r="D70" s="3230">
        <f>(53236.26+189429.24)/1000</f>
        <v>242.66550000000001</v>
      </c>
      <c r="E70" s="3230">
        <v>319.43</v>
      </c>
      <c r="F70" s="3230">
        <f>[42]Лист1!$D$6</f>
        <v>244.1</v>
      </c>
      <c r="G70" s="474">
        <f t="shared" si="8"/>
        <v>0</v>
      </c>
      <c r="H70" s="474">
        <f t="shared" si="9"/>
        <v>0</v>
      </c>
      <c r="I70" s="474">
        <f t="shared" si="10"/>
        <v>0</v>
      </c>
      <c r="J70" s="474">
        <f t="shared" si="11"/>
        <v>244.1</v>
      </c>
      <c r="K70" s="3199" t="s">
        <v>3223</v>
      </c>
      <c r="L70" s="3226"/>
      <c r="N70" s="2050"/>
      <c r="O70" s="873"/>
    </row>
    <row r="71" spans="2:15" ht="37.5" hidden="1" x14ac:dyDescent="0.3">
      <c r="B71" s="3237" t="s">
        <v>1647</v>
      </c>
      <c r="C71" s="3230"/>
      <c r="D71" s="3230"/>
      <c r="E71" s="3230"/>
      <c r="F71" s="3230"/>
      <c r="G71" s="474">
        <f>F71*$G$6</f>
        <v>0</v>
      </c>
      <c r="H71" s="474">
        <f>F71*$H$6</f>
        <v>0</v>
      </c>
      <c r="I71" s="474">
        <f>F71*$I$6</f>
        <v>0</v>
      </c>
      <c r="J71" s="474">
        <f>F71*$J$6</f>
        <v>0</v>
      </c>
      <c r="K71" s="3225"/>
      <c r="L71" s="3226"/>
      <c r="N71" s="2050"/>
      <c r="O71" s="873"/>
    </row>
    <row r="72" spans="2:15" ht="18" customHeight="1" x14ac:dyDescent="0.3">
      <c r="B72" s="3224" t="s">
        <v>1523</v>
      </c>
      <c r="C72" s="3230">
        <f>46436.72/1000</f>
        <v>46.436720000000001</v>
      </c>
      <c r="D72" s="3230"/>
      <c r="E72" s="3247">
        <v>0</v>
      </c>
      <c r="F72" s="3230">
        <v>0</v>
      </c>
      <c r="G72" s="474">
        <f t="shared" si="8"/>
        <v>0</v>
      </c>
      <c r="H72" s="474">
        <f t="shared" si="9"/>
        <v>0</v>
      </c>
      <c r="I72" s="474">
        <f t="shared" si="10"/>
        <v>0</v>
      </c>
      <c r="J72" s="474">
        <f t="shared" si="11"/>
        <v>0</v>
      </c>
      <c r="K72" s="3225"/>
      <c r="L72" s="3226"/>
      <c r="N72" s="2050"/>
      <c r="O72" s="873"/>
    </row>
    <row r="73" spans="2:15" ht="18" hidden="1" customHeight="1" x14ac:dyDescent="0.3">
      <c r="B73" s="3224" t="s">
        <v>1648</v>
      </c>
      <c r="C73" s="3248"/>
      <c r="D73" s="3248"/>
      <c r="E73" s="3249"/>
      <c r="F73" s="3230"/>
      <c r="G73" s="474">
        <f t="shared" ref="G73:G80" si="12">F73*$G$6</f>
        <v>0</v>
      </c>
      <c r="H73" s="474">
        <f t="shared" ref="H73:H80" si="13">F73*$H$6</f>
        <v>0</v>
      </c>
      <c r="I73" s="474">
        <f t="shared" ref="I73:I80" si="14">F73*$I$6</f>
        <v>0</v>
      </c>
      <c r="J73" s="474">
        <f t="shared" ref="J73:J80" si="15">F73*$J$6</f>
        <v>0</v>
      </c>
      <c r="K73" s="3225"/>
      <c r="N73" s="2050"/>
      <c r="O73" s="873"/>
    </row>
    <row r="74" spans="2:15" ht="18" hidden="1" customHeight="1" x14ac:dyDescent="0.3">
      <c r="B74" s="3237" t="s">
        <v>955</v>
      </c>
      <c r="C74" s="3230"/>
      <c r="D74" s="3230"/>
      <c r="E74" s="3250"/>
      <c r="F74" s="3248"/>
      <c r="G74" s="474">
        <f t="shared" si="12"/>
        <v>0</v>
      </c>
      <c r="H74" s="474">
        <f t="shared" si="13"/>
        <v>0</v>
      </c>
      <c r="I74" s="474">
        <f t="shared" si="14"/>
        <v>0</v>
      </c>
      <c r="J74" s="474">
        <f t="shared" si="15"/>
        <v>0</v>
      </c>
      <c r="L74" s="3226"/>
      <c r="N74" s="2050"/>
      <c r="O74" s="873"/>
    </row>
    <row r="75" spans="2:15" ht="18" hidden="1" customHeight="1" x14ac:dyDescent="0.3">
      <c r="B75" s="3237" t="s">
        <v>1649</v>
      </c>
      <c r="C75" s="3230"/>
      <c r="D75" s="3230"/>
      <c r="E75" s="3250"/>
      <c r="F75" s="3248"/>
      <c r="G75" s="474">
        <f t="shared" si="12"/>
        <v>0</v>
      </c>
      <c r="H75" s="474">
        <f t="shared" si="13"/>
        <v>0</v>
      </c>
      <c r="I75" s="474">
        <f t="shared" si="14"/>
        <v>0</v>
      </c>
      <c r="J75" s="474">
        <f t="shared" si="15"/>
        <v>0</v>
      </c>
      <c r="K75" s="3225"/>
      <c r="L75" s="3226"/>
      <c r="N75" s="2050"/>
      <c r="O75" s="873"/>
    </row>
    <row r="76" spans="2:15" ht="18" customHeight="1" x14ac:dyDescent="0.3">
      <c r="B76" s="3237" t="s">
        <v>1650</v>
      </c>
      <c r="C76" s="3230">
        <f>700/1000</f>
        <v>0.7</v>
      </c>
      <c r="D76" s="3230"/>
      <c r="E76" s="3250">
        <v>0</v>
      </c>
      <c r="F76" s="3248">
        <v>0</v>
      </c>
      <c r="G76" s="474">
        <f t="shared" si="12"/>
        <v>0</v>
      </c>
      <c r="H76" s="474">
        <f t="shared" si="13"/>
        <v>0</v>
      </c>
      <c r="I76" s="474">
        <f t="shared" si="14"/>
        <v>0</v>
      </c>
      <c r="J76" s="474">
        <f t="shared" si="15"/>
        <v>0</v>
      </c>
      <c r="K76" s="3225"/>
      <c r="L76" s="3226"/>
      <c r="N76" s="2050"/>
      <c r="O76" s="873"/>
    </row>
    <row r="77" spans="2:15" ht="37.5" hidden="1" x14ac:dyDescent="0.3">
      <c r="B77" s="3237" t="s">
        <v>1618</v>
      </c>
      <c r="C77" s="3230"/>
      <c r="D77" s="3230"/>
      <c r="E77" s="3250"/>
      <c r="F77" s="3248"/>
      <c r="G77" s="474">
        <f t="shared" si="12"/>
        <v>0</v>
      </c>
      <c r="H77" s="474">
        <f t="shared" si="13"/>
        <v>0</v>
      </c>
      <c r="I77" s="474">
        <f t="shared" si="14"/>
        <v>0</v>
      </c>
      <c r="J77" s="474">
        <f t="shared" si="15"/>
        <v>0</v>
      </c>
      <c r="K77" s="3225"/>
      <c r="L77" s="3226"/>
      <c r="N77" s="2050"/>
      <c r="O77" s="873"/>
    </row>
    <row r="78" spans="2:15" ht="18" hidden="1" customHeight="1" x14ac:dyDescent="0.3">
      <c r="B78" s="3237" t="s">
        <v>1651</v>
      </c>
      <c r="C78" s="3230"/>
      <c r="D78" s="3230"/>
      <c r="E78" s="3250"/>
      <c r="F78" s="3248"/>
      <c r="G78" s="474">
        <f t="shared" si="12"/>
        <v>0</v>
      </c>
      <c r="H78" s="474">
        <f t="shared" si="13"/>
        <v>0</v>
      </c>
      <c r="I78" s="474">
        <f t="shared" si="14"/>
        <v>0</v>
      </c>
      <c r="J78" s="474">
        <f t="shared" si="15"/>
        <v>0</v>
      </c>
      <c r="K78" s="3225"/>
      <c r="L78" s="3251"/>
      <c r="N78" s="2050"/>
      <c r="O78" s="873"/>
    </row>
    <row r="79" spans="2:15" ht="18" hidden="1" customHeight="1" x14ac:dyDescent="0.3">
      <c r="B79" s="3237" t="s">
        <v>1652</v>
      </c>
      <c r="C79" s="3230"/>
      <c r="D79" s="3230"/>
      <c r="E79" s="3250"/>
      <c r="F79" s="3248"/>
      <c r="G79" s="474">
        <f t="shared" si="12"/>
        <v>0</v>
      </c>
      <c r="H79" s="474">
        <f t="shared" si="13"/>
        <v>0</v>
      </c>
      <c r="I79" s="474">
        <f t="shared" si="14"/>
        <v>0</v>
      </c>
      <c r="J79" s="474">
        <f t="shared" si="15"/>
        <v>0</v>
      </c>
      <c r="K79" s="3225"/>
      <c r="L79" s="3226"/>
      <c r="N79" s="2050"/>
      <c r="O79" s="873"/>
    </row>
    <row r="80" spans="2:15" ht="19.5" thickBot="1" x14ac:dyDescent="0.35">
      <c r="B80" s="3252" t="s">
        <v>58</v>
      </c>
      <c r="C80" s="571"/>
      <c r="D80" s="3253">
        <f>1444.33/1000</f>
        <v>1.4443299999999999</v>
      </c>
      <c r="E80" s="3253">
        <v>0</v>
      </c>
      <c r="F80" s="3253">
        <v>0</v>
      </c>
      <c r="G80" s="571">
        <f t="shared" si="12"/>
        <v>0</v>
      </c>
      <c r="H80" s="571">
        <f t="shared" si="13"/>
        <v>0</v>
      </c>
      <c r="I80" s="571">
        <f t="shared" si="14"/>
        <v>0</v>
      </c>
      <c r="J80" s="571">
        <f t="shared" si="15"/>
        <v>0</v>
      </c>
      <c r="K80" s="3254"/>
      <c r="M80" s="3255"/>
      <c r="N80" s="2050"/>
      <c r="O80" s="873"/>
    </row>
    <row r="81" spans="2:19" s="3256" customFormat="1" x14ac:dyDescent="0.25">
      <c r="B81" s="3257"/>
      <c r="D81" s="3243"/>
      <c r="E81" s="3243"/>
      <c r="K81" s="3258"/>
      <c r="L81" s="3259"/>
    </row>
    <row r="82" spans="2:19" x14ac:dyDescent="0.25">
      <c r="D82" s="2050"/>
      <c r="E82" s="2050"/>
      <c r="M82" s="3231"/>
    </row>
    <row r="83" spans="2:19" ht="18.75" customHeight="1" x14ac:dyDescent="0.25"/>
    <row r="84" spans="2:19" ht="56.25" customHeight="1" x14ac:dyDescent="0.3">
      <c r="B84" s="4001" t="str">
        <f>'Вхідні дані'!$B$14</f>
        <v>Заступник начальника Адміністрації морського порту Чорноморськ з технічних питань та розвитку</v>
      </c>
      <c r="C84" s="4001"/>
      <c r="D84" s="3211"/>
      <c r="E84" s="3211"/>
      <c r="F84" s="3260" t="s">
        <v>1344</v>
      </c>
      <c r="H84" s="3999" t="str">
        <f>'Вхідні дані'!$F$14</f>
        <v>Віталій ЛІПСКИЙ</v>
      </c>
      <c r="I84" s="3999"/>
      <c r="J84" s="3999"/>
    </row>
    <row r="85" spans="2:19" ht="18.75" x14ac:dyDescent="0.3">
      <c r="B85" s="3211"/>
      <c r="C85" s="3211"/>
      <c r="D85" s="3211"/>
      <c r="E85" s="3211"/>
      <c r="F85" s="3260" t="s">
        <v>220</v>
      </c>
      <c r="H85" s="4000" t="s">
        <v>1946</v>
      </c>
      <c r="I85" s="4000"/>
      <c r="J85" s="4000"/>
    </row>
    <row r="86" spans="2:19" ht="18.75" customHeight="1" x14ac:dyDescent="0.3">
      <c r="B86" s="3211"/>
      <c r="C86" s="3211"/>
      <c r="D86" s="3211"/>
      <c r="E86" s="3211"/>
      <c r="F86" s="3260"/>
      <c r="H86" s="3606"/>
      <c r="I86" s="3606"/>
      <c r="J86" s="3606"/>
    </row>
    <row r="87" spans="2:19" ht="24" customHeight="1" x14ac:dyDescent="0.3">
      <c r="B87" s="3211" t="str">
        <f>'Вхідні дані'!$B$16</f>
        <v>Головний бухгалтер</v>
      </c>
      <c r="C87" s="3211"/>
      <c r="D87" s="3211"/>
      <c r="E87" s="3211"/>
      <c r="F87" s="3260" t="s">
        <v>1344</v>
      </c>
      <c r="H87" s="3999" t="str">
        <f>'Вхідні дані'!$F$16</f>
        <v>Тетяна ЗІМАН</v>
      </c>
      <c r="I87" s="3999"/>
      <c r="J87" s="3999"/>
      <c r="K87" s="3262"/>
      <c r="L87" s="3263"/>
    </row>
    <row r="88" spans="2:19" ht="18.75" x14ac:dyDescent="0.3">
      <c r="B88" s="3261"/>
      <c r="C88" s="3261"/>
      <c r="D88" s="3261"/>
      <c r="E88" s="3261"/>
      <c r="F88" s="3260" t="s">
        <v>220</v>
      </c>
      <c r="H88" s="4000" t="s">
        <v>1946</v>
      </c>
      <c r="I88" s="4000"/>
      <c r="J88" s="4000"/>
    </row>
    <row r="89" spans="2:19" x14ac:dyDescent="0.25">
      <c r="F89" s="2050"/>
      <c r="G89" s="2050"/>
      <c r="H89" s="2050"/>
      <c r="I89" s="2050"/>
      <c r="J89" s="2050"/>
    </row>
    <row r="90" spans="2:19" x14ac:dyDescent="0.25">
      <c r="F90" s="2050"/>
      <c r="G90" s="2050"/>
      <c r="H90" s="2050"/>
      <c r="I90" s="2050"/>
      <c r="J90" s="2050"/>
      <c r="N90" s="2050"/>
      <c r="O90" s="2050"/>
      <c r="P90" s="2050"/>
      <c r="Q90" s="2050"/>
    </row>
    <row r="91" spans="2:19" x14ac:dyDescent="0.25">
      <c r="N91" s="2050"/>
      <c r="O91" s="2050"/>
      <c r="P91" s="2050"/>
      <c r="Q91" s="2050"/>
      <c r="R91" s="2050"/>
      <c r="S91" s="2050"/>
    </row>
    <row r="92" spans="2:19" ht="18.75" x14ac:dyDescent="0.3">
      <c r="B92" s="3201"/>
      <c r="C92" s="2050"/>
      <c r="D92" s="2050"/>
      <c r="E92" s="2050"/>
      <c r="F92" s="2050"/>
      <c r="K92" s="3202" t="s">
        <v>835</v>
      </c>
      <c r="L92" s="457"/>
    </row>
    <row r="93" spans="2:19" ht="18" customHeight="1" x14ac:dyDescent="0.2">
      <c r="K93" s="457" t="str">
        <f>'Вхідні дані'!F1</f>
        <v>станом на 01.08.2023 року</v>
      </c>
      <c r="L93" s="457"/>
    </row>
    <row r="94" spans="2:19" ht="18" customHeight="1" x14ac:dyDescent="0.25"/>
    <row r="95" spans="2:19" ht="19.5" x14ac:dyDescent="0.3">
      <c r="B95" s="3206" t="s">
        <v>1604</v>
      </c>
      <c r="C95" s="3264"/>
      <c r="D95" s="3205" t="str">
        <f>'Вхідні дані'!$F$5</f>
        <v>ЧФ ДП "АМПУ"</v>
      </c>
      <c r="E95" s="3205"/>
      <c r="F95" s="3205"/>
      <c r="G95" s="3205" t="s">
        <v>461</v>
      </c>
      <c r="H95" s="3205" t="str">
        <f>'Вхідні дані'!$F$6</f>
        <v>2023-2024</v>
      </c>
      <c r="I95" s="3205" t="s">
        <v>648</v>
      </c>
      <c r="J95" s="3206"/>
      <c r="K95" s="3207"/>
      <c r="L95" s="3208"/>
    </row>
    <row r="96" spans="2:19" ht="18.75" x14ac:dyDescent="0.3">
      <c r="B96" s="3206"/>
      <c r="C96" s="3209"/>
      <c r="D96" s="3265"/>
      <c r="E96" s="3264"/>
      <c r="F96" s="3206"/>
      <c r="G96" s="3209"/>
      <c r="H96" s="3265"/>
      <c r="I96" s="3264"/>
      <c r="J96" s="3206"/>
      <c r="K96" s="3991" t="s">
        <v>2131</v>
      </c>
      <c r="L96" s="3991"/>
      <c r="Q96" s="2050"/>
    </row>
    <row r="97" spans="1:19" ht="19.5" thickBot="1" x14ac:dyDescent="0.35">
      <c r="B97" s="3471" t="s">
        <v>2136</v>
      </c>
      <c r="C97" s="3472"/>
      <c r="D97" s="3472"/>
      <c r="E97" s="3472"/>
      <c r="F97" s="3472">
        <f>G97+H97+I97+J97</f>
        <v>1</v>
      </c>
      <c r="G97" s="3472">
        <f>'Д 7_РП'!$G$76</f>
        <v>0</v>
      </c>
      <c r="H97" s="3472">
        <f>'Д 7_РП'!$G$84</f>
        <v>0</v>
      </c>
      <c r="I97" s="3472">
        <f>'Д 7_РП'!$G$88</f>
        <v>0</v>
      </c>
      <c r="J97" s="3472">
        <f>'Д 7_РП'!$G$92</f>
        <v>1</v>
      </c>
      <c r="K97" s="3473">
        <f>'Д 7_РП'!$E$158</f>
        <v>0.28931299999999999</v>
      </c>
      <c r="L97" s="3473">
        <f>'Д 7_РП'!$E$159</f>
        <v>0.71068699999999996</v>
      </c>
      <c r="Q97" s="2050"/>
    </row>
    <row r="98" spans="1:19" ht="19.5" customHeight="1" thickBot="1" x14ac:dyDescent="0.25">
      <c r="A98" s="3469"/>
      <c r="B98" s="3994" t="s">
        <v>2380</v>
      </c>
      <c r="C98" s="3214" t="s">
        <v>963</v>
      </c>
      <c r="D98" s="3214" t="s">
        <v>963</v>
      </c>
      <c r="E98" s="3214" t="s">
        <v>973</v>
      </c>
      <c r="F98" s="3214" t="s">
        <v>964</v>
      </c>
      <c r="G98" s="3996" t="s">
        <v>1955</v>
      </c>
      <c r="H98" s="3997"/>
      <c r="I98" s="3997"/>
      <c r="J98" s="3998"/>
      <c r="K98" s="3992" t="s">
        <v>1956</v>
      </c>
      <c r="L98" s="3993"/>
    </row>
    <row r="99" spans="1:19" ht="87" customHeight="1" thickBot="1" x14ac:dyDescent="0.25">
      <c r="A99" s="3469"/>
      <c r="B99" s="3995"/>
      <c r="C99" s="3214">
        <f>'Вхідні дані'!$F$8</f>
        <v>2021</v>
      </c>
      <c r="D99" s="3214">
        <f>'Вхідні дані'!$F$7</f>
        <v>2022</v>
      </c>
      <c r="E99" s="3217" t="str">
        <f>'Вхідні дані'!$F$9</f>
        <v xml:space="preserve">Ріш. № 297 від 25.10.2022 </v>
      </c>
      <c r="F99" s="3214" t="str">
        <f>'Вхідні дані'!$F$6</f>
        <v>2023-2024</v>
      </c>
      <c r="G99" s="3218" t="str">
        <f>'Вхідні дані'!$C$11</f>
        <v>населення</v>
      </c>
      <c r="H99" s="3218" t="str">
        <f>'Вхідні дані'!$D$11</f>
        <v>релігія</v>
      </c>
      <c r="I99" s="3218" t="str">
        <f>'Вхідні дані'!$E$11</f>
        <v>бюджетні установи</v>
      </c>
      <c r="J99" s="3218" t="str">
        <f>'Вхідні дані'!$F$11</f>
        <v>інші споживачі</v>
      </c>
      <c r="K99" s="3266" t="s">
        <v>1948</v>
      </c>
      <c r="L99" s="3470" t="s">
        <v>1949</v>
      </c>
    </row>
    <row r="100" spans="1:19" ht="37.5" x14ac:dyDescent="0.3">
      <c r="A100" s="3469"/>
      <c r="B100" s="3220" t="s">
        <v>1614</v>
      </c>
      <c r="C100" s="468">
        <f t="shared" ref="C100" si="16">C101+C115+C117</f>
        <v>8220.3460240000004</v>
      </c>
      <c r="D100" s="468">
        <f t="shared" ref="D100:J100" si="17">D101+D115+D117</f>
        <v>5219.7268000000004</v>
      </c>
      <c r="E100" s="468">
        <f t="shared" si="17"/>
        <v>17900.439999999999</v>
      </c>
      <c r="F100" s="468">
        <f>F101+F115+F117</f>
        <v>8809.639891446468</v>
      </c>
      <c r="G100" s="468">
        <f t="shared" si="17"/>
        <v>0</v>
      </c>
      <c r="H100" s="468">
        <f t="shared" si="17"/>
        <v>0</v>
      </c>
      <c r="I100" s="468">
        <f t="shared" si="17"/>
        <v>0</v>
      </c>
      <c r="J100" s="468">
        <f t="shared" si="17"/>
        <v>8809.639891446468</v>
      </c>
      <c r="K100" s="3267">
        <f>K101+K115+K117</f>
        <v>3032.7117809210158</v>
      </c>
      <c r="L100" s="3267">
        <f>L101+L115+L117</f>
        <v>5776.9281105254522</v>
      </c>
      <c r="M100" s="2050"/>
      <c r="P100" s="2050"/>
      <c r="Q100" s="3647">
        <f>F100*$K$97</f>
        <v>2548.743345914052</v>
      </c>
      <c r="R100" s="2050">
        <f>F100*$L$97</f>
        <v>6260.896545532416</v>
      </c>
      <c r="S100" s="2050"/>
    </row>
    <row r="101" spans="1:19" ht="18.75" x14ac:dyDescent="0.3">
      <c r="A101" s="3469"/>
      <c r="B101" s="3223" t="s">
        <v>1596</v>
      </c>
      <c r="C101" s="1475">
        <f>SUM(C102:C113)</f>
        <v>1926.458934</v>
      </c>
      <c r="D101" s="1475">
        <f>SUM(D102:D113)</f>
        <v>1161.1842200000001</v>
      </c>
      <c r="E101" s="1475">
        <f t="shared" ref="E101:L101" si="18">SUM(E102:E114)</f>
        <v>11250.28</v>
      </c>
      <c r="F101" s="1475">
        <f>SUM(F102:F114)</f>
        <v>4320.193186197469</v>
      </c>
      <c r="G101" s="1475">
        <f t="shared" si="18"/>
        <v>0</v>
      </c>
      <c r="H101" s="1475">
        <f t="shared" si="18"/>
        <v>0</v>
      </c>
      <c r="I101" s="1475">
        <f t="shared" si="18"/>
        <v>0</v>
      </c>
      <c r="J101" s="1475">
        <f t="shared" si="18"/>
        <v>4320.193186197469</v>
      </c>
      <c r="K101" s="1475">
        <f t="shared" si="18"/>
        <v>1337.7118298214109</v>
      </c>
      <c r="L101" s="1475">
        <f t="shared" si="18"/>
        <v>2982.4813563760576</v>
      </c>
      <c r="P101" s="2050"/>
      <c r="Q101" s="3647">
        <f t="shared" ref="Q101:Q161" si="19">F101*$K$97</f>
        <v>1249.8880512783483</v>
      </c>
      <c r="R101" s="2050">
        <f t="shared" ref="R101:R161" si="20">F101*$L$97</f>
        <v>3070.3051349191205</v>
      </c>
      <c r="S101" s="2050"/>
    </row>
    <row r="102" spans="1:19" ht="37.5" x14ac:dyDescent="0.3">
      <c r="A102" s="3469"/>
      <c r="B102" s="3224" t="s">
        <v>1950</v>
      </c>
      <c r="C102" s="474">
        <f>1582475.984/1000</f>
        <v>1582.4759839999999</v>
      </c>
      <c r="D102" s="474">
        <f>994136.66/1000</f>
        <v>994.13666000000001</v>
      </c>
      <c r="E102" s="474">
        <f>1676.1+290.05</f>
        <v>1966.1499999999999</v>
      </c>
      <c r="F102" s="3602">
        <f>'Д 9_ЕЕ'!D64</f>
        <v>766.73664866527542</v>
      </c>
      <c r="G102" s="474">
        <f>F102*$G$97</f>
        <v>0</v>
      </c>
      <c r="H102" s="474">
        <f>F102*$H$97</f>
        <v>0</v>
      </c>
      <c r="I102" s="474">
        <f>F102*$I$97</f>
        <v>0</v>
      </c>
      <c r="J102" s="474">
        <f>F102*$J$97</f>
        <v>766.73664866527542</v>
      </c>
      <c r="K102" s="474">
        <f>'Д 9_ЕЕ'!D65</f>
        <v>224.21895046888267</v>
      </c>
      <c r="L102" s="474">
        <f>'Д 9_ЕЕ'!D66</f>
        <v>542.51769819639287</v>
      </c>
      <c r="M102" s="3225"/>
      <c r="N102" s="3225"/>
      <c r="P102" s="2050"/>
      <c r="Q102" s="3648">
        <f t="shared" si="19"/>
        <v>221.82688003529682</v>
      </c>
      <c r="R102" s="3649">
        <f t="shared" si="20"/>
        <v>544.90976862997854</v>
      </c>
      <c r="S102" s="2050"/>
    </row>
    <row r="103" spans="1:19" ht="37.5" x14ac:dyDescent="0.3">
      <c r="A103" s="3469"/>
      <c r="B103" s="3224" t="s">
        <v>1623</v>
      </c>
      <c r="C103" s="474">
        <f>(65372.4+145597.6)/1000</f>
        <v>210.97</v>
      </c>
      <c r="D103" s="474">
        <f>119673.81/1000</f>
        <v>119.67381</v>
      </c>
      <c r="E103" s="474">
        <f>60.05+413.86</f>
        <v>473.91</v>
      </c>
      <c r="F103" s="3602">
        <f>([37]Лист1!$H$23+[37]Лист1!$I$23)*'Вхідні дані'!D77</f>
        <v>125.57159999999999</v>
      </c>
      <c r="G103" s="474">
        <f t="shared" ref="G103:G161" si="21">F103*$G$97</f>
        <v>0</v>
      </c>
      <c r="H103" s="474">
        <f t="shared" ref="H103:H161" si="22">F103*$H$97</f>
        <v>0</v>
      </c>
      <c r="I103" s="474">
        <f t="shared" ref="I103:I161" si="23">F103*$I$97</f>
        <v>0</v>
      </c>
      <c r="J103" s="474">
        <f t="shared" ref="J103:J161" si="24">F103*$J$97</f>
        <v>125.57159999999999</v>
      </c>
      <c r="K103" s="3268">
        <f>F103*$K$97</f>
        <v>36.329496310799996</v>
      </c>
      <c r="L103" s="474">
        <f>F103*$L$97</f>
        <v>89.242103689199993</v>
      </c>
      <c r="M103" s="3229"/>
      <c r="N103" s="3225"/>
      <c r="P103" s="2050"/>
      <c r="Q103" s="3647">
        <f t="shared" si="19"/>
        <v>36.329496310799996</v>
      </c>
      <c r="R103" s="2050">
        <f t="shared" si="20"/>
        <v>89.242103689199993</v>
      </c>
      <c r="S103" s="2050"/>
    </row>
    <row r="104" spans="1:19" ht="18.75" x14ac:dyDescent="0.3">
      <c r="A104" s="3469"/>
      <c r="B104" s="3224" t="s">
        <v>965</v>
      </c>
      <c r="C104" s="474">
        <f>2154.5/1000</f>
        <v>2.1545000000000001</v>
      </c>
      <c r="D104" s="474">
        <f>468/1000</f>
        <v>0.46800000000000003</v>
      </c>
      <c r="E104" s="474">
        <v>2.31</v>
      </c>
      <c r="F104" s="474">
        <f>[38]Лист1!$E$4/1000</f>
        <v>1.542</v>
      </c>
      <c r="G104" s="474">
        <f t="shared" si="21"/>
        <v>0</v>
      </c>
      <c r="H104" s="474">
        <f t="shared" si="22"/>
        <v>0</v>
      </c>
      <c r="I104" s="474">
        <f t="shared" si="23"/>
        <v>0</v>
      </c>
      <c r="J104" s="474">
        <f t="shared" si="24"/>
        <v>1.542</v>
      </c>
      <c r="K104" s="3268">
        <f>F104*$K$97</f>
        <v>0.44612064600000001</v>
      </c>
      <c r="L104" s="474">
        <f>F104*$L$97</f>
        <v>1.095879354</v>
      </c>
      <c r="M104" s="3229"/>
      <c r="N104" s="3225"/>
      <c r="P104" s="2050"/>
      <c r="Q104" s="3647">
        <f t="shared" si="19"/>
        <v>0.44612064600000001</v>
      </c>
      <c r="R104" s="2050">
        <f t="shared" si="20"/>
        <v>1.095879354</v>
      </c>
      <c r="S104" s="2050"/>
    </row>
    <row r="105" spans="1:19" ht="18.75" x14ac:dyDescent="0.3">
      <c r="A105" s="3469"/>
      <c r="B105" s="3224" t="s">
        <v>966</v>
      </c>
      <c r="C105" s="474">
        <f>110217.77/1000</f>
        <v>110.21777</v>
      </c>
      <c r="D105" s="474">
        <f>22248.7/1000</f>
        <v>22.248699999999999</v>
      </c>
      <c r="E105" s="474">
        <v>117.05</v>
      </c>
      <c r="F105" s="474">
        <f>(D105)*'Вхідні дані'!$D$77</f>
        <v>23.516875899999999</v>
      </c>
      <c r="G105" s="3275">
        <f t="shared" si="21"/>
        <v>0</v>
      </c>
      <c r="H105" s="474">
        <f t="shared" si="22"/>
        <v>0</v>
      </c>
      <c r="I105" s="474">
        <f t="shared" si="23"/>
        <v>0</v>
      </c>
      <c r="J105" s="474">
        <f t="shared" si="24"/>
        <v>23.516875899999999</v>
      </c>
      <c r="K105" s="3268">
        <f>F105*$K$97</f>
        <v>6.803737917256699</v>
      </c>
      <c r="L105" s="474">
        <f>F105*$L$97</f>
        <v>16.713137982743298</v>
      </c>
      <c r="M105" s="3225" t="s">
        <v>2606</v>
      </c>
      <c r="N105" s="3225"/>
      <c r="P105" s="2050"/>
      <c r="Q105" s="3647">
        <f t="shared" si="19"/>
        <v>6.803737917256699</v>
      </c>
      <c r="R105" s="2050">
        <f t="shared" si="20"/>
        <v>16.713137982743298</v>
      </c>
      <c r="S105" s="2050"/>
    </row>
    <row r="106" spans="1:19" ht="18.75" x14ac:dyDescent="0.3">
      <c r="A106" s="3469"/>
      <c r="B106" s="3224" t="s">
        <v>967</v>
      </c>
      <c r="C106" s="474">
        <f>3176.33/1000</f>
        <v>3.1763300000000001</v>
      </c>
      <c r="D106" s="474">
        <f>805.05/1000</f>
        <v>0.80504999999999993</v>
      </c>
      <c r="E106" s="474">
        <v>3.77</v>
      </c>
      <c r="F106" s="474">
        <f>D106*'Вхідні дані'!D77</f>
        <v>0.85093784999999988</v>
      </c>
      <c r="G106" s="3475">
        <f t="shared" si="21"/>
        <v>0</v>
      </c>
      <c r="H106" s="3468">
        <f t="shared" si="22"/>
        <v>0</v>
      </c>
      <c r="I106" s="474">
        <f t="shared" si="23"/>
        <v>0</v>
      </c>
      <c r="J106" s="474">
        <f t="shared" si="24"/>
        <v>0.85093784999999988</v>
      </c>
      <c r="K106" s="3268">
        <f>F106*K97</f>
        <v>0.24618738219704994</v>
      </c>
      <c r="L106" s="474">
        <f>F106*L97</f>
        <v>0.60475046780294983</v>
      </c>
      <c r="M106" s="3225" t="s">
        <v>1352</v>
      </c>
      <c r="N106" s="3225"/>
      <c r="P106" s="2050"/>
      <c r="Q106" s="1390">
        <f t="shared" si="19"/>
        <v>0.24618738219704994</v>
      </c>
      <c r="R106" s="2050">
        <f t="shared" si="20"/>
        <v>0.60475046780294983</v>
      </c>
      <c r="S106" s="2050"/>
    </row>
    <row r="107" spans="1:19" ht="18" hidden="1" customHeight="1" x14ac:dyDescent="0.3">
      <c r="A107" s="3469"/>
      <c r="B107" s="3224" t="s">
        <v>1514</v>
      </c>
      <c r="C107" s="474"/>
      <c r="D107" s="474"/>
      <c r="E107" s="474"/>
      <c r="F107" s="474">
        <f>(D107)*'Вхідні дані'!$D$77</f>
        <v>0</v>
      </c>
      <c r="G107" s="3474">
        <f t="shared" si="21"/>
        <v>0</v>
      </c>
      <c r="H107" s="474">
        <f t="shared" si="22"/>
        <v>0</v>
      </c>
      <c r="I107" s="474">
        <f t="shared" si="23"/>
        <v>0</v>
      </c>
      <c r="J107" s="474">
        <f t="shared" si="24"/>
        <v>0</v>
      </c>
      <c r="K107" s="3268">
        <f>F107*$K$97</f>
        <v>0</v>
      </c>
      <c r="L107" s="474">
        <f>F107*$L$97</f>
        <v>0</v>
      </c>
      <c r="M107" s="3225"/>
      <c r="N107" s="3225"/>
      <c r="P107" s="2050"/>
      <c r="Q107" s="3647">
        <f t="shared" si="19"/>
        <v>0</v>
      </c>
      <c r="R107" s="2050">
        <f t="shared" si="20"/>
        <v>0</v>
      </c>
      <c r="S107" s="2050"/>
    </row>
    <row r="108" spans="1:19" ht="18.75" x14ac:dyDescent="0.3">
      <c r="A108" s="3469"/>
      <c r="B108" s="3224" t="s">
        <v>946</v>
      </c>
      <c r="C108" s="474">
        <f>547.85/1000</f>
        <v>0.54785000000000006</v>
      </c>
      <c r="D108" s="474"/>
      <c r="E108" s="474">
        <v>0.57999999999999996</v>
      </c>
      <c r="F108" s="474">
        <f>D108*'Вхідні дані'!D77</f>
        <v>0</v>
      </c>
      <c r="G108" s="3468">
        <f t="shared" si="21"/>
        <v>0</v>
      </c>
      <c r="H108" s="474">
        <f t="shared" si="22"/>
        <v>0</v>
      </c>
      <c r="I108" s="474">
        <f t="shared" si="23"/>
        <v>0</v>
      </c>
      <c r="J108" s="474">
        <f t="shared" si="24"/>
        <v>0</v>
      </c>
      <c r="K108" s="3268">
        <f>F108*$K$97</f>
        <v>0</v>
      </c>
      <c r="L108" s="474">
        <f>F108*$L$97</f>
        <v>0</v>
      </c>
      <c r="M108" s="3225" t="s">
        <v>2606</v>
      </c>
      <c r="N108" s="3225"/>
      <c r="P108" s="2050"/>
      <c r="Q108" s="3647">
        <f t="shared" si="19"/>
        <v>0</v>
      </c>
      <c r="R108" s="2050">
        <f t="shared" si="20"/>
        <v>0</v>
      </c>
      <c r="S108" s="2050"/>
    </row>
    <row r="109" spans="1:19" ht="18.75" x14ac:dyDescent="0.3">
      <c r="A109" s="3469"/>
      <c r="B109" s="3224" t="s">
        <v>968</v>
      </c>
      <c r="C109" s="474">
        <f>2988.53/1000</f>
        <v>2.9885300000000004</v>
      </c>
      <c r="D109" s="474">
        <f>15685.7/1000</f>
        <v>15.685700000000001</v>
      </c>
      <c r="E109" s="474">
        <v>3.18</v>
      </c>
      <c r="F109" s="474">
        <f>(D109)*'Вхідні дані'!$D$77</f>
        <v>16.5797849</v>
      </c>
      <c r="G109" s="474">
        <f t="shared" si="21"/>
        <v>0</v>
      </c>
      <c r="H109" s="474">
        <f t="shared" si="22"/>
        <v>0</v>
      </c>
      <c r="I109" s="474">
        <f t="shared" si="23"/>
        <v>0</v>
      </c>
      <c r="J109" s="474">
        <f t="shared" si="24"/>
        <v>16.5797849</v>
      </c>
      <c r="K109" s="3268">
        <f>F109*$K$97</f>
        <v>4.7967473087736998</v>
      </c>
      <c r="L109" s="474">
        <f>F109*$L$97</f>
        <v>11.7830375912263</v>
      </c>
      <c r="M109" s="3225" t="s">
        <v>2606</v>
      </c>
      <c r="N109" s="3225"/>
      <c r="P109" s="2050"/>
      <c r="Q109" s="3647">
        <f t="shared" si="19"/>
        <v>4.7967473087736998</v>
      </c>
      <c r="R109" s="2050">
        <f t="shared" si="20"/>
        <v>11.7830375912263</v>
      </c>
      <c r="S109" s="2050"/>
    </row>
    <row r="110" spans="1:19" ht="18.75" hidden="1" x14ac:dyDescent="0.3">
      <c r="A110" s="3469"/>
      <c r="B110" s="3224" t="s">
        <v>969</v>
      </c>
      <c r="C110" s="474"/>
      <c r="D110" s="474"/>
      <c r="E110" s="474"/>
      <c r="F110" s="474">
        <f>(D110)*'Вхідні дані'!$D$77</f>
        <v>0</v>
      </c>
      <c r="G110" s="474">
        <f t="shared" si="21"/>
        <v>0</v>
      </c>
      <c r="H110" s="474">
        <f t="shared" si="22"/>
        <v>0</v>
      </c>
      <c r="I110" s="474">
        <f t="shared" si="23"/>
        <v>0</v>
      </c>
      <c r="J110" s="474">
        <f t="shared" si="24"/>
        <v>0</v>
      </c>
      <c r="K110" s="3268">
        <f>F110*$K$97</f>
        <v>0</v>
      </c>
      <c r="L110" s="474">
        <f>F110*$L$97</f>
        <v>0</v>
      </c>
      <c r="M110" s="3225"/>
      <c r="N110" s="3225"/>
      <c r="P110" s="2050"/>
      <c r="Q110" s="3647">
        <f t="shared" si="19"/>
        <v>0</v>
      </c>
      <c r="R110" s="2050">
        <f t="shared" si="20"/>
        <v>0</v>
      </c>
      <c r="S110" s="2050"/>
    </row>
    <row r="111" spans="1:19" ht="18.75" hidden="1" x14ac:dyDescent="0.3">
      <c r="A111" s="3469"/>
      <c r="B111" s="3224" t="s">
        <v>970</v>
      </c>
      <c r="C111" s="474"/>
      <c r="D111" s="474"/>
      <c r="E111" s="474"/>
      <c r="F111" s="474">
        <f>(D111)*'Вхідні дані'!$D$77</f>
        <v>0</v>
      </c>
      <c r="G111" s="474">
        <f t="shared" si="21"/>
        <v>0</v>
      </c>
      <c r="H111" s="474">
        <f t="shared" si="22"/>
        <v>0</v>
      </c>
      <c r="I111" s="474">
        <f t="shared" si="23"/>
        <v>0</v>
      </c>
      <c r="J111" s="474">
        <f t="shared" si="24"/>
        <v>0</v>
      </c>
      <c r="K111" s="3268">
        <f>F111*$K$97</f>
        <v>0</v>
      </c>
      <c r="L111" s="474">
        <f>F111*$L$97</f>
        <v>0</v>
      </c>
      <c r="M111" s="3225"/>
      <c r="N111" s="3225"/>
      <c r="P111" s="2050"/>
      <c r="Q111" s="3647">
        <f t="shared" si="19"/>
        <v>0</v>
      </c>
      <c r="R111" s="2050">
        <f t="shared" si="20"/>
        <v>0</v>
      </c>
      <c r="S111" s="2050"/>
    </row>
    <row r="112" spans="1:19" ht="18.75" x14ac:dyDescent="0.3">
      <c r="A112" s="3469"/>
      <c r="B112" s="3224" t="s">
        <v>971</v>
      </c>
      <c r="C112" s="474">
        <f>13927.97/1000</f>
        <v>13.92797</v>
      </c>
      <c r="D112" s="474">
        <f>8166.3/1000</f>
        <v>8.1662999999999997</v>
      </c>
      <c r="E112" s="474">
        <v>19.64</v>
      </c>
      <c r="F112" s="474">
        <f>D112*'Вхідні дані'!D77</f>
        <v>8.6317790999999993</v>
      </c>
      <c r="G112" s="474">
        <f t="shared" si="21"/>
        <v>0</v>
      </c>
      <c r="H112" s="474">
        <f t="shared" si="22"/>
        <v>0</v>
      </c>
      <c r="I112" s="474">
        <f t="shared" si="23"/>
        <v>0</v>
      </c>
      <c r="J112" s="474">
        <f t="shared" si="24"/>
        <v>8.6317790999999993</v>
      </c>
      <c r="K112" s="3268">
        <f>F112*K97</f>
        <v>2.4972859067582998</v>
      </c>
      <c r="L112" s="474">
        <f>F112*L97</f>
        <v>6.1344931932416991</v>
      </c>
      <c r="M112" s="3225" t="s">
        <v>1352</v>
      </c>
      <c r="N112" s="3225"/>
      <c r="P112" s="2050"/>
      <c r="Q112" s="3647">
        <f t="shared" si="19"/>
        <v>2.4972859067582998</v>
      </c>
      <c r="R112" s="2050">
        <f t="shared" si="20"/>
        <v>6.1344931932416991</v>
      </c>
      <c r="S112" s="2050"/>
    </row>
    <row r="113" spans="1:22" ht="18.75" hidden="1" x14ac:dyDescent="0.3">
      <c r="A113" s="3469"/>
      <c r="B113" s="3224" t="s">
        <v>972</v>
      </c>
      <c r="C113" s="474"/>
      <c r="D113" s="474"/>
      <c r="E113" s="474"/>
      <c r="F113" s="474">
        <v>0</v>
      </c>
      <c r="G113" s="474">
        <f t="shared" si="21"/>
        <v>0</v>
      </c>
      <c r="H113" s="474">
        <f t="shared" si="22"/>
        <v>0</v>
      </c>
      <c r="I113" s="474">
        <f t="shared" si="23"/>
        <v>0</v>
      </c>
      <c r="J113" s="474">
        <f t="shared" si="24"/>
        <v>0</v>
      </c>
      <c r="K113" s="3268">
        <f>СПЕЦХАРЧ!F33/1000+(F113-СПЕЦХАРЧ!F33/1000)*$K$97</f>
        <v>0</v>
      </c>
      <c r="L113" s="474">
        <f>(F113-СПЕЦХАРЧ!F33/1000)*$L$97</f>
        <v>0</v>
      </c>
      <c r="M113" s="3225"/>
      <c r="N113" s="3225"/>
      <c r="P113" s="2050"/>
      <c r="Q113" s="3647">
        <f t="shared" si="19"/>
        <v>0</v>
      </c>
      <c r="R113" s="2050">
        <f t="shared" si="20"/>
        <v>0</v>
      </c>
      <c r="S113" s="2050"/>
    </row>
    <row r="114" spans="1:22" ht="37.5" x14ac:dyDescent="0.3">
      <c r="A114" s="3469"/>
      <c r="B114" s="3224" t="s">
        <v>2281</v>
      </c>
      <c r="C114" s="474"/>
      <c r="D114" s="474"/>
      <c r="E114" s="474">
        <v>8663.69</v>
      </c>
      <c r="F114" s="474">
        <f>G114+H114+I114+J114</f>
        <v>3376.7635597821932</v>
      </c>
      <c r="G114" s="474">
        <v>0</v>
      </c>
      <c r="H114" s="474">
        <v>0</v>
      </c>
      <c r="I114" s="474">
        <v>0</v>
      </c>
      <c r="J114" s="474">
        <f>('Д 7_РП'!$G$54+'Д 7_РП'!$G$62)*'Д 5 Т на ТЕ з ЦТП'!$H$9/1000</f>
        <v>3376.7635597821932</v>
      </c>
      <c r="K114" s="3268">
        <f>'Покриття втрат в мережах'!C12</f>
        <v>1062.3733038807425</v>
      </c>
      <c r="L114" s="474">
        <f>'Покриття втрат в мережах'!C13</f>
        <v>2314.3902559014505</v>
      </c>
      <c r="P114" s="2050"/>
      <c r="Q114" s="3648">
        <f t="shared" si="19"/>
        <v>976.94159577126561</v>
      </c>
      <c r="R114" s="3649">
        <f t="shared" si="20"/>
        <v>2399.8219640109273</v>
      </c>
      <c r="S114" s="2050"/>
    </row>
    <row r="115" spans="1:22" ht="18.75" x14ac:dyDescent="0.3">
      <c r="A115" s="3469"/>
      <c r="B115" s="3233" t="s">
        <v>1598</v>
      </c>
      <c r="C115" s="1475">
        <f>2897509.35/1000</f>
        <v>2897.5093500000003</v>
      </c>
      <c r="D115" s="1475">
        <f>1892824.11/1000</f>
        <v>1892.82411</v>
      </c>
      <c r="E115" s="1475">
        <v>3023.13</v>
      </c>
      <c r="F115" s="1475">
        <f>(ФОП!H14+ФОП!H19)/1000</f>
        <v>2505.9224250000002</v>
      </c>
      <c r="G115" s="474">
        <f t="shared" si="21"/>
        <v>0</v>
      </c>
      <c r="H115" s="474">
        <f t="shared" si="22"/>
        <v>0</v>
      </c>
      <c r="I115" s="474">
        <f t="shared" si="23"/>
        <v>0</v>
      </c>
      <c r="J115" s="474">
        <f t="shared" si="24"/>
        <v>2505.9224250000002</v>
      </c>
      <c r="K115" s="3269">
        <f>ФОП!H19/1000+ФОП!H14/1000*$K$97</f>
        <v>1037.5551852318399</v>
      </c>
      <c r="L115" s="1475">
        <f>ФОП!H14/1000*$L$97</f>
        <v>1468.3672397681601</v>
      </c>
      <c r="N115" s="3225"/>
      <c r="P115" s="2050"/>
      <c r="Q115" s="3648">
        <f t="shared" si="19"/>
        <v>724.99593454402498</v>
      </c>
      <c r="R115" s="3649">
        <f t="shared" si="20"/>
        <v>1780.926490455975</v>
      </c>
      <c r="S115" s="2050"/>
      <c r="U115" s="3270">
        <v>2782.8240000000001</v>
      </c>
      <c r="V115" s="3270">
        <v>6520.2950000000001</v>
      </c>
    </row>
    <row r="116" spans="1:22" ht="18.75" hidden="1" x14ac:dyDescent="0.3">
      <c r="A116" s="3469"/>
      <c r="B116" s="3227" t="s">
        <v>948</v>
      </c>
      <c r="C116" s="474"/>
      <c r="D116" s="474">
        <v>0</v>
      </c>
      <c r="E116" s="474">
        <v>0</v>
      </c>
      <c r="F116" s="474">
        <f>(ФОП!H15+ФОП!H20)/1000</f>
        <v>0</v>
      </c>
      <c r="G116" s="474">
        <f t="shared" si="21"/>
        <v>0</v>
      </c>
      <c r="H116" s="474">
        <f t="shared" si="22"/>
        <v>0</v>
      </c>
      <c r="I116" s="474">
        <f t="shared" si="23"/>
        <v>0</v>
      </c>
      <c r="J116" s="474">
        <f t="shared" si="24"/>
        <v>0</v>
      </c>
      <c r="K116" s="3271">
        <f>ФОП!H20/1000+ФОП!H15/1000*$K$97</f>
        <v>0</v>
      </c>
      <c r="L116" s="3272">
        <f>ФОП!H15/1000*$L$97</f>
        <v>0</v>
      </c>
      <c r="N116" s="3225"/>
      <c r="P116" s="2050"/>
      <c r="Q116" s="3647">
        <f t="shared" si="19"/>
        <v>0</v>
      </c>
      <c r="R116" s="2050">
        <f t="shared" si="20"/>
        <v>0</v>
      </c>
      <c r="S116" s="2050"/>
      <c r="U116" s="3270">
        <f>U115-K115</f>
        <v>1745.2688147681602</v>
      </c>
      <c r="V116" s="3270">
        <f>V115-L115</f>
        <v>5051.9277602318398</v>
      </c>
    </row>
    <row r="117" spans="1:22" ht="18.75" x14ac:dyDescent="0.3">
      <c r="A117" s="3469"/>
      <c r="B117" s="3233" t="s">
        <v>1599</v>
      </c>
      <c r="C117" s="1475">
        <f t="shared" ref="C117" si="25">SUM(C118:C161)</f>
        <v>3396.3777399999999</v>
      </c>
      <c r="D117" s="1475">
        <f t="shared" ref="D117:H117" si="26">SUM(D118:D161)</f>
        <v>2165.7184700000003</v>
      </c>
      <c r="E117" s="1475">
        <f t="shared" si="26"/>
        <v>3627.03</v>
      </c>
      <c r="F117" s="1475">
        <f t="shared" si="26"/>
        <v>1983.5242802489997</v>
      </c>
      <c r="G117" s="1475">
        <f t="shared" si="26"/>
        <v>0</v>
      </c>
      <c r="H117" s="1475">
        <f t="shared" si="26"/>
        <v>0</v>
      </c>
      <c r="I117" s="1475">
        <f>SUM(I118:I161)</f>
        <v>0</v>
      </c>
      <c r="J117" s="1475">
        <f>SUM(J118:J161)</f>
        <v>1983.5242802489997</v>
      </c>
      <c r="K117" s="1475">
        <f>SUM(K118:K161)</f>
        <v>657.444765867765</v>
      </c>
      <c r="L117" s="1475">
        <f>SUM(L118:L161)</f>
        <v>1326.079514381235</v>
      </c>
      <c r="N117" s="3225"/>
      <c r="P117" s="2050"/>
      <c r="Q117" s="3647">
        <f t="shared" si="19"/>
        <v>573.85936009167881</v>
      </c>
      <c r="R117" s="2050">
        <f t="shared" si="20"/>
        <v>1409.6649201573207</v>
      </c>
      <c r="S117" s="2050"/>
    </row>
    <row r="118" spans="1:22" ht="37.5" x14ac:dyDescent="0.3">
      <c r="A118" s="3469"/>
      <c r="B118" s="3224" t="s">
        <v>542</v>
      </c>
      <c r="C118" s="474">
        <f>641785.02/1000</f>
        <v>641.78502000000003</v>
      </c>
      <c r="D118" s="474">
        <f>425077.99/1000</f>
        <v>425.07799</v>
      </c>
      <c r="E118" s="474">
        <f>665.09</f>
        <v>665.09</v>
      </c>
      <c r="F118" s="474">
        <f>(F115-F116)*'Вхідні дані'!$D$44+'Вхідні дані'!$D$45*F116</f>
        <v>551.30293349999999</v>
      </c>
      <c r="G118" s="474">
        <f t="shared" si="21"/>
        <v>0</v>
      </c>
      <c r="H118" s="474">
        <f t="shared" si="22"/>
        <v>0</v>
      </c>
      <c r="I118" s="474">
        <f>F118*$I$97</f>
        <v>0</v>
      </c>
      <c r="J118" s="474">
        <f>F118*$J$97</f>
        <v>551.30293349999999</v>
      </c>
      <c r="K118" s="474">
        <f>K115*22%</f>
        <v>228.26214075100478</v>
      </c>
      <c r="L118" s="474">
        <f>L115*22%</f>
        <v>323.04079274899522</v>
      </c>
      <c r="N118" s="3225">
        <f>L117-L118-L119-L120</f>
        <v>959.86606410737966</v>
      </c>
      <c r="O118" s="2050"/>
      <c r="P118" s="2050"/>
      <c r="Q118" s="3648">
        <f t="shared" si="19"/>
        <v>159.49910559968549</v>
      </c>
      <c r="R118" s="3649">
        <f t="shared" si="20"/>
        <v>391.80382790031445</v>
      </c>
      <c r="S118" s="2050"/>
    </row>
    <row r="119" spans="1:22" s="3235" customFormat="1" ht="37.5" x14ac:dyDescent="0.3">
      <c r="A119" s="3469"/>
      <c r="B119" s="3224" t="s">
        <v>1600</v>
      </c>
      <c r="C119" s="474">
        <f>286927.8/1000</f>
        <v>286.92779999999999</v>
      </c>
      <c r="D119" s="474">
        <f>286811.42/1000</f>
        <v>286.81142</v>
      </c>
      <c r="E119" s="474">
        <f>227.88</f>
        <v>227.88</v>
      </c>
      <c r="F119" s="474">
        <f>[43]TDSheet!$AG$14/1000+[43]TDSheet!$AG$33/1000</f>
        <v>64.960380000000015</v>
      </c>
      <c r="G119" s="474">
        <f t="shared" si="21"/>
        <v>0</v>
      </c>
      <c r="H119" s="474">
        <f t="shared" si="22"/>
        <v>0</v>
      </c>
      <c r="I119" s="474">
        <f t="shared" si="23"/>
        <v>0</v>
      </c>
      <c r="J119" s="474">
        <f t="shared" si="24"/>
        <v>64.960380000000015</v>
      </c>
      <c r="K119" s="3268">
        <f>[43]TDSheet!$AG$14/1000+(F119-[43]TDSheet!$AG$14/1000)*$K$97</f>
        <v>21.787722475140004</v>
      </c>
      <c r="L119" s="474">
        <f>(F119-[43]TDSheet!$AG$14/1000)*$L$97</f>
        <v>43.172657524860007</v>
      </c>
      <c r="M119" s="3273"/>
      <c r="N119" s="3225"/>
      <c r="O119" s="3236"/>
      <c r="P119" s="2050"/>
      <c r="Q119" s="3648">
        <f t="shared" si="19"/>
        <v>18.793882418940004</v>
      </c>
      <c r="R119" s="3649">
        <f t="shared" si="20"/>
        <v>46.166497581060007</v>
      </c>
      <c r="S119" s="2050"/>
    </row>
    <row r="120" spans="1:22" s="3235" customFormat="1" ht="34.9" hidden="1" customHeight="1" x14ac:dyDescent="0.3">
      <c r="A120" s="3469"/>
      <c r="B120" s="3224" t="s">
        <v>2612</v>
      </c>
      <c r="C120" s="474">
        <v>0</v>
      </c>
      <c r="D120" s="474">
        <v>0</v>
      </c>
      <c r="E120" s="474">
        <v>0</v>
      </c>
      <c r="F120" s="474">
        <v>0</v>
      </c>
      <c r="G120" s="474">
        <f t="shared" si="21"/>
        <v>0</v>
      </c>
      <c r="H120" s="474">
        <f t="shared" si="22"/>
        <v>0</v>
      </c>
      <c r="I120" s="474">
        <f t="shared" si="23"/>
        <v>0</v>
      </c>
      <c r="J120" s="474">
        <f t="shared" si="24"/>
        <v>0</v>
      </c>
      <c r="K120" s="3268">
        <f t="shared" ref="K120:K123" si="27">F120*$K$97</f>
        <v>0</v>
      </c>
      <c r="L120" s="474">
        <f>F120*$L$97</f>
        <v>0</v>
      </c>
      <c r="P120" s="2050"/>
      <c r="Q120" s="3647">
        <f t="shared" si="19"/>
        <v>0</v>
      </c>
      <c r="R120" s="2050">
        <f t="shared" si="20"/>
        <v>0</v>
      </c>
      <c r="S120" s="2050"/>
    </row>
    <row r="121" spans="1:22" ht="18" customHeight="1" x14ac:dyDescent="0.3">
      <c r="A121" s="3469"/>
      <c r="B121" s="3237" t="s">
        <v>1334</v>
      </c>
      <c r="C121" s="474">
        <f>372293.6/1000</f>
        <v>372.29359999999997</v>
      </c>
      <c r="D121" s="474">
        <f>244266.67/1000</f>
        <v>244.26667</v>
      </c>
      <c r="E121" s="474">
        <v>300</v>
      </c>
      <c r="F121" s="474">
        <f>'[40]ремонтні роботи'!$E$39</f>
        <v>300</v>
      </c>
      <c r="G121" s="474">
        <f t="shared" si="21"/>
        <v>0</v>
      </c>
      <c r="H121" s="474">
        <f t="shared" si="22"/>
        <v>0</v>
      </c>
      <c r="I121" s="474">
        <f t="shared" si="23"/>
        <v>0</v>
      </c>
      <c r="J121" s="474">
        <f t="shared" si="24"/>
        <v>300</v>
      </c>
      <c r="K121" s="474">
        <f t="shared" si="27"/>
        <v>86.793899999999994</v>
      </c>
      <c r="L121" s="474">
        <f t="shared" ref="L121" si="28">F121*$L$97</f>
        <v>213.20609999999999</v>
      </c>
      <c r="M121" s="457" t="s">
        <v>2594</v>
      </c>
      <c r="N121" s="3225"/>
      <c r="P121" s="2050"/>
      <c r="Q121" s="3647">
        <f t="shared" si="19"/>
        <v>86.793899999999994</v>
      </c>
      <c r="R121" s="2050">
        <f t="shared" si="20"/>
        <v>213.20609999999999</v>
      </c>
      <c r="S121" s="2050"/>
    </row>
    <row r="122" spans="1:22" ht="18" hidden="1" customHeight="1" x14ac:dyDescent="0.3">
      <c r="A122" s="3469"/>
      <c r="B122" s="3237" t="s">
        <v>1484</v>
      </c>
      <c r="C122" s="474">
        <v>0</v>
      </c>
      <c r="D122" s="474">
        <v>0</v>
      </c>
      <c r="E122" s="474">
        <v>0</v>
      </c>
      <c r="F122" s="474">
        <v>0</v>
      </c>
      <c r="G122" s="474">
        <f t="shared" si="21"/>
        <v>0</v>
      </c>
      <c r="H122" s="474">
        <f t="shared" si="22"/>
        <v>0</v>
      </c>
      <c r="I122" s="474">
        <f t="shared" si="23"/>
        <v>0</v>
      </c>
      <c r="J122" s="474">
        <f t="shared" si="24"/>
        <v>0</v>
      </c>
      <c r="K122" s="3268">
        <f t="shared" si="27"/>
        <v>0</v>
      </c>
      <c r="L122" s="474">
        <f>F122*$L$97</f>
        <v>0</v>
      </c>
      <c r="P122" s="2050"/>
      <c r="Q122" s="3647">
        <f t="shared" si="19"/>
        <v>0</v>
      </c>
      <c r="R122" s="2050">
        <f t="shared" si="20"/>
        <v>0</v>
      </c>
      <c r="S122" s="2050"/>
    </row>
    <row r="123" spans="1:22" ht="37.5" x14ac:dyDescent="0.3">
      <c r="A123" s="3469"/>
      <c r="B123" s="3237" t="s">
        <v>1338</v>
      </c>
      <c r="C123" s="474">
        <v>0</v>
      </c>
      <c r="D123" s="474"/>
      <c r="E123" s="474">
        <v>0</v>
      </c>
      <c r="F123" s="474">
        <f>([37]Лист1!$H$18*[37]Лист1!$H$22+[37]Лист1!$I$18*[37]Лист1!$I$22)*'Вхідні дані'!D77/1000</f>
        <v>2.5103855699999995</v>
      </c>
      <c r="G123" s="474">
        <f t="shared" si="21"/>
        <v>0</v>
      </c>
      <c r="H123" s="474">
        <f t="shared" si="22"/>
        <v>0</v>
      </c>
      <c r="I123" s="474">
        <f t="shared" si="23"/>
        <v>0</v>
      </c>
      <c r="J123" s="474">
        <f t="shared" si="24"/>
        <v>2.5103855699999995</v>
      </c>
      <c r="K123" s="3268">
        <f t="shared" si="27"/>
        <v>0.72628718041340978</v>
      </c>
      <c r="L123" s="474">
        <f>F123*$L$97</f>
        <v>1.7840983895865896</v>
      </c>
      <c r="M123" s="3273"/>
      <c r="O123" s="474">
        <f>J123*$K$97</f>
        <v>0.72628718041340978</v>
      </c>
      <c r="P123" s="474">
        <f t="shared" ref="P123" si="29">J123*$L$97</f>
        <v>1.7840983895865896</v>
      </c>
      <c r="Q123" s="3647">
        <f t="shared" si="19"/>
        <v>0.72628718041340978</v>
      </c>
      <c r="R123" s="2050">
        <f t="shared" si="20"/>
        <v>1.7840983895865896</v>
      </c>
      <c r="S123" s="2050"/>
    </row>
    <row r="124" spans="1:22" ht="18.75" hidden="1" x14ac:dyDescent="0.3">
      <c r="A124" s="3469"/>
      <c r="B124" s="3237" t="s">
        <v>951</v>
      </c>
      <c r="C124" s="474"/>
      <c r="D124" s="474"/>
      <c r="E124" s="474"/>
      <c r="F124" s="474"/>
      <c r="G124" s="474">
        <f t="shared" si="21"/>
        <v>0</v>
      </c>
      <c r="H124" s="474">
        <f t="shared" si="22"/>
        <v>0</v>
      </c>
      <c r="I124" s="474">
        <f t="shared" si="23"/>
        <v>0</v>
      </c>
      <c r="J124" s="474">
        <f t="shared" si="24"/>
        <v>0</v>
      </c>
      <c r="K124" s="3268">
        <f t="shared" ref="K124:K126" si="30">F124*$K$97</f>
        <v>0</v>
      </c>
      <c r="L124" s="474">
        <f t="shared" ref="L124:L126" si="31">F124*$L$97</f>
        <v>0</v>
      </c>
      <c r="P124" s="2050"/>
      <c r="Q124" s="3647">
        <f t="shared" si="19"/>
        <v>0</v>
      </c>
      <c r="R124" s="2050">
        <f t="shared" si="20"/>
        <v>0</v>
      </c>
      <c r="S124" s="2050"/>
    </row>
    <row r="125" spans="1:22" ht="18.75" hidden="1" x14ac:dyDescent="0.3">
      <c r="A125" s="3469"/>
      <c r="B125" s="3237" t="s">
        <v>952</v>
      </c>
      <c r="C125" s="474"/>
      <c r="D125" s="474"/>
      <c r="E125" s="474"/>
      <c r="F125" s="474"/>
      <c r="G125" s="474">
        <f t="shared" si="21"/>
        <v>0</v>
      </c>
      <c r="H125" s="474">
        <f t="shared" si="22"/>
        <v>0</v>
      </c>
      <c r="I125" s="474">
        <f t="shared" si="23"/>
        <v>0</v>
      </c>
      <c r="J125" s="474">
        <f t="shared" si="24"/>
        <v>0</v>
      </c>
      <c r="K125" s="3268">
        <f t="shared" si="30"/>
        <v>0</v>
      </c>
      <c r="L125" s="474">
        <f t="shared" si="31"/>
        <v>0</v>
      </c>
      <c r="P125" s="2050"/>
      <c r="Q125" s="3647">
        <f t="shared" si="19"/>
        <v>0</v>
      </c>
      <c r="R125" s="2050">
        <f t="shared" si="20"/>
        <v>0</v>
      </c>
      <c r="S125" s="2050"/>
    </row>
    <row r="126" spans="1:22" ht="18.75" hidden="1" x14ac:dyDescent="0.3">
      <c r="A126" s="3469"/>
      <c r="B126" s="3237" t="s">
        <v>1345</v>
      </c>
      <c r="C126" s="474"/>
      <c r="D126" s="474"/>
      <c r="E126" s="474"/>
      <c r="F126" s="474"/>
      <c r="G126" s="474">
        <f t="shared" si="21"/>
        <v>0</v>
      </c>
      <c r="H126" s="474">
        <f t="shared" si="22"/>
        <v>0</v>
      </c>
      <c r="I126" s="474">
        <f t="shared" si="23"/>
        <v>0</v>
      </c>
      <c r="J126" s="474">
        <f t="shared" si="24"/>
        <v>0</v>
      </c>
      <c r="K126" s="3268">
        <f t="shared" si="30"/>
        <v>0</v>
      </c>
      <c r="L126" s="474">
        <f t="shared" si="31"/>
        <v>0</v>
      </c>
      <c r="P126" s="2050"/>
      <c r="Q126" s="3647">
        <f t="shared" si="19"/>
        <v>0</v>
      </c>
      <c r="R126" s="2050">
        <f t="shared" si="20"/>
        <v>0</v>
      </c>
      <c r="S126" s="2050"/>
    </row>
    <row r="127" spans="1:22" ht="18.75" x14ac:dyDescent="0.3">
      <c r="A127" s="3469"/>
      <c r="B127" s="3237" t="s">
        <v>3196</v>
      </c>
      <c r="C127" s="474">
        <v>0</v>
      </c>
      <c r="D127" s="474"/>
      <c r="E127" s="474">
        <v>0</v>
      </c>
      <c r="F127" s="474">
        <v>0</v>
      </c>
      <c r="G127" s="474">
        <f t="shared" si="21"/>
        <v>0</v>
      </c>
      <c r="H127" s="474">
        <f t="shared" si="22"/>
        <v>0</v>
      </c>
      <c r="I127" s="474">
        <f t="shared" si="23"/>
        <v>0</v>
      </c>
      <c r="J127" s="474">
        <f t="shared" si="24"/>
        <v>0</v>
      </c>
      <c r="K127" s="3268">
        <f t="shared" ref="K127:K134" si="32">F127*$K$97</f>
        <v>0</v>
      </c>
      <c r="L127" s="474">
        <f t="shared" ref="L127:L134" si="33">F127*$L$97</f>
        <v>0</v>
      </c>
      <c r="P127" s="2050"/>
      <c r="Q127" s="3647">
        <f t="shared" si="19"/>
        <v>0</v>
      </c>
      <c r="R127" s="2050">
        <f t="shared" si="20"/>
        <v>0</v>
      </c>
      <c r="S127" s="2050"/>
    </row>
    <row r="128" spans="1:22" ht="18.75" x14ac:dyDescent="0.3">
      <c r="A128" s="3469"/>
      <c r="B128" s="3237" t="s">
        <v>1346</v>
      </c>
      <c r="C128" s="474">
        <f>2087.5/1000</f>
        <v>2.0874999999999999</v>
      </c>
      <c r="D128" s="474">
        <f>6262.5/1000</f>
        <v>6.2625000000000002</v>
      </c>
      <c r="E128" s="474">
        <v>8.8699999999999992</v>
      </c>
      <c r="F128" s="474">
        <f>D128*'Вхідні дані'!D77</f>
        <v>6.6194625</v>
      </c>
      <c r="G128" s="474">
        <f t="shared" si="21"/>
        <v>0</v>
      </c>
      <c r="H128" s="474">
        <f t="shared" si="22"/>
        <v>0</v>
      </c>
      <c r="I128" s="474">
        <f t="shared" si="23"/>
        <v>0</v>
      </c>
      <c r="J128" s="474">
        <f t="shared" si="24"/>
        <v>6.6194625</v>
      </c>
      <c r="K128" s="3268">
        <f t="shared" si="32"/>
        <v>1.9150965542625</v>
      </c>
      <c r="L128" s="474">
        <f t="shared" si="33"/>
        <v>4.7043659457375</v>
      </c>
      <c r="M128" s="457" t="s">
        <v>3408</v>
      </c>
      <c r="P128" s="2050"/>
      <c r="Q128" s="3647">
        <f t="shared" si="19"/>
        <v>1.9150965542625</v>
      </c>
      <c r="R128" s="2050">
        <f t="shared" si="20"/>
        <v>4.7043659457375</v>
      </c>
      <c r="S128" s="2050"/>
    </row>
    <row r="129" spans="1:19" ht="18.75" hidden="1" x14ac:dyDescent="0.3">
      <c r="A129" s="3469"/>
      <c r="B129" s="3237" t="s">
        <v>1347</v>
      </c>
      <c r="C129" s="474"/>
      <c r="D129" s="474"/>
      <c r="E129" s="474"/>
      <c r="F129" s="474"/>
      <c r="G129" s="474">
        <f t="shared" si="21"/>
        <v>0</v>
      </c>
      <c r="H129" s="474">
        <f t="shared" si="22"/>
        <v>0</v>
      </c>
      <c r="I129" s="474">
        <f t="shared" si="23"/>
        <v>0</v>
      </c>
      <c r="J129" s="474">
        <f t="shared" si="24"/>
        <v>0</v>
      </c>
      <c r="K129" s="3268">
        <f t="shared" si="32"/>
        <v>0</v>
      </c>
      <c r="L129" s="474">
        <f t="shared" si="33"/>
        <v>0</v>
      </c>
      <c r="M129" s="3274"/>
      <c r="P129" s="2050"/>
      <c r="Q129" s="3647">
        <f t="shared" si="19"/>
        <v>0</v>
      </c>
      <c r="R129" s="2050">
        <f t="shared" si="20"/>
        <v>0</v>
      </c>
      <c r="S129" s="2050"/>
    </row>
    <row r="130" spans="1:19" ht="18.75" hidden="1" x14ac:dyDescent="0.3">
      <c r="A130" s="3469"/>
      <c r="B130" s="3237" t="s">
        <v>1348</v>
      </c>
      <c r="C130" s="474"/>
      <c r="D130" s="474"/>
      <c r="E130" s="474"/>
      <c r="F130" s="474"/>
      <c r="G130" s="474">
        <f t="shared" si="21"/>
        <v>0</v>
      </c>
      <c r="H130" s="474">
        <f t="shared" si="22"/>
        <v>0</v>
      </c>
      <c r="I130" s="474">
        <f t="shared" si="23"/>
        <v>0</v>
      </c>
      <c r="J130" s="474">
        <f t="shared" si="24"/>
        <v>0</v>
      </c>
      <c r="K130" s="3268">
        <f t="shared" si="32"/>
        <v>0</v>
      </c>
      <c r="L130" s="474">
        <f t="shared" si="33"/>
        <v>0</v>
      </c>
      <c r="M130" s="3274"/>
      <c r="P130" s="2050"/>
      <c r="Q130" s="3647">
        <f t="shared" si="19"/>
        <v>0</v>
      </c>
      <c r="R130" s="2050">
        <f t="shared" si="20"/>
        <v>0</v>
      </c>
      <c r="S130" s="2050"/>
    </row>
    <row r="131" spans="1:19" ht="18.75" hidden="1" x14ac:dyDescent="0.3">
      <c r="A131" s="3469"/>
      <c r="B131" s="3237" t="s">
        <v>1349</v>
      </c>
      <c r="C131" s="474"/>
      <c r="D131" s="474"/>
      <c r="E131" s="474"/>
      <c r="F131" s="474"/>
      <c r="G131" s="474">
        <f t="shared" si="21"/>
        <v>0</v>
      </c>
      <c r="H131" s="474">
        <f t="shared" si="22"/>
        <v>0</v>
      </c>
      <c r="I131" s="474">
        <f t="shared" si="23"/>
        <v>0</v>
      </c>
      <c r="J131" s="474">
        <f t="shared" si="24"/>
        <v>0</v>
      </c>
      <c r="K131" s="3268">
        <f t="shared" si="32"/>
        <v>0</v>
      </c>
      <c r="L131" s="474">
        <f t="shared" si="33"/>
        <v>0</v>
      </c>
      <c r="M131" s="3274"/>
      <c r="P131" s="2050"/>
      <c r="Q131" s="3647">
        <f t="shared" si="19"/>
        <v>0</v>
      </c>
      <c r="R131" s="2050">
        <f t="shared" si="20"/>
        <v>0</v>
      </c>
      <c r="S131" s="2050"/>
    </row>
    <row r="132" spans="1:19" ht="18.75" hidden="1" x14ac:dyDescent="0.3">
      <c r="A132" s="3469"/>
      <c r="B132" s="3237" t="s">
        <v>1350</v>
      </c>
      <c r="C132" s="474"/>
      <c r="D132" s="474"/>
      <c r="E132" s="474"/>
      <c r="F132" s="474"/>
      <c r="G132" s="474">
        <f t="shared" si="21"/>
        <v>0</v>
      </c>
      <c r="H132" s="474">
        <f t="shared" si="22"/>
        <v>0</v>
      </c>
      <c r="I132" s="474">
        <f t="shared" si="23"/>
        <v>0</v>
      </c>
      <c r="J132" s="474">
        <f t="shared" si="24"/>
        <v>0</v>
      </c>
      <c r="K132" s="3268">
        <f t="shared" si="32"/>
        <v>0</v>
      </c>
      <c r="L132" s="474">
        <f t="shared" si="33"/>
        <v>0</v>
      </c>
      <c r="M132" s="3274"/>
      <c r="P132" s="2050"/>
      <c r="Q132" s="3647">
        <f t="shared" si="19"/>
        <v>0</v>
      </c>
      <c r="R132" s="2050">
        <f t="shared" si="20"/>
        <v>0</v>
      </c>
      <c r="S132" s="2050"/>
    </row>
    <row r="133" spans="1:19" ht="18.75" hidden="1" x14ac:dyDescent="0.3">
      <c r="A133" s="3469"/>
      <c r="B133" s="3237" t="s">
        <v>1621</v>
      </c>
      <c r="C133" s="474"/>
      <c r="D133" s="474"/>
      <c r="E133" s="474"/>
      <c r="F133" s="474"/>
      <c r="G133" s="474">
        <f t="shared" si="21"/>
        <v>0</v>
      </c>
      <c r="H133" s="474">
        <f t="shared" si="22"/>
        <v>0</v>
      </c>
      <c r="I133" s="474">
        <f t="shared" si="23"/>
        <v>0</v>
      </c>
      <c r="J133" s="474">
        <f t="shared" si="24"/>
        <v>0</v>
      </c>
      <c r="K133" s="3268">
        <f t="shared" si="32"/>
        <v>0</v>
      </c>
      <c r="L133" s="474">
        <f t="shared" si="33"/>
        <v>0</v>
      </c>
      <c r="M133" s="3274"/>
      <c r="P133" s="2050"/>
      <c r="Q133" s="3647">
        <f t="shared" si="19"/>
        <v>0</v>
      </c>
      <c r="R133" s="2050">
        <f t="shared" si="20"/>
        <v>0</v>
      </c>
      <c r="S133" s="2050"/>
    </row>
    <row r="134" spans="1:19" ht="18.75" x14ac:dyDescent="0.3">
      <c r="A134" s="3469"/>
      <c r="B134" s="3244" t="s">
        <v>1351</v>
      </c>
      <c r="C134" s="474">
        <f>2809.26/1000</f>
        <v>2.8092600000000001</v>
      </c>
      <c r="D134" s="474">
        <f>1358.57/1000</f>
        <v>1.3585699999999998</v>
      </c>
      <c r="E134" s="474">
        <v>8.76</v>
      </c>
      <c r="F134" s="474">
        <f>D134*'Вхідні дані'!D77</f>
        <v>1.4360084899999996</v>
      </c>
      <c r="G134" s="474">
        <f t="shared" si="21"/>
        <v>0</v>
      </c>
      <c r="H134" s="474">
        <f t="shared" si="22"/>
        <v>0</v>
      </c>
      <c r="I134" s="474">
        <f t="shared" si="23"/>
        <v>0</v>
      </c>
      <c r="J134" s="474">
        <f t="shared" si="24"/>
        <v>1.4360084899999996</v>
      </c>
      <c r="K134" s="3268">
        <f t="shared" si="32"/>
        <v>0.41545592426736988</v>
      </c>
      <c r="L134" s="474">
        <f t="shared" si="33"/>
        <v>1.0205525657326298</v>
      </c>
      <c r="M134" s="3274" t="s">
        <v>1352</v>
      </c>
      <c r="P134" s="2050"/>
      <c r="Q134" s="3647">
        <f t="shared" si="19"/>
        <v>0.41545592426736988</v>
      </c>
      <c r="R134" s="2050">
        <f t="shared" si="20"/>
        <v>1.0205525657326298</v>
      </c>
      <c r="S134" s="2050"/>
    </row>
    <row r="135" spans="1:19" ht="18.75" customHeight="1" x14ac:dyDescent="0.3">
      <c r="A135" s="3469"/>
      <c r="B135" s="3244" t="s">
        <v>3197</v>
      </c>
      <c r="C135" s="474">
        <f>829.56/1000</f>
        <v>0.82955999999999996</v>
      </c>
      <c r="D135" s="474"/>
      <c r="E135" s="474">
        <v>0.85</v>
      </c>
      <c r="F135" s="474">
        <v>0</v>
      </c>
      <c r="G135" s="474">
        <f t="shared" si="21"/>
        <v>0</v>
      </c>
      <c r="H135" s="474">
        <f t="shared" si="22"/>
        <v>0</v>
      </c>
      <c r="I135" s="474">
        <f t="shared" si="23"/>
        <v>0</v>
      </c>
      <c r="J135" s="474">
        <f t="shared" si="24"/>
        <v>0</v>
      </c>
      <c r="K135" s="3268">
        <f t="shared" ref="K135" si="34">F135*$K$97</f>
        <v>0</v>
      </c>
      <c r="L135" s="474">
        <f t="shared" ref="L135" si="35">F135*$L$97</f>
        <v>0</v>
      </c>
      <c r="M135" s="3274" t="s">
        <v>1352</v>
      </c>
      <c r="N135" s="2050"/>
      <c r="P135" s="2050"/>
      <c r="Q135" s="3647">
        <f t="shared" si="19"/>
        <v>0</v>
      </c>
      <c r="R135" s="2050">
        <f t="shared" si="20"/>
        <v>0</v>
      </c>
      <c r="S135" s="2050"/>
    </row>
    <row r="136" spans="1:19" ht="18.75" customHeight="1" x14ac:dyDescent="0.3">
      <c r="A136" s="3469"/>
      <c r="B136" s="3244" t="s">
        <v>3198</v>
      </c>
      <c r="C136" s="474">
        <f>(4047.28+4063.5)/1000</f>
        <v>8.1107800000000001</v>
      </c>
      <c r="D136" s="474">
        <f>(658.21+2582.17)/1000</f>
        <v>3.24038</v>
      </c>
      <c r="E136" s="474">
        <v>8.11</v>
      </c>
      <c r="F136" s="474">
        <f>D136</f>
        <v>3.24038</v>
      </c>
      <c r="G136" s="474">
        <f t="shared" si="21"/>
        <v>0</v>
      </c>
      <c r="H136" s="474">
        <f t="shared" si="22"/>
        <v>0</v>
      </c>
      <c r="I136" s="474">
        <f t="shared" si="23"/>
        <v>0</v>
      </c>
      <c r="J136" s="474">
        <f t="shared" si="24"/>
        <v>3.24038</v>
      </c>
      <c r="K136" s="3268">
        <f>F136*$K$97</f>
        <v>0.93748405893999998</v>
      </c>
      <c r="L136" s="474">
        <f>F136*$L$97</f>
        <v>2.3028959410600001</v>
      </c>
      <c r="M136" s="3274"/>
      <c r="P136" s="2050"/>
      <c r="Q136" s="3647">
        <f t="shared" si="19"/>
        <v>0.93748405893999998</v>
      </c>
      <c r="R136" s="2050">
        <f t="shared" si="20"/>
        <v>2.3028959410600001</v>
      </c>
      <c r="S136" s="2050"/>
    </row>
    <row r="137" spans="1:19" ht="18.75" customHeight="1" x14ac:dyDescent="0.3">
      <c r="A137" s="3469"/>
      <c r="B137" s="3244" t="s">
        <v>3199</v>
      </c>
      <c r="C137" s="474">
        <f>103097.47/1000</f>
        <v>103.09747</v>
      </c>
      <c r="D137" s="474">
        <f>83047.68/1000</f>
        <v>83.04768</v>
      </c>
      <c r="E137" s="474">
        <v>105.81</v>
      </c>
      <c r="F137" s="474">
        <f>F115*3.5%</f>
        <v>87.707284875000013</v>
      </c>
      <c r="G137" s="474">
        <f t="shared" si="21"/>
        <v>0</v>
      </c>
      <c r="H137" s="474">
        <f t="shared" si="22"/>
        <v>0</v>
      </c>
      <c r="I137" s="474">
        <f t="shared" si="23"/>
        <v>0</v>
      </c>
      <c r="J137" s="474">
        <f t="shared" si="24"/>
        <v>87.707284875000013</v>
      </c>
      <c r="K137" s="3268">
        <f>K115*3.5%</f>
        <v>36.314431483114397</v>
      </c>
      <c r="L137" s="474">
        <f>L115*3.5%</f>
        <v>51.392853391885609</v>
      </c>
      <c r="M137" s="3274" t="s">
        <v>3200</v>
      </c>
      <c r="P137" s="2050"/>
      <c r="Q137" s="3648">
        <f t="shared" si="19"/>
        <v>25.374857709040878</v>
      </c>
      <c r="R137" s="3649">
        <f t="shared" si="20"/>
        <v>62.332427165959132</v>
      </c>
      <c r="S137" s="2050"/>
    </row>
    <row r="138" spans="1:19" ht="18.75" customHeight="1" x14ac:dyDescent="0.3">
      <c r="A138" s="3469"/>
      <c r="B138" s="3244" t="s">
        <v>3184</v>
      </c>
      <c r="C138" s="474">
        <f>89026.14/1000</f>
        <v>89.026139999999998</v>
      </c>
      <c r="D138" s="474">
        <f>23302.99/1000</f>
        <v>23.302990000000001</v>
      </c>
      <c r="E138" s="474">
        <v>90.69</v>
      </c>
      <c r="F138" s="474">
        <v>0</v>
      </c>
      <c r="G138" s="474">
        <f t="shared" si="21"/>
        <v>0</v>
      </c>
      <c r="H138" s="474">
        <f t="shared" si="22"/>
        <v>0</v>
      </c>
      <c r="I138" s="474">
        <v>0</v>
      </c>
      <c r="J138" s="474">
        <v>0</v>
      </c>
      <c r="K138" s="3268">
        <v>0</v>
      </c>
      <c r="L138" s="474">
        <v>0</v>
      </c>
      <c r="M138" s="3274"/>
      <c r="P138" s="2050"/>
      <c r="Q138" s="3647">
        <f t="shared" si="19"/>
        <v>0</v>
      </c>
      <c r="R138" s="2050">
        <f t="shared" si="20"/>
        <v>0</v>
      </c>
      <c r="S138" s="2050"/>
    </row>
    <row r="139" spans="1:19" ht="18.75" customHeight="1" x14ac:dyDescent="0.3">
      <c r="A139" s="3469"/>
      <c r="B139" s="3244" t="s">
        <v>3190</v>
      </c>
      <c r="C139" s="474">
        <f>231282/1000</f>
        <v>231.28200000000001</v>
      </c>
      <c r="D139" s="474">
        <f>236421.6/1000</f>
        <v>236.42160000000001</v>
      </c>
      <c r="E139" s="474">
        <v>245.62</v>
      </c>
      <c r="F139" s="474">
        <f>19487.65*12/1000</f>
        <v>233.85180000000003</v>
      </c>
      <c r="G139" s="474">
        <f t="shared" si="21"/>
        <v>0</v>
      </c>
      <c r="H139" s="474">
        <f t="shared" si="22"/>
        <v>0</v>
      </c>
      <c r="I139" s="474">
        <f t="shared" si="23"/>
        <v>0</v>
      </c>
      <c r="J139" s="474">
        <f t="shared" si="24"/>
        <v>233.85180000000003</v>
      </c>
      <c r="K139" s="3268">
        <f>F139*$K$97</f>
        <v>67.656365813400001</v>
      </c>
      <c r="L139" s="474">
        <f>F139*$L$97</f>
        <v>166.19543418660001</v>
      </c>
      <c r="M139" s="3274" t="s">
        <v>2606</v>
      </c>
      <c r="P139" s="2050"/>
      <c r="Q139" s="3647">
        <f t="shared" si="19"/>
        <v>67.656365813400001</v>
      </c>
      <c r="R139" s="2050">
        <f t="shared" si="20"/>
        <v>166.19543418660001</v>
      </c>
      <c r="S139" s="2050"/>
    </row>
    <row r="140" spans="1:19" ht="18.75" hidden="1" customHeight="1" x14ac:dyDescent="0.3">
      <c r="A140" s="3469"/>
      <c r="B140" s="3244" t="s">
        <v>1620</v>
      </c>
      <c r="C140" s="474"/>
      <c r="D140" s="474"/>
      <c r="E140" s="474"/>
      <c r="F140" s="474"/>
      <c r="G140" s="474">
        <f t="shared" si="21"/>
        <v>0</v>
      </c>
      <c r="H140" s="474">
        <f t="shared" si="22"/>
        <v>0</v>
      </c>
      <c r="I140" s="474">
        <f t="shared" si="23"/>
        <v>0</v>
      </c>
      <c r="J140" s="474">
        <f t="shared" si="24"/>
        <v>0</v>
      </c>
      <c r="K140" s="3268">
        <f>F140</f>
        <v>0</v>
      </c>
      <c r="L140" s="474"/>
      <c r="M140" s="3274"/>
      <c r="P140" s="2050"/>
      <c r="Q140" s="3647">
        <f t="shared" si="19"/>
        <v>0</v>
      </c>
      <c r="R140" s="2050">
        <f t="shared" si="20"/>
        <v>0</v>
      </c>
      <c r="S140" s="2050"/>
    </row>
    <row r="141" spans="1:19" ht="18.75" customHeight="1" x14ac:dyDescent="0.3">
      <c r="A141" s="3469"/>
      <c r="B141" s="3244" t="s">
        <v>3191</v>
      </c>
      <c r="C141" s="474">
        <f>(55932+911167.2)/1000</f>
        <v>967.0992</v>
      </c>
      <c r="D141" s="474">
        <f>492656.68/1000-0.01</f>
        <v>492.64668</v>
      </c>
      <c r="E141" s="474">
        <v>1078.75</v>
      </c>
      <c r="F141" s="3602">
        <f>K141+L141</f>
        <v>284.93966726399992</v>
      </c>
      <c r="G141" s="474">
        <f t="shared" si="21"/>
        <v>0</v>
      </c>
      <c r="H141" s="474">
        <f t="shared" si="22"/>
        <v>0</v>
      </c>
      <c r="I141" s="474">
        <f t="shared" si="23"/>
        <v>0</v>
      </c>
      <c r="J141" s="474">
        <f t="shared" si="24"/>
        <v>284.93966726399992</v>
      </c>
      <c r="K141" s="3268">
        <f>'Д 9_ЕЕ'!D132/1000*1.88*'Вхідні дані'!D77</f>
        <v>83.325706749642904</v>
      </c>
      <c r="L141" s="474">
        <f>'Д 9_ЕЕ'!D133/1000*1.88*'Вхідні дані'!D77</f>
        <v>201.61396051435705</v>
      </c>
      <c r="M141" s="3274" t="s">
        <v>3201</v>
      </c>
      <c r="P141" s="2050"/>
      <c r="Q141" s="3648">
        <f t="shared" si="19"/>
        <v>82.436749955149608</v>
      </c>
      <c r="R141" s="3649">
        <f t="shared" si="20"/>
        <v>202.5029173088503</v>
      </c>
      <c r="S141" s="2050"/>
    </row>
    <row r="142" spans="1:19" ht="18.75" customHeight="1" x14ac:dyDescent="0.3">
      <c r="A142" s="3469"/>
      <c r="B142" s="3244" t="s">
        <v>3192</v>
      </c>
      <c r="C142" s="474">
        <f>(16832.97+11333.52+499945.9)/1000</f>
        <v>528.11239</v>
      </c>
      <c r="D142" s="474">
        <f>216556.68/1000-0.01</f>
        <v>216.54668000000001</v>
      </c>
      <c r="E142" s="474">
        <v>718.34</v>
      </c>
      <c r="F142" s="3602">
        <f>(([37]Лист1!$H$11*[37]Лист1!$Z$19*'Вхідні дані'!D77)+([37]Лист1!$I$11*[37]Лист1!$AA$19*'Вхідні дані'!D77))/1000</f>
        <v>326.08597979999996</v>
      </c>
      <c r="G142" s="474">
        <f t="shared" si="21"/>
        <v>0</v>
      </c>
      <c r="H142" s="474">
        <f t="shared" si="22"/>
        <v>0</v>
      </c>
      <c r="I142" s="474">
        <f t="shared" si="23"/>
        <v>0</v>
      </c>
      <c r="J142" s="474">
        <f t="shared" si="24"/>
        <v>326.08597979999996</v>
      </c>
      <c r="K142" s="3268">
        <f>F142*$K$97</f>
        <v>94.340913073877388</v>
      </c>
      <c r="L142" s="474">
        <f>F142*$L$97</f>
        <v>231.74506672612256</v>
      </c>
      <c r="M142" s="3274" t="s">
        <v>3201</v>
      </c>
      <c r="P142" s="2050"/>
      <c r="Q142" s="3647">
        <f t="shared" si="19"/>
        <v>94.340913073877388</v>
      </c>
      <c r="R142" s="2050">
        <f t="shared" si="20"/>
        <v>231.74506672612256</v>
      </c>
      <c r="S142" s="2050"/>
    </row>
    <row r="143" spans="1:19" ht="18.75" customHeight="1" x14ac:dyDescent="0.3">
      <c r="A143" s="3469"/>
      <c r="B143" s="3244" t="s">
        <v>3193</v>
      </c>
      <c r="C143" s="474">
        <f>7122.88/1000</f>
        <v>7.1228800000000003</v>
      </c>
      <c r="D143" s="474">
        <f>3122.25/1000</f>
        <v>3.1222500000000002</v>
      </c>
      <c r="E143" s="474">
        <v>2.34</v>
      </c>
      <c r="F143" s="474">
        <f>D143*'Вхідні дані'!D77</f>
        <v>3.3002182499999999</v>
      </c>
      <c r="G143" s="474">
        <f t="shared" si="21"/>
        <v>0</v>
      </c>
      <c r="H143" s="474">
        <f t="shared" si="22"/>
        <v>0</v>
      </c>
      <c r="I143" s="474">
        <f t="shared" si="23"/>
        <v>0</v>
      </c>
      <c r="J143" s="474">
        <f t="shared" si="24"/>
        <v>3.3002182499999999</v>
      </c>
      <c r="K143" s="3268">
        <f>F143*$K$97</f>
        <v>0.95479604256224992</v>
      </c>
      <c r="L143" s="474">
        <f>F143*$L$97</f>
        <v>2.3454222074377498</v>
      </c>
      <c r="M143" s="3274" t="s">
        <v>2606</v>
      </c>
      <c r="P143" s="2050"/>
      <c r="Q143" s="3647">
        <f t="shared" si="19"/>
        <v>0.95479604256224992</v>
      </c>
      <c r="R143" s="2050">
        <f t="shared" si="20"/>
        <v>2.3454222074377498</v>
      </c>
      <c r="S143" s="2050"/>
    </row>
    <row r="144" spans="1:19" ht="18.75" customHeight="1" x14ac:dyDescent="0.3">
      <c r="A144" s="3469"/>
      <c r="B144" s="3244" t="s">
        <v>3194</v>
      </c>
      <c r="C144" s="474">
        <f>155056.04/1000</f>
        <v>155.05604</v>
      </c>
      <c r="D144" s="474">
        <f>141819.19/1000</f>
        <v>141.81918999999999</v>
      </c>
      <c r="E144" s="474">
        <v>164.67</v>
      </c>
      <c r="F144" s="474">
        <f>109.7*'Вхідні дані'!D77</f>
        <v>115.9529</v>
      </c>
      <c r="G144" s="474">
        <f t="shared" si="21"/>
        <v>0</v>
      </c>
      <c r="H144" s="474">
        <f t="shared" si="22"/>
        <v>0</v>
      </c>
      <c r="I144" s="474">
        <f t="shared" si="23"/>
        <v>0</v>
      </c>
      <c r="J144" s="474">
        <f t="shared" si="24"/>
        <v>115.9529</v>
      </c>
      <c r="K144" s="3268">
        <f t="shared" ref="K144:K147" si="36">F144*$K$97</f>
        <v>33.546681357699995</v>
      </c>
      <c r="L144" s="474">
        <f t="shared" ref="L144:L147" si="37">F144*$L$97</f>
        <v>82.40621864229999</v>
      </c>
      <c r="M144" s="3274" t="s">
        <v>2606</v>
      </c>
      <c r="P144" s="2050"/>
      <c r="Q144" s="3647">
        <f t="shared" si="19"/>
        <v>33.546681357699995</v>
      </c>
      <c r="R144" s="2050">
        <f t="shared" si="20"/>
        <v>82.40621864229999</v>
      </c>
      <c r="S144" s="2050"/>
    </row>
    <row r="145" spans="1:19" ht="18.75" hidden="1" customHeight="1" x14ac:dyDescent="0.3">
      <c r="A145" s="3469"/>
      <c r="B145" s="3244" t="s">
        <v>1845</v>
      </c>
      <c r="C145" s="474"/>
      <c r="D145" s="474"/>
      <c r="E145" s="474"/>
      <c r="F145" s="474"/>
      <c r="G145" s="474">
        <f t="shared" si="21"/>
        <v>0</v>
      </c>
      <c r="H145" s="474">
        <f t="shared" si="22"/>
        <v>0</v>
      </c>
      <c r="I145" s="474">
        <f t="shared" si="23"/>
        <v>0</v>
      </c>
      <c r="J145" s="474">
        <f t="shared" si="24"/>
        <v>0</v>
      </c>
      <c r="K145" s="3268">
        <f t="shared" si="36"/>
        <v>0</v>
      </c>
      <c r="L145" s="474">
        <f t="shared" si="37"/>
        <v>0</v>
      </c>
      <c r="M145" s="3274"/>
      <c r="P145" s="2050"/>
      <c r="Q145" s="3647">
        <f t="shared" si="19"/>
        <v>0</v>
      </c>
      <c r="R145" s="2050">
        <f t="shared" si="20"/>
        <v>0</v>
      </c>
      <c r="S145" s="2050"/>
    </row>
    <row r="146" spans="1:19" ht="18.75" hidden="1" customHeight="1" x14ac:dyDescent="0.3">
      <c r="A146" s="3469"/>
      <c r="B146" s="3244" t="str">
        <f>Профпослуги2!B15</f>
        <v>ППЗ для захисту від вірусів</v>
      </c>
      <c r="C146" s="474"/>
      <c r="D146" s="474"/>
      <c r="E146" s="474"/>
      <c r="F146" s="474"/>
      <c r="G146" s="474">
        <f t="shared" si="21"/>
        <v>0</v>
      </c>
      <c r="H146" s="474">
        <f t="shared" si="22"/>
        <v>0</v>
      </c>
      <c r="I146" s="474">
        <f t="shared" si="23"/>
        <v>0</v>
      </c>
      <c r="J146" s="474">
        <f t="shared" si="24"/>
        <v>0</v>
      </c>
      <c r="K146" s="3268">
        <v>0</v>
      </c>
      <c r="L146" s="474">
        <v>0</v>
      </c>
      <c r="M146" s="3274"/>
      <c r="P146" s="2050"/>
      <c r="Q146" s="3647">
        <f t="shared" si="19"/>
        <v>0</v>
      </c>
      <c r="R146" s="2050">
        <f t="shared" si="20"/>
        <v>0</v>
      </c>
      <c r="S146" s="2050"/>
    </row>
    <row r="147" spans="1:19" ht="18.75" hidden="1" customHeight="1" x14ac:dyDescent="0.3">
      <c r="A147" s="3469"/>
      <c r="B147" s="3244" t="s">
        <v>1531</v>
      </c>
      <c r="C147" s="474"/>
      <c r="D147" s="474"/>
      <c r="E147" s="474"/>
      <c r="F147" s="474"/>
      <c r="G147" s="474">
        <f t="shared" si="21"/>
        <v>0</v>
      </c>
      <c r="H147" s="474">
        <f t="shared" si="22"/>
        <v>0</v>
      </c>
      <c r="I147" s="474">
        <f t="shared" si="23"/>
        <v>0</v>
      </c>
      <c r="J147" s="474">
        <f t="shared" si="24"/>
        <v>0</v>
      </c>
      <c r="K147" s="3268">
        <f t="shared" si="36"/>
        <v>0</v>
      </c>
      <c r="L147" s="474">
        <f t="shared" si="37"/>
        <v>0</v>
      </c>
      <c r="M147" s="3274"/>
      <c r="P147" s="2050"/>
      <c r="Q147" s="3647">
        <f t="shared" si="19"/>
        <v>0</v>
      </c>
      <c r="R147" s="2050">
        <f t="shared" si="20"/>
        <v>0</v>
      </c>
      <c r="S147" s="2050"/>
    </row>
    <row r="148" spans="1:19" ht="18.75" hidden="1" customHeight="1" x14ac:dyDescent="0.3">
      <c r="A148" s="3469"/>
      <c r="B148" s="3244" t="s">
        <v>1485</v>
      </c>
      <c r="C148" s="474"/>
      <c r="D148" s="474"/>
      <c r="E148" s="474"/>
      <c r="F148" s="474"/>
      <c r="G148" s="474">
        <f t="shared" si="21"/>
        <v>0</v>
      </c>
      <c r="H148" s="474">
        <f t="shared" si="22"/>
        <v>0</v>
      </c>
      <c r="I148" s="474">
        <f t="shared" si="23"/>
        <v>0</v>
      </c>
      <c r="J148" s="474">
        <f t="shared" si="24"/>
        <v>0</v>
      </c>
      <c r="K148" s="3268">
        <f>F148*$K$97</f>
        <v>0</v>
      </c>
      <c r="L148" s="474">
        <f>F148*$L$97</f>
        <v>0</v>
      </c>
      <c r="M148" s="3274"/>
      <c r="P148" s="2050"/>
      <c r="Q148" s="3647">
        <f t="shared" si="19"/>
        <v>0</v>
      </c>
      <c r="R148" s="2050">
        <f t="shared" si="20"/>
        <v>0</v>
      </c>
      <c r="S148" s="2050"/>
    </row>
    <row r="149" spans="1:19" ht="18.75" hidden="1" customHeight="1" x14ac:dyDescent="0.3">
      <c r="A149" s="3469"/>
      <c r="B149" s="3244" t="s">
        <v>1483</v>
      </c>
      <c r="C149" s="474"/>
      <c r="D149" s="474"/>
      <c r="E149" s="474"/>
      <c r="F149" s="474"/>
      <c r="G149" s="474">
        <f t="shared" si="21"/>
        <v>0</v>
      </c>
      <c r="H149" s="474">
        <f t="shared" si="22"/>
        <v>0</v>
      </c>
      <c r="I149" s="474">
        <f t="shared" si="23"/>
        <v>0</v>
      </c>
      <c r="J149" s="474">
        <f t="shared" si="24"/>
        <v>0</v>
      </c>
      <c r="K149" s="3268">
        <f>F149*$K$97</f>
        <v>0</v>
      </c>
      <c r="L149" s="474">
        <f>F149*$L$97</f>
        <v>0</v>
      </c>
      <c r="M149" s="3274"/>
      <c r="P149" s="2050"/>
      <c r="Q149" s="3647">
        <f t="shared" si="19"/>
        <v>0</v>
      </c>
      <c r="R149" s="2050">
        <f t="shared" si="20"/>
        <v>0</v>
      </c>
      <c r="S149" s="2050"/>
    </row>
    <row r="150" spans="1:19" ht="18.75" hidden="1" customHeight="1" x14ac:dyDescent="0.3">
      <c r="A150" s="3469"/>
      <c r="B150" s="3244" t="s">
        <v>1526</v>
      </c>
      <c r="C150" s="474"/>
      <c r="D150" s="474"/>
      <c r="E150" s="474"/>
      <c r="F150" s="474"/>
      <c r="G150" s="474">
        <f t="shared" si="21"/>
        <v>0</v>
      </c>
      <c r="H150" s="474">
        <f t="shared" si="22"/>
        <v>0</v>
      </c>
      <c r="I150" s="474">
        <f t="shared" si="23"/>
        <v>0</v>
      </c>
      <c r="J150" s="474">
        <f t="shared" si="24"/>
        <v>0</v>
      </c>
      <c r="K150" s="3268">
        <f t="shared" ref="K150:K152" si="38">F150*$K$97</f>
        <v>0</v>
      </c>
      <c r="L150" s="474">
        <f t="shared" ref="L150:L152" si="39">F150*$L$97</f>
        <v>0</v>
      </c>
      <c r="M150" s="3274"/>
      <c r="P150" s="2050"/>
      <c r="Q150" s="3647">
        <f t="shared" si="19"/>
        <v>0</v>
      </c>
      <c r="R150" s="2050">
        <f t="shared" si="20"/>
        <v>0</v>
      </c>
      <c r="S150" s="2050"/>
    </row>
    <row r="151" spans="1:19" ht="18.75" hidden="1" x14ac:dyDescent="0.3">
      <c r="A151" s="3469"/>
      <c r="B151" s="3224" t="s">
        <v>1525</v>
      </c>
      <c r="C151" s="474"/>
      <c r="D151" s="474"/>
      <c r="E151" s="474"/>
      <c r="F151" s="474"/>
      <c r="G151" s="474">
        <f t="shared" si="21"/>
        <v>0</v>
      </c>
      <c r="H151" s="474">
        <f t="shared" si="22"/>
        <v>0</v>
      </c>
      <c r="I151" s="474">
        <f t="shared" si="23"/>
        <v>0</v>
      </c>
      <c r="J151" s="474">
        <f t="shared" si="24"/>
        <v>0</v>
      </c>
      <c r="K151" s="3268">
        <f t="shared" si="38"/>
        <v>0</v>
      </c>
      <c r="L151" s="474">
        <f t="shared" si="39"/>
        <v>0</v>
      </c>
      <c r="M151" s="3274"/>
      <c r="P151" s="2050"/>
      <c r="Q151" s="3647">
        <f t="shared" si="19"/>
        <v>0</v>
      </c>
      <c r="R151" s="2050">
        <f t="shared" si="20"/>
        <v>0</v>
      </c>
      <c r="S151" s="2050"/>
    </row>
    <row r="152" spans="1:19" ht="18.75" hidden="1" x14ac:dyDescent="0.3">
      <c r="A152" s="3469"/>
      <c r="B152" s="3224" t="s">
        <v>1335</v>
      </c>
      <c r="C152" s="474"/>
      <c r="D152" s="474"/>
      <c r="E152" s="474"/>
      <c r="F152" s="474"/>
      <c r="G152" s="474">
        <f t="shared" si="21"/>
        <v>0</v>
      </c>
      <c r="H152" s="474">
        <f t="shared" si="22"/>
        <v>0</v>
      </c>
      <c r="I152" s="474">
        <f t="shared" si="23"/>
        <v>0</v>
      </c>
      <c r="J152" s="474">
        <f t="shared" si="24"/>
        <v>0</v>
      </c>
      <c r="K152" s="3268">
        <f t="shared" si="38"/>
        <v>0</v>
      </c>
      <c r="L152" s="474">
        <f t="shared" si="39"/>
        <v>0</v>
      </c>
      <c r="M152" s="3274"/>
      <c r="P152" s="2050"/>
      <c r="Q152" s="3647">
        <f t="shared" si="19"/>
        <v>0</v>
      </c>
      <c r="R152" s="2050">
        <f t="shared" si="20"/>
        <v>0</v>
      </c>
      <c r="S152" s="2050"/>
    </row>
    <row r="153" spans="1:19" ht="19.5" thickBot="1" x14ac:dyDescent="0.35">
      <c r="A153" s="3469"/>
      <c r="B153" s="3314" t="s">
        <v>1336</v>
      </c>
      <c r="C153" s="571">
        <f>738.1/1000</f>
        <v>0.73809999999999998</v>
      </c>
      <c r="D153" s="571">
        <f>885.72/1000</f>
        <v>0.88572000000000006</v>
      </c>
      <c r="E153" s="571">
        <v>1.25</v>
      </c>
      <c r="F153" s="571">
        <f>[41]Лист1!$D$7/1000</f>
        <v>1.6168800000000001</v>
      </c>
      <c r="G153" s="571">
        <f t="shared" si="21"/>
        <v>0</v>
      </c>
      <c r="H153" s="571">
        <f t="shared" si="22"/>
        <v>0</v>
      </c>
      <c r="I153" s="571">
        <f t="shared" si="23"/>
        <v>0</v>
      </c>
      <c r="J153" s="571">
        <f t="shared" si="24"/>
        <v>1.6168800000000001</v>
      </c>
      <c r="K153" s="3277">
        <f>F153*$K$97</f>
        <v>0.46778440344</v>
      </c>
      <c r="L153" s="571">
        <f>F153*$L$97</f>
        <v>1.14909559656</v>
      </c>
      <c r="M153" s="457" t="s">
        <v>2598</v>
      </c>
      <c r="P153" s="2050"/>
      <c r="Q153" s="3647">
        <f t="shared" si="19"/>
        <v>0.46778440344</v>
      </c>
      <c r="R153" s="2050">
        <f t="shared" si="20"/>
        <v>1.14909559656</v>
      </c>
      <c r="S153" s="2050"/>
    </row>
    <row r="154" spans="1:19" ht="18.75" hidden="1" x14ac:dyDescent="0.3">
      <c r="B154" s="3311" t="s">
        <v>1337</v>
      </c>
      <c r="C154" s="3312"/>
      <c r="D154" s="3312"/>
      <c r="E154" s="3312"/>
      <c r="F154" s="3312">
        <f>'[44]Зв''язок'!H58/1000</f>
        <v>0</v>
      </c>
      <c r="G154" s="3312">
        <f t="shared" si="21"/>
        <v>0</v>
      </c>
      <c r="H154" s="3312">
        <f t="shared" si="22"/>
        <v>0</v>
      </c>
      <c r="I154" s="3312">
        <f t="shared" si="23"/>
        <v>0</v>
      </c>
      <c r="J154" s="3312">
        <f t="shared" si="24"/>
        <v>0</v>
      </c>
      <c r="K154" s="3313">
        <f>F154*$K$97</f>
        <v>0</v>
      </c>
      <c r="L154" s="3312">
        <f>F154*$L$97</f>
        <v>0</v>
      </c>
      <c r="P154" s="2050"/>
      <c r="Q154" s="3647">
        <f t="shared" si="19"/>
        <v>0</v>
      </c>
      <c r="R154" s="2050">
        <f t="shared" si="20"/>
        <v>0</v>
      </c>
      <c r="S154" s="2050"/>
    </row>
    <row r="155" spans="1:19" ht="37.5" hidden="1" x14ac:dyDescent="0.3">
      <c r="B155" s="3246" t="s">
        <v>1524</v>
      </c>
      <c r="C155" s="474"/>
      <c r="D155" s="474"/>
      <c r="E155" s="474"/>
      <c r="F155" s="474"/>
      <c r="G155" s="474">
        <f t="shared" si="21"/>
        <v>0</v>
      </c>
      <c r="H155" s="474">
        <f t="shared" si="22"/>
        <v>0</v>
      </c>
      <c r="I155" s="474">
        <f t="shared" si="23"/>
        <v>0</v>
      </c>
      <c r="J155" s="474">
        <f t="shared" si="24"/>
        <v>0</v>
      </c>
      <c r="K155" s="3268">
        <f>F155*$K$97</f>
        <v>0</v>
      </c>
      <c r="L155" s="474">
        <f>F155*$L$97</f>
        <v>0</v>
      </c>
      <c r="P155" s="2050"/>
      <c r="Q155" s="3647">
        <f t="shared" si="19"/>
        <v>0</v>
      </c>
      <c r="R155" s="2050">
        <f t="shared" si="20"/>
        <v>0</v>
      </c>
      <c r="S155" s="2050"/>
    </row>
    <row r="156" spans="1:19" ht="18.75" hidden="1" x14ac:dyDescent="0.3">
      <c r="B156" s="3237" t="s">
        <v>1343</v>
      </c>
      <c r="C156" s="474"/>
      <c r="D156" s="474"/>
      <c r="E156" s="474"/>
      <c r="F156" s="474"/>
      <c r="G156" s="474">
        <f t="shared" si="21"/>
        <v>0</v>
      </c>
      <c r="H156" s="474">
        <f t="shared" si="22"/>
        <v>0</v>
      </c>
      <c r="I156" s="474">
        <f t="shared" si="23"/>
        <v>0</v>
      </c>
      <c r="J156" s="474">
        <f t="shared" si="24"/>
        <v>0</v>
      </c>
      <c r="K156" s="3268">
        <f>F156/4+F156/4*3*$K$97</f>
        <v>0</v>
      </c>
      <c r="L156" s="474">
        <f>F156/4*3*$L$97</f>
        <v>0</v>
      </c>
      <c r="N156" s="3225"/>
      <c r="P156" s="2050"/>
      <c r="Q156" s="3647">
        <f t="shared" si="19"/>
        <v>0</v>
      </c>
      <c r="R156" s="2050">
        <f t="shared" si="20"/>
        <v>0</v>
      </c>
      <c r="S156" s="2050"/>
    </row>
    <row r="157" spans="1:19" ht="18.75" hidden="1" x14ac:dyDescent="0.3">
      <c r="B157" s="3224" t="s">
        <v>1616</v>
      </c>
      <c r="C157" s="474"/>
      <c r="D157" s="474"/>
      <c r="E157" s="474"/>
      <c r="F157" s="474"/>
      <c r="G157" s="474">
        <f t="shared" si="21"/>
        <v>0</v>
      </c>
      <c r="H157" s="474">
        <f t="shared" si="22"/>
        <v>0</v>
      </c>
      <c r="I157" s="474">
        <f t="shared" si="23"/>
        <v>0</v>
      </c>
      <c r="J157" s="474">
        <f t="shared" si="24"/>
        <v>0</v>
      </c>
      <c r="K157" s="3268">
        <f>F157/4+F157/4*3*$K$97</f>
        <v>0</v>
      </c>
      <c r="L157" s="474">
        <f>F157/4*3*$L$97</f>
        <v>0</v>
      </c>
      <c r="N157" s="3225"/>
      <c r="P157" s="2050"/>
      <c r="Q157" s="3647">
        <f t="shared" si="19"/>
        <v>0</v>
      </c>
      <c r="R157" s="2050">
        <f t="shared" si="20"/>
        <v>0</v>
      </c>
      <c r="S157" s="2050"/>
    </row>
    <row r="158" spans="1:19" ht="18.75" hidden="1" x14ac:dyDescent="0.3">
      <c r="B158" s="3224" t="s">
        <v>955</v>
      </c>
      <c r="C158" s="474"/>
      <c r="D158" s="474"/>
      <c r="E158" s="474"/>
      <c r="F158" s="474"/>
      <c r="G158" s="474">
        <f t="shared" si="21"/>
        <v>0</v>
      </c>
      <c r="H158" s="474">
        <f t="shared" si="22"/>
        <v>0</v>
      </c>
      <c r="I158" s="474">
        <f t="shared" si="23"/>
        <v>0</v>
      </c>
      <c r="J158" s="474">
        <f t="shared" si="24"/>
        <v>0</v>
      </c>
      <c r="K158" s="3268">
        <f>F158*$K$97</f>
        <v>0</v>
      </c>
      <c r="L158" s="474">
        <f>F158*$L$97</f>
        <v>0</v>
      </c>
      <c r="M158" s="3199"/>
      <c r="P158" s="2050"/>
      <c r="Q158" s="3647">
        <f t="shared" si="19"/>
        <v>0</v>
      </c>
      <c r="R158" s="2050">
        <f t="shared" si="20"/>
        <v>0</v>
      </c>
      <c r="S158" s="2050"/>
    </row>
    <row r="159" spans="1:19" ht="36" hidden="1" customHeight="1" x14ac:dyDescent="0.3">
      <c r="B159" s="3224" t="s">
        <v>1618</v>
      </c>
      <c r="C159" s="474"/>
      <c r="D159" s="3275"/>
      <c r="E159" s="474"/>
      <c r="F159" s="474"/>
      <c r="G159" s="474">
        <f t="shared" si="21"/>
        <v>0</v>
      </c>
      <c r="H159" s="474">
        <f t="shared" si="22"/>
        <v>0</v>
      </c>
      <c r="I159" s="474">
        <f t="shared" si="23"/>
        <v>0</v>
      </c>
      <c r="J159" s="474">
        <f t="shared" si="24"/>
        <v>0</v>
      </c>
      <c r="K159" s="3268">
        <f>F159</f>
        <v>0</v>
      </c>
      <c r="L159" s="474"/>
      <c r="P159" s="2050"/>
      <c r="Q159" s="3647">
        <f t="shared" si="19"/>
        <v>0</v>
      </c>
      <c r="R159" s="2050">
        <f t="shared" si="20"/>
        <v>0</v>
      </c>
      <c r="S159" s="2050"/>
    </row>
    <row r="160" spans="1:19" ht="17.45" hidden="1" customHeight="1" thickBot="1" x14ac:dyDescent="0.35">
      <c r="B160" s="3252" t="s">
        <v>1650</v>
      </c>
      <c r="C160" s="3275"/>
      <c r="D160" s="3275"/>
      <c r="E160" s="3275"/>
      <c r="F160" s="3275"/>
      <c r="G160" s="3275"/>
      <c r="H160" s="3275"/>
      <c r="I160" s="3275"/>
      <c r="J160" s="3275"/>
      <c r="K160" s="3276"/>
      <c r="L160" s="3275"/>
      <c r="P160" s="2050"/>
      <c r="Q160" s="3647">
        <f t="shared" si="19"/>
        <v>0</v>
      </c>
      <c r="R160" s="2050">
        <f t="shared" si="20"/>
        <v>0</v>
      </c>
      <c r="S160" s="2050"/>
    </row>
    <row r="161" spans="2:19" ht="21.75" customHeight="1" thickBot="1" x14ac:dyDescent="0.35">
      <c r="B161" s="3252" t="s">
        <v>58</v>
      </c>
      <c r="C161" s="571"/>
      <c r="D161" s="571">
        <f>908.15/1000</f>
        <v>0.90815000000000001</v>
      </c>
      <c r="E161" s="571"/>
      <c r="F161" s="571"/>
      <c r="G161" s="571">
        <f t="shared" si="21"/>
        <v>0</v>
      </c>
      <c r="H161" s="571">
        <f t="shared" si="22"/>
        <v>0</v>
      </c>
      <c r="I161" s="571">
        <f t="shared" si="23"/>
        <v>0</v>
      </c>
      <c r="J161" s="571">
        <f t="shared" si="24"/>
        <v>0</v>
      </c>
      <c r="K161" s="3277">
        <f>F161*$K$97</f>
        <v>0</v>
      </c>
      <c r="L161" s="571">
        <f>F161*$L$97</f>
        <v>0</v>
      </c>
      <c r="P161" s="2050"/>
      <c r="Q161" s="3647">
        <f t="shared" si="19"/>
        <v>0</v>
      </c>
      <c r="R161" s="2050">
        <f t="shared" si="20"/>
        <v>0</v>
      </c>
      <c r="S161" s="2050"/>
    </row>
    <row r="162" spans="2:19" ht="24" customHeight="1" x14ac:dyDescent="0.25">
      <c r="D162" s="2050"/>
    </row>
    <row r="163" spans="2:19" ht="24" customHeight="1" x14ac:dyDescent="0.25"/>
    <row r="164" spans="2:19" ht="43.5" customHeight="1" x14ac:dyDescent="0.3">
      <c r="B164" s="4001" t="str">
        <f>'Вхідні дані'!$B$14</f>
        <v>Заступник начальника Адміністрації морського порту Чорноморськ з технічних питань та розвитку</v>
      </c>
      <c r="C164" s="4001"/>
      <c r="D164" s="3211"/>
      <c r="E164" s="3211"/>
      <c r="F164" s="3260" t="s">
        <v>1344</v>
      </c>
      <c r="H164" s="3999" t="str">
        <f>'Вхідні дані'!$F$14</f>
        <v>Віталій ЛІПСКИЙ</v>
      </c>
      <c r="I164" s="3999"/>
      <c r="J164" s="3999"/>
    </row>
    <row r="165" spans="2:19" ht="24" customHeight="1" x14ac:dyDescent="0.3">
      <c r="B165" s="3211"/>
      <c r="C165" s="3211"/>
      <c r="D165" s="3211"/>
      <c r="E165" s="3211"/>
      <c r="F165" s="3260" t="s">
        <v>220</v>
      </c>
      <c r="H165" s="4000" t="s">
        <v>1946</v>
      </c>
      <c r="I165" s="4000"/>
      <c r="J165" s="4000"/>
    </row>
    <row r="166" spans="2:19" ht="24" customHeight="1" x14ac:dyDescent="0.3">
      <c r="B166" s="3211"/>
      <c r="C166" s="3211"/>
      <c r="D166" s="3211"/>
      <c r="E166" s="3211"/>
      <c r="F166" s="3260"/>
      <c r="H166" s="3606"/>
      <c r="I166" s="3606"/>
      <c r="J166" s="3606"/>
    </row>
    <row r="167" spans="2:19" ht="24" customHeight="1" x14ac:dyDescent="0.3">
      <c r="B167" s="3211" t="str">
        <f>'Вхідні дані'!$B$16</f>
        <v>Головний бухгалтер</v>
      </c>
      <c r="C167" s="3211"/>
      <c r="D167" s="3211"/>
      <c r="E167" s="3211"/>
      <c r="F167" s="3260" t="s">
        <v>1344</v>
      </c>
      <c r="H167" s="3999" t="str">
        <f>'Вхідні дані'!$F$16</f>
        <v>Тетяна ЗІМАН</v>
      </c>
      <c r="I167" s="3999"/>
      <c r="J167" s="3999"/>
    </row>
    <row r="168" spans="2:19" ht="24" customHeight="1" x14ac:dyDescent="0.3">
      <c r="B168" s="3261"/>
      <c r="C168" s="3261"/>
      <c r="D168" s="3261"/>
      <c r="E168" s="3261"/>
      <c r="F168" s="3260" t="s">
        <v>220</v>
      </c>
      <c r="H168" s="4000" t="s">
        <v>1946</v>
      </c>
      <c r="I168" s="4000"/>
      <c r="J168" s="4000"/>
      <c r="K168" s="3262"/>
      <c r="L168" s="3263"/>
    </row>
    <row r="169" spans="2:19" ht="24" customHeight="1" x14ac:dyDescent="0.25">
      <c r="B169" s="3261"/>
      <c r="C169" s="3261"/>
      <c r="D169" s="3261"/>
      <c r="E169" s="3261"/>
      <c r="F169" s="3261"/>
      <c r="G169" s="3261"/>
      <c r="H169" s="3261"/>
      <c r="I169" s="3261"/>
      <c r="J169" s="3261"/>
      <c r="K169" s="3262"/>
      <c r="L169" s="3263"/>
    </row>
    <row r="170" spans="2:19" ht="24" customHeight="1" x14ac:dyDescent="0.25">
      <c r="B170" s="3261"/>
      <c r="C170" s="3261"/>
      <c r="D170" s="3261"/>
      <c r="E170" s="3261"/>
      <c r="F170" s="3261"/>
      <c r="G170" s="3261"/>
      <c r="H170" s="3261"/>
      <c r="I170" s="3261"/>
      <c r="J170" s="3261"/>
      <c r="K170" s="3278"/>
      <c r="L170" s="3278"/>
    </row>
    <row r="171" spans="2:19" x14ac:dyDescent="0.25">
      <c r="K171" s="3225"/>
      <c r="L171" s="3225"/>
      <c r="M171" s="2050"/>
    </row>
    <row r="175" spans="2:19" x14ac:dyDescent="0.25">
      <c r="D175" s="2050"/>
      <c r="E175" s="2050"/>
      <c r="F175" s="2050"/>
    </row>
    <row r="177" spans="2:8" x14ac:dyDescent="0.25">
      <c r="B177" s="4003" t="s">
        <v>3421</v>
      </c>
      <c r="C177" s="4003"/>
      <c r="D177" s="4003"/>
      <c r="E177" s="4003"/>
      <c r="F177" s="4003"/>
      <c r="G177" s="4003"/>
      <c r="H177" s="4003"/>
    </row>
    <row r="178" spans="2:8" x14ac:dyDescent="0.25">
      <c r="B178" s="3279"/>
      <c r="C178" s="3279"/>
      <c r="D178" s="3279"/>
      <c r="E178" s="4002" t="s">
        <v>1721</v>
      </c>
      <c r="F178" s="4002"/>
      <c r="G178" s="3279"/>
      <c r="H178" s="3279"/>
    </row>
    <row r="179" spans="2:8" x14ac:dyDescent="0.25">
      <c r="B179" s="3280" t="s">
        <v>356</v>
      </c>
      <c r="C179" s="4004" t="s">
        <v>2206</v>
      </c>
      <c r="D179" s="4004"/>
      <c r="E179" s="4004" t="s">
        <v>2207</v>
      </c>
      <c r="F179" s="4004"/>
      <c r="G179" s="3280" t="s">
        <v>2209</v>
      </c>
      <c r="H179" s="3280" t="s">
        <v>2208</v>
      </c>
    </row>
    <row r="180" spans="2:8" x14ac:dyDescent="0.25">
      <c r="B180" s="3281" t="s">
        <v>2195</v>
      </c>
      <c r="C180" s="3282">
        <f>D180/D190</f>
        <v>0.14888253052786668</v>
      </c>
      <c r="D180" s="3283">
        <f>F28</f>
        <v>2967.8816200000001</v>
      </c>
      <c r="E180" s="3282">
        <f>F180/F190</f>
        <v>7.4492564384582599E-2</v>
      </c>
      <c r="F180" s="3283">
        <f>E28</f>
        <v>5029.51</v>
      </c>
      <c r="G180" s="3284">
        <f>C180-E180</f>
        <v>7.4389966143284081E-2</v>
      </c>
      <c r="H180" s="3283">
        <f>D180-F180</f>
        <v>-2061.6283800000001</v>
      </c>
    </row>
    <row r="181" spans="2:8" x14ac:dyDescent="0.25">
      <c r="B181" s="3281" t="s">
        <v>2196</v>
      </c>
      <c r="C181" s="3282">
        <f>D181/D190</f>
        <v>3.2754156716130668E-2</v>
      </c>
      <c r="D181" s="3283">
        <f>F31</f>
        <v>652.93395640000006</v>
      </c>
      <c r="E181" s="3282">
        <f>F181/F190</f>
        <v>1.6388331580193059E-2</v>
      </c>
      <c r="F181" s="3283">
        <f>E31</f>
        <v>1106.49</v>
      </c>
      <c r="G181" s="3284">
        <f t="shared" ref="G181:H190" si="40">C181-E181</f>
        <v>1.6365825135937609E-2</v>
      </c>
      <c r="H181" s="3283">
        <f t="shared" si="40"/>
        <v>-453.55604359999995</v>
      </c>
    </row>
    <row r="182" spans="2:8" x14ac:dyDescent="0.25">
      <c r="B182" s="3281" t="s">
        <v>2197</v>
      </c>
      <c r="C182" s="3282">
        <f>D182/D190</f>
        <v>0.56804550655066377</v>
      </c>
      <c r="D182" s="3283">
        <f>F11</f>
        <v>11323.637583522617</v>
      </c>
      <c r="E182" s="3282">
        <f>F182/F190</f>
        <v>0.80914567514463775</v>
      </c>
      <c r="F182" s="3283">
        <f>E11</f>
        <v>54631.040000000001</v>
      </c>
      <c r="G182" s="3284">
        <f t="shared" si="40"/>
        <v>-0.24110016859397398</v>
      </c>
      <c r="H182" s="3283">
        <f t="shared" si="40"/>
        <v>-43307.402416477387</v>
      </c>
    </row>
    <row r="183" spans="2:8" x14ac:dyDescent="0.25">
      <c r="B183" s="3281" t="s">
        <v>43</v>
      </c>
      <c r="C183" s="3282">
        <f>D183/D190</f>
        <v>9.8097143419952348E-3</v>
      </c>
      <c r="D183" s="3283">
        <f>F15</f>
        <v>195.55061826148037</v>
      </c>
      <c r="E183" s="3282">
        <f>F183/F190</f>
        <v>6.9036007852251594E-3</v>
      </c>
      <c r="F183" s="3283">
        <f>E15</f>
        <v>466.11</v>
      </c>
      <c r="G183" s="3284">
        <f t="shared" si="40"/>
        <v>2.9061135567700755E-3</v>
      </c>
      <c r="H183" s="3283">
        <f t="shared" si="40"/>
        <v>-270.55938173851962</v>
      </c>
    </row>
    <row r="184" spans="2:8" x14ac:dyDescent="0.25">
      <c r="B184" s="3281" t="s">
        <v>2198</v>
      </c>
      <c r="C184" s="3282">
        <f>D184/D190</f>
        <v>1.7879679137523836E-3</v>
      </c>
      <c r="D184" s="3283">
        <f>F16</f>
        <v>35.642039999999994</v>
      </c>
      <c r="E184" s="3282">
        <f>F184/F190</f>
        <v>5.7452248280209382E-4</v>
      </c>
      <c r="F184" s="3283">
        <f>E16</f>
        <v>38.79</v>
      </c>
      <c r="G184" s="3284">
        <f t="shared" si="40"/>
        <v>1.2134454309502898E-3</v>
      </c>
      <c r="H184" s="3283">
        <f t="shared" si="40"/>
        <v>-3.1479600000000048</v>
      </c>
    </row>
    <row r="185" spans="2:8" x14ac:dyDescent="0.25">
      <c r="B185" s="3281" t="s">
        <v>460</v>
      </c>
      <c r="C185" s="3282">
        <f>D185/D190</f>
        <v>9.5532695421912228E-2</v>
      </c>
      <c r="D185" s="3283">
        <f>F32+F33</f>
        <v>1904.3854900000008</v>
      </c>
      <c r="E185" s="3282">
        <f>F185/F190</f>
        <v>3.3399025489010609E-2</v>
      </c>
      <c r="F185" s="3283">
        <f>E32+E33</f>
        <v>2255</v>
      </c>
      <c r="G185" s="3284">
        <f t="shared" si="40"/>
        <v>6.213366993290162E-2</v>
      </c>
      <c r="H185" s="3283">
        <f t="shared" si="40"/>
        <v>-350.6145099999992</v>
      </c>
    </row>
    <row r="186" spans="2:8" x14ac:dyDescent="0.25">
      <c r="B186" s="3281" t="s">
        <v>2199</v>
      </c>
      <c r="C186" s="3282">
        <f>D186/D190</f>
        <v>1.2245173613714503E-2</v>
      </c>
      <c r="D186" s="3283">
        <f>F70</f>
        <v>244.1</v>
      </c>
      <c r="E186" s="3282">
        <f>F186/F190</f>
        <v>4.731108963172798E-3</v>
      </c>
      <c r="F186" s="3283">
        <f>E70</f>
        <v>319.43</v>
      </c>
      <c r="G186" s="3284">
        <f t="shared" si="40"/>
        <v>7.5140646505417047E-3</v>
      </c>
      <c r="H186" s="3283">
        <f t="shared" si="40"/>
        <v>-75.330000000000013</v>
      </c>
    </row>
    <row r="187" spans="2:8" x14ac:dyDescent="0.25">
      <c r="B187" s="3281" t="s">
        <v>2200</v>
      </c>
      <c r="C187" s="3282">
        <f>D187/D190</f>
        <v>2.508228925381914E-2</v>
      </c>
      <c r="D187" s="3283">
        <f>F34</f>
        <v>500</v>
      </c>
      <c r="E187" s="3282">
        <f>F187/F190</f>
        <v>1.0961693465373283E-2</v>
      </c>
      <c r="F187" s="3283">
        <f>E34</f>
        <v>740.1</v>
      </c>
      <c r="G187" s="3284">
        <f t="shared" si="40"/>
        <v>1.4120595788445857E-2</v>
      </c>
      <c r="H187" s="3283">
        <f t="shared" si="40"/>
        <v>-240.10000000000002</v>
      </c>
    </row>
    <row r="188" spans="2:8" x14ac:dyDescent="0.25">
      <c r="B188" s="3281" t="s">
        <v>2201</v>
      </c>
      <c r="C188" s="3282">
        <f>D188/D190</f>
        <v>0.10585996566014548</v>
      </c>
      <c r="D188" s="3283">
        <f>D190-D180-D181-D182-D183-D184-D185-D186-D187</f>
        <v>2110.2532665360036</v>
      </c>
      <c r="E188" s="3282">
        <f>F188/F190</f>
        <v>4.3403477705002656E-2</v>
      </c>
      <c r="F188" s="3283">
        <f>F190-F180-F181-F182-F183-F184-F185-F186-F187</f>
        <v>2930.4700000000021</v>
      </c>
      <c r="G188" s="3284">
        <f t="shared" si="40"/>
        <v>6.2456487955142824E-2</v>
      </c>
      <c r="H188" s="3283">
        <f t="shared" si="40"/>
        <v>-820.21673346399848</v>
      </c>
    </row>
    <row r="189" spans="2:8" x14ac:dyDescent="0.25">
      <c r="B189" s="3281" t="s">
        <v>2205</v>
      </c>
      <c r="C189" s="3282">
        <f>D189/D190</f>
        <v>0</v>
      </c>
      <c r="D189" s="3283"/>
      <c r="E189" s="3282">
        <f>F189/F190</f>
        <v>0</v>
      </c>
      <c r="F189" s="3283"/>
      <c r="G189" s="3284">
        <f t="shared" si="40"/>
        <v>0</v>
      </c>
      <c r="H189" s="3283">
        <f t="shared" si="40"/>
        <v>0</v>
      </c>
    </row>
    <row r="190" spans="2:8" x14ac:dyDescent="0.25">
      <c r="B190" s="3285" t="s">
        <v>1890</v>
      </c>
      <c r="C190" s="3286">
        <f>SUM(C180:C189)</f>
        <v>1.0000000000000002</v>
      </c>
      <c r="D190" s="3283">
        <f>F9</f>
        <v>19934.384574720101</v>
      </c>
      <c r="E190" s="3286">
        <f>SUM(E180:E189)</f>
        <v>0.99999999999999989</v>
      </c>
      <c r="F190" s="3283">
        <f>E9</f>
        <v>67516.94</v>
      </c>
      <c r="G190" s="3284">
        <f t="shared" si="40"/>
        <v>0</v>
      </c>
      <c r="H190" s="3283">
        <f t="shared" si="40"/>
        <v>-47582.555425279905</v>
      </c>
    </row>
    <row r="193" spans="2:8" x14ac:dyDescent="0.25">
      <c r="B193" s="4003" t="s">
        <v>3422</v>
      </c>
      <c r="C193" s="4003"/>
      <c r="D193" s="4003"/>
      <c r="E193" s="4003"/>
      <c r="F193" s="4003"/>
      <c r="G193" s="4003"/>
      <c r="H193" s="4003"/>
    </row>
    <row r="194" spans="2:8" x14ac:dyDescent="0.25">
      <c r="B194" s="3279"/>
      <c r="C194" s="3279"/>
      <c r="D194" s="3279"/>
      <c r="E194" s="4002" t="s">
        <v>1721</v>
      </c>
      <c r="F194" s="4002"/>
      <c r="G194" s="3279"/>
      <c r="H194" s="3279"/>
    </row>
    <row r="195" spans="2:8" x14ac:dyDescent="0.25">
      <c r="B195" s="3280" t="s">
        <v>356</v>
      </c>
      <c r="C195" s="3287" t="s">
        <v>3369</v>
      </c>
      <c r="D195" s="3288" t="s">
        <v>2206</v>
      </c>
      <c r="E195" s="3287" t="s">
        <v>3156</v>
      </c>
      <c r="F195" s="3288" t="s">
        <v>2207</v>
      </c>
      <c r="G195" s="3280" t="s">
        <v>2209</v>
      </c>
      <c r="H195" s="3280" t="s">
        <v>2208</v>
      </c>
    </row>
    <row r="196" spans="2:8" x14ac:dyDescent="0.25">
      <c r="B196" s="3281" t="s">
        <v>2195</v>
      </c>
      <c r="C196" s="3282">
        <f>D196/D206</f>
        <v>0.28445231086381545</v>
      </c>
      <c r="D196" s="3283">
        <f>F115</f>
        <v>2505.9224250000002</v>
      </c>
      <c r="E196" s="3282">
        <f>F196/F206</f>
        <v>0.16888579275146312</v>
      </c>
      <c r="F196" s="3283">
        <f>E115</f>
        <v>3023.13</v>
      </c>
      <c r="G196" s="3284">
        <f>C196-E196</f>
        <v>0.11556651811235233</v>
      </c>
      <c r="H196" s="3283">
        <f>D196-F196</f>
        <v>-517.20757499999991</v>
      </c>
    </row>
    <row r="197" spans="2:8" x14ac:dyDescent="0.25">
      <c r="B197" s="3281" t="s">
        <v>2196</v>
      </c>
      <c r="C197" s="3282">
        <f>D197/D206</f>
        <v>6.2579508390039396E-2</v>
      </c>
      <c r="D197" s="3283">
        <f>F118</f>
        <v>551.30293349999999</v>
      </c>
      <c r="E197" s="3282">
        <f>F197/F206</f>
        <v>3.71549526156899E-2</v>
      </c>
      <c r="F197" s="3283">
        <f>E118</f>
        <v>665.09</v>
      </c>
      <c r="G197" s="3284">
        <f t="shared" ref="G197:H206" si="41">C197-E197</f>
        <v>2.5424555774349496E-2</v>
      </c>
      <c r="H197" s="3283">
        <f t="shared" si="41"/>
        <v>-113.78706650000004</v>
      </c>
    </row>
    <row r="198" spans="2:8" ht="17.45" customHeight="1" x14ac:dyDescent="0.25">
      <c r="B198" s="3289" t="s">
        <v>2281</v>
      </c>
      <c r="C198" s="3282">
        <f>D198/D206</f>
        <v>0.38330324523943249</v>
      </c>
      <c r="D198" s="3283">
        <f>F114</f>
        <v>3376.7635597821932</v>
      </c>
      <c r="E198" s="3282">
        <f>F198/F206</f>
        <v>0.48399313089510654</v>
      </c>
      <c r="F198" s="3283">
        <f>E114</f>
        <v>8663.69</v>
      </c>
      <c r="G198" s="3284">
        <f t="shared" si="41"/>
        <v>-0.10068988565567405</v>
      </c>
      <c r="H198" s="3283">
        <f t="shared" si="41"/>
        <v>-5286.9264402178069</v>
      </c>
    </row>
    <row r="199" spans="2:8" x14ac:dyDescent="0.25">
      <c r="B199" s="3281" t="s">
        <v>43</v>
      </c>
      <c r="C199" s="3282">
        <f>D199/D206</f>
        <v>8.70338240964562E-2</v>
      </c>
      <c r="D199" s="3283">
        <f>F102</f>
        <v>766.73664866527542</v>
      </c>
      <c r="E199" s="3282">
        <f>F199/F206</f>
        <v>0.10983808219239304</v>
      </c>
      <c r="F199" s="3283">
        <f>E102</f>
        <v>1966.1499999999999</v>
      </c>
      <c r="G199" s="3284">
        <f t="shared" si="41"/>
        <v>-2.2804258095936836E-2</v>
      </c>
      <c r="H199" s="3283">
        <f t="shared" si="41"/>
        <v>-1199.4133513347244</v>
      </c>
    </row>
    <row r="200" spans="2:8" x14ac:dyDescent="0.25">
      <c r="B200" s="3281" t="s">
        <v>2198</v>
      </c>
      <c r="C200" s="3282">
        <f>D200/D206</f>
        <v>1.4253885691958993E-2</v>
      </c>
      <c r="D200" s="3283">
        <f>F103</f>
        <v>125.57159999999999</v>
      </c>
      <c r="E200" s="3282">
        <f>F200/F206</f>
        <v>2.6474768217987939E-2</v>
      </c>
      <c r="F200" s="3283">
        <f>E103</f>
        <v>473.91</v>
      </c>
      <c r="G200" s="3284">
        <f t="shared" si="41"/>
        <v>-1.2220882526028947E-2</v>
      </c>
      <c r="H200" s="3283">
        <f t="shared" si="41"/>
        <v>-348.33840000000004</v>
      </c>
    </row>
    <row r="201" spans="2:8" x14ac:dyDescent="0.25">
      <c r="B201" s="3281" t="s">
        <v>460</v>
      </c>
      <c r="C201" s="3282">
        <f>D201/D206</f>
        <v>7.3737838096051929E-3</v>
      </c>
      <c r="D201" s="3283">
        <f>F119+F120</f>
        <v>64.960380000000015</v>
      </c>
      <c r="E201" s="3282">
        <f>F201/F206</f>
        <v>1.2730413330622041E-2</v>
      </c>
      <c r="F201" s="3283">
        <f>E119+E120</f>
        <v>227.88</v>
      </c>
      <c r="G201" s="3284">
        <f t="shared" si="41"/>
        <v>-5.3566295210168485E-3</v>
      </c>
      <c r="H201" s="3283">
        <f t="shared" si="41"/>
        <v>-162.91961999999998</v>
      </c>
    </row>
    <row r="202" spans="2:8" x14ac:dyDescent="0.25">
      <c r="B202" s="3281" t="s">
        <v>2199</v>
      </c>
      <c r="C202" s="3282">
        <f>D202/D206</f>
        <v>0</v>
      </c>
      <c r="D202" s="3283">
        <f>F156</f>
        <v>0</v>
      </c>
      <c r="E202" s="3282">
        <f>F202/F206</f>
        <v>0</v>
      </c>
      <c r="F202" s="3283">
        <f>E156</f>
        <v>0</v>
      </c>
      <c r="G202" s="3284">
        <f t="shared" si="41"/>
        <v>0</v>
      </c>
      <c r="H202" s="3283">
        <f t="shared" si="41"/>
        <v>0</v>
      </c>
    </row>
    <row r="203" spans="2:8" x14ac:dyDescent="0.25">
      <c r="B203" s="3281" t="s">
        <v>2200</v>
      </c>
      <c r="C203" s="3282">
        <f>D203/D206</f>
        <v>3.4053605334229221E-2</v>
      </c>
      <c r="D203" s="3283">
        <f>F121+F122</f>
        <v>300</v>
      </c>
      <c r="E203" s="3282">
        <f>F203/F206</f>
        <v>1.6759364574278623E-2</v>
      </c>
      <c r="F203" s="3283">
        <f>E121+E122</f>
        <v>300</v>
      </c>
      <c r="G203" s="3284">
        <f t="shared" si="41"/>
        <v>1.7294240759950598E-2</v>
      </c>
      <c r="H203" s="3283">
        <f t="shared" si="41"/>
        <v>0</v>
      </c>
    </row>
    <row r="204" spans="2:8" x14ac:dyDescent="0.25">
      <c r="B204" s="3281" t="s">
        <v>2201</v>
      </c>
      <c r="C204" s="3282">
        <f>D204/D206</f>
        <v>0.12694983657446296</v>
      </c>
      <c r="D204" s="3283">
        <f>D206-D196-D197-D198-D199-D200-D201-D202-D203</f>
        <v>1118.3823444989987</v>
      </c>
      <c r="E204" s="3282">
        <f>F204/F206</f>
        <v>0.14416349542245877</v>
      </c>
      <c r="F204" s="3283">
        <f>F206-F196-F197-F198-F199-F200-F201-F202-F203</f>
        <v>2580.5899999999974</v>
      </c>
      <c r="G204" s="3284">
        <f t="shared" si="41"/>
        <v>-1.7213658847995805E-2</v>
      </c>
      <c r="H204" s="3283">
        <f t="shared" si="41"/>
        <v>-1462.2076555009987</v>
      </c>
    </row>
    <row r="205" spans="2:8" x14ac:dyDescent="0.25">
      <c r="B205" s="3281" t="s">
        <v>2205</v>
      </c>
      <c r="C205" s="3282">
        <f>D205/D206</f>
        <v>0</v>
      </c>
      <c r="D205" s="3283"/>
      <c r="E205" s="3282">
        <f>F205/F206</f>
        <v>0</v>
      </c>
      <c r="F205" s="3283"/>
      <c r="G205" s="3284">
        <f t="shared" si="41"/>
        <v>0</v>
      </c>
      <c r="H205" s="3283">
        <f t="shared" si="41"/>
        <v>0</v>
      </c>
    </row>
    <row r="206" spans="2:8" x14ac:dyDescent="0.25">
      <c r="B206" s="3285" t="s">
        <v>1890</v>
      </c>
      <c r="C206" s="3286">
        <f>SUM(C196:C205)</f>
        <v>0.99999999999999978</v>
      </c>
      <c r="D206" s="3283">
        <f>F100</f>
        <v>8809.639891446468</v>
      </c>
      <c r="E206" s="3286">
        <f>SUM(E196:E205)</f>
        <v>0.99999999999999989</v>
      </c>
      <c r="F206" s="3283">
        <f>E100</f>
        <v>17900.439999999999</v>
      </c>
      <c r="G206" s="3284">
        <f t="shared" si="41"/>
        <v>0</v>
      </c>
      <c r="H206" s="3283">
        <f t="shared" si="41"/>
        <v>-9090.8001085535307</v>
      </c>
    </row>
    <row r="210" spans="8:9" x14ac:dyDescent="0.25">
      <c r="H210" s="3287" t="s">
        <v>3423</v>
      </c>
      <c r="I210" s="3287" t="s">
        <v>3202</v>
      </c>
    </row>
  </sheetData>
  <mergeCells count="22">
    <mergeCell ref="B164:C164"/>
    <mergeCell ref="E194:F194"/>
    <mergeCell ref="B177:H177"/>
    <mergeCell ref="E178:F178"/>
    <mergeCell ref="C179:D179"/>
    <mergeCell ref="E179:F179"/>
    <mergeCell ref="B193:H193"/>
    <mergeCell ref="H164:J164"/>
    <mergeCell ref="H165:J165"/>
    <mergeCell ref="H167:J167"/>
    <mergeCell ref="H168:J168"/>
    <mergeCell ref="K96:L96"/>
    <mergeCell ref="K98:L98"/>
    <mergeCell ref="B7:B8"/>
    <mergeCell ref="G7:J7"/>
    <mergeCell ref="B98:B99"/>
    <mergeCell ref="G98:J98"/>
    <mergeCell ref="H84:J84"/>
    <mergeCell ref="H85:J85"/>
    <mergeCell ref="H87:J87"/>
    <mergeCell ref="H88:J88"/>
    <mergeCell ref="B84:C84"/>
  </mergeCells>
  <conditionalFormatting sqref="B88:F88 H88:J88">
    <cfRule type="expression" dxfId="41" priority="15" stopIfTrue="1">
      <formula>ABS(#REF!-(#REF!+$D88+#REF!+#REF!))&gt;отклонение</formula>
    </cfRule>
  </conditionalFormatting>
  <conditionalFormatting sqref="B88:F88">
    <cfRule type="expression" dxfId="40" priority="14" stopIfTrue="1">
      <formula>ABS(#REF!-(#REF!+$D88+#REF!+#REF!))&gt;отклонение</formula>
    </cfRule>
  </conditionalFormatting>
  <conditionalFormatting sqref="B168:F169 H168:L169 G169">
    <cfRule type="expression" dxfId="39" priority="37" stopIfTrue="1">
      <formula>ABS(#REF!-(#REF!+$D168+#REF!+#REF!))&gt;отклонение</formula>
    </cfRule>
  </conditionalFormatting>
  <conditionalFormatting sqref="B170:L170">
    <cfRule type="expression" dxfId="38" priority="35" stopIfTrue="1">
      <formula>ABS(#REF!-(#REF!+#REF!+#REF!+#REF!))&gt;отклонение</formula>
    </cfRule>
  </conditionalFormatting>
  <conditionalFormatting sqref="F168 H168:J168 F88 H88:J88">
    <cfRule type="expression" dxfId="37" priority="54" stopIfTrue="1">
      <formula>ABS(#REF!-(#REF!+$D88+$M88+$P88))&gt;отклонение</formula>
    </cfRule>
  </conditionalFormatting>
  <conditionalFormatting sqref="H168:I168 B168:F168">
    <cfRule type="expression" dxfId="36" priority="33" stopIfTrue="1">
      <formula>ABS(#REF!-(#REF!+$D168+#REF!+#REF!))&gt;отклонение</formula>
    </cfRule>
  </conditionalFormatting>
  <conditionalFormatting sqref="H88:J88 H168:J168">
    <cfRule type="expression" dxfId="35" priority="60" stopIfTrue="1">
      <formula>ABS(#REF!-(#REF!+$E88+$L88+$O88))&gt;отклонение</formula>
    </cfRule>
  </conditionalFormatting>
  <conditionalFormatting sqref="H88:J88">
    <cfRule type="expression" dxfId="34" priority="1" stopIfTrue="1">
      <formula>ABS(#REF!-(#REF!+#REF!+$L88+$O88))&gt;отклонение</formula>
    </cfRule>
    <cfRule type="expression" dxfId="33" priority="9" stopIfTrue="1">
      <formula>ABS(#REF!-(#REF!+$D88+#REF!+#REF!))&gt;отклонение</formula>
    </cfRule>
  </conditionalFormatting>
  <conditionalFormatting sqref="H168:J168">
    <cfRule type="expression" dxfId="32" priority="16" stopIfTrue="1">
      <formula>ABS(#REF!-(#REF!+#REF!+$L168+$O168))&gt;отклонение</formula>
    </cfRule>
    <cfRule type="expression" dxfId="31" priority="24" stopIfTrue="1">
      <formula>ABS(#REF!-(#REF!+$D168+#REF!+#REF!))&gt;отклонение</formula>
    </cfRule>
    <cfRule type="expression" dxfId="30" priority="28" stopIfTrue="1">
      <formula>ABS(#REF!-(#REF!+$D168+#REF!+#REF!))&gt;отклонение</formula>
    </cfRule>
  </conditionalFormatting>
  <conditionalFormatting sqref="K87:L87">
    <cfRule type="expression" dxfId="29" priority="36" stopIfTrue="1">
      <formula>ABS(#REF!-(#REF!+$D87+#REF!+#REF!))&gt;отклонение</formula>
    </cfRule>
  </conditionalFormatting>
  <pageMargins left="0.78740157480314965" right="0.23622047244094491" top="0.59" bottom="0.39370078740157483" header="0.59055118110236227" footer="0.31496062992125984"/>
  <pageSetup paperSize="9" scale="70" fitToHeight="3" orientation="landscape" r:id="rId1"/>
  <headerFooter alignWithMargins="0"/>
  <rowBreaks count="3" manualBreakCount="3">
    <brk id="88" min="1" max="9" man="1"/>
    <brk id="91" min="1" max="9" man="1"/>
    <brk id="143" min="1" max="9"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5:K68"/>
  <sheetViews>
    <sheetView workbookViewId="0">
      <selection activeCell="J6" sqref="J6:K7"/>
    </sheetView>
  </sheetViews>
  <sheetFormatPr defaultRowHeight="15" x14ac:dyDescent="0.25"/>
  <cols>
    <col min="2" max="2" width="34.7109375" style="1849" customWidth="1"/>
    <col min="3" max="3" width="13.28515625" customWidth="1"/>
    <col min="4" max="4" width="17.7109375" customWidth="1"/>
    <col min="5" max="5" width="32.7109375" style="1849" customWidth="1"/>
    <col min="6" max="7" width="13.140625" customWidth="1"/>
    <col min="8" max="9" width="8.85546875" style="1877"/>
  </cols>
  <sheetData>
    <row r="5" spans="2:11" x14ac:dyDescent="0.25">
      <c r="B5" s="1849" t="str">
        <f>Виробництво_Транспортування_1ст!B98</f>
        <v>Показники (транспортування ТЕ)</v>
      </c>
      <c r="C5" t="str">
        <f>Виробництво_Транспортування_1ст!K98</f>
        <v>в т.ч. з ЦТП/без ЦТП</v>
      </c>
      <c r="E5" s="1849" t="str">
        <f>Виробництво_Транспортування_1ст!B98</f>
        <v>Показники (транспортування ТЕ)</v>
      </c>
      <c r="F5" t="e">
        <f>#REF!</f>
        <v>#REF!</v>
      </c>
    </row>
    <row r="6" spans="2:11" ht="75.599999999999994" customHeight="1" x14ac:dyDescent="0.25">
      <c r="B6" s="1849">
        <f>Виробництво_Транспортування_1ст!B99</f>
        <v>0</v>
      </c>
      <c r="C6" s="1849" t="str">
        <f>Виробництво_Транспортування_1ст!K99</f>
        <v>з ЦТП (витрати на ЦТП + частина спільних витрат)</v>
      </c>
      <c r="D6" s="1849" t="str">
        <f>Виробництво_Транспортування_1ст!L99</f>
        <v>без ЦТП (частина спільних витрат)</v>
      </c>
      <c r="E6" s="1849">
        <f>Виробництво_Транспортування_1ст!B99</f>
        <v>0</v>
      </c>
      <c r="F6" s="1849" t="e">
        <f>#REF!</f>
        <v>#REF!</v>
      </c>
      <c r="G6" s="1849" t="e">
        <f>#REF!</f>
        <v>#REF!</v>
      </c>
      <c r="J6" s="1877">
        <v>8375.3315300413906</v>
      </c>
      <c r="K6" s="1877">
        <v>20961.693739996801</v>
      </c>
    </row>
    <row r="7" spans="2:11" ht="45" x14ac:dyDescent="0.25">
      <c r="B7" s="2047" t="str">
        <f>Виробництво_Транспортування_1ст!B100</f>
        <v>Прямі витрати на транспортування теплової енергії всього, у т.ч.:</v>
      </c>
      <c r="C7" s="2048">
        <f>Виробництво_Транспортування_1ст!K100</f>
        <v>3032.7117809210158</v>
      </c>
      <c r="D7" s="2047">
        <f>Виробництво_Транспортування_1ст!L100</f>
        <v>5776.9281105254522</v>
      </c>
      <c r="E7" s="2047" t="str">
        <f>Виробництво_Транспортування_1ст!B100</f>
        <v>Прямі витрати на транспортування теплової енергії всього, у т.ч.:</v>
      </c>
      <c r="F7" s="2047" t="e">
        <f>#REF!</f>
        <v>#REF!</v>
      </c>
      <c r="G7" s="2047" t="e">
        <f>#REF!</f>
        <v>#REF!</v>
      </c>
      <c r="H7" s="2049" t="e">
        <f>C7-F7</f>
        <v>#REF!</v>
      </c>
      <c r="I7" s="2049" t="e">
        <f>D7-G7</f>
        <v>#REF!</v>
      </c>
      <c r="J7" s="2032" t="e">
        <f>F7-F21</f>
        <v>#REF!</v>
      </c>
      <c r="K7" s="2032" t="e">
        <f>G7-G21</f>
        <v>#REF!</v>
      </c>
    </row>
    <row r="8" spans="2:11" ht="30" x14ac:dyDescent="0.25">
      <c r="B8" s="2047" t="str">
        <f>Виробництво_Транспортування_1ст!B101</f>
        <v>Прямі матеріальні витрати всього, у т.ч.:</v>
      </c>
      <c r="C8" s="2048">
        <f>Виробництво_Транспортування_1ст!K101</f>
        <v>1337.7118298214109</v>
      </c>
      <c r="D8" s="2047">
        <f>Виробництво_Транспортування_1ст!L101</f>
        <v>2982.4813563760576</v>
      </c>
      <c r="E8" s="2047" t="str">
        <f>Виробництво_Транспортування_1ст!B101</f>
        <v>Прямі матеріальні витрати всього, у т.ч.:</v>
      </c>
      <c r="F8" s="2047" t="e">
        <f>#REF!</f>
        <v>#REF!</v>
      </c>
      <c r="G8" s="2047" t="e">
        <f>#REF!</f>
        <v>#REF!</v>
      </c>
      <c r="H8" s="2049" t="e">
        <f t="shared" ref="H8:H68" si="0">C8-F8</f>
        <v>#REF!</v>
      </c>
      <c r="I8" s="2049" t="e">
        <f t="shared" ref="I8:I68" si="1">D8-G8</f>
        <v>#REF!</v>
      </c>
    </row>
    <row r="9" spans="2:11" ht="30" x14ac:dyDescent="0.25">
      <c r="B9" s="2047" t="str">
        <f>Виробництво_Транспортування_1ст!B102</f>
        <v>придбання електроенергії на технологічні потреби</v>
      </c>
      <c r="C9" s="2048">
        <f>Виробництво_Транспортування_1ст!K102</f>
        <v>224.21895046888267</v>
      </c>
      <c r="D9" s="2047">
        <f>Виробництво_Транспортування_1ст!L102</f>
        <v>542.51769819639287</v>
      </c>
      <c r="E9" s="2047" t="str">
        <f>Виробництво_Транспортування_1ст!B102</f>
        <v>придбання електроенергії на технологічні потреби</v>
      </c>
      <c r="F9" s="2047" t="e">
        <f>#REF!</f>
        <v>#REF!</v>
      </c>
      <c r="G9" s="2047" t="e">
        <f>#REF!</f>
        <v>#REF!</v>
      </c>
      <c r="H9" s="2049" t="e">
        <f t="shared" si="0"/>
        <v>#REF!</v>
      </c>
      <c r="I9" s="2049" t="e">
        <f t="shared" si="1"/>
        <v>#REF!</v>
      </c>
    </row>
    <row r="10" spans="2:11" ht="30" x14ac:dyDescent="0.25">
      <c r="B10" s="2047" t="str">
        <f>Виробництво_Транспортування_1ст!B103</f>
        <v>холодна вода для технологічних потреб та водовідведення</v>
      </c>
      <c r="C10" s="2048">
        <f>Виробництво_Транспортування_1ст!K103</f>
        <v>36.329496310799996</v>
      </c>
      <c r="D10" s="2047">
        <f>Виробництво_Транспортування_1ст!L103</f>
        <v>89.242103689199993</v>
      </c>
      <c r="E10" s="2047" t="str">
        <f>Виробництво_Транспортування_1ст!B103</f>
        <v>холодна вода для технологічних потреб та водовідведення</v>
      </c>
      <c r="F10" s="2047" t="e">
        <f>#REF!</f>
        <v>#REF!</v>
      </c>
      <c r="G10" s="2047" t="e">
        <f>#REF!</f>
        <v>#REF!</v>
      </c>
      <c r="H10" s="2049" t="e">
        <f t="shared" si="0"/>
        <v>#REF!</v>
      </c>
      <c r="I10" s="2049" t="e">
        <f t="shared" si="1"/>
        <v>#REF!</v>
      </c>
    </row>
    <row r="11" spans="2:11" x14ac:dyDescent="0.25">
      <c r="B11" s="2047" t="str">
        <f>Виробництво_Транспортування_1ст!B104</f>
        <v>ПММ</v>
      </c>
      <c r="C11" s="2048">
        <f>Виробництво_Транспортування_1ст!K104</f>
        <v>0.44612064600000001</v>
      </c>
      <c r="D11" s="2047">
        <f>Виробництво_Транспортування_1ст!L104</f>
        <v>1.095879354</v>
      </c>
      <c r="E11" s="2047" t="str">
        <f>Виробництво_Транспортування_1ст!B104</f>
        <v>ПММ</v>
      </c>
      <c r="F11" s="2047" t="e">
        <f>#REF!</f>
        <v>#REF!</v>
      </c>
      <c r="G11" s="2047" t="e">
        <f>#REF!</f>
        <v>#REF!</v>
      </c>
      <c r="H11" s="2049" t="e">
        <f t="shared" si="0"/>
        <v>#REF!</v>
      </c>
      <c r="I11" s="2049" t="e">
        <f t="shared" si="1"/>
        <v>#REF!</v>
      </c>
    </row>
    <row r="12" spans="2:11" x14ac:dyDescent="0.25">
      <c r="B12" s="2047" t="str">
        <f>Виробництво_Транспортування_1ст!B105</f>
        <v>матеріали</v>
      </c>
      <c r="C12" s="2048">
        <f>Виробництво_Транспортування_1ст!K105</f>
        <v>6.803737917256699</v>
      </c>
      <c r="D12" s="2047">
        <f>Виробництво_Транспортування_1ст!L105</f>
        <v>16.713137982743298</v>
      </c>
      <c r="E12" s="2047" t="str">
        <f>Виробництво_Транспортування_1ст!B105</f>
        <v>матеріали</v>
      </c>
      <c r="F12" s="2047" t="e">
        <f>#REF!</f>
        <v>#REF!</v>
      </c>
      <c r="G12" s="2047" t="e">
        <f>#REF!</f>
        <v>#REF!</v>
      </c>
      <c r="H12" s="2049" t="e">
        <f t="shared" si="0"/>
        <v>#REF!</v>
      </c>
      <c r="I12" s="2049" t="e">
        <f t="shared" si="1"/>
        <v>#REF!</v>
      </c>
    </row>
    <row r="13" spans="2:11" x14ac:dyDescent="0.25">
      <c r="B13" s="2047" t="str">
        <f>Виробництво_Транспортування_1ст!B106</f>
        <v>матеріали на техніку безпеки</v>
      </c>
      <c r="C13" s="2048">
        <f>Виробництво_Транспортування_1ст!K106</f>
        <v>0.24618738219704994</v>
      </c>
      <c r="D13" s="2047">
        <f>Виробництво_Транспортування_1ст!L106</f>
        <v>0.60475046780294983</v>
      </c>
      <c r="E13" s="2047" t="str">
        <f>Виробництво_Транспортування_1ст!B106</f>
        <v>матеріали на техніку безпеки</v>
      </c>
      <c r="F13" s="2047" t="e">
        <f>#REF!</f>
        <v>#REF!</v>
      </c>
      <c r="G13" s="2047" t="e">
        <f>#REF!</f>
        <v>#REF!</v>
      </c>
      <c r="H13" s="2049" t="e">
        <f t="shared" si="0"/>
        <v>#REF!</v>
      </c>
      <c r="I13" s="2049" t="e">
        <f t="shared" si="1"/>
        <v>#REF!</v>
      </c>
    </row>
    <row r="14" spans="2:11" ht="30" x14ac:dyDescent="0.25">
      <c r="B14" s="2047" t="str">
        <f>Виробництво_Транспортування_1ст!B107</f>
        <v>матеріали на технічне обслуговування</v>
      </c>
      <c r="C14" s="2048">
        <f>Виробництво_Транспортування_1ст!K107</f>
        <v>0</v>
      </c>
      <c r="D14" s="2047">
        <f>Виробництво_Транспортування_1ст!L107</f>
        <v>0</v>
      </c>
      <c r="E14" s="2047" t="str">
        <f>Виробництво_Транспортування_1ст!B107</f>
        <v>матеріали на технічне обслуговування</v>
      </c>
      <c r="F14" s="2047" t="e">
        <f>#REF!</f>
        <v>#REF!</v>
      </c>
      <c r="G14" s="2047" t="e">
        <f>#REF!</f>
        <v>#REF!</v>
      </c>
      <c r="H14" s="2049" t="e">
        <f t="shared" si="0"/>
        <v>#REF!</v>
      </c>
      <c r="I14" s="2049" t="e">
        <f t="shared" si="1"/>
        <v>#REF!</v>
      </c>
    </row>
    <row r="15" spans="2:11" x14ac:dyDescent="0.25">
      <c r="B15" s="2047" t="str">
        <f>Виробництво_Транспортування_1ст!B108</f>
        <v>запчастини</v>
      </c>
      <c r="C15" s="2048">
        <f>Виробництво_Транспортування_1ст!K108</f>
        <v>0</v>
      </c>
      <c r="D15" s="2047">
        <f>Виробництво_Транспортування_1ст!L108</f>
        <v>0</v>
      </c>
      <c r="E15" s="2047" t="str">
        <f>Виробництво_Транспортування_1ст!B108</f>
        <v>запчастини</v>
      </c>
      <c r="F15" s="2047" t="e">
        <f>#REF!</f>
        <v>#REF!</v>
      </c>
      <c r="G15" s="2047" t="e">
        <f>#REF!</f>
        <v>#REF!</v>
      </c>
      <c r="H15" s="2049" t="e">
        <f t="shared" si="0"/>
        <v>#REF!</v>
      </c>
      <c r="I15" s="2049" t="e">
        <f t="shared" si="1"/>
        <v>#REF!</v>
      </c>
    </row>
    <row r="16" spans="2:11" x14ac:dyDescent="0.25">
      <c r="B16" s="2047" t="str">
        <f>Виробництво_Транспортування_1ст!B109</f>
        <v>МШП</v>
      </c>
      <c r="C16" s="2048">
        <f>Виробництво_Транспортування_1ст!K109</f>
        <v>4.7967473087736998</v>
      </c>
      <c r="D16" s="2047">
        <f>Виробництво_Транспортування_1ст!L109</f>
        <v>11.7830375912263</v>
      </c>
      <c r="E16" s="2047" t="str">
        <f>Виробництво_Транспортування_1ст!B109</f>
        <v>МШП</v>
      </c>
      <c r="F16" s="2047" t="e">
        <f>#REF!</f>
        <v>#REF!</v>
      </c>
      <c r="G16" s="2047" t="e">
        <f>#REF!</f>
        <v>#REF!</v>
      </c>
      <c r="H16" s="2049" t="e">
        <f t="shared" si="0"/>
        <v>#REF!</v>
      </c>
      <c r="I16" s="2049" t="e">
        <f t="shared" si="1"/>
        <v>#REF!</v>
      </c>
    </row>
    <row r="17" spans="2:9" x14ac:dyDescent="0.25">
      <c r="B17" s="2047" t="str">
        <f>Виробництво_Транспортування_1ст!B110</f>
        <v>МШП техніка безпеки</v>
      </c>
      <c r="C17" s="2048">
        <f>Виробництво_Транспортування_1ст!K110</f>
        <v>0</v>
      </c>
      <c r="D17" s="2047">
        <f>Виробництво_Транспортування_1ст!L110</f>
        <v>0</v>
      </c>
      <c r="E17" s="2047" t="str">
        <f>Виробництво_Транспортування_1ст!B110</f>
        <v>МШП техніка безпеки</v>
      </c>
      <c r="F17" s="2047" t="e">
        <f>#REF!</f>
        <v>#REF!</v>
      </c>
      <c r="G17" s="2047" t="e">
        <f>#REF!</f>
        <v>#REF!</v>
      </c>
      <c r="H17" s="2049" t="e">
        <f t="shared" si="0"/>
        <v>#REF!</v>
      </c>
      <c r="I17" s="2049" t="e">
        <f t="shared" si="1"/>
        <v>#REF!</v>
      </c>
    </row>
    <row r="18" spans="2:9" x14ac:dyDescent="0.25">
      <c r="B18" s="2047" t="str">
        <f>Виробництво_Транспортування_1ст!B111</f>
        <v>канцтовари, бланки</v>
      </c>
      <c r="C18" s="2048">
        <f>Виробництво_Транспортування_1ст!K111</f>
        <v>0</v>
      </c>
      <c r="D18" s="2047">
        <f>Виробництво_Транспортування_1ст!L111</f>
        <v>0</v>
      </c>
      <c r="E18" s="2047" t="str">
        <f>Виробництво_Транспортування_1ст!B111</f>
        <v>канцтовари, бланки</v>
      </c>
      <c r="F18" s="2047" t="e">
        <f>#REF!</f>
        <v>#REF!</v>
      </c>
      <c r="G18" s="2047" t="e">
        <f>#REF!</f>
        <v>#REF!</v>
      </c>
      <c r="H18" s="2049" t="e">
        <f t="shared" si="0"/>
        <v>#REF!</v>
      </c>
      <c r="I18" s="2049" t="e">
        <f t="shared" si="1"/>
        <v>#REF!</v>
      </c>
    </row>
    <row r="19" spans="2:9" x14ac:dyDescent="0.25">
      <c r="B19" s="2047" t="str">
        <f>Виробництво_Транспортування_1ст!B112</f>
        <v>спецодяг та спецвзуття</v>
      </c>
      <c r="C19" s="2048">
        <f>Виробництво_Транспортування_1ст!K112</f>
        <v>2.4972859067582998</v>
      </c>
      <c r="D19" s="2047">
        <f>Виробництво_Транспортування_1ст!L112</f>
        <v>6.1344931932416991</v>
      </c>
      <c r="E19" s="2047" t="str">
        <f>Виробництво_Транспортування_1ст!B112</f>
        <v>спецодяг та спецвзуття</v>
      </c>
      <c r="F19" s="2047" t="e">
        <f>#REF!</f>
        <v>#REF!</v>
      </c>
      <c r="G19" s="2047" t="e">
        <f>#REF!</f>
        <v>#REF!</v>
      </c>
      <c r="H19" s="2049" t="e">
        <f t="shared" si="0"/>
        <v>#REF!</v>
      </c>
      <c r="I19" s="2049" t="e">
        <f t="shared" si="1"/>
        <v>#REF!</v>
      </c>
    </row>
    <row r="20" spans="2:9" x14ac:dyDescent="0.25">
      <c r="B20" s="2047" t="str">
        <f>Виробництво_Транспортування_1ст!B113</f>
        <v>спецхарчування</v>
      </c>
      <c r="C20" s="2048">
        <f>Виробництво_Транспортування_1ст!K113</f>
        <v>0</v>
      </c>
      <c r="D20" s="2047">
        <f>Виробництво_Транспортування_1ст!L113</f>
        <v>0</v>
      </c>
      <c r="E20" s="2047" t="str">
        <f>Виробництво_Транспортування_1ст!B113</f>
        <v>спецхарчування</v>
      </c>
      <c r="F20" s="2047" t="e">
        <f>#REF!</f>
        <v>#REF!</v>
      </c>
      <c r="G20" s="2047" t="e">
        <f>#REF!</f>
        <v>#REF!</v>
      </c>
      <c r="H20" s="2049" t="e">
        <f t="shared" si="0"/>
        <v>#REF!</v>
      </c>
      <c r="I20" s="2049" t="e">
        <f t="shared" si="1"/>
        <v>#REF!</v>
      </c>
    </row>
    <row r="21" spans="2:9" ht="45" x14ac:dyDescent="0.25">
      <c r="B21" s="2047" t="str">
        <f>Виробництво_Транспортування_1ст!B114</f>
        <v>витрати на покриття втрат теплової енергії в теплових мережах</v>
      </c>
      <c r="C21" s="2048">
        <f>Виробництво_Транспортування_1ст!K114</f>
        <v>1062.3733038807425</v>
      </c>
      <c r="D21" s="2047">
        <f>Виробництво_Транспортування_1ст!L114</f>
        <v>2314.3902559014505</v>
      </c>
      <c r="E21" s="2047" t="str">
        <f>Виробництво_Транспортування_1ст!B114</f>
        <v>витрати на покриття втрат теплової енергії в теплових мережах</v>
      </c>
      <c r="F21" s="2047" t="e">
        <f>#REF!</f>
        <v>#REF!</v>
      </c>
      <c r="G21" s="2047" t="e">
        <f>#REF!</f>
        <v>#REF!</v>
      </c>
      <c r="H21" s="2049" t="e">
        <f t="shared" si="0"/>
        <v>#REF!</v>
      </c>
      <c r="I21" s="2049" t="e">
        <f t="shared" si="1"/>
        <v>#REF!</v>
      </c>
    </row>
    <row r="22" spans="2:9" ht="30" x14ac:dyDescent="0.25">
      <c r="B22" s="2047" t="str">
        <f>Виробництво_Транспортування_1ст!B115</f>
        <v>Прямі витрати на оплату праці всього, у т.ч.:</v>
      </c>
      <c r="C22" s="2048">
        <f>Виробництво_Транспортування_1ст!K115</f>
        <v>1037.5551852318399</v>
      </c>
      <c r="D22" s="2047">
        <f>Виробництво_Транспортування_1ст!L115</f>
        <v>1468.3672397681601</v>
      </c>
      <c r="E22" s="2047" t="str">
        <f>Виробництво_Транспортування_1ст!B115</f>
        <v>Прямі витрати на оплату праці всього, у т.ч.:</v>
      </c>
      <c r="F22" s="2047" t="e">
        <f>#REF!</f>
        <v>#REF!</v>
      </c>
      <c r="G22" s="2047" t="e">
        <f>#REF!</f>
        <v>#REF!</v>
      </c>
      <c r="H22" s="2049" t="e">
        <f t="shared" si="0"/>
        <v>#REF!</v>
      </c>
      <c r="I22" s="2049" t="e">
        <f t="shared" si="1"/>
        <v>#REF!</v>
      </c>
    </row>
    <row r="23" spans="2:9" x14ac:dyDescent="0.25">
      <c r="B23" s="2047" t="str">
        <f>Виробництво_Транспортування_1ст!B116</f>
        <v>працюючих інвалідів</v>
      </c>
      <c r="C23" s="2048">
        <f>Виробництво_Транспортування_1ст!K116</f>
        <v>0</v>
      </c>
      <c r="D23" s="2047">
        <f>Виробництво_Транспортування_1ст!L116</f>
        <v>0</v>
      </c>
      <c r="E23" s="2047" t="str">
        <f>Виробництво_Транспортування_1ст!B116</f>
        <v>працюючих інвалідів</v>
      </c>
      <c r="F23" s="2047" t="e">
        <f>#REF!</f>
        <v>#REF!</v>
      </c>
      <c r="G23" s="2047" t="e">
        <f>#REF!</f>
        <v>#REF!</v>
      </c>
      <c r="H23" s="2049" t="e">
        <f t="shared" si="0"/>
        <v>#REF!</v>
      </c>
      <c r="I23" s="2049" t="e">
        <f t="shared" si="1"/>
        <v>#REF!</v>
      </c>
    </row>
    <row r="24" spans="2:9" x14ac:dyDescent="0.25">
      <c r="B24" s="2047" t="str">
        <f>Виробництво_Транспортування_1ст!B117</f>
        <v>Інші прямі витрати:</v>
      </c>
      <c r="C24" s="2048">
        <f>Виробництво_Транспортування_1ст!K117</f>
        <v>657.444765867765</v>
      </c>
      <c r="D24" s="2047">
        <f>Виробництво_Транспортування_1ст!L117</f>
        <v>1326.079514381235</v>
      </c>
      <c r="E24" s="2047" t="str">
        <f>Виробництво_Транспортування_1ст!B117</f>
        <v>Інші прямі витрати:</v>
      </c>
      <c r="F24" s="2047" t="e">
        <f>#REF!</f>
        <v>#REF!</v>
      </c>
      <c r="G24" s="2047" t="e">
        <f>#REF!</f>
        <v>#REF!</v>
      </c>
      <c r="H24" s="2049" t="e">
        <f t="shared" si="0"/>
        <v>#REF!</v>
      </c>
      <c r="I24" s="2049" t="e">
        <f t="shared" si="1"/>
        <v>#REF!</v>
      </c>
    </row>
    <row r="25" spans="2:9" ht="45" x14ac:dyDescent="0.25">
      <c r="B25" s="2047" t="str">
        <f>Виробництво_Транспортування_1ст!B118</f>
        <v>єдиний внесок на загальнообов’язкове державне соціальне страхування</v>
      </c>
      <c r="C25" s="2048">
        <f>Виробництво_Транспортування_1ст!K118</f>
        <v>228.26214075100478</v>
      </c>
      <c r="D25" s="2047">
        <f>Виробництво_Транспортування_1ст!L118</f>
        <v>323.04079274899522</v>
      </c>
      <c r="E25" s="2047" t="str">
        <f>Виробництво_Транспортування_1ст!B118</f>
        <v>єдиний внесок на загальнообов’язкове державне соціальне страхування</v>
      </c>
      <c r="F25" s="2047" t="e">
        <f>#REF!</f>
        <v>#REF!</v>
      </c>
      <c r="G25" s="2047" t="e">
        <f>#REF!</f>
        <v>#REF!</v>
      </c>
      <c r="H25" s="2049" t="e">
        <f t="shared" si="0"/>
        <v>#REF!</v>
      </c>
      <c r="I25" s="2049" t="e">
        <f t="shared" si="1"/>
        <v>#REF!</v>
      </c>
    </row>
    <row r="26" spans="2:9" ht="45" x14ac:dyDescent="0.25">
      <c r="B26" s="2047" t="str">
        <f>Виробництво_Транспортування_1ст!B119</f>
        <v>амортизація  основних засобів загальногосподарського призначення</v>
      </c>
      <c r="C26" s="2048">
        <f>Виробництво_Транспортування_1ст!K119</f>
        <v>21.787722475140004</v>
      </c>
      <c r="D26" s="2047">
        <f>Виробництво_Транспортування_1ст!L119</f>
        <v>43.172657524860007</v>
      </c>
      <c r="E26" s="2047" t="str">
        <f>Виробництво_Транспортування_1ст!B119</f>
        <v>амортизація  основних засобів загальногосподарського призначення</v>
      </c>
      <c r="F26" s="2047" t="e">
        <f>#REF!</f>
        <v>#REF!</v>
      </c>
      <c r="G26" s="2047" t="e">
        <f>#REF!</f>
        <v>#REF!</v>
      </c>
      <c r="H26" s="2049" t="e">
        <f t="shared" si="0"/>
        <v>#REF!</v>
      </c>
      <c r="I26" s="2049" t="e">
        <f t="shared" si="1"/>
        <v>#REF!</v>
      </c>
    </row>
    <row r="27" spans="2:9" ht="60" x14ac:dyDescent="0.25">
      <c r="B27" s="2047" t="str">
        <f>Виробництво_Транспортування_1ст!B120</f>
        <v>амортизація інших необоротних матеріальних активів загальногосподарського призначення</v>
      </c>
      <c r="C27" s="2048">
        <f>Виробництво_Транспортування_1ст!K120</f>
        <v>0</v>
      </c>
      <c r="D27" s="2047">
        <f>Виробництво_Транспортування_1ст!L120</f>
        <v>0</v>
      </c>
      <c r="E27" s="2047" t="str">
        <f>Виробництво_Транспортування_1ст!B120</f>
        <v>амортизація інших необоротних матеріальних активів загальногосподарського призначення</v>
      </c>
      <c r="F27" s="2047" t="e">
        <f>#REF!</f>
        <v>#REF!</v>
      </c>
      <c r="G27" s="2047" t="e">
        <f>#REF!</f>
        <v>#REF!</v>
      </c>
      <c r="H27" s="2049" t="e">
        <f t="shared" si="0"/>
        <v>#REF!</v>
      </c>
      <c r="I27" s="2049" t="e">
        <f t="shared" si="1"/>
        <v>#REF!</v>
      </c>
    </row>
    <row r="28" spans="2:9" x14ac:dyDescent="0.25">
      <c r="B28" s="2047" t="str">
        <f>Виробництво_Транспортування_1ст!B121</f>
        <v>ремонт</v>
      </c>
      <c r="C28" s="2048">
        <f>Виробництво_Транспортування_1ст!K121</f>
        <v>86.793899999999994</v>
      </c>
      <c r="D28" s="2047">
        <f>Виробництво_Транспортування_1ст!L121</f>
        <v>213.20609999999999</v>
      </c>
      <c r="E28" s="2047" t="str">
        <f>Виробництво_Транспортування_1ст!B121</f>
        <v>ремонт</v>
      </c>
      <c r="F28" s="2047" t="e">
        <f>#REF!</f>
        <v>#REF!</v>
      </c>
      <c r="G28" s="2047" t="e">
        <f>#REF!</f>
        <v>#REF!</v>
      </c>
      <c r="H28" s="2049" t="e">
        <f t="shared" si="0"/>
        <v>#REF!</v>
      </c>
      <c r="I28" s="2049" t="e">
        <f t="shared" si="1"/>
        <v>#REF!</v>
      </c>
    </row>
    <row r="29" spans="2:9" x14ac:dyDescent="0.25">
      <c r="B29" s="2047" t="str">
        <f>Виробництво_Транспортування_1ст!B122</f>
        <v>ремонтні роботи (авто)</v>
      </c>
      <c r="C29" s="2048">
        <f>Виробництво_Транспортування_1ст!K122</f>
        <v>0</v>
      </c>
      <c r="D29" s="2047">
        <f>Виробництво_Транспортування_1ст!L122</f>
        <v>0</v>
      </c>
      <c r="E29" s="2047" t="str">
        <f>Виробництво_Транспортування_1ст!B122</f>
        <v>ремонтні роботи (авто)</v>
      </c>
      <c r="F29" s="2047" t="e">
        <f>#REF!</f>
        <v>#REF!</v>
      </c>
      <c r="G29" s="2047" t="e">
        <f>#REF!</f>
        <v>#REF!</v>
      </c>
      <c r="H29" s="2049" t="e">
        <f t="shared" si="0"/>
        <v>#REF!</v>
      </c>
      <c r="I29" s="2049" t="e">
        <f t="shared" si="1"/>
        <v>#REF!</v>
      </c>
    </row>
    <row r="30" spans="2:9" ht="30" x14ac:dyDescent="0.25">
      <c r="B30" s="2047" t="str">
        <f>Виробництво_Транспортування_1ст!B123</f>
        <v>централізоване водопостачання, централізоване водовідведення</v>
      </c>
      <c r="C30" s="2048">
        <f>Виробництво_Транспортування_1ст!K123</f>
        <v>0.72628718041340978</v>
      </c>
      <c r="D30" s="2047">
        <f>Виробництво_Транспортування_1ст!L123</f>
        <v>1.7840983895865896</v>
      </c>
      <c r="E30" s="2047" t="str">
        <f>Виробництво_Транспортування_1ст!B123</f>
        <v>централізоване водопостачання, централізоване водовідведення</v>
      </c>
      <c r="F30" s="2047" t="e">
        <f>#REF!</f>
        <v>#REF!</v>
      </c>
      <c r="G30" s="2047" t="e">
        <f>#REF!</f>
        <v>#REF!</v>
      </c>
      <c r="H30" s="2049" t="e">
        <f t="shared" si="0"/>
        <v>#REF!</v>
      </c>
      <c r="I30" s="2049" t="e">
        <f t="shared" si="1"/>
        <v>#REF!</v>
      </c>
    </row>
    <row r="31" spans="2:9" x14ac:dyDescent="0.25">
      <c r="B31" s="2047" t="str">
        <f>Виробництво_Транспортування_1ст!B124</f>
        <v>освітлення та робота оргтехніки</v>
      </c>
      <c r="C31" s="2048">
        <f>Виробництво_Транспортування_1ст!K124</f>
        <v>0</v>
      </c>
      <c r="D31" s="2047">
        <f>Виробництво_Транспортування_1ст!L124</f>
        <v>0</v>
      </c>
      <c r="E31" s="2047" t="str">
        <f>Виробництво_Транспортування_1ст!B124</f>
        <v>освітлення та робота оргтехніки</v>
      </c>
      <c r="F31" s="2047" t="e">
        <f>#REF!</f>
        <v>#REF!</v>
      </c>
      <c r="G31" s="2047" t="e">
        <f>#REF!</f>
        <v>#REF!</v>
      </c>
      <c r="H31" s="2049" t="e">
        <f t="shared" si="0"/>
        <v>#REF!</v>
      </c>
      <c r="I31" s="2049" t="e">
        <f t="shared" si="1"/>
        <v>#REF!</v>
      </c>
    </row>
    <row r="32" spans="2:9" x14ac:dyDescent="0.25">
      <c r="B32" s="2047" t="str">
        <f>Виробництво_Транспортування_1ст!B125</f>
        <v>опалення</v>
      </c>
      <c r="C32" s="2048">
        <f>Виробництво_Транспортування_1ст!K125</f>
        <v>0</v>
      </c>
      <c r="D32" s="2047">
        <f>Виробництво_Транспортування_1ст!L125</f>
        <v>0</v>
      </c>
      <c r="E32" s="2047" t="str">
        <f>Виробництво_Транспортування_1ст!B125</f>
        <v>опалення</v>
      </c>
      <c r="F32" s="2047" t="e">
        <f>#REF!</f>
        <v>#REF!</v>
      </c>
      <c r="G32" s="2047" t="e">
        <f>#REF!</f>
        <v>#REF!</v>
      </c>
      <c r="H32" s="2049" t="e">
        <f t="shared" si="0"/>
        <v>#REF!</v>
      </c>
      <c r="I32" s="2049" t="e">
        <f t="shared" si="1"/>
        <v>#REF!</v>
      </c>
    </row>
    <row r="33" spans="2:9" x14ac:dyDescent="0.25">
      <c r="B33" s="2047" t="str">
        <f>Виробництво_Транспортування_1ст!B126</f>
        <v>вивезення сміття</v>
      </c>
      <c r="C33" s="2048">
        <f>Виробництво_Транспортування_1ст!K126</f>
        <v>0</v>
      </c>
      <c r="D33" s="2047">
        <f>Виробництво_Транспортування_1ст!L126</f>
        <v>0</v>
      </c>
      <c r="E33" s="2047" t="str">
        <f>Виробництво_Транспортування_1ст!B126</f>
        <v>вивезення сміття</v>
      </c>
      <c r="F33" s="2047" t="e">
        <f>#REF!</f>
        <v>#REF!</v>
      </c>
      <c r="G33" s="2047" t="e">
        <f>#REF!</f>
        <v>#REF!</v>
      </c>
      <c r="H33" s="2049" t="e">
        <f t="shared" si="0"/>
        <v>#REF!</v>
      </c>
      <c r="I33" s="2049" t="e">
        <f t="shared" si="1"/>
        <v>#REF!</v>
      </c>
    </row>
    <row r="34" spans="2:9" x14ac:dyDescent="0.25">
      <c r="B34" s="2047" t="str">
        <f>Виробництво_Транспортування_1ст!B127</f>
        <v>метрологічні послуги</v>
      </c>
      <c r="C34" s="2048">
        <f>Виробництво_Транспортування_1ст!K127</f>
        <v>0</v>
      </c>
      <c r="D34" s="2047">
        <f>Виробництво_Транспортування_1ст!L127</f>
        <v>0</v>
      </c>
      <c r="E34" s="2047" t="str">
        <f>Виробництво_Транспортування_1ст!B127</f>
        <v>метрологічні послуги</v>
      </c>
      <c r="F34" s="2047" t="e">
        <f>#REF!</f>
        <v>#REF!</v>
      </c>
      <c r="G34" s="2047" t="e">
        <f>#REF!</f>
        <v>#REF!</v>
      </c>
      <c r="H34" s="2049" t="e">
        <f t="shared" si="0"/>
        <v>#REF!</v>
      </c>
      <c r="I34" s="2049" t="e">
        <f t="shared" si="1"/>
        <v>#REF!</v>
      </c>
    </row>
    <row r="35" spans="2:9" x14ac:dyDescent="0.25">
      <c r="B35" s="2047" t="str">
        <f>Виробництво_Транспортування_1ст!B128</f>
        <v>технічне обслуговування</v>
      </c>
      <c r="C35" s="2048">
        <f>Виробництво_Транспортування_1ст!K128</f>
        <v>1.9150965542625</v>
      </c>
      <c r="D35" s="2047">
        <f>Виробництво_Транспортування_1ст!L128</f>
        <v>4.7043659457375</v>
      </c>
      <c r="E35" s="2047" t="str">
        <f>Виробництво_Транспортування_1ст!B128</f>
        <v>технічне обслуговування</v>
      </c>
      <c r="F35" s="2047" t="e">
        <f>#REF!</f>
        <v>#REF!</v>
      </c>
      <c r="G35" s="2047" t="e">
        <f>#REF!</f>
        <v>#REF!</v>
      </c>
      <c r="H35" s="2049" t="e">
        <f t="shared" si="0"/>
        <v>#REF!</v>
      </c>
      <c r="I35" s="2049" t="e">
        <f t="shared" si="1"/>
        <v>#REF!</v>
      </c>
    </row>
    <row r="36" spans="2:9" ht="30" x14ac:dyDescent="0.25">
      <c r="B36" s="2047" t="str">
        <f>Виробництво_Транспортування_1ст!B129</f>
        <v>техобслуговування транспортних засобів</v>
      </c>
      <c r="C36" s="2048">
        <f>Виробництво_Транспортування_1ст!K129</f>
        <v>0</v>
      </c>
      <c r="D36" s="2047">
        <f>Виробництво_Транспортування_1ст!L129</f>
        <v>0</v>
      </c>
      <c r="E36" s="2047" t="str">
        <f>Виробництво_Транспортування_1ст!B129</f>
        <v>техобслуговування транспортних засобів</v>
      </c>
      <c r="F36" s="2047" t="e">
        <f>#REF!</f>
        <v>#REF!</v>
      </c>
      <c r="G36" s="2047" t="e">
        <f>#REF!</f>
        <v>#REF!</v>
      </c>
      <c r="H36" s="2049" t="e">
        <f t="shared" si="0"/>
        <v>#REF!</v>
      </c>
      <c r="I36" s="2049" t="e">
        <f t="shared" si="1"/>
        <v>#REF!</v>
      </c>
    </row>
    <row r="37" spans="2:9" ht="30" x14ac:dyDescent="0.25">
      <c r="B37" s="2047" t="str">
        <f>Виробництво_Транспортування_1ст!B130</f>
        <v>технічний контроль транспортних засобів</v>
      </c>
      <c r="C37" s="2048">
        <f>Виробництво_Транспортування_1ст!K130</f>
        <v>0</v>
      </c>
      <c r="D37" s="2047">
        <f>Виробництво_Транспортування_1ст!L130</f>
        <v>0</v>
      </c>
      <c r="E37" s="2047" t="str">
        <f>Виробництво_Транспортування_1ст!B130</f>
        <v>технічний контроль транспортних засобів</v>
      </c>
      <c r="F37" s="2047" t="e">
        <f>#REF!</f>
        <v>#REF!</v>
      </c>
      <c r="G37" s="2047" t="e">
        <f>#REF!</f>
        <v>#REF!</v>
      </c>
      <c r="H37" s="2049" t="e">
        <f t="shared" si="0"/>
        <v>#REF!</v>
      </c>
      <c r="I37" s="2049" t="e">
        <f t="shared" si="1"/>
        <v>#REF!</v>
      </c>
    </row>
    <row r="38" spans="2:9" x14ac:dyDescent="0.25">
      <c r="B38" s="2047" t="str">
        <f>Виробництво_Транспортування_1ст!B131</f>
        <v>страхування</v>
      </c>
      <c r="C38" s="2048">
        <f>Виробництво_Транспортування_1ст!K131</f>
        <v>0</v>
      </c>
      <c r="D38" s="2047">
        <f>Виробництво_Транспортування_1ст!L131</f>
        <v>0</v>
      </c>
      <c r="E38" s="2047" t="str">
        <f>Виробництво_Транспортування_1ст!B131</f>
        <v>страхування</v>
      </c>
      <c r="F38" s="2047" t="e">
        <f>#REF!</f>
        <v>#REF!</v>
      </c>
      <c r="G38" s="2047" t="e">
        <f>#REF!</f>
        <v>#REF!</v>
      </c>
      <c r="H38" s="2049" t="e">
        <f t="shared" si="0"/>
        <v>#REF!</v>
      </c>
      <c r="I38" s="2049" t="e">
        <f t="shared" si="1"/>
        <v>#REF!</v>
      </c>
    </row>
    <row r="39" spans="2:9" x14ac:dyDescent="0.25">
      <c r="B39" s="2047" t="str">
        <f>Виробництво_Транспортування_1ст!B132</f>
        <v>приймання відходів</v>
      </c>
      <c r="C39" s="2048">
        <f>Виробництво_Транспортування_1ст!K132</f>
        <v>0</v>
      </c>
      <c r="D39" s="2047">
        <f>Виробництво_Транспортування_1ст!L132</f>
        <v>0</v>
      </c>
      <c r="E39" s="2047" t="str">
        <f>Виробництво_Транспортування_1ст!B132</f>
        <v>приймання відходів</v>
      </c>
      <c r="F39" s="2047" t="e">
        <f>#REF!</f>
        <v>#REF!</v>
      </c>
      <c r="G39" s="2047" t="e">
        <f>#REF!</f>
        <v>#REF!</v>
      </c>
      <c r="H39" s="2049" t="e">
        <f t="shared" si="0"/>
        <v>#REF!</v>
      </c>
      <c r="I39" s="2049" t="e">
        <f t="shared" si="1"/>
        <v>#REF!</v>
      </c>
    </row>
    <row r="40" spans="2:9" x14ac:dyDescent="0.25">
      <c r="B40" s="2047" t="str">
        <f>Виробництво_Транспортування_1ст!B133</f>
        <v>обслуговування теплових камер</v>
      </c>
      <c r="C40" s="2048">
        <f>Виробництво_Транспортування_1ст!K133</f>
        <v>0</v>
      </c>
      <c r="D40" s="2047">
        <f>Виробництво_Транспортування_1ст!L133</f>
        <v>0</v>
      </c>
      <c r="E40" s="2047" t="str">
        <f>Виробництво_Транспортування_1ст!B133</f>
        <v>обслуговування теплових камер</v>
      </c>
      <c r="F40" s="2047" t="e">
        <f>#REF!</f>
        <v>#REF!</v>
      </c>
      <c r="G40" s="2047" t="e">
        <f>#REF!</f>
        <v>#REF!</v>
      </c>
      <c r="H40" s="2049" t="e">
        <f t="shared" si="0"/>
        <v>#REF!</v>
      </c>
      <c r="I40" s="2049" t="e">
        <f t="shared" si="1"/>
        <v>#REF!</v>
      </c>
    </row>
    <row r="41" spans="2:9" x14ac:dyDescent="0.25">
      <c r="B41" s="2047" t="str">
        <f>Виробництво_Транспортування_1ст!B134</f>
        <v>медогляд</v>
      </c>
      <c r="C41" s="2048">
        <f>Виробництво_Транспортування_1ст!K134</f>
        <v>0.41545592426736988</v>
      </c>
      <c r="D41" s="2047">
        <f>Виробництво_Транспортування_1ст!L134</f>
        <v>1.0205525657326298</v>
      </c>
      <c r="E41" s="2047" t="str">
        <f>Виробництво_Транспортування_1ст!B134</f>
        <v>медогляд</v>
      </c>
      <c r="F41" s="2047" t="e">
        <f>#REF!</f>
        <v>#REF!</v>
      </c>
      <c r="G41" s="2047" t="e">
        <f>#REF!</f>
        <v>#REF!</v>
      </c>
      <c r="H41" s="2049" t="e">
        <f t="shared" si="0"/>
        <v>#REF!</v>
      </c>
      <c r="I41" s="2049" t="e">
        <f t="shared" si="1"/>
        <v>#REF!</v>
      </c>
    </row>
    <row r="42" spans="2:9" ht="30" x14ac:dyDescent="0.25">
      <c r="B42" s="2047" t="str">
        <f>Виробництво_Транспортування_1ст!B135</f>
        <v>підготовка та перепідготовка кадрів (навчання)</v>
      </c>
      <c r="C42" s="2048">
        <f>Виробництво_Транспортування_1ст!K135</f>
        <v>0</v>
      </c>
      <c r="D42" s="2047">
        <f>Виробництво_Транспортування_1ст!L135</f>
        <v>0</v>
      </c>
      <c r="E42" s="2047" t="str">
        <f>Виробництво_Транспортування_1ст!B135</f>
        <v>підготовка та перепідготовка кадрів (навчання)</v>
      </c>
      <c r="F42" s="2047" t="e">
        <f>#REF!</f>
        <v>#REF!</v>
      </c>
      <c r="G42" s="2047" t="e">
        <f>#REF!</f>
        <v>#REF!</v>
      </c>
      <c r="H42" s="2049" t="e">
        <f t="shared" si="0"/>
        <v>#REF!</v>
      </c>
      <c r="I42" s="2049" t="e">
        <f t="shared" si="1"/>
        <v>#REF!</v>
      </c>
    </row>
    <row r="43" spans="2:9" ht="30" x14ac:dyDescent="0.25">
      <c r="B43" s="2047" t="str">
        <f>Виробництво_Транспортування_1ст!B136</f>
        <v>культурно-масові міроприємства, утримання профспілок</v>
      </c>
      <c r="C43" s="2048">
        <f>Виробництво_Транспортування_1ст!K136</f>
        <v>0.93748405893999998</v>
      </c>
      <c r="D43" s="2047">
        <f>Виробництво_Транспортування_1ст!L136</f>
        <v>2.3028959410600001</v>
      </c>
      <c r="E43" s="2047" t="str">
        <f>Виробництво_Транспортування_1ст!B136</f>
        <v>культурно-масові міроприємства, утримання профспілок</v>
      </c>
      <c r="F43" s="2047" t="e">
        <f>#REF!</f>
        <v>#REF!</v>
      </c>
      <c r="G43" s="2047" t="e">
        <f>#REF!</f>
        <v>#REF!</v>
      </c>
      <c r="H43" s="2049" t="e">
        <f t="shared" si="0"/>
        <v>#REF!</v>
      </c>
      <c r="I43" s="2049" t="e">
        <f t="shared" si="1"/>
        <v>#REF!</v>
      </c>
    </row>
    <row r="44" spans="2:9" x14ac:dyDescent="0.25">
      <c r="B44" s="2047" t="str">
        <f>Виробництво_Транспортування_1ст!B137</f>
        <v>медичне страхування</v>
      </c>
      <c r="C44" s="2048">
        <f>Виробництво_Транспортування_1ст!K137</f>
        <v>36.314431483114397</v>
      </c>
      <c r="D44" s="2047">
        <f>Виробництво_Транспортування_1ст!L137</f>
        <v>51.392853391885609</v>
      </c>
      <c r="E44" s="2047" t="str">
        <f>Виробництво_Транспортування_1ст!B137</f>
        <v>медичне страхування</v>
      </c>
      <c r="F44" s="2047" t="e">
        <f>#REF!</f>
        <v>#REF!</v>
      </c>
      <c r="G44" s="2047" t="e">
        <f>#REF!</f>
        <v>#REF!</v>
      </c>
      <c r="H44" s="2049" t="e">
        <f t="shared" si="0"/>
        <v>#REF!</v>
      </c>
      <c r="I44" s="2049" t="e">
        <f t="shared" si="1"/>
        <v>#REF!</v>
      </c>
    </row>
    <row r="45" spans="2:9" ht="30" x14ac:dyDescent="0.25">
      <c r="B45" s="2047" t="str">
        <f>Виробництво_Транспортування_1ст!B138</f>
        <v>відрахування профспілкам 3% від фонду оплати праці</v>
      </c>
      <c r="C45" s="2048">
        <f>Виробництво_Транспортування_1ст!K138</f>
        <v>0</v>
      </c>
      <c r="D45" s="2047">
        <f>Виробництво_Транспортування_1ст!L138</f>
        <v>0</v>
      </c>
      <c r="E45" s="2047" t="str">
        <f>Виробництво_Транспортування_1ст!B138</f>
        <v>відрахування профспілкам 3% від фонду оплати праці</v>
      </c>
      <c r="F45" s="2047" t="e">
        <f>#REF!</f>
        <v>#REF!</v>
      </c>
      <c r="G45" s="2047" t="e">
        <f>#REF!</f>
        <v>#REF!</v>
      </c>
      <c r="H45" s="2049" t="e">
        <f t="shared" si="0"/>
        <v>#REF!</v>
      </c>
      <c r="I45" s="2049" t="e">
        <f t="shared" si="1"/>
        <v>#REF!</v>
      </c>
    </row>
    <row r="46" spans="2:9" x14ac:dyDescent="0.25">
      <c r="B46" s="2047" t="str">
        <f>Виробництво_Транспортування_1ст!B139</f>
        <v>послуги відділу охорони СМБ</v>
      </c>
      <c r="C46" s="2048">
        <f>Виробництво_Транспортування_1ст!K139</f>
        <v>67.656365813400001</v>
      </c>
      <c r="D46" s="2047">
        <f>Виробництво_Транспортування_1ст!L139</f>
        <v>166.19543418660001</v>
      </c>
      <c r="E46" s="2047" t="str">
        <f>Виробництво_Транспортування_1ст!B139</f>
        <v>послуги відділу охорони СМБ</v>
      </c>
      <c r="F46" s="2047" t="e">
        <f>#REF!</f>
        <v>#REF!</v>
      </c>
      <c r="G46" s="2047" t="e">
        <f>#REF!</f>
        <v>#REF!</v>
      </c>
      <c r="H46" s="2049" t="e">
        <f t="shared" si="0"/>
        <v>#REF!</v>
      </c>
      <c r="I46" s="2049" t="e">
        <f t="shared" si="1"/>
        <v>#REF!</v>
      </c>
    </row>
    <row r="47" spans="2:9" x14ac:dyDescent="0.25">
      <c r="B47" s="2047" t="str">
        <f>Виробництво_Транспортування_1ст!B140</f>
        <v>державна повірка та юстування</v>
      </c>
      <c r="C47" s="2048">
        <f>Виробництво_Транспортування_1ст!K140</f>
        <v>0</v>
      </c>
      <c r="D47" s="2047">
        <f>Виробництво_Транспортування_1ст!L140</f>
        <v>0</v>
      </c>
      <c r="E47" s="2047" t="str">
        <f>Виробництво_Транспортування_1ст!B140</f>
        <v>державна повірка та юстування</v>
      </c>
      <c r="F47" s="2047" t="e">
        <f>#REF!</f>
        <v>#REF!</v>
      </c>
      <c r="G47" s="2047" t="e">
        <f>#REF!</f>
        <v>#REF!</v>
      </c>
      <c r="H47" s="2049" t="e">
        <f t="shared" si="0"/>
        <v>#REF!</v>
      </c>
      <c r="I47" s="2049" t="e">
        <f t="shared" si="1"/>
        <v>#REF!</v>
      </c>
    </row>
    <row r="48" spans="2:9" x14ac:dyDescent="0.25">
      <c r="B48" s="2047" t="str">
        <f>Виробництво_Транспортування_1ст!B141</f>
        <v>послуги з передачі ел/енергії</v>
      </c>
      <c r="C48" s="2048">
        <f>Виробництво_Транспортування_1ст!K141</f>
        <v>83.325706749642904</v>
      </c>
      <c r="D48" s="2047">
        <f>Виробництво_Транспортування_1ст!L141</f>
        <v>201.61396051435705</v>
      </c>
      <c r="E48" s="2047" t="str">
        <f>Виробництво_Транспортування_1ст!B141</f>
        <v>послуги з передачі ел/енергії</v>
      </c>
      <c r="F48" s="2047" t="e">
        <f>#REF!</f>
        <v>#REF!</v>
      </c>
      <c r="G48" s="2047" t="e">
        <f>#REF!</f>
        <v>#REF!</v>
      </c>
      <c r="H48" s="2049" t="e">
        <f t="shared" si="0"/>
        <v>#REF!</v>
      </c>
      <c r="I48" s="2049" t="e">
        <f t="shared" si="1"/>
        <v>#REF!</v>
      </c>
    </row>
    <row r="49" spans="2:9" x14ac:dyDescent="0.25">
      <c r="B49" s="2047" t="str">
        <f>Виробництво_Транспортування_1ст!B142</f>
        <v>послуги з передачі води та стоків</v>
      </c>
      <c r="C49" s="2048">
        <f>Виробництво_Транспортування_1ст!K142</f>
        <v>94.340913073877388</v>
      </c>
      <c r="D49" s="2047">
        <f>Виробництво_Транспортування_1ст!L142</f>
        <v>231.74506672612256</v>
      </c>
      <c r="E49" s="2047" t="str">
        <f>Виробництво_Транспортування_1ст!B142</f>
        <v>послуги з передачі води та стоків</v>
      </c>
      <c r="F49" s="2047" t="e">
        <f>#REF!</f>
        <v>#REF!</v>
      </c>
      <c r="G49" s="2047" t="e">
        <f>#REF!</f>
        <v>#REF!</v>
      </c>
      <c r="H49" s="2049" t="e">
        <f t="shared" si="0"/>
        <v>#REF!</v>
      </c>
      <c r="I49" s="2049" t="e">
        <f t="shared" si="1"/>
        <v>#REF!</v>
      </c>
    </row>
    <row r="50" spans="2:9" ht="30" x14ac:dyDescent="0.25">
      <c r="B50" s="2047" t="str">
        <f>Виробництво_Транспортування_1ст!B143</f>
        <v>послуги служби пожежної охорони</v>
      </c>
      <c r="C50" s="2048">
        <f>Виробництво_Транспортування_1ст!K143</f>
        <v>0.95479604256224992</v>
      </c>
      <c r="D50" s="2047">
        <f>Виробництво_Транспортування_1ст!L143</f>
        <v>2.3454222074377498</v>
      </c>
      <c r="E50" s="2047" t="str">
        <f>Виробництво_Транспортування_1ст!B143</f>
        <v>послуги служби пожежної охорони</v>
      </c>
      <c r="F50" s="2047" t="e">
        <f>#REF!</f>
        <v>#REF!</v>
      </c>
      <c r="G50" s="2047" t="e">
        <f>#REF!</f>
        <v>#REF!</v>
      </c>
      <c r="H50" s="2049" t="e">
        <f t="shared" si="0"/>
        <v>#REF!</v>
      </c>
      <c r="I50" s="2049" t="e">
        <f t="shared" si="1"/>
        <v>#REF!</v>
      </c>
    </row>
    <row r="51" spans="2:9" x14ac:dyDescent="0.25">
      <c r="B51" s="2047" t="str">
        <f>Виробництво_Транспортування_1ст!B144</f>
        <v>послуги ТСГ з теплопостачання</v>
      </c>
      <c r="C51" s="2048">
        <f>Виробництво_Транспортування_1ст!K144</f>
        <v>33.546681357699995</v>
      </c>
      <c r="D51" s="2047">
        <f>Виробництво_Транспортування_1ст!L144</f>
        <v>82.40621864229999</v>
      </c>
      <c r="E51" s="2047" t="str">
        <f>Виробництво_Транспортування_1ст!B144</f>
        <v>послуги ТСГ з теплопостачання</v>
      </c>
      <c r="F51" s="2047" t="e">
        <f>#REF!</f>
        <v>#REF!</v>
      </c>
      <c r="G51" s="2047" t="e">
        <f>#REF!</f>
        <v>#REF!</v>
      </c>
      <c r="H51" s="2049" t="e">
        <f t="shared" si="0"/>
        <v>#REF!</v>
      </c>
      <c r="I51" s="2049" t="e">
        <f t="shared" si="1"/>
        <v>#REF!</v>
      </c>
    </row>
    <row r="52" spans="2:9" x14ac:dyDescent="0.25">
      <c r="B52" s="2047" t="str">
        <f>Виробництво_Транспортування_1ст!B145</f>
        <v>заправка картріджів</v>
      </c>
      <c r="C52" s="2048">
        <f>Виробництво_Транспортування_1ст!K145</f>
        <v>0</v>
      </c>
      <c r="D52" s="2047">
        <f>Виробництво_Транспортування_1ст!L145</f>
        <v>0</v>
      </c>
      <c r="E52" s="2047" t="str">
        <f>Виробництво_Транспортування_1ст!B145</f>
        <v>заправка картріджів</v>
      </c>
      <c r="F52" s="2047" t="e">
        <f>#REF!</f>
        <v>#REF!</v>
      </c>
      <c r="G52" s="2047" t="e">
        <f>#REF!</f>
        <v>#REF!</v>
      </c>
      <c r="H52" s="2049" t="e">
        <f t="shared" si="0"/>
        <v>#REF!</v>
      </c>
      <c r="I52" s="2049" t="e">
        <f t="shared" si="1"/>
        <v>#REF!</v>
      </c>
    </row>
    <row r="53" spans="2:9" x14ac:dyDescent="0.25">
      <c r="B53" s="2047" t="str">
        <f>Виробництво_Транспортування_1ст!B146</f>
        <v>ППЗ для захисту від вірусів</v>
      </c>
      <c r="C53" s="2048">
        <f>Виробництво_Транспортування_1ст!K146</f>
        <v>0</v>
      </c>
      <c r="D53" s="2047">
        <f>Виробництво_Транспортування_1ст!L146</f>
        <v>0</v>
      </c>
      <c r="E53" s="2047" t="str">
        <f>Виробництво_Транспортування_1ст!B146</f>
        <v>ППЗ для захисту від вірусів</v>
      </c>
      <c r="F53" s="2047" t="e">
        <f>#REF!</f>
        <v>#REF!</v>
      </c>
      <c r="G53" s="2047" t="e">
        <f>#REF!</f>
        <v>#REF!</v>
      </c>
      <c r="H53" s="2049" t="e">
        <f t="shared" si="0"/>
        <v>#REF!</v>
      </c>
      <c r="I53" s="2049" t="e">
        <f t="shared" si="1"/>
        <v>#REF!</v>
      </c>
    </row>
    <row r="54" spans="2:9" x14ac:dyDescent="0.25">
      <c r="B54" s="2047" t="str">
        <f>Виробництво_Транспортування_1ст!B147</f>
        <v>оцінка обсягів водокористування</v>
      </c>
      <c r="C54" s="2048">
        <f>Виробництво_Транспортування_1ст!K147</f>
        <v>0</v>
      </c>
      <c r="D54" s="2047">
        <f>Виробництво_Транспортування_1ст!L147</f>
        <v>0</v>
      </c>
      <c r="E54" s="2047" t="str">
        <f>Виробництво_Транспортування_1ст!B147</f>
        <v>оцінка обсягів водокористування</v>
      </c>
      <c r="F54" s="2047" t="e">
        <f>#REF!</f>
        <v>#REF!</v>
      </c>
      <c r="G54" s="2047" t="e">
        <f>#REF!</f>
        <v>#REF!</v>
      </c>
      <c r="H54" s="2049" t="e">
        <f t="shared" si="0"/>
        <v>#REF!</v>
      </c>
      <c r="I54" s="2049" t="e">
        <f t="shared" si="1"/>
        <v>#REF!</v>
      </c>
    </row>
    <row r="55" spans="2:9" x14ac:dyDescent="0.25">
      <c r="B55" s="2047" t="str">
        <f>Виробництво_Транспортування_1ст!B148</f>
        <v>транспортні послуги</v>
      </c>
      <c r="C55" s="2048">
        <f>Виробництво_Транспортування_1ст!K148</f>
        <v>0</v>
      </c>
      <c r="D55" s="2047">
        <f>Виробництво_Транспортування_1ст!L148</f>
        <v>0</v>
      </c>
      <c r="E55" s="2047" t="str">
        <f>Виробництво_Транспортування_1ст!B148</f>
        <v>транспортні послуги</v>
      </c>
      <c r="F55" s="2047" t="e">
        <f>#REF!</f>
        <v>#REF!</v>
      </c>
      <c r="G55" s="2047" t="e">
        <f>#REF!</f>
        <v>#REF!</v>
      </c>
      <c r="H55" s="2049" t="e">
        <f t="shared" si="0"/>
        <v>#REF!</v>
      </c>
      <c r="I55" s="2049" t="e">
        <f t="shared" si="1"/>
        <v>#REF!</v>
      </c>
    </row>
    <row r="56" spans="2:9" x14ac:dyDescent="0.25">
      <c r="B56" s="2047" t="str">
        <f>Виробництво_Транспортування_1ст!B149</f>
        <v>службові відрядження</v>
      </c>
      <c r="C56" s="2048">
        <f>Виробництво_Транспортування_1ст!K149</f>
        <v>0</v>
      </c>
      <c r="D56" s="2047">
        <f>Виробництво_Транспортування_1ст!L149</f>
        <v>0</v>
      </c>
      <c r="E56" s="2047" t="str">
        <f>Виробництво_Транспортування_1ст!B149</f>
        <v>службові відрядження</v>
      </c>
      <c r="F56" s="2047" t="e">
        <f>#REF!</f>
        <v>#REF!</v>
      </c>
      <c r="G56" s="2047" t="e">
        <f>#REF!</f>
        <v>#REF!</v>
      </c>
      <c r="H56" s="2049" t="e">
        <f t="shared" si="0"/>
        <v>#REF!</v>
      </c>
      <c r="I56" s="2049" t="e">
        <f t="shared" si="1"/>
        <v>#REF!</v>
      </c>
    </row>
    <row r="57" spans="2:9" x14ac:dyDescent="0.25">
      <c r="B57" s="2047" t="str">
        <f>Виробництво_Транспортування_1ст!B150</f>
        <v>вимірювання якості води</v>
      </c>
      <c r="C57" s="2048">
        <f>Виробництво_Транспортування_1ст!K150</f>
        <v>0</v>
      </c>
      <c r="D57" s="2047">
        <f>Виробництво_Транспортування_1ст!L150</f>
        <v>0</v>
      </c>
      <c r="E57" s="2047" t="str">
        <f>Виробництво_Транспортування_1ст!B150</f>
        <v>вимірювання якості води</v>
      </c>
      <c r="F57" s="2047" t="e">
        <f>#REF!</f>
        <v>#REF!</v>
      </c>
      <c r="G57" s="2047" t="e">
        <f>#REF!</f>
        <v>#REF!</v>
      </c>
      <c r="H57" s="2049" t="e">
        <f t="shared" si="0"/>
        <v>#REF!</v>
      </c>
      <c r="I57" s="2049" t="e">
        <f t="shared" si="1"/>
        <v>#REF!</v>
      </c>
    </row>
    <row r="58" spans="2:9" x14ac:dyDescent="0.25">
      <c r="B58" s="2047" t="str">
        <f>Виробництво_Транспортування_1ст!B151</f>
        <v>витрати на професійні послуги</v>
      </c>
      <c r="C58" s="2048">
        <f>Виробництво_Транспортування_1ст!K151</f>
        <v>0</v>
      </c>
      <c r="D58" s="2047">
        <f>Виробництво_Транспортування_1ст!L151</f>
        <v>0</v>
      </c>
      <c r="E58" s="2047" t="str">
        <f>Виробництво_Транспортування_1ст!B151</f>
        <v>витрати на професійні послуги</v>
      </c>
      <c r="F58" s="2047" t="e">
        <f>#REF!</f>
        <v>#REF!</v>
      </c>
      <c r="G58" s="2047" t="e">
        <f>#REF!</f>
        <v>#REF!</v>
      </c>
      <c r="H58" s="2049" t="e">
        <f t="shared" si="0"/>
        <v>#REF!</v>
      </c>
      <c r="I58" s="2049" t="e">
        <f t="shared" si="1"/>
        <v>#REF!</v>
      </c>
    </row>
    <row r="59" spans="2:9" ht="30" x14ac:dyDescent="0.25">
      <c r="B59" s="2047" t="str">
        <f>Виробництво_Транспортування_1ст!B152</f>
        <v>витрати на зв'язок та інтернет, у т.ч.:</v>
      </c>
      <c r="C59" s="2048">
        <f>Виробництво_Транспортування_1ст!K152</f>
        <v>0</v>
      </c>
      <c r="D59" s="2047">
        <f>Виробництво_Транспортування_1ст!L152</f>
        <v>0</v>
      </c>
      <c r="E59" s="2047" t="str">
        <f>Виробництво_Транспортування_1ст!B152</f>
        <v>витрати на зв'язок та інтернет, у т.ч.:</v>
      </c>
      <c r="F59" s="2047" t="e">
        <f>#REF!</f>
        <v>#REF!</v>
      </c>
      <c r="G59" s="2047" t="e">
        <f>#REF!</f>
        <v>#REF!</v>
      </c>
      <c r="H59" s="2049" t="e">
        <f t="shared" si="0"/>
        <v>#REF!</v>
      </c>
      <c r="I59" s="2049" t="e">
        <f t="shared" si="1"/>
        <v>#REF!</v>
      </c>
    </row>
    <row r="60" spans="2:9" x14ac:dyDescent="0.25">
      <c r="B60" s="2047" t="str">
        <f>Виробництво_Транспортування_1ст!B153</f>
        <v>зв'язок</v>
      </c>
      <c r="C60" s="2048">
        <f>Виробництво_Транспортування_1ст!K153</f>
        <v>0.46778440344</v>
      </c>
      <c r="D60" s="2047">
        <f>Виробництво_Транспортування_1ст!L153</f>
        <v>1.14909559656</v>
      </c>
      <c r="E60" s="2047" t="str">
        <f>Виробництво_Транспортування_1ст!B153</f>
        <v>зв'язок</v>
      </c>
      <c r="F60" s="2047" t="e">
        <f>#REF!</f>
        <v>#REF!</v>
      </c>
      <c r="G60" s="2047" t="e">
        <f>#REF!</f>
        <v>#REF!</v>
      </c>
      <c r="H60" s="2049" t="e">
        <f t="shared" si="0"/>
        <v>#REF!</v>
      </c>
      <c r="I60" s="2049" t="e">
        <f t="shared" si="1"/>
        <v>#REF!</v>
      </c>
    </row>
    <row r="61" spans="2:9" x14ac:dyDescent="0.25">
      <c r="B61" s="2047" t="str">
        <f>Виробництво_Транспортування_1ст!B154</f>
        <v>інтернет</v>
      </c>
      <c r="C61" s="2048">
        <f>Виробництво_Транспортування_1ст!K154</f>
        <v>0</v>
      </c>
      <c r="D61" s="2047">
        <f>Виробництво_Транспортування_1ст!L154</f>
        <v>0</v>
      </c>
      <c r="E61" s="2047" t="str">
        <f>Виробництво_Транспортування_1ст!B154</f>
        <v>інтернет</v>
      </c>
      <c r="F61" s="2047" t="e">
        <f>#REF!</f>
        <v>#REF!</v>
      </c>
      <c r="G61" s="2047" t="e">
        <f>#REF!</f>
        <v>#REF!</v>
      </c>
      <c r="H61" s="2049" t="e">
        <f t="shared" si="0"/>
        <v>#REF!</v>
      </c>
      <c r="I61" s="2049" t="e">
        <f t="shared" si="1"/>
        <v>#REF!</v>
      </c>
    </row>
    <row r="62" spans="2:9" ht="45" x14ac:dyDescent="0.25">
      <c r="B62" s="2047" t="str">
        <f>Виробництво_Транспортування_1ст!B155</f>
        <v>розробка декларації, планів локалізації аварій та їх експертиза</v>
      </c>
      <c r="C62" s="2048">
        <f>Виробництво_Транспортування_1ст!K155</f>
        <v>0</v>
      </c>
      <c r="D62" s="2047">
        <f>Виробництво_Транспортування_1ст!L155</f>
        <v>0</v>
      </c>
      <c r="E62" s="2047" t="str">
        <f>Виробництво_Транспортування_1ст!B155</f>
        <v>розробка декларації, планів локалізації аварій та їх експертиза</v>
      </c>
      <c r="F62" s="2047" t="e">
        <f>#REF!</f>
        <v>#REF!</v>
      </c>
      <c r="G62" s="2047" t="e">
        <f>#REF!</f>
        <v>#REF!</v>
      </c>
      <c r="H62" s="2049" t="e">
        <f t="shared" si="0"/>
        <v>#REF!</v>
      </c>
      <c r="I62" s="2049" t="e">
        <f t="shared" si="1"/>
        <v>#REF!</v>
      </c>
    </row>
    <row r="63" spans="2:9" ht="30" x14ac:dyDescent="0.25">
      <c r="B63" s="2047" t="str">
        <f>Виробництво_Транспортування_1ст!B156</f>
        <v>податки, збори, обов'язкові платежі</v>
      </c>
      <c r="C63" s="2048">
        <f>Виробництво_Транспортування_1ст!K156</f>
        <v>0</v>
      </c>
      <c r="D63" s="2047">
        <f>Виробництво_Транспортування_1ст!L156</f>
        <v>0</v>
      </c>
      <c r="E63" s="2047" t="str">
        <f>Виробництво_Транспортування_1ст!B156</f>
        <v>податки, збори, обов'язкові платежі</v>
      </c>
      <c r="F63" s="2047" t="e">
        <f>#REF!</f>
        <v>#REF!</v>
      </c>
      <c r="G63" s="2047" t="e">
        <f>#REF!</f>
        <v>#REF!</v>
      </c>
      <c r="H63" s="2049" t="e">
        <f t="shared" si="0"/>
        <v>#REF!</v>
      </c>
      <c r="I63" s="2049" t="e">
        <f t="shared" si="1"/>
        <v>#REF!</v>
      </c>
    </row>
    <row r="64" spans="2:9" x14ac:dyDescent="0.25">
      <c r="B64" s="2047" t="str">
        <f>Виробництво_Транспортування_1ст!B157</f>
        <v>радіочастоти</v>
      </c>
      <c r="C64" s="2048">
        <f>Виробництво_Транспортування_1ст!K157</f>
        <v>0</v>
      </c>
      <c r="D64" s="2047">
        <f>Виробництво_Транспортування_1ст!L157</f>
        <v>0</v>
      </c>
      <c r="E64" s="2047" t="str">
        <f>Виробництво_Транспортування_1ст!B157</f>
        <v>радіочастоти</v>
      </c>
      <c r="F64" s="2047" t="e">
        <f>#REF!</f>
        <v>#REF!</v>
      </c>
      <c r="G64" s="2047" t="e">
        <f>#REF!</f>
        <v>#REF!</v>
      </c>
      <c r="H64" s="2049" t="e">
        <f t="shared" si="0"/>
        <v>#REF!</v>
      </c>
      <c r="I64" s="2049" t="e">
        <f t="shared" si="1"/>
        <v>#REF!</v>
      </c>
    </row>
    <row r="65" spans="2:9" x14ac:dyDescent="0.25">
      <c r="B65" s="2047" t="str">
        <f>Виробництво_Транспортування_1ст!B158</f>
        <v>витрати на періодичні видання</v>
      </c>
      <c r="C65" s="2048">
        <f>Виробництво_Транспортування_1ст!K158</f>
        <v>0</v>
      </c>
      <c r="D65" s="2047">
        <f>Виробництво_Транспортування_1ст!L158</f>
        <v>0</v>
      </c>
      <c r="E65" s="2047" t="str">
        <f>Виробництво_Транспортування_1ст!B158</f>
        <v>витрати на періодичні видання</v>
      </c>
      <c r="F65" s="2047" t="e">
        <f>#REF!</f>
        <v>#REF!</v>
      </c>
      <c r="G65" s="2047" t="e">
        <f>#REF!</f>
        <v>#REF!</v>
      </c>
      <c r="H65" s="2049" t="e">
        <f t="shared" si="0"/>
        <v>#REF!</v>
      </c>
      <c r="I65" s="2049" t="e">
        <f t="shared" si="1"/>
        <v>#REF!</v>
      </c>
    </row>
    <row r="66" spans="2:9" ht="30" x14ac:dyDescent="0.25">
      <c r="B66" s="2047" t="str">
        <f>Виробництво_Транспортування_1ст!B159</f>
        <v>параметрування та техперевірка 3-х фазних лічильників</v>
      </c>
      <c r="C66" s="2048">
        <f>Виробництво_Транспортування_1ст!K159</f>
        <v>0</v>
      </c>
      <c r="D66" s="2047">
        <f>Виробництво_Транспортування_1ст!L159</f>
        <v>0</v>
      </c>
      <c r="E66" s="2047" t="str">
        <f>Виробництво_Транспортування_1ст!B159</f>
        <v>параметрування та техперевірка 3-х фазних лічильників</v>
      </c>
      <c r="F66" s="2047" t="e">
        <f>#REF!</f>
        <v>#REF!</v>
      </c>
      <c r="G66" s="2047" t="e">
        <f>#REF!</f>
        <v>#REF!</v>
      </c>
      <c r="H66" s="2049" t="e">
        <f t="shared" si="0"/>
        <v>#REF!</v>
      </c>
      <c r="I66" s="2049" t="e">
        <f t="shared" si="1"/>
        <v>#REF!</v>
      </c>
    </row>
    <row r="67" spans="2:9" x14ac:dyDescent="0.25">
      <c r="B67" s="2047" t="str">
        <f>Виробництво_Транспортування_1ст!B160</f>
        <v>обслуговування кондиціонерів</v>
      </c>
      <c r="C67" s="2048">
        <f>Виробництво_Транспортування_1ст!K160</f>
        <v>0</v>
      </c>
      <c r="D67" s="2047">
        <f>Виробництво_Транспортування_1ст!L160</f>
        <v>0</v>
      </c>
      <c r="E67" s="2047" t="str">
        <f>Виробництво_Транспортування_1ст!B160</f>
        <v>обслуговування кондиціонерів</v>
      </c>
      <c r="F67" s="2047" t="e">
        <f>#REF!</f>
        <v>#REF!</v>
      </c>
      <c r="G67" s="2047" t="e">
        <f>#REF!</f>
        <v>#REF!</v>
      </c>
      <c r="H67" s="2049" t="e">
        <f t="shared" si="0"/>
        <v>#REF!</v>
      </c>
      <c r="I67" s="2049" t="e">
        <f t="shared" si="1"/>
        <v>#REF!</v>
      </c>
    </row>
    <row r="68" spans="2:9" x14ac:dyDescent="0.25">
      <c r="B68" s="2047" t="str">
        <f>Виробництво_Транспортування_1ст!B161</f>
        <v>інші витрати</v>
      </c>
      <c r="C68" s="2048">
        <f>Виробництво_Транспортування_1ст!K161</f>
        <v>0</v>
      </c>
      <c r="D68" s="2047">
        <f>Виробництво_Транспортування_1ст!L161</f>
        <v>0</v>
      </c>
      <c r="E68" s="2047" t="str">
        <f>Виробництво_Транспортування_1ст!B161</f>
        <v>інші витрати</v>
      </c>
      <c r="F68" s="2047" t="e">
        <f>#REF!</f>
        <v>#REF!</v>
      </c>
      <c r="G68" s="2047" t="e">
        <f>#REF!</f>
        <v>#REF!</v>
      </c>
      <c r="H68" s="2049" t="e">
        <f t="shared" si="0"/>
        <v>#REF!</v>
      </c>
      <c r="I68" s="2049" t="e">
        <f t="shared" si="1"/>
        <v>#REF!</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pageSetUpPr fitToPage="1"/>
  </sheetPr>
  <dimension ref="A1:P124"/>
  <sheetViews>
    <sheetView view="pageBreakPreview" topLeftCell="A13" zoomScale="60" zoomScaleNormal="75" workbookViewId="0">
      <selection activeCell="B67" sqref="B67"/>
    </sheetView>
  </sheetViews>
  <sheetFormatPr defaultColWidth="9.140625" defaultRowHeight="15.75" x14ac:dyDescent="0.25"/>
  <cols>
    <col min="1" max="1" width="4.7109375" style="458" customWidth="1"/>
    <col min="2" max="2" width="60.85546875" style="458" customWidth="1"/>
    <col min="3" max="6" width="13.5703125" style="457" customWidth="1"/>
    <col min="7" max="10" width="13.42578125" style="458" customWidth="1"/>
    <col min="11" max="11" width="15.28515625" style="456" customWidth="1"/>
    <col min="12" max="12" width="14" style="458" customWidth="1"/>
    <col min="13" max="13" width="21" style="458" customWidth="1"/>
    <col min="14" max="14" width="12" style="458" customWidth="1"/>
    <col min="15" max="16" width="10.7109375" style="458" bestFit="1" customWidth="1"/>
    <col min="17" max="16384" width="9.140625" style="458"/>
  </cols>
  <sheetData>
    <row r="1" spans="2:16" ht="19.5" customHeight="1" x14ac:dyDescent="0.3">
      <c r="C1" s="458"/>
      <c r="D1" s="458"/>
      <c r="E1" s="458"/>
      <c r="F1" s="459"/>
      <c r="H1" s="456" t="s">
        <v>835</v>
      </c>
      <c r="M1" s="2506"/>
      <c r="N1" s="2506"/>
      <c r="O1" s="2506"/>
      <c r="P1" s="2050"/>
    </row>
    <row r="2" spans="2:16" x14ac:dyDescent="0.25">
      <c r="B2" s="456"/>
      <c r="C2" s="456"/>
      <c r="D2" s="456"/>
      <c r="E2" s="456"/>
      <c r="F2" s="456"/>
      <c r="G2" s="456"/>
      <c r="M2" s="2050"/>
      <c r="N2" s="2050"/>
      <c r="O2" s="2050"/>
      <c r="P2" s="2050"/>
    </row>
    <row r="3" spans="2:16" ht="18" customHeight="1" x14ac:dyDescent="0.25">
      <c r="C3" s="458"/>
      <c r="D3" s="458"/>
      <c r="E3" s="458"/>
      <c r="F3" s="458"/>
    </row>
    <row r="4" spans="2:16" ht="18.75" x14ac:dyDescent="0.3">
      <c r="B4" s="461" t="s">
        <v>1603</v>
      </c>
      <c r="C4" s="462" t="str">
        <f>'Вхідні дані'!$F$5</f>
        <v>ЧФ ДП "АМПУ"</v>
      </c>
      <c r="D4" s="458"/>
      <c r="E4" s="462"/>
      <c r="F4" s="462" t="s">
        <v>461</v>
      </c>
      <c r="G4" s="462" t="str">
        <f>'Вхідні дані'!$F$6</f>
        <v>2023-2024</v>
      </c>
      <c r="H4" s="462" t="s">
        <v>648</v>
      </c>
      <c r="J4" s="461"/>
      <c r="K4" s="578"/>
      <c r="L4" s="461">
        <f>ФОП!G24</f>
        <v>1</v>
      </c>
      <c r="M4" s="458" t="s">
        <v>1631</v>
      </c>
    </row>
    <row r="5" spans="2:16" ht="18.75" x14ac:dyDescent="0.3">
      <c r="B5" s="461"/>
      <c r="C5" s="458"/>
      <c r="D5" s="458"/>
      <c r="E5" s="458"/>
      <c r="F5" s="496"/>
      <c r="G5" s="496"/>
      <c r="H5" s="497"/>
      <c r="I5" s="462"/>
      <c r="J5" s="461"/>
      <c r="K5" s="578"/>
      <c r="L5" s="461"/>
    </row>
    <row r="6" spans="2:16" ht="19.5" thickBot="1" x14ac:dyDescent="0.35">
      <c r="B6" s="485" t="s">
        <v>2134</v>
      </c>
      <c r="C6" s="458"/>
      <c r="D6" s="458"/>
      <c r="E6" s="458"/>
      <c r="F6" s="566">
        <f>SUM(G6:J6)</f>
        <v>1</v>
      </c>
      <c r="G6" s="566">
        <f>'Д 7_РП'!$G$76</f>
        <v>0</v>
      </c>
      <c r="H6" s="566">
        <f>'Д 7_РП'!$G$84</f>
        <v>0</v>
      </c>
      <c r="I6" s="566">
        <f>'Д 7_РП'!$G$88</f>
        <v>0</v>
      </c>
      <c r="J6" s="566">
        <f>'Д 7_РП'!$G$92</f>
        <v>1</v>
      </c>
      <c r="K6" s="579"/>
      <c r="L6" s="566"/>
    </row>
    <row r="7" spans="2:16" ht="19.5" thickBot="1" x14ac:dyDescent="0.25">
      <c r="B7" s="3994" t="s">
        <v>8</v>
      </c>
      <c r="C7" s="3214" t="s">
        <v>963</v>
      </c>
      <c r="D7" s="3214" t="s">
        <v>963</v>
      </c>
      <c r="E7" s="3214" t="s">
        <v>973</v>
      </c>
      <c r="F7" s="3214" t="s">
        <v>964</v>
      </c>
      <c r="G7" s="3996" t="s">
        <v>938</v>
      </c>
      <c r="H7" s="3997"/>
      <c r="I7" s="3997"/>
      <c r="J7" s="3998"/>
      <c r="K7" s="580"/>
      <c r="L7" s="576"/>
    </row>
    <row r="8" spans="2:16" ht="50.25" thickBot="1" x14ac:dyDescent="0.25">
      <c r="B8" s="3995"/>
      <c r="C8" s="3214">
        <f>'Вхідні дані'!$F$8</f>
        <v>2021</v>
      </c>
      <c r="D8" s="3214">
        <f>'Вхідні дані'!$F$7</f>
        <v>2022</v>
      </c>
      <c r="E8" s="3217" t="str">
        <f>'Вхідні дані'!$F$9</f>
        <v xml:space="preserve">Ріш. № 297 від 25.10.2022 </v>
      </c>
      <c r="F8" s="3214" t="str">
        <f>'Вхідні дані'!$F$6</f>
        <v>2023-2024</v>
      </c>
      <c r="G8" s="3218" t="str">
        <f>'Вхідні дані'!$C$11</f>
        <v>населення</v>
      </c>
      <c r="H8" s="3218" t="str">
        <f>'Вхідні дані'!$D$11</f>
        <v>релігія</v>
      </c>
      <c r="I8" s="3218" t="str">
        <f>'Вхідні дані'!$E$11</f>
        <v>бюджетні установи</v>
      </c>
      <c r="J8" s="3218" t="str">
        <f>'Вхідні дані'!$F$11</f>
        <v>інші споживачі</v>
      </c>
      <c r="K8" s="580"/>
      <c r="L8" s="577"/>
    </row>
    <row r="9" spans="2:16" ht="37.5" x14ac:dyDescent="0.3">
      <c r="B9" s="3220" t="s">
        <v>1597</v>
      </c>
      <c r="C9" s="468">
        <f t="shared" ref="C9" si="0">C10+C21+C23</f>
        <v>845.76552000000015</v>
      </c>
      <c r="D9" s="468">
        <f t="shared" ref="D9:I9" si="1">D10+D21+D23</f>
        <v>865.52</v>
      </c>
      <c r="E9" s="468">
        <f>E10+E21+E23</f>
        <v>914.12</v>
      </c>
      <c r="F9" s="3300">
        <f t="shared" si="1"/>
        <v>452.39715326115993</v>
      </c>
      <c r="G9" s="468">
        <f t="shared" si="1"/>
        <v>0</v>
      </c>
      <c r="H9" s="468">
        <f t="shared" si="1"/>
        <v>0</v>
      </c>
      <c r="I9" s="468">
        <f t="shared" si="1"/>
        <v>0</v>
      </c>
      <c r="J9" s="468">
        <f>J10+J21+J23</f>
        <v>452.39715326115993</v>
      </c>
      <c r="K9" s="581"/>
      <c r="L9" s="572"/>
      <c r="M9" s="465"/>
      <c r="O9" s="465">
        <f>F9-G9-H9-I9-J9</f>
        <v>0</v>
      </c>
    </row>
    <row r="10" spans="2:16" ht="18.75" x14ac:dyDescent="0.3">
      <c r="B10" s="3223" t="s">
        <v>1596</v>
      </c>
      <c r="C10" s="1475">
        <f t="shared" ref="C10" si="2">SUM(C11:C20)</f>
        <v>9.15</v>
      </c>
      <c r="D10" s="1475">
        <f t="shared" ref="D10:J10" si="3">SUM(D11:D20)</f>
        <v>1.4200000000000002</v>
      </c>
      <c r="E10" s="1475">
        <f t="shared" si="3"/>
        <v>9.7100000000000009</v>
      </c>
      <c r="F10" s="3301">
        <f>SUM(F11:F20)</f>
        <v>1.5009399999999997</v>
      </c>
      <c r="G10" s="1475">
        <f t="shared" si="3"/>
        <v>0</v>
      </c>
      <c r="H10" s="1475">
        <f t="shared" si="3"/>
        <v>0</v>
      </c>
      <c r="I10" s="1475">
        <f t="shared" si="3"/>
        <v>0</v>
      </c>
      <c r="J10" s="1475">
        <f t="shared" si="3"/>
        <v>1.5009399999999997</v>
      </c>
      <c r="K10" s="582"/>
      <c r="L10" s="573"/>
      <c r="O10" s="465">
        <f t="shared" ref="O10:O62" si="4">F10-G10-H10-I10-J10</f>
        <v>0</v>
      </c>
    </row>
    <row r="11" spans="2:16" ht="18.75" hidden="1" x14ac:dyDescent="0.3">
      <c r="B11" s="3224" t="s">
        <v>965</v>
      </c>
      <c r="C11" s="3230"/>
      <c r="D11" s="3230"/>
      <c r="E11" s="3230"/>
      <c r="F11" s="3302"/>
      <c r="G11" s="474">
        <f t="shared" ref="G11:G22" si="5">F11*$G$6</f>
        <v>0</v>
      </c>
      <c r="H11" s="474">
        <f t="shared" ref="H11:H22" si="6">F11*$H$6</f>
        <v>0</v>
      </c>
      <c r="I11" s="474">
        <f t="shared" ref="I11:I22" si="7">F11*$I$6</f>
        <v>0</v>
      </c>
      <c r="J11" s="474">
        <f t="shared" ref="J11:J22" si="8">F11*$J$6</f>
        <v>0</v>
      </c>
      <c r="K11" s="583"/>
      <c r="L11" s="574"/>
      <c r="O11" s="465">
        <f t="shared" si="4"/>
        <v>0</v>
      </c>
    </row>
    <row r="12" spans="2:16" ht="18.75" x14ac:dyDescent="0.3">
      <c r="B12" s="3224" t="s">
        <v>966</v>
      </c>
      <c r="C12" s="3230"/>
      <c r="D12" s="3230"/>
      <c r="E12" s="3230">
        <v>9.7100000000000009</v>
      </c>
      <c r="F12" s="3302">
        <v>0</v>
      </c>
      <c r="G12" s="474">
        <f t="shared" si="5"/>
        <v>0</v>
      </c>
      <c r="H12" s="474">
        <f t="shared" si="6"/>
        <v>0</v>
      </c>
      <c r="I12" s="474">
        <f t="shared" si="7"/>
        <v>0</v>
      </c>
      <c r="J12" s="474">
        <f t="shared" si="8"/>
        <v>0</v>
      </c>
      <c r="K12" s="583"/>
      <c r="L12" s="574"/>
      <c r="O12" s="465">
        <f t="shared" si="4"/>
        <v>0</v>
      </c>
    </row>
    <row r="13" spans="2:16" ht="18.75" x14ac:dyDescent="0.3">
      <c r="B13" s="3224" t="s">
        <v>967</v>
      </c>
      <c r="C13" s="3232">
        <v>7.0000000000000007E-2</v>
      </c>
      <c r="D13" s="3232">
        <v>0.78</v>
      </c>
      <c r="E13" s="3232"/>
      <c r="F13" s="3302">
        <f>D13*'Вхідні дані'!D77</f>
        <v>0.82445999999999997</v>
      </c>
      <c r="G13" s="474">
        <f t="shared" si="5"/>
        <v>0</v>
      </c>
      <c r="H13" s="474">
        <f t="shared" si="6"/>
        <v>0</v>
      </c>
      <c r="I13" s="474">
        <f t="shared" si="7"/>
        <v>0</v>
      </c>
      <c r="J13" s="474">
        <f t="shared" si="8"/>
        <v>0.82445999999999997</v>
      </c>
      <c r="K13" s="458" t="s">
        <v>1613</v>
      </c>
      <c r="L13" s="574"/>
      <c r="M13" s="465"/>
      <c r="N13" s="465"/>
      <c r="O13" s="465">
        <f t="shared" si="4"/>
        <v>0</v>
      </c>
    </row>
    <row r="14" spans="2:16" ht="18" hidden="1" customHeight="1" x14ac:dyDescent="0.3">
      <c r="B14" s="3224" t="s">
        <v>1514</v>
      </c>
      <c r="C14" s="3232"/>
      <c r="D14" s="3232"/>
      <c r="E14" s="3230"/>
      <c r="F14" s="3302"/>
      <c r="G14" s="474">
        <f t="shared" si="5"/>
        <v>0</v>
      </c>
      <c r="H14" s="474">
        <f t="shared" si="6"/>
        <v>0</v>
      </c>
      <c r="I14" s="474">
        <f t="shared" si="7"/>
        <v>0</v>
      </c>
      <c r="J14" s="474">
        <f t="shared" si="8"/>
        <v>0</v>
      </c>
      <c r="K14" s="583"/>
      <c r="L14" s="574"/>
      <c r="M14" s="465"/>
      <c r="N14" s="465"/>
      <c r="O14" s="465">
        <f t="shared" si="4"/>
        <v>0</v>
      </c>
    </row>
    <row r="15" spans="2:16" ht="18.75" x14ac:dyDescent="0.3">
      <c r="B15" s="3224" t="s">
        <v>946</v>
      </c>
      <c r="C15" s="3230">
        <v>0.81</v>
      </c>
      <c r="D15" s="3230">
        <v>0.54</v>
      </c>
      <c r="E15" s="3230"/>
      <c r="F15" s="3302">
        <f>D15*'Вхідні дані'!D77</f>
        <v>0.57077999999999995</v>
      </c>
      <c r="G15" s="474">
        <f>F15*$G$6</f>
        <v>0</v>
      </c>
      <c r="H15" s="474">
        <f>F15*$H$6</f>
        <v>0</v>
      </c>
      <c r="I15" s="474">
        <f>F15*$I$6</f>
        <v>0</v>
      </c>
      <c r="J15" s="474">
        <f>F15*$J$6</f>
        <v>0.57077999999999995</v>
      </c>
      <c r="K15" s="458" t="s">
        <v>1613</v>
      </c>
      <c r="L15" s="574"/>
      <c r="M15" s="465"/>
      <c r="N15" s="465"/>
      <c r="O15" s="465">
        <f>F15-G15-H15-I15-J15</f>
        <v>0</v>
      </c>
    </row>
    <row r="16" spans="2:16" ht="18.75" hidden="1" x14ac:dyDescent="0.3">
      <c r="B16" s="3224" t="s">
        <v>968</v>
      </c>
      <c r="C16" s="3232"/>
      <c r="D16" s="3303"/>
      <c r="E16" s="3230"/>
      <c r="F16" s="3302">
        <f>(D16)*'Вхідні дані'!D77</f>
        <v>0</v>
      </c>
      <c r="G16" s="474">
        <f>F16*$G$6</f>
        <v>0</v>
      </c>
      <c r="H16" s="474">
        <f>F16*$H$6</f>
        <v>0</v>
      </c>
      <c r="I16" s="474">
        <f>F16*$I$6</f>
        <v>0</v>
      </c>
      <c r="J16" s="474">
        <f>F16*$J$6</f>
        <v>0</v>
      </c>
      <c r="K16" s="458"/>
      <c r="M16" s="465"/>
      <c r="N16" s="465"/>
      <c r="O16" s="465">
        <f>F16-G16-H16-I16-J16</f>
        <v>0</v>
      </c>
    </row>
    <row r="17" spans="1:16" ht="18.75" hidden="1" x14ac:dyDescent="0.3">
      <c r="B17" s="3224" t="s">
        <v>969</v>
      </c>
      <c r="C17" s="3230"/>
      <c r="D17" s="3230"/>
      <c r="E17" s="3230"/>
      <c r="F17" s="3302"/>
      <c r="G17" s="474">
        <f t="shared" si="5"/>
        <v>0</v>
      </c>
      <c r="H17" s="474">
        <f t="shared" si="6"/>
        <v>0</v>
      </c>
      <c r="I17" s="474">
        <f t="shared" si="7"/>
        <v>0</v>
      </c>
      <c r="J17" s="474">
        <f t="shared" si="8"/>
        <v>0</v>
      </c>
      <c r="K17" s="583"/>
      <c r="L17" s="574"/>
      <c r="M17" s="465"/>
      <c r="N17" s="465"/>
      <c r="O17" s="465">
        <f t="shared" si="4"/>
        <v>0</v>
      </c>
    </row>
    <row r="18" spans="1:16" ht="18.75" x14ac:dyDescent="0.3">
      <c r="B18" s="3224" t="s">
        <v>970</v>
      </c>
      <c r="C18" s="3230">
        <v>8.27</v>
      </c>
      <c r="D18" s="3304">
        <v>0.1</v>
      </c>
      <c r="E18" s="3230"/>
      <c r="F18" s="3302">
        <f>D18*'Вхідні дані'!D77</f>
        <v>0.1057</v>
      </c>
      <c r="G18" s="474">
        <f t="shared" si="5"/>
        <v>0</v>
      </c>
      <c r="H18" s="474">
        <f t="shared" si="6"/>
        <v>0</v>
      </c>
      <c r="I18" s="474">
        <f t="shared" si="7"/>
        <v>0</v>
      </c>
      <c r="J18" s="474">
        <f t="shared" si="8"/>
        <v>0.1057</v>
      </c>
      <c r="K18" s="458" t="s">
        <v>1613</v>
      </c>
      <c r="L18" s="574"/>
      <c r="M18" s="465"/>
      <c r="N18" s="465"/>
      <c r="O18" s="465">
        <f t="shared" si="4"/>
        <v>0</v>
      </c>
    </row>
    <row r="19" spans="1:16" ht="18.75" hidden="1" x14ac:dyDescent="0.3">
      <c r="B19" s="3224" t="s">
        <v>971</v>
      </c>
      <c r="C19" s="3230"/>
      <c r="D19" s="3230"/>
      <c r="E19" s="3230"/>
      <c r="F19" s="3302">
        <f>ОП!H124/1000</f>
        <v>0</v>
      </c>
      <c r="G19" s="474">
        <f t="shared" si="5"/>
        <v>0</v>
      </c>
      <c r="H19" s="474">
        <f t="shared" si="6"/>
        <v>0</v>
      </c>
      <c r="I19" s="474">
        <f t="shared" si="7"/>
        <v>0</v>
      </c>
      <c r="J19" s="474">
        <f t="shared" si="8"/>
        <v>0</v>
      </c>
      <c r="K19" s="458"/>
      <c r="L19" s="574"/>
      <c r="M19" s="465"/>
      <c r="N19" s="465"/>
      <c r="O19" s="465">
        <f t="shared" si="4"/>
        <v>0</v>
      </c>
    </row>
    <row r="20" spans="1:16" ht="18.75" hidden="1" x14ac:dyDescent="0.3">
      <c r="B20" s="3224" t="s">
        <v>972</v>
      </c>
      <c r="C20" s="3230"/>
      <c r="D20" s="3230"/>
      <c r="E20" s="3230"/>
      <c r="F20" s="3302"/>
      <c r="G20" s="474">
        <f t="shared" si="5"/>
        <v>0</v>
      </c>
      <c r="H20" s="474">
        <f t="shared" si="6"/>
        <v>0</v>
      </c>
      <c r="I20" s="474">
        <f t="shared" si="7"/>
        <v>0</v>
      </c>
      <c r="J20" s="474">
        <f t="shared" si="8"/>
        <v>0</v>
      </c>
      <c r="K20" s="458"/>
      <c r="L20" s="574"/>
      <c r="O20" s="465">
        <f t="shared" si="4"/>
        <v>0</v>
      </c>
    </row>
    <row r="21" spans="1:16" ht="18.75" x14ac:dyDescent="0.3">
      <c r="B21" s="3233" t="s">
        <v>1598</v>
      </c>
      <c r="C21" s="1475">
        <f>553535.52/1000</f>
        <v>553.53552000000002</v>
      </c>
      <c r="D21" s="1475">
        <v>627.33000000000004</v>
      </c>
      <c r="E21" s="1475">
        <v>612.30999999999995</v>
      </c>
      <c r="F21" s="3301">
        <f>ФОП!H24/1000</f>
        <v>297.08970999999997</v>
      </c>
      <c r="G21" s="1475">
        <f t="shared" si="5"/>
        <v>0</v>
      </c>
      <c r="H21" s="1475">
        <f t="shared" si="6"/>
        <v>0</v>
      </c>
      <c r="I21" s="1475">
        <f t="shared" si="7"/>
        <v>0</v>
      </c>
      <c r="J21" s="1475">
        <f t="shared" si="8"/>
        <v>297.08970999999997</v>
      </c>
      <c r="K21" s="458" t="s">
        <v>1602</v>
      </c>
      <c r="L21" s="574"/>
      <c r="O21" s="465">
        <f t="shared" si="4"/>
        <v>0</v>
      </c>
    </row>
    <row r="22" spans="1:16" ht="18.75" hidden="1" x14ac:dyDescent="0.3">
      <c r="B22" s="3227" t="s">
        <v>948</v>
      </c>
      <c r="C22" s="3230"/>
      <c r="D22" s="3230"/>
      <c r="E22" s="3230">
        <v>0</v>
      </c>
      <c r="F22" s="3305">
        <f>ФОП!H25/1000</f>
        <v>0</v>
      </c>
      <c r="G22" s="474">
        <f t="shared" si="5"/>
        <v>0</v>
      </c>
      <c r="H22" s="474">
        <f t="shared" si="6"/>
        <v>0</v>
      </c>
      <c r="I22" s="474">
        <f t="shared" si="7"/>
        <v>0</v>
      </c>
      <c r="J22" s="474">
        <f t="shared" si="8"/>
        <v>0</v>
      </c>
      <c r="K22" s="583"/>
      <c r="L22" s="574"/>
      <c r="O22" s="465">
        <f t="shared" si="4"/>
        <v>0</v>
      </c>
    </row>
    <row r="23" spans="1:16" ht="18.75" x14ac:dyDescent="0.3">
      <c r="B23" s="3233" t="s">
        <v>1599</v>
      </c>
      <c r="C23" s="3234">
        <f t="shared" ref="C23:J23" si="9">SUM(C24:C62)</f>
        <v>283.0800000000001</v>
      </c>
      <c r="D23" s="3234">
        <f t="shared" si="9"/>
        <v>236.76999999999998</v>
      </c>
      <c r="E23" s="3234">
        <f t="shared" si="9"/>
        <v>292.10000000000002</v>
      </c>
      <c r="F23" s="3306">
        <f t="shared" si="9"/>
        <v>153.80650326115997</v>
      </c>
      <c r="G23" s="3234">
        <f t="shared" si="9"/>
        <v>0</v>
      </c>
      <c r="H23" s="3234">
        <f t="shared" si="9"/>
        <v>0</v>
      </c>
      <c r="I23" s="3234">
        <f t="shared" si="9"/>
        <v>0</v>
      </c>
      <c r="J23" s="3234">
        <f t="shared" si="9"/>
        <v>153.80650326115997</v>
      </c>
      <c r="K23" s="581"/>
      <c r="L23" s="572"/>
      <c r="O23" s="465">
        <f t="shared" si="4"/>
        <v>0</v>
      </c>
    </row>
    <row r="24" spans="1:16" ht="37.5" x14ac:dyDescent="0.3">
      <c r="B24" s="3224" t="s">
        <v>542</v>
      </c>
      <c r="C24" s="3230">
        <v>125.51</v>
      </c>
      <c r="D24" s="3230">
        <v>127.56</v>
      </c>
      <c r="E24" s="3230">
        <v>134.71</v>
      </c>
      <c r="F24" s="3307">
        <f>(F21-F22)*'Вхідні дані'!D44+'Вхідні дані'!D45*F22</f>
        <v>65.3597362</v>
      </c>
      <c r="G24" s="474">
        <f t="shared" ref="G24:G62" si="10">F24*$G$6</f>
        <v>0</v>
      </c>
      <c r="H24" s="474">
        <f>F24*$H$6</f>
        <v>0</v>
      </c>
      <c r="I24" s="474">
        <f>F24*$I$6</f>
        <v>0</v>
      </c>
      <c r="J24" s="474">
        <f>F24*$J$6</f>
        <v>65.3597362</v>
      </c>
      <c r="K24" s="458" t="s">
        <v>1602</v>
      </c>
      <c r="L24" s="574"/>
      <c r="N24" s="465"/>
      <c r="O24" s="465">
        <f t="shared" si="4"/>
        <v>0</v>
      </c>
    </row>
    <row r="25" spans="1:16" s="477" customFormat="1" ht="56.25" x14ac:dyDescent="0.3">
      <c r="A25" s="458"/>
      <c r="B25" s="3224" t="s">
        <v>1628</v>
      </c>
      <c r="C25" s="3230">
        <v>7.51</v>
      </c>
      <c r="D25" s="3230"/>
      <c r="E25" s="3230"/>
      <c r="F25" s="3307"/>
      <c r="G25" s="474">
        <f t="shared" si="10"/>
        <v>0</v>
      </c>
      <c r="H25" s="474">
        <f t="shared" ref="H25:H31" si="11">F25*$H$6</f>
        <v>0</v>
      </c>
      <c r="I25" s="474">
        <f t="shared" ref="I25:I31" si="12">F25*$I$6</f>
        <v>0</v>
      </c>
      <c r="J25" s="474">
        <f t="shared" ref="J25:J31" si="13">F25*$J$6</f>
        <v>0</v>
      </c>
      <c r="K25" s="594"/>
      <c r="L25" s="574"/>
      <c r="N25" s="458"/>
      <c r="O25" s="465">
        <f t="shared" si="4"/>
        <v>0</v>
      </c>
      <c r="P25" s="504"/>
    </row>
    <row r="26" spans="1:16" s="477" customFormat="1" ht="55.5" hidden="1" customHeight="1" x14ac:dyDescent="0.3">
      <c r="A26" s="458"/>
      <c r="B26" s="3224" t="s">
        <v>1629</v>
      </c>
      <c r="C26" s="3230"/>
      <c r="D26" s="3230"/>
      <c r="E26" s="3230">
        <v>0</v>
      </c>
      <c r="F26" s="3307">
        <v>0</v>
      </c>
      <c r="G26" s="474">
        <f t="shared" si="10"/>
        <v>0</v>
      </c>
      <c r="H26" s="474">
        <f t="shared" si="11"/>
        <v>0</v>
      </c>
      <c r="I26" s="474">
        <f t="shared" si="12"/>
        <v>0</v>
      </c>
      <c r="J26" s="474">
        <f t="shared" si="13"/>
        <v>0</v>
      </c>
      <c r="K26" s="594"/>
      <c r="L26" s="574"/>
      <c r="N26" s="465"/>
      <c r="O26" s="465">
        <f t="shared" si="4"/>
        <v>0</v>
      </c>
    </row>
    <row r="27" spans="1:16" ht="18" hidden="1" customHeight="1" x14ac:dyDescent="0.3">
      <c r="B27" s="3237" t="s">
        <v>1334</v>
      </c>
      <c r="C27" s="3238"/>
      <c r="D27" s="3238"/>
      <c r="E27" s="3238"/>
      <c r="F27" s="3307"/>
      <c r="G27" s="474">
        <f t="shared" si="10"/>
        <v>0</v>
      </c>
      <c r="H27" s="474">
        <f t="shared" si="11"/>
        <v>0</v>
      </c>
      <c r="I27" s="474">
        <f t="shared" si="12"/>
        <v>0</v>
      </c>
      <c r="J27" s="474">
        <f t="shared" si="13"/>
        <v>0</v>
      </c>
      <c r="K27" s="583"/>
      <c r="L27" s="574"/>
      <c r="O27" s="465">
        <f t="shared" si="4"/>
        <v>0</v>
      </c>
    </row>
    <row r="28" spans="1:16" ht="18" hidden="1" customHeight="1" x14ac:dyDescent="0.3">
      <c r="B28" s="3237" t="s">
        <v>1484</v>
      </c>
      <c r="C28" s="3230"/>
      <c r="D28" s="3230"/>
      <c r="E28" s="3230"/>
      <c r="F28" s="3308"/>
      <c r="G28" s="474">
        <f t="shared" si="10"/>
        <v>0</v>
      </c>
      <c r="H28" s="474">
        <f t="shared" si="11"/>
        <v>0</v>
      </c>
      <c r="I28" s="474">
        <f t="shared" si="12"/>
        <v>0</v>
      </c>
      <c r="J28" s="474">
        <f t="shared" si="13"/>
        <v>0</v>
      </c>
      <c r="K28" s="583"/>
      <c r="L28" s="574"/>
      <c r="O28" s="465">
        <f t="shared" si="4"/>
        <v>0</v>
      </c>
    </row>
    <row r="29" spans="1:16" ht="37.5" x14ac:dyDescent="0.3">
      <c r="B29" s="3237" t="s">
        <v>1338</v>
      </c>
      <c r="C29" s="3230">
        <v>0.19</v>
      </c>
      <c r="D29" s="3230">
        <v>0.39</v>
      </c>
      <c r="E29" s="3230">
        <v>0.28000000000000003</v>
      </c>
      <c r="F29" s="3307">
        <f>[37]Лист1!$J$78+[37]Лист1!$K$78</f>
        <v>0.14000000000000001</v>
      </c>
      <c r="G29" s="474">
        <f t="shared" si="10"/>
        <v>0</v>
      </c>
      <c r="H29" s="474">
        <f t="shared" si="11"/>
        <v>0</v>
      </c>
      <c r="I29" s="474">
        <f t="shared" si="12"/>
        <v>0</v>
      </c>
      <c r="J29" s="474">
        <f t="shared" si="13"/>
        <v>0.14000000000000001</v>
      </c>
      <c r="K29" s="594" t="s">
        <v>1818</v>
      </c>
      <c r="L29" s="574"/>
      <c r="O29" s="465">
        <f t="shared" si="4"/>
        <v>0</v>
      </c>
      <c r="P29" s="504"/>
    </row>
    <row r="30" spans="1:16" ht="18.75" x14ac:dyDescent="0.3">
      <c r="B30" s="3237" t="s">
        <v>951</v>
      </c>
      <c r="C30" s="474">
        <v>1.32</v>
      </c>
      <c r="D30" s="474">
        <v>3.24</v>
      </c>
      <c r="E30" s="474">
        <v>1.94</v>
      </c>
      <c r="F30" s="3305">
        <f>'Д 9_ЕЕ'!D83</f>
        <v>3.2029240991599996</v>
      </c>
      <c r="G30" s="474">
        <f t="shared" si="10"/>
        <v>0</v>
      </c>
      <c r="H30" s="474">
        <f t="shared" si="11"/>
        <v>0</v>
      </c>
      <c r="I30" s="474">
        <f t="shared" si="12"/>
        <v>0</v>
      </c>
      <c r="J30" s="474">
        <f t="shared" si="13"/>
        <v>3.2029240991599996</v>
      </c>
      <c r="K30" s="458" t="s">
        <v>1637</v>
      </c>
      <c r="O30" s="465">
        <f t="shared" si="4"/>
        <v>0</v>
      </c>
    </row>
    <row r="31" spans="1:16" ht="18.75" hidden="1" x14ac:dyDescent="0.3">
      <c r="B31" s="3237" t="s">
        <v>952</v>
      </c>
      <c r="C31" s="474"/>
      <c r="D31" s="474"/>
      <c r="E31" s="474"/>
      <c r="F31" s="3305"/>
      <c r="G31" s="474">
        <f t="shared" si="10"/>
        <v>0</v>
      </c>
      <c r="H31" s="474">
        <f t="shared" si="11"/>
        <v>0</v>
      </c>
      <c r="I31" s="474">
        <f t="shared" si="12"/>
        <v>0</v>
      </c>
      <c r="J31" s="474">
        <f t="shared" si="13"/>
        <v>0</v>
      </c>
      <c r="K31" s="458"/>
      <c r="O31" s="465">
        <f t="shared" si="4"/>
        <v>0</v>
      </c>
    </row>
    <row r="32" spans="1:16" ht="18.75" hidden="1" x14ac:dyDescent="0.3">
      <c r="B32" s="3237" t="s">
        <v>1345</v>
      </c>
      <c r="C32" s="474"/>
      <c r="D32" s="474"/>
      <c r="E32" s="474"/>
      <c r="F32" s="3305"/>
      <c r="G32" s="474">
        <f t="shared" si="10"/>
        <v>0</v>
      </c>
      <c r="H32" s="474">
        <f>F32*$H$6</f>
        <v>0</v>
      </c>
      <c r="I32" s="474">
        <f>F32*$I$6</f>
        <v>0</v>
      </c>
      <c r="J32" s="474">
        <f>F32*$J$6</f>
        <v>0</v>
      </c>
      <c r="K32" s="458"/>
      <c r="O32" s="465">
        <f t="shared" si="4"/>
        <v>0</v>
      </c>
    </row>
    <row r="33" spans="2:15" ht="18.75" hidden="1" x14ac:dyDescent="0.3">
      <c r="B33" s="3237" t="s">
        <v>1346</v>
      </c>
      <c r="C33" s="474"/>
      <c r="D33" s="474"/>
      <c r="E33" s="3230"/>
      <c r="F33" s="3305"/>
      <c r="G33" s="474">
        <f t="shared" si="10"/>
        <v>0</v>
      </c>
      <c r="H33" s="474">
        <f t="shared" ref="H33:H41" si="14">F33*$H$6</f>
        <v>0</v>
      </c>
      <c r="I33" s="474">
        <f t="shared" ref="I33:I41" si="15">F33*$I$6</f>
        <v>0</v>
      </c>
      <c r="J33" s="474">
        <f t="shared" ref="J33:J41" si="16">F33*$J$6</f>
        <v>0</v>
      </c>
      <c r="K33" s="458"/>
      <c r="O33" s="465">
        <f t="shared" si="4"/>
        <v>0</v>
      </c>
    </row>
    <row r="34" spans="2:15" ht="18.75" hidden="1" x14ac:dyDescent="0.3">
      <c r="B34" s="3237" t="s">
        <v>1347</v>
      </c>
      <c r="C34" s="474"/>
      <c r="D34" s="474"/>
      <c r="F34" s="3305"/>
      <c r="G34" s="474">
        <f t="shared" si="10"/>
        <v>0</v>
      </c>
      <c r="H34" s="474">
        <f t="shared" si="14"/>
        <v>0</v>
      </c>
      <c r="I34" s="474">
        <f t="shared" si="15"/>
        <v>0</v>
      </c>
      <c r="J34" s="474">
        <f t="shared" si="16"/>
        <v>0</v>
      </c>
      <c r="K34" s="458"/>
      <c r="O34" s="465">
        <f t="shared" si="4"/>
        <v>0</v>
      </c>
    </row>
    <row r="35" spans="2:15" ht="18.75" hidden="1" x14ac:dyDescent="0.3">
      <c r="B35" s="3237" t="s">
        <v>1348</v>
      </c>
      <c r="C35" s="474"/>
      <c r="D35" s="474"/>
      <c r="E35" s="474"/>
      <c r="F35" s="3305"/>
      <c r="G35" s="474">
        <f t="shared" si="10"/>
        <v>0</v>
      </c>
      <c r="H35" s="474">
        <f t="shared" si="14"/>
        <v>0</v>
      </c>
      <c r="I35" s="474">
        <f t="shared" si="15"/>
        <v>0</v>
      </c>
      <c r="J35" s="474">
        <f t="shared" si="16"/>
        <v>0</v>
      </c>
      <c r="K35" s="458"/>
      <c r="O35" s="465">
        <f t="shared" si="4"/>
        <v>0</v>
      </c>
    </row>
    <row r="36" spans="2:15" ht="18.75" hidden="1" x14ac:dyDescent="0.3">
      <c r="B36" s="3237" t="s">
        <v>1349</v>
      </c>
      <c r="C36" s="474"/>
      <c r="D36" s="474"/>
      <c r="E36" s="474"/>
      <c r="F36" s="3305"/>
      <c r="G36" s="474">
        <f t="shared" si="10"/>
        <v>0</v>
      </c>
      <c r="H36" s="474">
        <f t="shared" si="14"/>
        <v>0</v>
      </c>
      <c r="I36" s="474">
        <f t="shared" si="15"/>
        <v>0</v>
      </c>
      <c r="J36" s="474">
        <f t="shared" si="16"/>
        <v>0</v>
      </c>
      <c r="K36" s="458"/>
      <c r="O36" s="465">
        <f t="shared" si="4"/>
        <v>0</v>
      </c>
    </row>
    <row r="37" spans="2:15" ht="18.75" hidden="1" x14ac:dyDescent="0.3">
      <c r="B37" s="3237" t="s">
        <v>1350</v>
      </c>
      <c r="C37" s="3230"/>
      <c r="D37" s="3230"/>
      <c r="E37" s="3230"/>
      <c r="F37" s="3307"/>
      <c r="G37" s="474">
        <f t="shared" si="10"/>
        <v>0</v>
      </c>
      <c r="H37" s="474">
        <f t="shared" si="14"/>
        <v>0</v>
      </c>
      <c r="I37" s="474">
        <f t="shared" si="15"/>
        <v>0</v>
      </c>
      <c r="J37" s="474">
        <f t="shared" si="16"/>
        <v>0</v>
      </c>
      <c r="K37" s="458"/>
      <c r="O37" s="465">
        <f t="shared" si="4"/>
        <v>0</v>
      </c>
    </row>
    <row r="38" spans="2:15" ht="18.75" x14ac:dyDescent="0.3">
      <c r="B38" s="3244" t="s">
        <v>3203</v>
      </c>
      <c r="C38" s="3230">
        <v>24.79</v>
      </c>
      <c r="D38" s="3230">
        <v>27.48</v>
      </c>
      <c r="E38" s="3230">
        <v>21.43</v>
      </c>
      <c r="F38" s="3307">
        <f>F21*3.5%</f>
        <v>10.39813985</v>
      </c>
      <c r="G38" s="474">
        <f t="shared" si="10"/>
        <v>0</v>
      </c>
      <c r="H38" s="474">
        <f t="shared" si="14"/>
        <v>0</v>
      </c>
      <c r="I38" s="474">
        <f t="shared" si="15"/>
        <v>0</v>
      </c>
      <c r="J38" s="474">
        <f t="shared" si="16"/>
        <v>10.39813985</v>
      </c>
      <c r="K38" s="458" t="s">
        <v>1352</v>
      </c>
      <c r="O38" s="465">
        <f t="shared" si="4"/>
        <v>0</v>
      </c>
    </row>
    <row r="39" spans="2:15" ht="39" customHeight="1" x14ac:dyDescent="0.3">
      <c r="B39" s="3244" t="s">
        <v>3185</v>
      </c>
      <c r="C39" s="3230">
        <v>1.01</v>
      </c>
      <c r="D39" s="3230">
        <v>0.95</v>
      </c>
      <c r="E39" s="3230">
        <v>1.01</v>
      </c>
      <c r="F39" s="3307">
        <f>D39</f>
        <v>0.95</v>
      </c>
      <c r="G39" s="474">
        <f t="shared" si="10"/>
        <v>0</v>
      </c>
      <c r="H39" s="474">
        <f t="shared" si="14"/>
        <v>0</v>
      </c>
      <c r="I39" s="474">
        <f t="shared" si="15"/>
        <v>0</v>
      </c>
      <c r="J39" s="474">
        <f t="shared" si="16"/>
        <v>0.95</v>
      </c>
      <c r="K39" s="458"/>
      <c r="O39" s="465">
        <f t="shared" si="4"/>
        <v>0</v>
      </c>
    </row>
    <row r="40" spans="2:15" ht="38.25" customHeight="1" x14ac:dyDescent="0.3">
      <c r="B40" s="3244" t="s">
        <v>3184</v>
      </c>
      <c r="C40" s="3230">
        <v>15.61</v>
      </c>
      <c r="D40" s="3230">
        <v>6.75</v>
      </c>
      <c r="E40" s="3230">
        <v>18.37</v>
      </c>
      <c r="F40" s="3307">
        <f>F21*0%</f>
        <v>0</v>
      </c>
      <c r="G40" s="474">
        <f t="shared" si="10"/>
        <v>0</v>
      </c>
      <c r="H40" s="474">
        <f t="shared" si="14"/>
        <v>0</v>
      </c>
      <c r="I40" s="474">
        <f t="shared" si="15"/>
        <v>0</v>
      </c>
      <c r="J40" s="474">
        <f t="shared" si="16"/>
        <v>0</v>
      </c>
      <c r="K40" s="458"/>
      <c r="O40" s="465">
        <f t="shared" si="4"/>
        <v>0</v>
      </c>
    </row>
    <row r="41" spans="2:15" ht="18.75" customHeight="1" x14ac:dyDescent="0.3">
      <c r="B41" s="3244" t="s">
        <v>3204</v>
      </c>
      <c r="C41" s="3230">
        <v>1.52</v>
      </c>
      <c r="D41" s="3230">
        <v>0.99</v>
      </c>
      <c r="E41" s="3230"/>
      <c r="F41" s="3307"/>
      <c r="G41" s="474">
        <f t="shared" si="10"/>
        <v>0</v>
      </c>
      <c r="H41" s="474">
        <f t="shared" si="14"/>
        <v>0</v>
      </c>
      <c r="I41" s="474">
        <f t="shared" si="15"/>
        <v>0</v>
      </c>
      <c r="J41" s="474">
        <f t="shared" si="16"/>
        <v>0</v>
      </c>
      <c r="K41" s="458"/>
      <c r="O41" s="465">
        <f t="shared" si="4"/>
        <v>0</v>
      </c>
    </row>
    <row r="42" spans="2:15" ht="18.75" customHeight="1" x14ac:dyDescent="0.3">
      <c r="B42" s="3244" t="s">
        <v>3191</v>
      </c>
      <c r="C42" s="3230">
        <v>0.77</v>
      </c>
      <c r="D42" s="3230">
        <v>1.25</v>
      </c>
      <c r="E42" s="3230">
        <v>1.06</v>
      </c>
      <c r="F42" s="3307">
        <f>'Д 9_ЕЕ'!D70*1.67*'Вхідні дані'!D77</f>
        <v>1.0591139999999999</v>
      </c>
      <c r="G42" s="474">
        <f t="shared" si="10"/>
        <v>0</v>
      </c>
      <c r="H42" s="474">
        <f>F42*$H$6</f>
        <v>0</v>
      </c>
      <c r="I42" s="474">
        <f>F42*$I$6</f>
        <v>0</v>
      </c>
      <c r="J42" s="474">
        <f>F42*$J$6</f>
        <v>1.0591139999999999</v>
      </c>
      <c r="K42" s="458"/>
      <c r="O42" s="465">
        <f t="shared" si="4"/>
        <v>0</v>
      </c>
    </row>
    <row r="43" spans="2:15" ht="18.75" customHeight="1" x14ac:dyDescent="0.3">
      <c r="B43" s="3244" t="s">
        <v>3192</v>
      </c>
      <c r="C43" s="3230">
        <v>0.16</v>
      </c>
      <c r="D43" s="3230">
        <v>0.43</v>
      </c>
      <c r="E43" s="3230">
        <v>0.32</v>
      </c>
      <c r="F43" s="3307">
        <f>(([37]Лист1!$J$18*[37]Лист1!$Z$19*'Вхідні дані'!D77+[37]Лист1!$K$11*[37]Лист1!$AA$19*'Вхідні дані'!D77))/1000</f>
        <v>0.38221119999999997</v>
      </c>
      <c r="G43" s="474">
        <f t="shared" si="10"/>
        <v>0</v>
      </c>
      <c r="H43" s="474">
        <f t="shared" ref="H43:H53" si="17">F43*$H$6</f>
        <v>0</v>
      </c>
      <c r="I43" s="474">
        <f t="shared" ref="I43:I53" si="18">F43*$I$6</f>
        <v>0</v>
      </c>
      <c r="J43" s="474">
        <f t="shared" ref="J43:J53" si="19">F43*$J$6</f>
        <v>0.38221119999999997</v>
      </c>
      <c r="K43" s="458"/>
      <c r="O43" s="465">
        <f t="shared" si="4"/>
        <v>0</v>
      </c>
    </row>
    <row r="44" spans="2:15" ht="18.75" customHeight="1" x14ac:dyDescent="0.3">
      <c r="B44" s="3244" t="s">
        <v>3193</v>
      </c>
      <c r="C44" s="3230">
        <v>0.44</v>
      </c>
      <c r="D44" s="3230"/>
      <c r="E44" s="3230">
        <v>0.47</v>
      </c>
      <c r="F44" s="3307">
        <f>D44*'Вхідні дані'!D77</f>
        <v>0</v>
      </c>
      <c r="G44" s="474">
        <f t="shared" si="10"/>
        <v>0</v>
      </c>
      <c r="H44" s="474">
        <f t="shared" si="17"/>
        <v>0</v>
      </c>
      <c r="I44" s="474">
        <f t="shared" si="18"/>
        <v>0</v>
      </c>
      <c r="J44" s="474">
        <f t="shared" si="19"/>
        <v>0</v>
      </c>
      <c r="K44" s="458"/>
      <c r="O44" s="465">
        <f t="shared" si="4"/>
        <v>0</v>
      </c>
    </row>
    <row r="45" spans="2:15" ht="18.75" customHeight="1" x14ac:dyDescent="0.3">
      <c r="B45" s="3244" t="s">
        <v>3194</v>
      </c>
      <c r="C45" s="3230">
        <v>4.92</v>
      </c>
      <c r="D45" s="3230">
        <v>4.58</v>
      </c>
      <c r="E45" s="3230">
        <v>5.23</v>
      </c>
      <c r="F45" s="3307">
        <f>D45*'Вхідні дані'!D77</f>
        <v>4.8410599999999997</v>
      </c>
      <c r="G45" s="474">
        <f t="shared" si="10"/>
        <v>0</v>
      </c>
      <c r="H45" s="474">
        <f t="shared" si="17"/>
        <v>0</v>
      </c>
      <c r="I45" s="474">
        <f t="shared" si="18"/>
        <v>0</v>
      </c>
      <c r="J45" s="474">
        <f t="shared" si="19"/>
        <v>4.8410599999999997</v>
      </c>
      <c r="K45" s="458"/>
      <c r="O45" s="465">
        <f t="shared" si="4"/>
        <v>0</v>
      </c>
    </row>
    <row r="46" spans="2:15" ht="18.75" customHeight="1" x14ac:dyDescent="0.3">
      <c r="B46" s="3244" t="s">
        <v>3205</v>
      </c>
      <c r="C46" s="3230">
        <v>0.2</v>
      </c>
      <c r="D46" s="3230"/>
      <c r="E46" s="3230"/>
      <c r="F46" s="3307"/>
      <c r="G46" s="474">
        <f t="shared" si="10"/>
        <v>0</v>
      </c>
      <c r="H46" s="474">
        <f t="shared" si="17"/>
        <v>0</v>
      </c>
      <c r="I46" s="474">
        <f t="shared" si="18"/>
        <v>0</v>
      </c>
      <c r="J46" s="474">
        <f t="shared" si="19"/>
        <v>0</v>
      </c>
      <c r="K46" s="458"/>
      <c r="O46" s="465">
        <f t="shared" si="4"/>
        <v>0</v>
      </c>
    </row>
    <row r="47" spans="2:15" ht="18.75" x14ac:dyDescent="0.3">
      <c r="B47" s="3244" t="s">
        <v>1845</v>
      </c>
      <c r="C47" s="3230">
        <v>0.08</v>
      </c>
      <c r="D47" s="3230"/>
      <c r="E47" s="3230">
        <v>2.2000000000000002</v>
      </c>
      <c r="F47" s="3307">
        <f>2200/1000*'Вхідні дані'!D77</f>
        <v>2.3254000000000001</v>
      </c>
      <c r="G47" s="474">
        <f t="shared" si="10"/>
        <v>0</v>
      </c>
      <c r="H47" s="474">
        <f t="shared" si="17"/>
        <v>0</v>
      </c>
      <c r="I47" s="474">
        <f t="shared" si="18"/>
        <v>0</v>
      </c>
      <c r="J47" s="474">
        <f t="shared" si="19"/>
        <v>2.3254000000000001</v>
      </c>
      <c r="K47" s="458" t="s">
        <v>1479</v>
      </c>
      <c r="O47" s="465">
        <f t="shared" si="4"/>
        <v>0</v>
      </c>
    </row>
    <row r="48" spans="2:15" ht="18.75" hidden="1" customHeight="1" x14ac:dyDescent="0.3">
      <c r="B48" s="3244" t="s">
        <v>1532</v>
      </c>
      <c r="C48" s="3230"/>
      <c r="D48" s="3230"/>
      <c r="E48" s="3230"/>
      <c r="F48" s="3307"/>
      <c r="G48" s="474">
        <f t="shared" si="10"/>
        <v>0</v>
      </c>
      <c r="H48" s="474">
        <f t="shared" si="17"/>
        <v>0</v>
      </c>
      <c r="I48" s="474">
        <f t="shared" si="18"/>
        <v>0</v>
      </c>
      <c r="J48" s="474">
        <f t="shared" si="19"/>
        <v>0</v>
      </c>
      <c r="K48" s="458"/>
      <c r="O48" s="465">
        <f t="shared" si="4"/>
        <v>0</v>
      </c>
    </row>
    <row r="49" spans="2:15" ht="18.75" hidden="1" customHeight="1" x14ac:dyDescent="0.3">
      <c r="B49" s="3244" t="s">
        <v>1531</v>
      </c>
      <c r="C49" s="3230"/>
      <c r="D49" s="3230"/>
      <c r="E49" s="3230"/>
      <c r="F49" s="3307"/>
      <c r="G49" s="474">
        <f t="shared" si="10"/>
        <v>0</v>
      </c>
      <c r="H49" s="474">
        <f t="shared" si="17"/>
        <v>0</v>
      </c>
      <c r="I49" s="474">
        <f t="shared" si="18"/>
        <v>0</v>
      </c>
      <c r="J49" s="474">
        <f t="shared" si="19"/>
        <v>0</v>
      </c>
      <c r="K49" s="458"/>
      <c r="O49" s="465">
        <f t="shared" si="4"/>
        <v>0</v>
      </c>
    </row>
    <row r="50" spans="2:15" ht="18.75" customHeight="1" x14ac:dyDescent="0.3">
      <c r="B50" s="3244" t="s">
        <v>1485</v>
      </c>
      <c r="C50" s="3230">
        <v>91.32</v>
      </c>
      <c r="D50" s="3230">
        <v>47.94</v>
      </c>
      <c r="E50" s="3230">
        <v>96.98</v>
      </c>
      <c r="F50" s="3307">
        <f>D50*'Вхідні дані'!D77</f>
        <v>50.672579999999996</v>
      </c>
      <c r="G50" s="474">
        <f t="shared" si="10"/>
        <v>0</v>
      </c>
      <c r="H50" s="474">
        <f t="shared" si="17"/>
        <v>0</v>
      </c>
      <c r="I50" s="474">
        <f t="shared" si="18"/>
        <v>0</v>
      </c>
      <c r="J50" s="474">
        <f t="shared" si="19"/>
        <v>50.672579999999996</v>
      </c>
      <c r="K50" s="458"/>
      <c r="O50" s="465">
        <f t="shared" si="4"/>
        <v>0</v>
      </c>
    </row>
    <row r="51" spans="2:15" ht="18.75" hidden="1" customHeight="1" x14ac:dyDescent="0.3">
      <c r="B51" s="3244" t="s">
        <v>1483</v>
      </c>
      <c r="C51" s="3230"/>
      <c r="D51" s="3230"/>
      <c r="E51" s="3230"/>
      <c r="F51" s="3307"/>
      <c r="G51" s="474">
        <f t="shared" si="10"/>
        <v>0</v>
      </c>
      <c r="H51" s="474">
        <f t="shared" si="17"/>
        <v>0</v>
      </c>
      <c r="I51" s="474">
        <f t="shared" si="18"/>
        <v>0</v>
      </c>
      <c r="J51" s="474">
        <f t="shared" si="19"/>
        <v>0</v>
      </c>
      <c r="K51" s="458"/>
      <c r="O51" s="465">
        <f t="shared" si="4"/>
        <v>0</v>
      </c>
    </row>
    <row r="52" spans="2:15" ht="18.75" hidden="1" customHeight="1" x14ac:dyDescent="0.3">
      <c r="B52" s="3244" t="s">
        <v>1526</v>
      </c>
      <c r="C52" s="3230"/>
      <c r="D52" s="3230"/>
      <c r="E52" s="3230"/>
      <c r="F52" s="3307"/>
      <c r="G52" s="474">
        <f t="shared" si="10"/>
        <v>0</v>
      </c>
      <c r="H52" s="474">
        <f t="shared" si="17"/>
        <v>0</v>
      </c>
      <c r="I52" s="474">
        <f t="shared" si="18"/>
        <v>0</v>
      </c>
      <c r="J52" s="474">
        <f t="shared" si="19"/>
        <v>0</v>
      </c>
      <c r="K52" s="458"/>
      <c r="O52" s="465">
        <f t="shared" si="4"/>
        <v>0</v>
      </c>
    </row>
    <row r="53" spans="2:15" ht="18.75" x14ac:dyDescent="0.3">
      <c r="B53" s="3224" t="s">
        <v>1525</v>
      </c>
      <c r="C53" s="3230">
        <v>0.41</v>
      </c>
      <c r="D53" s="3230">
        <v>2.8</v>
      </c>
      <c r="E53" s="3230">
        <v>0.44</v>
      </c>
      <c r="F53" s="3307">
        <f>D53*'Вхідні дані'!D77</f>
        <v>2.9595999999999996</v>
      </c>
      <c r="G53" s="474">
        <f t="shared" si="10"/>
        <v>0</v>
      </c>
      <c r="H53" s="474">
        <f t="shared" si="17"/>
        <v>0</v>
      </c>
      <c r="I53" s="474">
        <f t="shared" si="18"/>
        <v>0</v>
      </c>
      <c r="J53" s="474">
        <f t="shared" si="19"/>
        <v>2.9595999999999996</v>
      </c>
      <c r="K53" s="458"/>
      <c r="O53" s="465">
        <f t="shared" si="4"/>
        <v>0</v>
      </c>
    </row>
    <row r="54" spans="2:15" ht="18.75" x14ac:dyDescent="0.3">
      <c r="B54" s="3224" t="s">
        <v>1335</v>
      </c>
      <c r="C54" s="3238"/>
      <c r="D54" s="3238"/>
      <c r="E54" s="3238"/>
      <c r="F54" s="3308"/>
      <c r="G54" s="474"/>
      <c r="H54" s="474"/>
      <c r="I54" s="474"/>
      <c r="J54" s="474"/>
      <c r="K54" s="458"/>
      <c r="O54" s="465">
        <f t="shared" si="4"/>
        <v>0</v>
      </c>
    </row>
    <row r="55" spans="2:15" ht="18.75" x14ac:dyDescent="0.3">
      <c r="B55" s="3227" t="s">
        <v>1336</v>
      </c>
      <c r="C55" s="3238">
        <v>1.56</v>
      </c>
      <c r="D55" s="3238">
        <v>3.23</v>
      </c>
      <c r="E55" s="3238">
        <v>2.14</v>
      </c>
      <c r="F55" s="3308">
        <f>[45]Лист1!$D$9/1000</f>
        <v>2.1369600000000002</v>
      </c>
      <c r="G55" s="474">
        <f t="shared" si="10"/>
        <v>0</v>
      </c>
      <c r="H55" s="474">
        <f>F55*$H$6</f>
        <v>0</v>
      </c>
      <c r="I55" s="474">
        <f>F55*$I$6</f>
        <v>0</v>
      </c>
      <c r="J55" s="474">
        <f>F55*$J$6</f>
        <v>2.1369600000000002</v>
      </c>
      <c r="K55" s="458" t="s">
        <v>1519</v>
      </c>
      <c r="O55" s="465">
        <f>F55-G55-H55-I55-J55</f>
        <v>0</v>
      </c>
    </row>
    <row r="56" spans="2:15" ht="18.75" x14ac:dyDescent="0.3">
      <c r="B56" s="3227" t="s">
        <v>1337</v>
      </c>
      <c r="C56" s="3238">
        <v>0.56000000000000005</v>
      </c>
      <c r="D56" s="3238"/>
      <c r="E56" s="3238">
        <v>0</v>
      </c>
      <c r="F56" s="3308">
        <v>0</v>
      </c>
      <c r="G56" s="474">
        <f t="shared" si="10"/>
        <v>0</v>
      </c>
      <c r="H56" s="474">
        <f t="shared" ref="H56:H62" si="20">F56*$H$6</f>
        <v>0</v>
      </c>
      <c r="I56" s="474">
        <f t="shared" ref="I56:I62" si="21">F56*$I$6</f>
        <v>0</v>
      </c>
      <c r="J56" s="474">
        <f t="shared" ref="J56:J62" si="22">F56*$J$6</f>
        <v>0</v>
      </c>
      <c r="K56" s="583"/>
      <c r="L56" s="574"/>
      <c r="O56" s="465">
        <f t="shared" si="4"/>
        <v>0</v>
      </c>
    </row>
    <row r="57" spans="2:15" ht="37.5" hidden="1" x14ac:dyDescent="0.3">
      <c r="B57" s="3246" t="s">
        <v>1524</v>
      </c>
      <c r="C57" s="3230"/>
      <c r="D57" s="3230"/>
      <c r="E57" s="3230"/>
      <c r="F57" s="3307"/>
      <c r="G57" s="474">
        <f t="shared" si="10"/>
        <v>0</v>
      </c>
      <c r="H57" s="474">
        <f t="shared" si="20"/>
        <v>0</v>
      </c>
      <c r="I57" s="474">
        <f t="shared" si="21"/>
        <v>0</v>
      </c>
      <c r="J57" s="474">
        <f t="shared" si="22"/>
        <v>0</v>
      </c>
      <c r="K57" s="583"/>
      <c r="L57" s="574"/>
      <c r="O57" s="465">
        <f t="shared" si="4"/>
        <v>0</v>
      </c>
    </row>
    <row r="58" spans="2:15" ht="18.75" x14ac:dyDescent="0.3">
      <c r="B58" s="3237" t="s">
        <v>1343</v>
      </c>
      <c r="C58" s="3230">
        <v>1.87</v>
      </c>
      <c r="D58" s="3230">
        <v>2.89</v>
      </c>
      <c r="E58" s="3230">
        <v>1.99</v>
      </c>
      <c r="F58" s="3307">
        <f>D58*'Вхідні дані'!D77</f>
        <v>3.0547300000000002</v>
      </c>
      <c r="G58" s="474">
        <f t="shared" si="10"/>
        <v>0</v>
      </c>
      <c r="H58" s="474">
        <f t="shared" si="20"/>
        <v>0</v>
      </c>
      <c r="I58" s="474">
        <f t="shared" si="21"/>
        <v>0</v>
      </c>
      <c r="J58" s="474">
        <f t="shared" si="22"/>
        <v>3.0547300000000002</v>
      </c>
      <c r="K58" s="583"/>
      <c r="L58" s="574"/>
      <c r="O58" s="465">
        <f t="shared" si="4"/>
        <v>0</v>
      </c>
    </row>
    <row r="59" spans="2:15" ht="18.75" hidden="1" x14ac:dyDescent="0.3">
      <c r="B59" s="3224" t="s">
        <v>2461</v>
      </c>
      <c r="C59" s="3238"/>
      <c r="D59" s="3238">
        <v>0.17</v>
      </c>
      <c r="E59" s="3238"/>
      <c r="F59" s="3307"/>
      <c r="G59" s="474">
        <f t="shared" si="10"/>
        <v>0</v>
      </c>
      <c r="H59" s="474">
        <f t="shared" si="20"/>
        <v>0</v>
      </c>
      <c r="I59" s="474">
        <f t="shared" si="21"/>
        <v>0</v>
      </c>
      <c r="J59" s="474">
        <f t="shared" si="22"/>
        <v>0</v>
      </c>
      <c r="K59" s="583"/>
      <c r="L59" s="574"/>
      <c r="O59" s="465">
        <f t="shared" si="4"/>
        <v>0</v>
      </c>
    </row>
    <row r="60" spans="2:15" ht="18.75" x14ac:dyDescent="0.3">
      <c r="B60" s="3224" t="s">
        <v>955</v>
      </c>
      <c r="C60" s="3250">
        <v>3.04</v>
      </c>
      <c r="D60" s="3250">
        <v>5.18</v>
      </c>
      <c r="E60" s="3250">
        <v>3.23</v>
      </c>
      <c r="F60" s="3309">
        <f>D60*'Вхідні дані'!D77</f>
        <v>5.4752599999999996</v>
      </c>
      <c r="G60" s="474">
        <f t="shared" si="10"/>
        <v>0</v>
      </c>
      <c r="H60" s="474">
        <f t="shared" si="20"/>
        <v>0</v>
      </c>
      <c r="I60" s="474">
        <f t="shared" si="21"/>
        <v>0</v>
      </c>
      <c r="J60" s="474">
        <f t="shared" si="22"/>
        <v>5.4752599999999996</v>
      </c>
      <c r="K60" s="1855"/>
      <c r="L60" s="574"/>
      <c r="O60" s="465">
        <f t="shared" si="4"/>
        <v>0</v>
      </c>
    </row>
    <row r="61" spans="2:15" ht="18.75" x14ac:dyDescent="0.3">
      <c r="B61" s="3310" t="s">
        <v>1650</v>
      </c>
      <c r="C61" s="3250">
        <v>0.18</v>
      </c>
      <c r="D61" s="3250">
        <v>0.69</v>
      </c>
      <c r="E61" s="3250">
        <v>0.19</v>
      </c>
      <c r="F61" s="3309">
        <f>D61*'Вхідні дані'!D77</f>
        <v>0.72932999999999992</v>
      </c>
      <c r="G61" s="474">
        <f t="shared" si="10"/>
        <v>0</v>
      </c>
      <c r="H61" s="474">
        <f t="shared" si="20"/>
        <v>0</v>
      </c>
      <c r="I61" s="474">
        <f t="shared" si="21"/>
        <v>0</v>
      </c>
      <c r="J61" s="474">
        <f t="shared" si="22"/>
        <v>0.72932999999999992</v>
      </c>
      <c r="K61" s="1855"/>
      <c r="L61" s="574"/>
      <c r="O61" s="465"/>
    </row>
    <row r="62" spans="2:15" ht="19.5" thickBot="1" x14ac:dyDescent="0.35">
      <c r="B62" s="3252" t="s">
        <v>58</v>
      </c>
      <c r="C62" s="3253">
        <v>0.11</v>
      </c>
      <c r="D62" s="3253">
        <v>0.25</v>
      </c>
      <c r="E62" s="3253">
        <v>0.11</v>
      </c>
      <c r="F62" s="3253">
        <f>113.016/1000*'Вхідні дані'!D77</f>
        <v>0.119457912</v>
      </c>
      <c r="G62" s="571">
        <f t="shared" si="10"/>
        <v>0</v>
      </c>
      <c r="H62" s="571">
        <f t="shared" si="20"/>
        <v>0</v>
      </c>
      <c r="I62" s="571">
        <f t="shared" si="21"/>
        <v>0</v>
      </c>
      <c r="J62" s="571">
        <f t="shared" si="22"/>
        <v>0.119457912</v>
      </c>
      <c r="K62" s="583"/>
      <c r="L62" s="574"/>
      <c r="O62" s="465">
        <f t="shared" si="4"/>
        <v>0</v>
      </c>
    </row>
    <row r="63" spans="2:15" ht="24" customHeight="1" x14ac:dyDescent="0.25">
      <c r="C63" s="458"/>
      <c r="D63" s="456"/>
      <c r="E63" s="458"/>
      <c r="F63" s="458"/>
    </row>
    <row r="64" spans="2:15" ht="24" customHeight="1" x14ac:dyDescent="0.25">
      <c r="B64" s="457"/>
      <c r="G64" s="457"/>
      <c r="H64" s="457"/>
      <c r="I64" s="457"/>
      <c r="J64" s="457"/>
    </row>
    <row r="65" spans="2:12" ht="48" customHeight="1" x14ac:dyDescent="0.3">
      <c r="B65" s="4001" t="str">
        <f>'Вхідні дані'!$B$14</f>
        <v>Заступник начальника Адміністрації морського порту Чорноморськ з технічних питань та розвитку</v>
      </c>
      <c r="C65" s="4001"/>
      <c r="D65" s="3211"/>
      <c r="E65" s="3260" t="s">
        <v>1344</v>
      </c>
      <c r="G65" s="3999" t="str">
        <f>'Вхідні дані'!$F$14</f>
        <v>Віталій ЛІПСКИЙ</v>
      </c>
      <c r="H65" s="3999"/>
      <c r="I65" s="3999"/>
      <c r="J65" s="457"/>
    </row>
    <row r="66" spans="2:12" ht="24" customHeight="1" x14ac:dyDescent="0.3">
      <c r="B66" s="3211"/>
      <c r="C66" s="3211"/>
      <c r="D66" s="3211"/>
      <c r="E66" s="3260" t="s">
        <v>220</v>
      </c>
      <c r="G66" s="4000" t="s">
        <v>1946</v>
      </c>
      <c r="H66" s="4000"/>
      <c r="I66" s="4000"/>
      <c r="J66" s="457"/>
    </row>
    <row r="67" spans="2:12" ht="24" customHeight="1" x14ac:dyDescent="0.3">
      <c r="B67" s="3211"/>
      <c r="C67" s="3211"/>
      <c r="D67" s="3211"/>
      <c r="E67" s="3260"/>
      <c r="G67" s="3606"/>
      <c r="H67" s="3606"/>
      <c r="I67" s="3606"/>
      <c r="J67" s="457"/>
    </row>
    <row r="68" spans="2:12" ht="24" customHeight="1" x14ac:dyDescent="0.3">
      <c r="B68" s="3211" t="str">
        <f>'Вхідні дані'!$B$16</f>
        <v>Головний бухгалтер</v>
      </c>
      <c r="C68" s="3211"/>
      <c r="D68" s="3211"/>
      <c r="E68" s="3260" t="s">
        <v>1344</v>
      </c>
      <c r="G68" s="3999" t="str">
        <f>'Вхідні дані'!$F$16</f>
        <v>Тетяна ЗІМАН</v>
      </c>
      <c r="H68" s="3999"/>
      <c r="I68" s="3999"/>
      <c r="J68" s="457"/>
    </row>
    <row r="69" spans="2:12" ht="24" customHeight="1" x14ac:dyDescent="0.3">
      <c r="B69" s="3261"/>
      <c r="C69" s="3261"/>
      <c r="D69" s="3261"/>
      <c r="E69" s="3260" t="s">
        <v>220</v>
      </c>
      <c r="G69" s="4000" t="s">
        <v>1946</v>
      </c>
      <c r="H69" s="4000"/>
      <c r="I69" s="4000"/>
      <c r="J69" s="3261"/>
      <c r="K69" s="584"/>
      <c r="L69" s="484"/>
    </row>
    <row r="70" spans="2:12" x14ac:dyDescent="0.25">
      <c r="B70" s="457"/>
      <c r="G70" s="457"/>
      <c r="H70" s="457"/>
      <c r="I70" s="457"/>
      <c r="J70" s="457"/>
    </row>
    <row r="71" spans="2:12" ht="32.450000000000003" customHeight="1" x14ac:dyDescent="0.25">
      <c r="B71" s="4006" t="s">
        <v>3424</v>
      </c>
      <c r="C71" s="4006"/>
      <c r="D71" s="4006"/>
      <c r="E71" s="4006"/>
      <c r="F71" s="4006"/>
      <c r="G71" s="4006"/>
      <c r="H71" s="4006"/>
    </row>
    <row r="72" spans="2:12" x14ac:dyDescent="0.25">
      <c r="B72" s="1212"/>
      <c r="C72" s="1212"/>
      <c r="D72" s="1212"/>
      <c r="E72" s="4007" t="s">
        <v>1721</v>
      </c>
      <c r="F72" s="4007"/>
      <c r="G72" s="1212"/>
      <c r="H72" s="1212"/>
    </row>
    <row r="73" spans="2:12" x14ac:dyDescent="0.25">
      <c r="B73" s="1271" t="s">
        <v>356</v>
      </c>
      <c r="C73" s="4005" t="s">
        <v>2206</v>
      </c>
      <c r="D73" s="4005"/>
      <c r="E73" s="4005" t="s">
        <v>2207</v>
      </c>
      <c r="F73" s="4005"/>
      <c r="G73" s="1271" t="s">
        <v>2209</v>
      </c>
      <c r="H73" s="1271" t="s">
        <v>2208</v>
      </c>
    </row>
    <row r="74" spans="2:12" x14ac:dyDescent="0.25">
      <c r="B74" s="878" t="s">
        <v>2195</v>
      </c>
      <c r="C74" s="1246">
        <f>D74/D84</f>
        <v>0.65670110401533843</v>
      </c>
      <c r="D74" s="1236">
        <f>F21</f>
        <v>297.08970999999997</v>
      </c>
      <c r="E74" s="1246">
        <f>F74/F84</f>
        <v>0.66983547017896983</v>
      </c>
      <c r="F74" s="1236">
        <f>E21</f>
        <v>612.30999999999995</v>
      </c>
      <c r="G74" s="1273">
        <f>C74-E74</f>
        <v>-1.3134366163631395E-2</v>
      </c>
      <c r="H74" s="1236">
        <f>D74-F74</f>
        <v>-315.22028999999998</v>
      </c>
    </row>
    <row r="75" spans="2:12" x14ac:dyDescent="0.25">
      <c r="B75" s="878" t="s">
        <v>2196</v>
      </c>
      <c r="C75" s="1246">
        <f>D75/D84</f>
        <v>0.14447424288337446</v>
      </c>
      <c r="D75" s="1236">
        <f>F24</f>
        <v>65.3597362</v>
      </c>
      <c r="E75" s="1246">
        <f>F75/F84</f>
        <v>0.14736577254627403</v>
      </c>
      <c r="F75" s="1236">
        <f>E24</f>
        <v>134.71</v>
      </c>
      <c r="G75" s="1273">
        <f t="shared" ref="G75:H84" si="23">C75-E75</f>
        <v>-2.8915296628995724E-3</v>
      </c>
      <c r="H75" s="1236">
        <f t="shared" si="23"/>
        <v>-69.350263800000008</v>
      </c>
    </row>
    <row r="76" spans="2:12" x14ac:dyDescent="0.25">
      <c r="B76" s="878" t="s">
        <v>2197</v>
      </c>
      <c r="C76" s="1246">
        <f>D76/D84</f>
        <v>0</v>
      </c>
      <c r="D76" s="1236"/>
      <c r="E76" s="1246">
        <f>F76/F84</f>
        <v>0</v>
      </c>
      <c r="F76" s="1236"/>
      <c r="G76" s="1273">
        <f t="shared" si="23"/>
        <v>0</v>
      </c>
      <c r="H76" s="1236">
        <f t="shared" si="23"/>
        <v>0</v>
      </c>
    </row>
    <row r="77" spans="2:12" x14ac:dyDescent="0.25">
      <c r="B77" s="878" t="s">
        <v>43</v>
      </c>
      <c r="C77" s="1246">
        <f>D77/D84</f>
        <v>0</v>
      </c>
      <c r="D77" s="1236"/>
      <c r="E77" s="1246">
        <f>F77/F84</f>
        <v>0</v>
      </c>
      <c r="F77" s="1236"/>
      <c r="G77" s="1273">
        <f t="shared" si="23"/>
        <v>0</v>
      </c>
      <c r="H77" s="1236">
        <f t="shared" si="23"/>
        <v>0</v>
      </c>
    </row>
    <row r="78" spans="2:12" x14ac:dyDescent="0.25">
      <c r="B78" s="878" t="s">
        <v>2198</v>
      </c>
      <c r="C78" s="1246">
        <f>D78/D84</f>
        <v>0</v>
      </c>
      <c r="D78" s="1236"/>
      <c r="E78" s="1246">
        <f>F78/F84</f>
        <v>0</v>
      </c>
      <c r="F78" s="1236"/>
      <c r="G78" s="1273">
        <f t="shared" si="23"/>
        <v>0</v>
      </c>
      <c r="H78" s="1236">
        <f t="shared" si="23"/>
        <v>0</v>
      </c>
    </row>
    <row r="79" spans="2:12" x14ac:dyDescent="0.25">
      <c r="B79" s="878" t="s">
        <v>460</v>
      </c>
      <c r="C79" s="1246">
        <f>D79/D84</f>
        <v>0</v>
      </c>
      <c r="D79" s="1236">
        <f>F25+F26</f>
        <v>0</v>
      </c>
      <c r="E79" s="1246">
        <f>F79/F84</f>
        <v>0</v>
      </c>
      <c r="F79" s="1236">
        <f>E25+E26</f>
        <v>0</v>
      </c>
      <c r="G79" s="1273">
        <f t="shared" si="23"/>
        <v>0</v>
      </c>
      <c r="H79" s="1236">
        <f t="shared" si="23"/>
        <v>0</v>
      </c>
    </row>
    <row r="80" spans="2:12" x14ac:dyDescent="0.25">
      <c r="B80" s="878" t="s">
        <v>2199</v>
      </c>
      <c r="C80" s="1246">
        <f>D80/D84</f>
        <v>0</v>
      </c>
      <c r="D80" s="1236"/>
      <c r="E80" s="1246">
        <f>F80/F84</f>
        <v>0</v>
      </c>
      <c r="F80" s="1236"/>
      <c r="G80" s="1273">
        <f t="shared" si="23"/>
        <v>0</v>
      </c>
      <c r="H80" s="1236">
        <f t="shared" si="23"/>
        <v>0</v>
      </c>
    </row>
    <row r="81" spans="2:8" x14ac:dyDescent="0.25">
      <c r="B81" s="878" t="s">
        <v>2200</v>
      </c>
      <c r="C81" s="1246">
        <f>D81/D84</f>
        <v>0</v>
      </c>
      <c r="D81" s="1236">
        <f>F27+F28</f>
        <v>0</v>
      </c>
      <c r="E81" s="1246">
        <f>F81/F84</f>
        <v>0</v>
      </c>
      <c r="F81" s="1236">
        <f>E27+E28</f>
        <v>0</v>
      </c>
      <c r="G81" s="1273">
        <f t="shared" si="23"/>
        <v>0</v>
      </c>
      <c r="H81" s="1236">
        <f t="shared" si="23"/>
        <v>0</v>
      </c>
    </row>
    <row r="82" spans="2:8" x14ac:dyDescent="0.25">
      <c r="B82" s="878" t="s">
        <v>2201</v>
      </c>
      <c r="C82" s="1246">
        <f>D82/D84</f>
        <v>0.19882465310128716</v>
      </c>
      <c r="D82" s="1236">
        <f>D84-D74-D75-D76-D77-D78-D79-D80</f>
        <v>89.94770706115996</v>
      </c>
      <c r="E82" s="1246">
        <f>F82/F84</f>
        <v>0.18279875727475611</v>
      </c>
      <c r="F82" s="1236">
        <f>F84-F74-F75-F76-F77-F78-F79-F80</f>
        <v>167.10000000000005</v>
      </c>
      <c r="G82" s="1273">
        <f t="shared" si="23"/>
        <v>1.602589582653105E-2</v>
      </c>
      <c r="H82" s="1236">
        <f t="shared" si="23"/>
        <v>-77.152292938840091</v>
      </c>
    </row>
    <row r="83" spans="2:8" x14ac:dyDescent="0.25">
      <c r="B83" s="878" t="s">
        <v>2205</v>
      </c>
      <c r="C83" s="1246">
        <f>D83/D84</f>
        <v>0</v>
      </c>
      <c r="D83" s="1236"/>
      <c r="E83" s="1246">
        <f>F83/F84</f>
        <v>0</v>
      </c>
      <c r="F83" s="1236"/>
      <c r="G83" s="1273">
        <f t="shared" si="23"/>
        <v>0</v>
      </c>
      <c r="H83" s="1236">
        <f t="shared" si="23"/>
        <v>0</v>
      </c>
    </row>
    <row r="84" spans="2:8" x14ac:dyDescent="0.25">
      <c r="B84" s="1248" t="s">
        <v>1890</v>
      </c>
      <c r="C84" s="1249">
        <f>SUM(C74:C83)</f>
        <v>1</v>
      </c>
      <c r="D84" s="1236">
        <f>F9</f>
        <v>452.39715326115993</v>
      </c>
      <c r="E84" s="1249">
        <f>SUM(E74:E83)</f>
        <v>1</v>
      </c>
      <c r="F84" s="1236">
        <f>E9</f>
        <v>914.12</v>
      </c>
      <c r="G84" s="1273">
        <f t="shared" si="23"/>
        <v>0</v>
      </c>
      <c r="H84" s="1236">
        <f t="shared" si="23"/>
        <v>-461.72284673884008</v>
      </c>
    </row>
    <row r="85" spans="2:8" x14ac:dyDescent="0.25">
      <c r="C85" s="458"/>
      <c r="D85" s="458"/>
      <c r="E85" s="458"/>
      <c r="F85" s="458"/>
    </row>
    <row r="86" spans="2:8" x14ac:dyDescent="0.25">
      <c r="C86" s="458"/>
      <c r="D86" s="458"/>
      <c r="E86" s="458"/>
      <c r="F86" s="458"/>
    </row>
    <row r="87" spans="2:8" x14ac:dyDescent="0.25">
      <c r="C87" s="458"/>
      <c r="D87" s="458"/>
      <c r="E87" s="458"/>
      <c r="F87" s="458"/>
    </row>
    <row r="88" spans="2:8" x14ac:dyDescent="0.25">
      <c r="C88" s="458"/>
      <c r="D88" s="458"/>
      <c r="E88" s="458"/>
      <c r="F88" s="458"/>
    </row>
    <row r="89" spans="2:8" x14ac:dyDescent="0.25">
      <c r="C89" s="458"/>
      <c r="D89" s="458"/>
      <c r="E89" s="458"/>
      <c r="F89" s="458"/>
    </row>
    <row r="90" spans="2:8" x14ac:dyDescent="0.25">
      <c r="C90" s="458"/>
      <c r="D90" s="458"/>
      <c r="E90" s="458"/>
      <c r="F90" s="458"/>
    </row>
    <row r="91" spans="2:8" x14ac:dyDescent="0.25">
      <c r="C91" s="458"/>
      <c r="D91" s="458"/>
      <c r="E91" s="458"/>
      <c r="F91" s="458"/>
    </row>
    <row r="92" spans="2:8" x14ac:dyDescent="0.25">
      <c r="C92" s="458"/>
      <c r="D92" s="458"/>
      <c r="E92" s="458"/>
      <c r="F92" s="458"/>
    </row>
    <row r="93" spans="2:8" x14ac:dyDescent="0.25">
      <c r="C93" s="458"/>
      <c r="D93" s="458"/>
      <c r="E93" s="458"/>
      <c r="F93" s="458"/>
    </row>
    <row r="94" spans="2:8" x14ac:dyDescent="0.25">
      <c r="C94" s="458"/>
      <c r="D94" s="458"/>
      <c r="E94" s="458"/>
      <c r="F94" s="458"/>
    </row>
    <row r="95" spans="2:8" x14ac:dyDescent="0.25">
      <c r="C95" s="458"/>
      <c r="D95" s="458"/>
      <c r="E95" s="458"/>
      <c r="F95" s="458"/>
    </row>
    <row r="96" spans="2:8" x14ac:dyDescent="0.25">
      <c r="C96" s="458"/>
      <c r="D96" s="458"/>
      <c r="E96" s="458"/>
      <c r="F96" s="458"/>
    </row>
    <row r="97" spans="3:6" x14ac:dyDescent="0.25">
      <c r="C97" s="458"/>
      <c r="D97" s="458"/>
      <c r="E97" s="458"/>
      <c r="F97" s="458"/>
    </row>
    <row r="98" spans="3:6" x14ac:dyDescent="0.25">
      <c r="C98" s="458"/>
      <c r="D98" s="458"/>
      <c r="E98" s="458"/>
      <c r="F98" s="458"/>
    </row>
    <row r="99" spans="3:6" x14ac:dyDescent="0.25">
      <c r="C99" s="458"/>
      <c r="D99" s="458"/>
      <c r="E99" s="458"/>
      <c r="F99" s="458"/>
    </row>
    <row r="100" spans="3:6" x14ac:dyDescent="0.25">
      <c r="C100" s="458"/>
      <c r="D100" s="458"/>
      <c r="E100" s="458"/>
      <c r="F100" s="458"/>
    </row>
    <row r="101" spans="3:6" x14ac:dyDescent="0.25">
      <c r="C101" s="458"/>
      <c r="D101" s="458"/>
      <c r="E101" s="458"/>
      <c r="F101" s="458"/>
    </row>
    <row r="102" spans="3:6" x14ac:dyDescent="0.25">
      <c r="C102" s="458"/>
      <c r="D102" s="458"/>
      <c r="E102" s="458"/>
      <c r="F102" s="458"/>
    </row>
    <row r="103" spans="3:6" x14ac:dyDescent="0.25">
      <c r="C103" s="458"/>
      <c r="D103" s="458"/>
      <c r="E103" s="458"/>
      <c r="F103" s="458"/>
    </row>
    <row r="104" spans="3:6" x14ac:dyDescent="0.25">
      <c r="C104" s="458"/>
      <c r="D104" s="458"/>
      <c r="E104" s="458"/>
      <c r="F104" s="458"/>
    </row>
    <row r="105" spans="3:6" x14ac:dyDescent="0.25">
      <c r="C105" s="458"/>
      <c r="D105" s="458"/>
      <c r="E105" s="458"/>
      <c r="F105" s="458"/>
    </row>
    <row r="106" spans="3:6" x14ac:dyDescent="0.25">
      <c r="C106" s="458"/>
      <c r="D106" s="458"/>
      <c r="E106" s="458"/>
      <c r="F106" s="458"/>
    </row>
    <row r="107" spans="3:6" x14ac:dyDescent="0.25">
      <c r="C107" s="458"/>
      <c r="D107" s="458"/>
      <c r="E107" s="458"/>
      <c r="F107" s="458"/>
    </row>
    <row r="108" spans="3:6" x14ac:dyDescent="0.25">
      <c r="C108" s="458"/>
      <c r="D108" s="458"/>
      <c r="E108" s="458"/>
      <c r="F108" s="458"/>
    </row>
    <row r="109" spans="3:6" x14ac:dyDescent="0.25">
      <c r="C109" s="458"/>
      <c r="D109" s="458"/>
      <c r="E109" s="458"/>
      <c r="F109" s="458"/>
    </row>
    <row r="110" spans="3:6" x14ac:dyDescent="0.25">
      <c r="C110" s="458"/>
      <c r="D110" s="458"/>
      <c r="E110" s="458"/>
      <c r="F110" s="458"/>
    </row>
    <row r="111" spans="3:6" x14ac:dyDescent="0.25">
      <c r="C111" s="458"/>
      <c r="D111" s="458"/>
      <c r="E111" s="458"/>
      <c r="F111" s="458"/>
    </row>
    <row r="112" spans="3:6" x14ac:dyDescent="0.25">
      <c r="C112" s="458"/>
      <c r="D112" s="458"/>
      <c r="E112" s="458"/>
      <c r="F112" s="458"/>
    </row>
    <row r="113" spans="3:6" x14ac:dyDescent="0.25">
      <c r="C113" s="458"/>
      <c r="D113" s="458"/>
      <c r="E113" s="458"/>
      <c r="F113" s="458"/>
    </row>
    <row r="114" spans="3:6" x14ac:dyDescent="0.25">
      <c r="C114" s="458"/>
      <c r="D114" s="458"/>
      <c r="E114" s="458"/>
      <c r="F114" s="458"/>
    </row>
    <row r="115" spans="3:6" x14ac:dyDescent="0.25">
      <c r="C115" s="458"/>
      <c r="D115" s="458"/>
      <c r="E115" s="458"/>
      <c r="F115" s="458"/>
    </row>
    <row r="116" spans="3:6" x14ac:dyDescent="0.25">
      <c r="C116" s="458"/>
      <c r="D116" s="458"/>
      <c r="E116" s="458"/>
      <c r="F116" s="458"/>
    </row>
    <row r="117" spans="3:6" x14ac:dyDescent="0.25">
      <c r="C117" s="458"/>
      <c r="D117" s="458"/>
      <c r="E117" s="458"/>
      <c r="F117" s="458"/>
    </row>
    <row r="118" spans="3:6" x14ac:dyDescent="0.25">
      <c r="C118" s="458"/>
      <c r="D118" s="458"/>
      <c r="E118" s="458"/>
      <c r="F118" s="458"/>
    </row>
    <row r="119" spans="3:6" x14ac:dyDescent="0.25">
      <c r="C119" s="458"/>
      <c r="D119" s="458"/>
      <c r="E119" s="458"/>
      <c r="F119" s="458"/>
    </row>
    <row r="120" spans="3:6" x14ac:dyDescent="0.25">
      <c r="C120" s="458"/>
      <c r="D120" s="458"/>
      <c r="E120" s="458"/>
      <c r="F120" s="458"/>
    </row>
    <row r="121" spans="3:6" x14ac:dyDescent="0.25">
      <c r="C121" s="458"/>
      <c r="D121" s="458"/>
      <c r="E121" s="458"/>
      <c r="F121" s="458"/>
    </row>
    <row r="122" spans="3:6" x14ac:dyDescent="0.25">
      <c r="C122" s="458"/>
      <c r="D122" s="458"/>
      <c r="E122" s="458"/>
      <c r="F122" s="458"/>
    </row>
    <row r="123" spans="3:6" x14ac:dyDescent="0.25">
      <c r="C123" s="458"/>
      <c r="D123" s="458"/>
      <c r="E123" s="458"/>
      <c r="F123" s="458"/>
    </row>
    <row r="124" spans="3:6" x14ac:dyDescent="0.25">
      <c r="C124" s="458"/>
      <c r="D124" s="458"/>
      <c r="E124" s="458"/>
      <c r="F124" s="458"/>
    </row>
  </sheetData>
  <mergeCells count="11">
    <mergeCell ref="C73:D73"/>
    <mergeCell ref="E73:F73"/>
    <mergeCell ref="B71:H71"/>
    <mergeCell ref="E72:F72"/>
    <mergeCell ref="G69:I69"/>
    <mergeCell ref="B7:B8"/>
    <mergeCell ref="G7:J7"/>
    <mergeCell ref="G65:I65"/>
    <mergeCell ref="G66:I66"/>
    <mergeCell ref="G68:I68"/>
    <mergeCell ref="B65:C65"/>
  </mergeCells>
  <conditionalFormatting sqref="B69:I69">
    <cfRule type="expression" dxfId="28" priority="5" stopIfTrue="1">
      <formula>ABS(#REF!-(#REF!+$D69+$M69+$O69))&gt;отклонение</formula>
    </cfRule>
  </conditionalFormatting>
  <conditionalFormatting sqref="F69:I69">
    <cfRule type="expression" dxfId="27" priority="8" stopIfTrue="1">
      <formula>ABS(#REF!-(#REF!+$D69+$M69+$O69))&gt;отклонение</formula>
    </cfRule>
  </conditionalFormatting>
  <conditionalFormatting sqref="G69:I69 B69:D69">
    <cfRule type="expression" dxfId="26" priority="2" stopIfTrue="1">
      <formula>ABS(#REF!-(#REF!+$D69+$M69+$O69))&gt;отклонение</formula>
    </cfRule>
  </conditionalFormatting>
  <conditionalFormatting sqref="G69:I69">
    <cfRule type="expression" dxfId="25" priority="1" stopIfTrue="1">
      <formula>ABS(#REF!-(#REF!+#REF!+$L69+$N69))&gt;отклонение</formula>
    </cfRule>
    <cfRule type="expression" dxfId="24" priority="3" stopIfTrue="1">
      <formula>ABS(#REF!-(#REF!+$E69+$L69+$N69))&gt;отклонение</formula>
    </cfRule>
    <cfRule type="expression" dxfId="23" priority="4" stopIfTrue="1">
      <formula>ABS(#REF!-(#REF!+$D69+$M69+$O69))&gt;отклонение</formula>
    </cfRule>
    <cfRule type="expression" dxfId="22" priority="6" stopIfTrue="1">
      <formula>ABS(#REF!-(#REF!+$E69+$L69+$N69))&gt;отклонение</formula>
    </cfRule>
    <cfRule type="expression" dxfId="21" priority="7" stopIfTrue="1">
      <formula>ABS(#REF!-(#REF!+$D69+$M69+$O69))&gt;отклонение</formula>
    </cfRule>
  </conditionalFormatting>
  <conditionalFormatting sqref="G69:L69 B69:E69">
    <cfRule type="expression" dxfId="20" priority="13" stopIfTrue="1">
      <formula>ABS(#REF!-(#REF!+$D69+#REF!+#REF!))&gt;отклонение</formula>
    </cfRule>
  </conditionalFormatting>
  <pageMargins left="0.44" right="0.23622047244094491" top="0.8" bottom="0.15748031496062992" header="0.62" footer="0.31496062992125984"/>
  <pageSetup paperSize="9" scale="57"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pageSetUpPr fitToPage="1"/>
  </sheetPr>
  <dimension ref="A1:X130"/>
  <sheetViews>
    <sheetView view="pageBreakPreview" zoomScale="60" zoomScaleNormal="70" workbookViewId="0">
      <pane xSplit="1" ySplit="8" topLeftCell="B51" activePane="bottomRight" state="frozen"/>
      <selection pane="topRight" activeCell="B1" sqref="B1"/>
      <selection pane="bottomLeft" activeCell="A9" sqref="A9"/>
      <selection pane="bottomRight" activeCell="B71" sqref="B71"/>
    </sheetView>
  </sheetViews>
  <sheetFormatPr defaultColWidth="9.140625" defaultRowHeight="15" x14ac:dyDescent="0.25"/>
  <cols>
    <col min="1" max="1" width="4.7109375" style="458" customWidth="1"/>
    <col min="2" max="2" width="75.42578125" style="458" customWidth="1"/>
    <col min="3" max="3" width="10.85546875" style="457" customWidth="1"/>
    <col min="4" max="4" width="10.7109375" style="457" customWidth="1"/>
    <col min="5" max="5" width="13.85546875" style="457" customWidth="1"/>
    <col min="6" max="6" width="13.5703125" style="457" customWidth="1"/>
    <col min="7" max="7" width="16.5703125" style="458" customWidth="1"/>
    <col min="8" max="8" width="16.140625" style="458" customWidth="1"/>
    <col min="9" max="9" width="12" style="458" customWidth="1"/>
    <col min="10" max="10" width="14" style="458" customWidth="1"/>
    <col min="11" max="11" width="15.7109375" style="458" customWidth="1"/>
    <col min="12" max="12" width="20.28515625" style="458" customWidth="1"/>
    <col min="13" max="13" width="9.42578125" style="458" customWidth="1"/>
    <col min="14" max="14" width="14.42578125" style="458" customWidth="1"/>
    <col min="15" max="15" width="30.7109375" style="824" customWidth="1"/>
    <col min="16" max="16" width="12.42578125" style="465" customWidth="1"/>
    <col min="17" max="17" width="11.7109375" style="465" customWidth="1"/>
    <col min="18" max="18" width="11.28515625" style="458" customWidth="1"/>
    <col min="19" max="21" width="10.42578125" style="458" bestFit="1" customWidth="1"/>
    <col min="22" max="22" width="10.7109375" style="458" bestFit="1" customWidth="1"/>
    <col min="23" max="16384" width="9.140625" style="458"/>
  </cols>
  <sheetData>
    <row r="1" spans="2:22" ht="18.75" x14ac:dyDescent="0.3">
      <c r="B1" s="456"/>
      <c r="C1" s="458"/>
      <c r="D1" s="458"/>
      <c r="E1" s="458"/>
      <c r="F1" s="458"/>
      <c r="M1" s="459" t="s">
        <v>835</v>
      </c>
      <c r="O1" s="1089">
        <v>974434.26</v>
      </c>
      <c r="P1" s="1086">
        <v>1079483.79</v>
      </c>
      <c r="Q1" s="1086">
        <v>1208387.3400000001</v>
      </c>
      <c r="R1" s="1087">
        <v>4793154.3692373596</v>
      </c>
    </row>
    <row r="2" spans="2:22" ht="18" customHeight="1" x14ac:dyDescent="0.25">
      <c r="C2" s="458"/>
      <c r="D2" s="458"/>
      <c r="E2" s="458"/>
      <c r="F2" s="458"/>
      <c r="O2" s="1090">
        <f>O1/1000-C8</f>
        <v>-4065.6157399999993</v>
      </c>
      <c r="P2" s="1088">
        <f>P1/1000-D8</f>
        <v>-1699.5074200000001</v>
      </c>
      <c r="Q2" s="1088">
        <f>Q1/1000-E8</f>
        <v>-2725.6526599999997</v>
      </c>
      <c r="R2" s="1088">
        <f>R1/1000-F8</f>
        <v>904.26537277735906</v>
      </c>
    </row>
    <row r="3" spans="2:22" ht="18.75" x14ac:dyDescent="0.3">
      <c r="B3" s="461" t="s">
        <v>1511</v>
      </c>
      <c r="C3" s="3264" t="str">
        <f>'Вхідні дані'!F5</f>
        <v>ЧФ ДП "АМПУ"</v>
      </c>
      <c r="D3" s="3264"/>
      <c r="E3" s="3264"/>
      <c r="F3" s="3231"/>
      <c r="G3" s="3264" t="s">
        <v>461</v>
      </c>
      <c r="H3" s="3264" t="str">
        <f>'Вхідні дані'!F6</f>
        <v>2023-2024</v>
      </c>
      <c r="I3" s="3264" t="s">
        <v>648</v>
      </c>
      <c r="J3" s="462"/>
      <c r="L3" s="461"/>
      <c r="O3" s="824">
        <f>ФОП!G44</f>
        <v>0</v>
      </c>
      <c r="P3" s="465" t="s">
        <v>151</v>
      </c>
    </row>
    <row r="4" spans="2:22" ht="18.75" x14ac:dyDescent="0.3">
      <c r="B4" s="461"/>
      <c r="C4" s="458"/>
      <c r="D4" s="458"/>
      <c r="E4" s="458"/>
      <c r="F4" s="458"/>
      <c r="G4" s="496"/>
      <c r="H4" s="497"/>
      <c r="I4" s="497"/>
      <c r="J4" s="497"/>
      <c r="K4" s="462"/>
      <c r="L4" s="461"/>
      <c r="Q4" s="458"/>
    </row>
    <row r="5" spans="2:22" ht="19.5" thickBot="1" x14ac:dyDescent="0.35">
      <c r="B5" s="485" t="s">
        <v>1828</v>
      </c>
      <c r="C5" s="458"/>
      <c r="D5" s="458"/>
      <c r="E5" s="458"/>
      <c r="F5" s="566">
        <f>G5+H5+K5+L5+M5+N5</f>
        <v>0.99999999999999989</v>
      </c>
      <c r="G5" s="566">
        <f>'БАЗИ РОЗПОДІЛУ'!$F$15</f>
        <v>0.7720622995343327</v>
      </c>
      <c r="H5" s="566">
        <f>'БАЗИ РОЗПОДІЛУ'!$G$15</f>
        <v>0.21041627736176377</v>
      </c>
      <c r="I5" s="566">
        <f>'БАЗИ РОЗПОДІЛУ'!$H$15</f>
        <v>7.631156355706295E-2</v>
      </c>
      <c r="J5" s="566">
        <f>'БАЗИ РОЗПОДІЛУ'!$I$15</f>
        <v>0.13410471380470079</v>
      </c>
      <c r="K5" s="566">
        <f>'БАЗИ РОЗПОДІЛУ'!$J$15</f>
        <v>1.7521423103903436E-2</v>
      </c>
      <c r="L5" s="566">
        <f>'БАЗИ РОЗПОДІЛУ'!$K$15</f>
        <v>0</v>
      </c>
      <c r="M5" s="566">
        <f>'БАЗИ РОЗПОДІЛУ'!$L$15</f>
        <v>0</v>
      </c>
      <c r="N5" s="566">
        <f>'БАЗИ РОЗПОДІЛУ'!M15</f>
        <v>0</v>
      </c>
      <c r="O5" s="1140"/>
      <c r="P5" s="1140"/>
      <c r="Q5" s="458"/>
      <c r="R5" s="1140"/>
      <c r="S5" s="1140"/>
      <c r="T5" s="1140"/>
      <c r="U5" s="1140"/>
      <c r="V5" s="1140"/>
    </row>
    <row r="6" spans="2:22" ht="18.75" customHeight="1" thickBot="1" x14ac:dyDescent="0.3">
      <c r="B6" s="4008" t="s">
        <v>8</v>
      </c>
      <c r="C6" s="588" t="s">
        <v>963</v>
      </c>
      <c r="D6" s="588" t="s">
        <v>963</v>
      </c>
      <c r="E6" s="588" t="s">
        <v>973</v>
      </c>
      <c r="F6" s="588" t="s">
        <v>964</v>
      </c>
      <c r="G6" s="4010" t="s">
        <v>938</v>
      </c>
      <c r="H6" s="4011"/>
      <c r="I6" s="4011"/>
      <c r="J6" s="4011"/>
      <c r="K6" s="4011"/>
      <c r="L6" s="4011"/>
      <c r="M6" s="4012"/>
      <c r="N6" s="592"/>
    </row>
    <row r="7" spans="2:22" ht="57" thickBot="1" x14ac:dyDescent="0.3">
      <c r="B7" s="4009"/>
      <c r="C7" s="589">
        <f>'Вхідні дані'!F8</f>
        <v>2021</v>
      </c>
      <c r="D7" s="589">
        <f>'Вхідні дані'!F7</f>
        <v>2022</v>
      </c>
      <c r="E7" s="590" t="str">
        <f>'Вхідні дані'!F9</f>
        <v xml:space="preserve">Ріш. № 297 від 25.10.2022 </v>
      </c>
      <c r="F7" s="589" t="str">
        <f>'Вхідні дані'!F6</f>
        <v>2023-2024</v>
      </c>
      <c r="G7" s="588" t="s">
        <v>939</v>
      </c>
      <c r="H7" s="588" t="s">
        <v>940</v>
      </c>
      <c r="I7" s="588" t="s">
        <v>1910</v>
      </c>
      <c r="J7" s="588" t="s">
        <v>1922</v>
      </c>
      <c r="K7" s="588" t="s">
        <v>941</v>
      </c>
      <c r="L7" s="588" t="s">
        <v>942</v>
      </c>
      <c r="M7" s="591" t="s">
        <v>961</v>
      </c>
      <c r="N7" s="788" t="s">
        <v>962</v>
      </c>
    </row>
    <row r="8" spans="2:22" ht="18.75" x14ac:dyDescent="0.3">
      <c r="B8" s="466" t="s">
        <v>1512</v>
      </c>
      <c r="C8" s="467">
        <f t="shared" ref="C8:N8" si="0">C9+C20+C39+C24+C37+C38</f>
        <v>5040.0499999999993</v>
      </c>
      <c r="D8" s="467">
        <f t="shared" si="0"/>
        <v>2778.9912100000001</v>
      </c>
      <c r="E8" s="467">
        <f t="shared" si="0"/>
        <v>3934.04</v>
      </c>
      <c r="F8" s="467">
        <f>F9+F20+F39+F24+F37+F38</f>
        <v>3888.8889964600007</v>
      </c>
      <c r="G8" s="468">
        <f>G9+G20+G39+G24+G37+G38</f>
        <v>3002.4645812406711</v>
      </c>
      <c r="H8" s="468">
        <f>H9+H20+H39+H24+H37+H38</f>
        <v>818.2855457082386</v>
      </c>
      <c r="I8" s="468">
        <f t="shared" si="0"/>
        <v>296.76719981972013</v>
      </c>
      <c r="J8" s="468">
        <f t="shared" si="0"/>
        <v>521.51834588851841</v>
      </c>
      <c r="K8" s="468">
        <f t="shared" si="0"/>
        <v>68.138869511090107</v>
      </c>
      <c r="L8" s="468">
        <f t="shared" si="0"/>
        <v>0</v>
      </c>
      <c r="M8" s="468">
        <f t="shared" si="0"/>
        <v>0</v>
      </c>
      <c r="N8" s="468">
        <f t="shared" si="0"/>
        <v>0</v>
      </c>
      <c r="O8" s="500"/>
      <c r="U8" s="465">
        <f>F8-G8-H8-K8-L8-M8-N8</f>
        <v>8.9528384705772623E-13</v>
      </c>
      <c r="V8" s="465">
        <f>H8-I8-J8</f>
        <v>0</v>
      </c>
    </row>
    <row r="9" spans="2:22" ht="18.75" x14ac:dyDescent="0.3">
      <c r="B9" s="470" t="s">
        <v>944</v>
      </c>
      <c r="C9" s="471">
        <f t="shared" ref="C9:N9" si="1">SUM(C10:C19)</f>
        <v>90.910000000000011</v>
      </c>
      <c r="D9" s="471">
        <f t="shared" si="1"/>
        <v>10.71801</v>
      </c>
      <c r="E9" s="471">
        <f t="shared" si="1"/>
        <v>79.459999999999994</v>
      </c>
      <c r="F9" s="471">
        <f>SUM(F10:F19)</f>
        <v>10.943</v>
      </c>
      <c r="G9" s="471">
        <f t="shared" si="1"/>
        <v>8.4486777438042022</v>
      </c>
      <c r="H9" s="471">
        <f t="shared" si="1"/>
        <v>2.3025853231697813</v>
      </c>
      <c r="I9" s="471">
        <f t="shared" si="1"/>
        <v>0.83507744000493989</v>
      </c>
      <c r="J9" s="471">
        <f t="shared" si="1"/>
        <v>1.4675078831648407</v>
      </c>
      <c r="K9" s="471">
        <f t="shared" si="1"/>
        <v>0.1917369330260153</v>
      </c>
      <c r="L9" s="471">
        <f t="shared" si="1"/>
        <v>0</v>
      </c>
      <c r="M9" s="471">
        <f t="shared" si="1"/>
        <v>0</v>
      </c>
      <c r="N9" s="471">
        <f t="shared" si="1"/>
        <v>0</v>
      </c>
      <c r="O9" s="500"/>
      <c r="U9" s="465">
        <f t="shared" ref="U9:U20" si="2">F9-G9-H9-K9-L9-M9-N9</f>
        <v>8.3266726846886741E-16</v>
      </c>
      <c r="V9" s="465">
        <f t="shared" ref="V9:V21" si="3">H9-I9-J9</f>
        <v>0</v>
      </c>
    </row>
    <row r="10" spans="2:22" ht="18.75" x14ac:dyDescent="0.3">
      <c r="B10" s="472" t="s">
        <v>965</v>
      </c>
      <c r="C10" s="473">
        <v>0.23</v>
      </c>
      <c r="D10" s="473">
        <f>104.04/1000</f>
        <v>0.10404000000000001</v>
      </c>
      <c r="E10" s="473">
        <v>0.15</v>
      </c>
      <c r="F10" s="537">
        <v>0.121</v>
      </c>
      <c r="G10" s="474">
        <f>F10*$G$5</f>
        <v>9.341953824365426E-2</v>
      </c>
      <c r="H10" s="475">
        <f>F10*$H$5</f>
        <v>2.5460369560773414E-2</v>
      </c>
      <c r="I10" s="474">
        <f>F10*$I$5</f>
        <v>9.2336991904046171E-3</v>
      </c>
      <c r="J10" s="475">
        <f>F10*$J$5</f>
        <v>1.6226670370368797E-2</v>
      </c>
      <c r="K10" s="475">
        <f>F10*$K$5</f>
        <v>2.1200921955723158E-3</v>
      </c>
      <c r="L10" s="475">
        <f>F10*$L$5</f>
        <v>0</v>
      </c>
      <c r="M10" s="475">
        <f>F10*$M$5</f>
        <v>0</v>
      </c>
      <c r="N10" s="475">
        <f>F10*$N$5</f>
        <v>0</v>
      </c>
      <c r="O10" s="500" t="s">
        <v>945</v>
      </c>
      <c r="P10" s="585" t="s">
        <v>1513</v>
      </c>
      <c r="Q10" s="585"/>
      <c r="U10" s="465">
        <f t="shared" si="2"/>
        <v>6.9388939039072284E-18</v>
      </c>
      <c r="V10" s="465">
        <f t="shared" si="3"/>
        <v>0</v>
      </c>
    </row>
    <row r="11" spans="2:22" ht="18.75" x14ac:dyDescent="0.3">
      <c r="B11" s="472" t="s">
        <v>966</v>
      </c>
      <c r="C11" s="473">
        <v>10.28</v>
      </c>
      <c r="D11" s="473">
        <f>(314.43+332.31+25.89+1165.67)/1000</f>
        <v>1.8383000000000003</v>
      </c>
      <c r="E11" s="473">
        <v>8.66</v>
      </c>
      <c r="F11" s="537">
        <v>1.7410000000000001</v>
      </c>
      <c r="G11" s="474">
        <f t="shared" ref="G11:G19" si="4">F11*$G$5</f>
        <v>1.3441604634892732</v>
      </c>
      <c r="H11" s="475">
        <f t="shared" ref="H11:H19" si="5">F11*$H$5</f>
        <v>0.36633473888683077</v>
      </c>
      <c r="I11" s="474">
        <f>F11*$I$5</f>
        <v>0.1328584321528466</v>
      </c>
      <c r="J11" s="475">
        <f>F11*$J$5</f>
        <v>0.23347630673398409</v>
      </c>
      <c r="K11" s="475">
        <f t="shared" ref="K11:K19" si="6">F11*$K$5</f>
        <v>3.0504797623895883E-2</v>
      </c>
      <c r="L11" s="475">
        <f t="shared" ref="L11:L19" si="7">F11*$L$5</f>
        <v>0</v>
      </c>
      <c r="M11" s="475">
        <f t="shared" ref="M11:M19" si="8">F11*$M$5</f>
        <v>0</v>
      </c>
      <c r="N11" s="475">
        <f t="shared" ref="N11:N19" si="9">F11*$N$5</f>
        <v>0</v>
      </c>
      <c r="O11" s="500" t="s">
        <v>995</v>
      </c>
      <c r="U11" s="465">
        <f t="shared" si="2"/>
        <v>2.4633073358870661E-16</v>
      </c>
      <c r="V11" s="465">
        <f>H11-I11-J11</f>
        <v>0</v>
      </c>
    </row>
    <row r="12" spans="2:22" ht="18.75" x14ac:dyDescent="0.3">
      <c r="B12" s="472" t="s">
        <v>967</v>
      </c>
      <c r="C12" s="537">
        <v>9.69</v>
      </c>
      <c r="D12" s="537">
        <f>(1054.21+21.98+181.46+175.94)/1000</f>
        <v>1.4335900000000001</v>
      </c>
      <c r="E12" s="537">
        <v>9.65</v>
      </c>
      <c r="F12" s="537">
        <v>1.4950000000000001</v>
      </c>
      <c r="G12" s="474">
        <f>F12*$G$5</f>
        <v>1.1542331378038275</v>
      </c>
      <c r="H12" s="475">
        <f t="shared" si="5"/>
        <v>0.31457233465583684</v>
      </c>
      <c r="I12" s="474">
        <f>F12*$I$5</f>
        <v>0.11408578751780912</v>
      </c>
      <c r="J12" s="475">
        <f t="shared" ref="J12:J19" si="10">F12*$J$5</f>
        <v>0.20048654713802769</v>
      </c>
      <c r="K12" s="475">
        <f t="shared" si="6"/>
        <v>2.619452754033564E-2</v>
      </c>
      <c r="L12" s="475">
        <f t="shared" si="7"/>
        <v>0</v>
      </c>
      <c r="M12" s="475">
        <f t="shared" si="8"/>
        <v>0</v>
      </c>
      <c r="N12" s="475">
        <f t="shared" si="9"/>
        <v>0</v>
      </c>
      <c r="O12" s="549" t="s">
        <v>1521</v>
      </c>
      <c r="U12" s="465">
        <f t="shared" si="2"/>
        <v>1.0408340855860843E-16</v>
      </c>
      <c r="V12" s="465">
        <f t="shared" si="3"/>
        <v>0</v>
      </c>
    </row>
    <row r="13" spans="2:22" ht="18" customHeight="1" x14ac:dyDescent="0.3">
      <c r="B13" s="472" t="s">
        <v>1514</v>
      </c>
      <c r="C13" s="537"/>
      <c r="D13" s="537"/>
      <c r="E13" s="473">
        <v>0</v>
      </c>
      <c r="F13" s="537">
        <f>(D13)*'[46]Вхідні дані'!$D$77</f>
        <v>0</v>
      </c>
      <c r="G13" s="474">
        <f t="shared" si="4"/>
        <v>0</v>
      </c>
      <c r="H13" s="475">
        <f t="shared" si="5"/>
        <v>0</v>
      </c>
      <c r="I13" s="474">
        <f t="shared" ref="I13:I19" si="11">F13*$I$5</f>
        <v>0</v>
      </c>
      <c r="J13" s="475">
        <f t="shared" si="10"/>
        <v>0</v>
      </c>
      <c r="K13" s="475">
        <f t="shared" si="6"/>
        <v>0</v>
      </c>
      <c r="L13" s="475">
        <f t="shared" si="7"/>
        <v>0</v>
      </c>
      <c r="M13" s="475">
        <f t="shared" si="8"/>
        <v>0</v>
      </c>
      <c r="N13" s="475">
        <f t="shared" si="9"/>
        <v>0</v>
      </c>
      <c r="O13" s="500" t="s">
        <v>995</v>
      </c>
      <c r="U13" s="465">
        <f t="shared" si="2"/>
        <v>0</v>
      </c>
      <c r="V13" s="465">
        <f t="shared" si="3"/>
        <v>0</v>
      </c>
    </row>
    <row r="14" spans="2:22" ht="18.75" x14ac:dyDescent="0.3">
      <c r="B14" s="472" t="s">
        <v>946</v>
      </c>
      <c r="C14" s="473">
        <v>12.33</v>
      </c>
      <c r="D14" s="473">
        <f>(1276.51+966.43+24.17+128.87)/1000</f>
        <v>2.3959800000000002</v>
      </c>
      <c r="E14" s="473">
        <v>10.82</v>
      </c>
      <c r="F14" s="537">
        <v>2.4209999999999998</v>
      </c>
      <c r="G14" s="474">
        <f>F14*$G$5</f>
        <v>1.8691628271726193</v>
      </c>
      <c r="H14" s="475">
        <f>F14*$H$5</f>
        <v>0.50941780749283005</v>
      </c>
      <c r="I14" s="474">
        <f t="shared" si="11"/>
        <v>0.18475029537164939</v>
      </c>
      <c r="J14" s="475">
        <f t="shared" si="10"/>
        <v>0.32466751212118061</v>
      </c>
      <c r="K14" s="475">
        <f>F14*$K$5</f>
        <v>4.2419365334550214E-2</v>
      </c>
      <c r="L14" s="475">
        <f t="shared" si="7"/>
        <v>0</v>
      </c>
      <c r="M14" s="475">
        <f t="shared" si="8"/>
        <v>0</v>
      </c>
      <c r="N14" s="475">
        <f t="shared" si="9"/>
        <v>0</v>
      </c>
      <c r="O14" s="500" t="s">
        <v>1522</v>
      </c>
      <c r="P14" s="465" t="s">
        <v>1617</v>
      </c>
      <c r="U14" s="465">
        <f t="shared" si="2"/>
        <v>2.7061686225238191E-16</v>
      </c>
      <c r="V14" s="465">
        <f t="shared" si="3"/>
        <v>0</v>
      </c>
    </row>
    <row r="15" spans="2:22" ht="18.75" x14ac:dyDescent="0.3">
      <c r="B15" s="472" t="s">
        <v>968</v>
      </c>
      <c r="C15" s="473">
        <v>30.07</v>
      </c>
      <c r="D15" s="473">
        <f>(2075.94+836.15)/1000</f>
        <v>2.9120900000000001</v>
      </c>
      <c r="E15" s="473">
        <v>21.02</v>
      </c>
      <c r="F15" s="537">
        <v>3.052</v>
      </c>
      <c r="G15" s="474">
        <f t="shared" si="4"/>
        <v>2.3563341381787835</v>
      </c>
      <c r="H15" s="475">
        <f t="shared" si="5"/>
        <v>0.64219047850810307</v>
      </c>
      <c r="I15" s="474">
        <f t="shared" si="11"/>
        <v>0.23290289197615613</v>
      </c>
      <c r="J15" s="475">
        <f t="shared" si="10"/>
        <v>0.4092875865319468</v>
      </c>
      <c r="K15" s="475">
        <f t="shared" si="6"/>
        <v>5.3475383313113287E-2</v>
      </c>
      <c r="L15" s="475">
        <f t="shared" si="7"/>
        <v>0</v>
      </c>
      <c r="M15" s="475">
        <f t="shared" si="8"/>
        <v>0</v>
      </c>
      <c r="N15" s="475">
        <f t="shared" si="9"/>
        <v>0</v>
      </c>
      <c r="O15" s="500" t="s">
        <v>995</v>
      </c>
      <c r="U15" s="465">
        <f t="shared" si="2"/>
        <v>2.3592239273284576E-16</v>
      </c>
      <c r="V15" s="465">
        <f t="shared" si="3"/>
        <v>0</v>
      </c>
    </row>
    <row r="16" spans="2:22" ht="18.75" x14ac:dyDescent="0.3">
      <c r="B16" s="472" t="s">
        <v>969</v>
      </c>
      <c r="C16" s="473"/>
      <c r="D16" s="473"/>
      <c r="E16" s="473">
        <v>0</v>
      </c>
      <c r="F16" s="537">
        <f>(D16)*'[46]Вхідні дані'!$D$77</f>
        <v>0</v>
      </c>
      <c r="G16" s="474">
        <f t="shared" si="4"/>
        <v>0</v>
      </c>
      <c r="H16" s="475">
        <f t="shared" si="5"/>
        <v>0</v>
      </c>
      <c r="I16" s="474">
        <f t="shared" si="11"/>
        <v>0</v>
      </c>
      <c r="J16" s="475">
        <f t="shared" si="10"/>
        <v>0</v>
      </c>
      <c r="K16" s="475">
        <f t="shared" si="6"/>
        <v>0</v>
      </c>
      <c r="L16" s="475">
        <f t="shared" si="7"/>
        <v>0</v>
      </c>
      <c r="M16" s="475">
        <f t="shared" si="8"/>
        <v>0</v>
      </c>
      <c r="N16" s="475">
        <f t="shared" si="9"/>
        <v>0</v>
      </c>
      <c r="O16" s="500" t="s">
        <v>995</v>
      </c>
      <c r="U16" s="465">
        <f t="shared" si="2"/>
        <v>0</v>
      </c>
      <c r="V16" s="465">
        <f t="shared" si="3"/>
        <v>0</v>
      </c>
    </row>
    <row r="17" spans="2:22" ht="18.75" x14ac:dyDescent="0.3">
      <c r="B17" s="472" t="s">
        <v>970</v>
      </c>
      <c r="C17" s="473">
        <v>26.86</v>
      </c>
      <c r="D17" s="473">
        <f>(344.61+1319.22+146.72)/1000</f>
        <v>1.8105499999999999</v>
      </c>
      <c r="E17" s="473">
        <v>27.9</v>
      </c>
      <c r="F17" s="3232">
        <v>1.8680000000000001</v>
      </c>
      <c r="G17" s="474">
        <f>F17*$G$5</f>
        <v>1.4422123755301335</v>
      </c>
      <c r="H17" s="475">
        <f>F17*$H$5</f>
        <v>0.39305760611177476</v>
      </c>
      <c r="I17" s="474">
        <f>F17*$I$5</f>
        <v>0.14255000072459359</v>
      </c>
      <c r="J17" s="475">
        <f>F17*$J$5</f>
        <v>0.25050760538718109</v>
      </c>
      <c r="K17" s="475">
        <f>F17*$K$5</f>
        <v>3.2730018358091618E-2</v>
      </c>
      <c r="L17" s="475">
        <f t="shared" si="7"/>
        <v>0</v>
      </c>
      <c r="M17" s="475">
        <f t="shared" si="8"/>
        <v>0</v>
      </c>
      <c r="N17" s="475">
        <f t="shared" si="9"/>
        <v>0</v>
      </c>
      <c r="O17" s="549" t="s">
        <v>2692</v>
      </c>
      <c r="U17" s="465">
        <f t="shared" si="2"/>
        <v>2.4286128663675299E-16</v>
      </c>
      <c r="V17" s="465">
        <f t="shared" si="3"/>
        <v>0</v>
      </c>
    </row>
    <row r="18" spans="2:22" ht="18.75" x14ac:dyDescent="0.3">
      <c r="B18" s="472" t="s">
        <v>971</v>
      </c>
      <c r="C18" s="473">
        <v>1.45</v>
      </c>
      <c r="D18" s="473">
        <f>(106.24+117.22)/1000</f>
        <v>0.22345999999999999</v>
      </c>
      <c r="E18" s="473">
        <v>1.26</v>
      </c>
      <c r="F18" s="3232">
        <v>0.245</v>
      </c>
      <c r="G18" s="474">
        <f t="shared" si="4"/>
        <v>0.18915526338591152</v>
      </c>
      <c r="H18" s="475">
        <f>F18*$H$5</f>
        <v>5.1551987953632125E-2</v>
      </c>
      <c r="I18" s="474">
        <f>F18*$I$5</f>
        <v>1.8696333071480421E-2</v>
      </c>
      <c r="J18" s="475">
        <f t="shared" si="10"/>
        <v>3.2855654882151697E-2</v>
      </c>
      <c r="K18" s="475">
        <f t="shared" si="6"/>
        <v>4.2927486604563414E-3</v>
      </c>
      <c r="L18" s="475">
        <f t="shared" si="7"/>
        <v>0</v>
      </c>
      <c r="M18" s="475">
        <f t="shared" si="8"/>
        <v>0</v>
      </c>
      <c r="N18" s="475">
        <f t="shared" si="9"/>
        <v>0</v>
      </c>
      <c r="O18" s="500" t="s">
        <v>1333</v>
      </c>
      <c r="U18" s="465">
        <f t="shared" si="2"/>
        <v>1.3877787807814457E-17</v>
      </c>
      <c r="V18" s="465">
        <f t="shared" si="3"/>
        <v>0</v>
      </c>
    </row>
    <row r="19" spans="2:22" ht="18.75" x14ac:dyDescent="0.3">
      <c r="B19" s="472" t="s">
        <v>972</v>
      </c>
      <c r="C19" s="473"/>
      <c r="D19" s="473"/>
      <c r="E19" s="473">
        <v>0</v>
      </c>
      <c r="F19" s="3232">
        <f>(D19)*'[46]Вхідні дані'!$D$77</f>
        <v>0</v>
      </c>
      <c r="G19" s="474">
        <f t="shared" si="4"/>
        <v>0</v>
      </c>
      <c r="H19" s="475">
        <f t="shared" si="5"/>
        <v>0</v>
      </c>
      <c r="I19" s="474">
        <f t="shared" si="11"/>
        <v>0</v>
      </c>
      <c r="J19" s="475">
        <f t="shared" si="10"/>
        <v>0</v>
      </c>
      <c r="K19" s="475">
        <f t="shared" si="6"/>
        <v>0</v>
      </c>
      <c r="L19" s="475">
        <f t="shared" si="7"/>
        <v>0</v>
      </c>
      <c r="M19" s="475">
        <f t="shared" si="8"/>
        <v>0</v>
      </c>
      <c r="N19" s="475">
        <f t="shared" si="9"/>
        <v>0</v>
      </c>
      <c r="O19" s="500" t="s">
        <v>1902</v>
      </c>
      <c r="U19" s="465">
        <f t="shared" si="2"/>
        <v>0</v>
      </c>
      <c r="V19" s="465">
        <f t="shared" si="3"/>
        <v>0</v>
      </c>
    </row>
    <row r="20" spans="2:22" ht="20.45" customHeight="1" x14ac:dyDescent="0.3">
      <c r="B20" s="476" t="s">
        <v>947</v>
      </c>
      <c r="C20" s="471">
        <f t="shared" ref="C20:D20" si="12">C21+C23</f>
        <v>4163.41</v>
      </c>
      <c r="D20" s="471">
        <f t="shared" si="12"/>
        <v>2333.4229500000001</v>
      </c>
      <c r="E20" s="471">
        <f>E21+E23</f>
        <v>3196.44</v>
      </c>
      <c r="F20" s="1475">
        <f t="shared" ref="F20:N20" si="13">F21+F23</f>
        <v>3435.9215264000004</v>
      </c>
      <c r="G20" s="471">
        <f>G21+G23</f>
        <v>2652.7454746918988</v>
      </c>
      <c r="H20" s="471">
        <f t="shared" si="13"/>
        <v>722.97381689223721</v>
      </c>
      <c r="I20" s="471">
        <f t="shared" si="13"/>
        <v>262.20054393895435</v>
      </c>
      <c r="J20" s="471">
        <f t="shared" si="13"/>
        <v>460.7732729532828</v>
      </c>
      <c r="K20" s="471">
        <f t="shared" si="13"/>
        <v>60.202234815864131</v>
      </c>
      <c r="L20" s="471">
        <f t="shared" si="13"/>
        <v>0</v>
      </c>
      <c r="M20" s="471">
        <f t="shared" si="13"/>
        <v>0</v>
      </c>
      <c r="N20" s="471">
        <f t="shared" si="13"/>
        <v>0</v>
      </c>
      <c r="O20" s="500"/>
      <c r="P20" s="501"/>
      <c r="U20" s="465">
        <f t="shared" si="2"/>
        <v>2.2737367544323206E-13</v>
      </c>
      <c r="V20" s="465">
        <f t="shared" si="3"/>
        <v>0</v>
      </c>
    </row>
    <row r="21" spans="2:22" ht="39" customHeight="1" x14ac:dyDescent="0.3">
      <c r="B21" s="472" t="s">
        <v>1638</v>
      </c>
      <c r="C21" s="473">
        <f>1178.15+1501.31+751.16</f>
        <v>3430.62</v>
      </c>
      <c r="D21" s="473">
        <f>(969075.3+648102.94+312410.93)/1000</f>
        <v>1929.58917</v>
      </c>
      <c r="E21" s="473">
        <v>2620.0300000000002</v>
      </c>
      <c r="F21" s="3230">
        <f>ФОП!H44/1000</f>
        <v>2816.3291200000003</v>
      </c>
      <c r="G21" s="474">
        <f>F21*$G$5</f>
        <v>2174.381536632704</v>
      </c>
      <c r="H21" s="475">
        <f>F21*$H$5</f>
        <v>592.60148925593217</v>
      </c>
      <c r="I21" s="474">
        <f t="shared" ref="I21:I38" si="14">F21*$I$5</f>
        <v>214.91847863848719</v>
      </c>
      <c r="J21" s="475">
        <f t="shared" ref="J21:J38" si="15">F21*$J$5</f>
        <v>377.68301061744489</v>
      </c>
      <c r="K21" s="475">
        <f t="shared" ref="K21:K38" si="16">F21*$K$5</f>
        <v>49.346094111364039</v>
      </c>
      <c r="L21" s="475">
        <f t="shared" ref="L21:L38" si="17">F21*$L$5</f>
        <v>0</v>
      </c>
      <c r="M21" s="475">
        <f t="shared" ref="M21:M38" si="18">F21*$M$5</f>
        <v>0</v>
      </c>
      <c r="N21" s="475">
        <f t="shared" ref="N21:N38" si="19">F21*$N$5</f>
        <v>0</v>
      </c>
      <c r="O21" s="502" t="s">
        <v>1079</v>
      </c>
      <c r="P21" s="501"/>
      <c r="U21" s="465">
        <f>F21-G21-H21-K21-L21-M21-N21</f>
        <v>1.7053025658242404E-13</v>
      </c>
      <c r="V21" s="465">
        <f t="shared" si="3"/>
        <v>0</v>
      </c>
    </row>
    <row r="22" spans="2:22" ht="18.75" hidden="1" x14ac:dyDescent="0.3">
      <c r="B22" s="538" t="s">
        <v>1632</v>
      </c>
      <c r="C22" s="473"/>
      <c r="D22" s="473"/>
      <c r="E22" s="458"/>
      <c r="F22" s="3230">
        <f>ФОП!H45/1000</f>
        <v>0</v>
      </c>
      <c r="G22" s="474">
        <f t="shared" ref="G22:G38" si="20">F22*$G$5</f>
        <v>0</v>
      </c>
      <c r="H22" s="475">
        <f t="shared" ref="H22:H38" si="21">F22*$H$5</f>
        <v>0</v>
      </c>
      <c r="I22" s="474">
        <f t="shared" si="14"/>
        <v>0</v>
      </c>
      <c r="J22" s="475">
        <f t="shared" si="15"/>
        <v>0</v>
      </c>
      <c r="K22" s="475">
        <f t="shared" si="16"/>
        <v>0</v>
      </c>
      <c r="L22" s="475">
        <f t="shared" si="17"/>
        <v>0</v>
      </c>
      <c r="M22" s="475">
        <f t="shared" si="18"/>
        <v>0</v>
      </c>
      <c r="N22" s="475">
        <f t="shared" si="19"/>
        <v>0</v>
      </c>
      <c r="O22" s="502" t="s">
        <v>1079</v>
      </c>
      <c r="P22" s="501"/>
      <c r="U22" s="465">
        <f>F22-G22-H22-K22-L22-M22-N22</f>
        <v>0</v>
      </c>
      <c r="V22" s="465">
        <f>H22-I22-J22</f>
        <v>0</v>
      </c>
    </row>
    <row r="23" spans="2:22" ht="39" customHeight="1" x14ac:dyDescent="0.3">
      <c r="B23" s="472" t="s">
        <v>1639</v>
      </c>
      <c r="C23" s="473">
        <f>158.31+251.53+322.95</f>
        <v>732.79</v>
      </c>
      <c r="D23" s="473">
        <f>(201455.48+140242.27+62136.03)/1000</f>
        <v>403.83378000000005</v>
      </c>
      <c r="E23" s="473">
        <v>576.41</v>
      </c>
      <c r="F23" s="3230">
        <f>(F21-F22)*'Вхідні дані'!D44+F22*'Вхідні дані'!D45</f>
        <v>619.59240640000007</v>
      </c>
      <c r="G23" s="474">
        <f t="shared" si="20"/>
        <v>478.36393805919488</v>
      </c>
      <c r="H23" s="475">
        <f t="shared" si="21"/>
        <v>130.37232763630507</v>
      </c>
      <c r="I23" s="474">
        <f t="shared" si="14"/>
        <v>47.282065300467181</v>
      </c>
      <c r="J23" s="475">
        <f t="shared" si="15"/>
        <v>83.090262335837878</v>
      </c>
      <c r="K23" s="475">
        <f t="shared" si="16"/>
        <v>10.856140704500088</v>
      </c>
      <c r="L23" s="475">
        <f t="shared" si="17"/>
        <v>0</v>
      </c>
      <c r="M23" s="475">
        <f t="shared" si="18"/>
        <v>0</v>
      </c>
      <c r="N23" s="475">
        <f t="shared" si="19"/>
        <v>0</v>
      </c>
      <c r="O23" s="502" t="s">
        <v>1079</v>
      </c>
      <c r="P23" s="501" t="s">
        <v>949</v>
      </c>
      <c r="S23" s="458">
        <f>ФОП!H51/1000</f>
        <v>145.13906220000001</v>
      </c>
      <c r="U23" s="465">
        <f t="shared" ref="U23:U33" si="22">F23-G23-H23-K23-L23-M23-N23</f>
        <v>3.1974423109204508E-14</v>
      </c>
      <c r="V23" s="465">
        <f t="shared" ref="V23:V33" si="23">H23-I23-J23</f>
        <v>0</v>
      </c>
    </row>
    <row r="24" spans="2:22" s="477" customFormat="1" ht="54" customHeight="1" x14ac:dyDescent="0.3">
      <c r="B24" s="476" t="s">
        <v>1640</v>
      </c>
      <c r="C24" s="471">
        <f t="shared" ref="C24" si="24">SUM(C25:C36)</f>
        <v>58.819999999999993</v>
      </c>
      <c r="D24" s="471">
        <f t="shared" ref="D24:N24" si="25">SUM(D25:D36)</f>
        <v>33.095699999999994</v>
      </c>
      <c r="E24" s="471">
        <f t="shared" si="25"/>
        <v>49.540000000000006</v>
      </c>
      <c r="F24" s="1475">
        <f t="shared" si="25"/>
        <v>46.939950859999996</v>
      </c>
      <c r="G24" s="471">
        <f t="shared" si="25"/>
        <v>36.240566401000187</v>
      </c>
      <c r="H24" s="471">
        <f t="shared" si="25"/>
        <v>9.8769297195053216</v>
      </c>
      <c r="I24" s="471">
        <f t="shared" si="25"/>
        <v>3.5820610434183018</v>
      </c>
      <c r="J24" s="471">
        <f t="shared" si="25"/>
        <v>6.2948686760870194</v>
      </c>
      <c r="K24" s="471">
        <f t="shared" si="25"/>
        <v>0.82245473949449621</v>
      </c>
      <c r="L24" s="471">
        <f t="shared" si="25"/>
        <v>0</v>
      </c>
      <c r="M24" s="471">
        <f t="shared" si="25"/>
        <v>0</v>
      </c>
      <c r="N24" s="471">
        <f t="shared" si="25"/>
        <v>0</v>
      </c>
      <c r="O24" s="500"/>
      <c r="P24" s="503"/>
      <c r="Q24" s="488"/>
      <c r="S24" s="458"/>
      <c r="T24" s="458"/>
      <c r="U24" s="465">
        <f t="shared" si="22"/>
        <v>-8.7707618945387367E-15</v>
      </c>
      <c r="V24" s="465">
        <f>H24-I24-J24</f>
        <v>0</v>
      </c>
    </row>
    <row r="25" spans="2:22" ht="18" customHeight="1" x14ac:dyDescent="0.3">
      <c r="B25" s="478" t="s">
        <v>1334</v>
      </c>
      <c r="C25" s="536">
        <f>0.17+0.02+33.39</f>
        <v>33.58</v>
      </c>
      <c r="D25" s="536">
        <f>(5896.35)/1000</f>
        <v>5.89635</v>
      </c>
      <c r="E25" s="536">
        <v>20.260000000000002</v>
      </c>
      <c r="F25" s="3230">
        <f>6.891</f>
        <v>6.891</v>
      </c>
      <c r="G25" s="474">
        <f t="shared" ref="G25:G37" si="26">F25*$G$5</f>
        <v>5.3202813060910863</v>
      </c>
      <c r="H25" s="475">
        <f t="shared" ref="H25:H37" si="27">F25*$H$5</f>
        <v>1.4499785672999141</v>
      </c>
      <c r="I25" s="474">
        <f t="shared" ref="I25:I37" si="28">F25*$I$5</f>
        <v>0.52586298447172075</v>
      </c>
      <c r="J25" s="475">
        <f t="shared" ref="J25:J37" si="29">F25*$J$5</f>
        <v>0.92411558282819317</v>
      </c>
      <c r="K25" s="475">
        <f t="shared" ref="K25:K37" si="30">F25*$K$5</f>
        <v>0.12074012660899858</v>
      </c>
      <c r="L25" s="475">
        <f t="shared" ref="L25:L37" si="31">F25*$L$5</f>
        <v>0</v>
      </c>
      <c r="M25" s="475">
        <f t="shared" ref="M25:M37" si="32">F25*$M$5</f>
        <v>0</v>
      </c>
      <c r="N25" s="475">
        <f t="shared" ref="N25:N37" si="33">F25*$N$5</f>
        <v>0</v>
      </c>
      <c r="O25" s="500" t="s">
        <v>1637</v>
      </c>
      <c r="P25" s="458"/>
      <c r="Q25" s="458"/>
      <c r="U25" s="465">
        <f t="shared" si="22"/>
        <v>9.9920072216264089E-16</v>
      </c>
      <c r="V25" s="465">
        <f t="shared" si="23"/>
        <v>0</v>
      </c>
    </row>
    <row r="26" spans="2:22" ht="18" customHeight="1" x14ac:dyDescent="0.3">
      <c r="B26" s="478" t="s">
        <v>1484</v>
      </c>
      <c r="C26" s="536"/>
      <c r="D26" s="536"/>
      <c r="E26" s="536">
        <v>0</v>
      </c>
      <c r="F26" s="3238">
        <v>0</v>
      </c>
      <c r="G26" s="474">
        <f t="shared" si="26"/>
        <v>0</v>
      </c>
      <c r="H26" s="475">
        <f t="shared" si="27"/>
        <v>0</v>
      </c>
      <c r="I26" s="474">
        <f t="shared" si="28"/>
        <v>0</v>
      </c>
      <c r="J26" s="475">
        <f t="shared" si="29"/>
        <v>0</v>
      </c>
      <c r="K26" s="475">
        <f t="shared" si="30"/>
        <v>0</v>
      </c>
      <c r="L26" s="475">
        <f t="shared" si="31"/>
        <v>0</v>
      </c>
      <c r="M26" s="475">
        <f t="shared" si="32"/>
        <v>0</v>
      </c>
      <c r="N26" s="475">
        <f t="shared" si="33"/>
        <v>0</v>
      </c>
      <c r="O26" s="500" t="s">
        <v>2758</v>
      </c>
      <c r="P26" s="501"/>
      <c r="U26" s="465">
        <f t="shared" si="22"/>
        <v>0</v>
      </c>
      <c r="V26" s="465">
        <f t="shared" si="23"/>
        <v>0</v>
      </c>
    </row>
    <row r="27" spans="2:22" ht="22.15" customHeight="1" x14ac:dyDescent="0.3">
      <c r="B27" s="478" t="s">
        <v>1338</v>
      </c>
      <c r="C27" s="473">
        <f>0.1+0.22+0.1+0.27</f>
        <v>0.69000000000000006</v>
      </c>
      <c r="D27" s="473">
        <f>(2087.39+405.41+475.21+683.98)/1000</f>
        <v>3.6519899999999996</v>
      </c>
      <c r="E27" s="473">
        <v>0.56000000000000005</v>
      </c>
      <c r="F27" s="3230">
        <v>3.8479999999999999</v>
      </c>
      <c r="G27" s="474">
        <f t="shared" si="26"/>
        <v>2.9708957286081121</v>
      </c>
      <c r="H27" s="475">
        <f t="shared" si="27"/>
        <v>0.80968183528806692</v>
      </c>
      <c r="I27" s="474">
        <f t="shared" si="28"/>
        <v>0.2936468965675782</v>
      </c>
      <c r="J27" s="475">
        <f t="shared" si="29"/>
        <v>0.51603493872048867</v>
      </c>
      <c r="K27" s="475">
        <f t="shared" si="30"/>
        <v>6.7422436103820413E-2</v>
      </c>
      <c r="L27" s="475">
        <f t="shared" si="31"/>
        <v>0</v>
      </c>
      <c r="M27" s="475">
        <f t="shared" si="32"/>
        <v>0</v>
      </c>
      <c r="N27" s="475">
        <f t="shared" si="33"/>
        <v>0</v>
      </c>
      <c r="O27" s="549" t="s">
        <v>1818</v>
      </c>
      <c r="P27" s="504"/>
      <c r="U27" s="465">
        <f t="shared" si="22"/>
        <v>4.0245584642661925E-16</v>
      </c>
      <c r="V27" s="465">
        <f t="shared" si="23"/>
        <v>0</v>
      </c>
    </row>
    <row r="28" spans="2:22" ht="18.75" x14ac:dyDescent="0.3">
      <c r="B28" s="478" t="s">
        <v>951</v>
      </c>
      <c r="C28" s="475">
        <f>2.64+16.07</f>
        <v>18.71</v>
      </c>
      <c r="D28" s="475">
        <f>(3501.55+15607.7)/1000</f>
        <v>19.109249999999999</v>
      </c>
      <c r="E28" s="475">
        <v>23.09</v>
      </c>
      <c r="F28" s="474">
        <f>'Д 9_ЕЕ'!D167</f>
        <v>31.433950860000003</v>
      </c>
      <c r="G28" s="474">
        <f t="shared" si="26"/>
        <v>24.268968384420816</v>
      </c>
      <c r="H28" s="475">
        <f t="shared" si="27"/>
        <v>6.6142149227338134</v>
      </c>
      <c r="I28" s="474">
        <f>F28*$I$5</f>
        <v>2.398773938902484</v>
      </c>
      <c r="J28" s="475">
        <f t="shared" si="29"/>
        <v>4.2154409838313285</v>
      </c>
      <c r="K28" s="475">
        <f t="shared" si="30"/>
        <v>0.55076755284536938</v>
      </c>
      <c r="L28" s="475">
        <f t="shared" si="31"/>
        <v>0</v>
      </c>
      <c r="M28" s="475">
        <f t="shared" si="32"/>
        <v>0</v>
      </c>
      <c r="N28" s="475">
        <f t="shared" si="33"/>
        <v>0</v>
      </c>
      <c r="O28" s="500" t="s">
        <v>1637</v>
      </c>
      <c r="P28" s="458"/>
      <c r="Q28" s="458"/>
      <c r="U28" s="465">
        <f t="shared" si="22"/>
        <v>4.1078251911130792E-15</v>
      </c>
      <c r="V28" s="465">
        <f t="shared" si="23"/>
        <v>0</v>
      </c>
    </row>
    <row r="29" spans="2:22" ht="18.75" x14ac:dyDescent="0.3">
      <c r="B29" s="478" t="s">
        <v>952</v>
      </c>
      <c r="C29" s="475"/>
      <c r="D29" s="475"/>
      <c r="E29" s="475"/>
      <c r="F29" s="474"/>
      <c r="G29" s="474">
        <f t="shared" si="26"/>
        <v>0</v>
      </c>
      <c r="H29" s="475">
        <f t="shared" si="27"/>
        <v>0</v>
      </c>
      <c r="I29" s="474">
        <f>F29*$I$5</f>
        <v>0</v>
      </c>
      <c r="J29" s="475">
        <f t="shared" si="29"/>
        <v>0</v>
      </c>
      <c r="K29" s="475">
        <f t="shared" si="30"/>
        <v>0</v>
      </c>
      <c r="L29" s="475">
        <f t="shared" si="31"/>
        <v>0</v>
      </c>
      <c r="M29" s="475">
        <f t="shared" si="32"/>
        <v>0</v>
      </c>
      <c r="N29" s="475">
        <f t="shared" si="33"/>
        <v>0</v>
      </c>
      <c r="O29" s="500" t="s">
        <v>1516</v>
      </c>
      <c r="U29" s="465">
        <f t="shared" si="22"/>
        <v>0</v>
      </c>
      <c r="V29" s="465">
        <f t="shared" si="23"/>
        <v>0</v>
      </c>
    </row>
    <row r="30" spans="2:22" ht="18.75" x14ac:dyDescent="0.3">
      <c r="B30" s="478" t="s">
        <v>1345</v>
      </c>
      <c r="C30" s="475">
        <v>1.82</v>
      </c>
      <c r="D30" s="475"/>
      <c r="E30" s="475">
        <v>1.27</v>
      </c>
      <c r="F30" s="474">
        <v>0</v>
      </c>
      <c r="G30" s="474">
        <f t="shared" si="26"/>
        <v>0</v>
      </c>
      <c r="H30" s="475">
        <f>F30*$H$5</f>
        <v>0</v>
      </c>
      <c r="I30" s="474">
        <f>F30*$I$5</f>
        <v>0</v>
      </c>
      <c r="J30" s="475">
        <f t="shared" si="29"/>
        <v>0</v>
      </c>
      <c r="K30" s="475">
        <f t="shared" si="30"/>
        <v>0</v>
      </c>
      <c r="L30" s="475">
        <f t="shared" si="31"/>
        <v>0</v>
      </c>
      <c r="M30" s="475">
        <f t="shared" si="32"/>
        <v>0</v>
      </c>
      <c r="N30" s="475">
        <f t="shared" si="33"/>
        <v>0</v>
      </c>
      <c r="O30" s="500" t="s">
        <v>1893</v>
      </c>
      <c r="U30" s="465">
        <f t="shared" si="22"/>
        <v>0</v>
      </c>
      <c r="V30" s="465">
        <f t="shared" si="23"/>
        <v>0</v>
      </c>
    </row>
    <row r="31" spans="2:22" ht="18.75" customHeight="1" x14ac:dyDescent="0.3">
      <c r="B31" s="762" t="s">
        <v>1532</v>
      </c>
      <c r="C31" s="473"/>
      <c r="D31" s="473">
        <f>(109.26)/1000</f>
        <v>0.10926000000000001</v>
      </c>
      <c r="E31" s="473">
        <v>0.09</v>
      </c>
      <c r="F31" s="3230">
        <v>0.126</v>
      </c>
      <c r="G31" s="474">
        <f t="shared" si="26"/>
        <v>9.7279849741325919E-2</v>
      </c>
      <c r="H31" s="475">
        <f t="shared" si="27"/>
        <v>2.6512450947582235E-2</v>
      </c>
      <c r="I31" s="474">
        <f t="shared" si="28"/>
        <v>9.6152570081899317E-3</v>
      </c>
      <c r="J31" s="475">
        <f t="shared" si="29"/>
        <v>1.6897193939392301E-2</v>
      </c>
      <c r="K31" s="475">
        <f t="shared" si="30"/>
        <v>2.2076993110918329E-3</v>
      </c>
      <c r="L31" s="475">
        <f t="shared" si="31"/>
        <v>0</v>
      </c>
      <c r="M31" s="475">
        <f t="shared" si="32"/>
        <v>0</v>
      </c>
      <c r="N31" s="475">
        <f t="shared" si="33"/>
        <v>0</v>
      </c>
      <c r="O31" s="502" t="s">
        <v>2453</v>
      </c>
      <c r="U31" s="465">
        <f t="shared" si="22"/>
        <v>1.4311468676808659E-17</v>
      </c>
      <c r="V31" s="465">
        <f t="shared" si="23"/>
        <v>0</v>
      </c>
    </row>
    <row r="32" spans="2:22" ht="18.75" x14ac:dyDescent="0.3">
      <c r="B32" s="478" t="s">
        <v>1346</v>
      </c>
      <c r="C32" s="475">
        <f>3.51+0.33+0.18</f>
        <v>4.0199999999999996</v>
      </c>
      <c r="D32" s="475">
        <f>(1451.06+1014.14+1331.54)/1000</f>
        <v>3.7967399999999998</v>
      </c>
      <c r="E32" s="475">
        <v>4.2699999999999996</v>
      </c>
      <c r="F32" s="474">
        <f>4.021</f>
        <v>4.0209999999999999</v>
      </c>
      <c r="G32" s="474">
        <f t="shared" si="26"/>
        <v>3.1044625064275517</v>
      </c>
      <c r="H32" s="475">
        <f t="shared" si="27"/>
        <v>0.84608385127165209</v>
      </c>
      <c r="I32" s="474">
        <f t="shared" si="28"/>
        <v>0.3068487970629501</v>
      </c>
      <c r="J32" s="475">
        <f t="shared" si="29"/>
        <v>0.53923505420870188</v>
      </c>
      <c r="K32" s="475">
        <f t="shared" si="30"/>
        <v>7.0453642300795719E-2</v>
      </c>
      <c r="L32" s="475">
        <f t="shared" si="31"/>
        <v>0</v>
      </c>
      <c r="M32" s="475">
        <f t="shared" si="32"/>
        <v>0</v>
      </c>
      <c r="N32" s="475">
        <f t="shared" si="33"/>
        <v>0</v>
      </c>
      <c r="O32" s="500" t="s">
        <v>1894</v>
      </c>
      <c r="P32" s="465" t="s">
        <v>1641</v>
      </c>
      <c r="U32" s="465">
        <f t="shared" si="22"/>
        <v>3.7470027081099033E-16</v>
      </c>
      <c r="V32" s="465">
        <f t="shared" si="23"/>
        <v>0</v>
      </c>
    </row>
    <row r="33" spans="1:24" ht="18.75" x14ac:dyDescent="0.3">
      <c r="B33" s="478" t="s">
        <v>1347</v>
      </c>
      <c r="C33" s="475"/>
      <c r="D33" s="475"/>
      <c r="E33" s="475"/>
      <c r="F33" s="474"/>
      <c r="G33" s="474">
        <f t="shared" si="26"/>
        <v>0</v>
      </c>
      <c r="H33" s="475">
        <f t="shared" si="27"/>
        <v>0</v>
      </c>
      <c r="I33" s="474">
        <f t="shared" si="28"/>
        <v>0</v>
      </c>
      <c r="J33" s="475">
        <f t="shared" si="29"/>
        <v>0</v>
      </c>
      <c r="K33" s="475">
        <f t="shared" si="30"/>
        <v>0</v>
      </c>
      <c r="L33" s="475">
        <f t="shared" si="31"/>
        <v>0</v>
      </c>
      <c r="M33" s="475">
        <f t="shared" si="32"/>
        <v>0</v>
      </c>
      <c r="N33" s="475">
        <f t="shared" si="33"/>
        <v>0</v>
      </c>
      <c r="O33" s="500" t="s">
        <v>1592</v>
      </c>
      <c r="U33" s="465">
        <f t="shared" si="22"/>
        <v>0</v>
      </c>
      <c r="V33" s="465">
        <f t="shared" si="23"/>
        <v>0</v>
      </c>
    </row>
    <row r="34" spans="1:24" ht="18.75" x14ac:dyDescent="0.3">
      <c r="B34" s="478" t="s">
        <v>1348</v>
      </c>
      <c r="C34" s="475"/>
      <c r="D34" s="475"/>
      <c r="E34" s="475"/>
      <c r="F34" s="474"/>
      <c r="G34" s="474">
        <f t="shared" si="26"/>
        <v>0</v>
      </c>
      <c r="H34" s="475">
        <f t="shared" si="27"/>
        <v>0</v>
      </c>
      <c r="I34" s="474">
        <f t="shared" si="28"/>
        <v>0</v>
      </c>
      <c r="J34" s="475">
        <f t="shared" si="29"/>
        <v>0</v>
      </c>
      <c r="K34" s="475">
        <f t="shared" si="30"/>
        <v>0</v>
      </c>
      <c r="L34" s="475">
        <f t="shared" si="31"/>
        <v>0</v>
      </c>
      <c r="M34" s="475">
        <f t="shared" si="32"/>
        <v>0</v>
      </c>
      <c r="N34" s="475">
        <f t="shared" si="33"/>
        <v>0</v>
      </c>
      <c r="O34" s="500" t="s">
        <v>1593</v>
      </c>
      <c r="U34" s="465">
        <f>F34-G34-H34-K34-L34-M34-N34</f>
        <v>0</v>
      </c>
      <c r="V34" s="465">
        <f>H34-I34-J34</f>
        <v>0</v>
      </c>
    </row>
    <row r="35" spans="1:24" ht="18.75" x14ac:dyDescent="0.3">
      <c r="B35" s="478" t="s">
        <v>1349</v>
      </c>
      <c r="C35" s="475"/>
      <c r="D35" s="475">
        <f>0.58/1000</f>
        <v>5.8E-4</v>
      </c>
      <c r="E35" s="475"/>
      <c r="F35" s="474"/>
      <c r="G35" s="474">
        <f t="shared" si="26"/>
        <v>0</v>
      </c>
      <c r="H35" s="475">
        <f t="shared" si="27"/>
        <v>0</v>
      </c>
      <c r="I35" s="474">
        <f t="shared" si="28"/>
        <v>0</v>
      </c>
      <c r="J35" s="475">
        <f t="shared" si="29"/>
        <v>0</v>
      </c>
      <c r="K35" s="475">
        <f t="shared" si="30"/>
        <v>0</v>
      </c>
      <c r="L35" s="475">
        <f t="shared" si="31"/>
        <v>0</v>
      </c>
      <c r="M35" s="475">
        <f t="shared" si="32"/>
        <v>0</v>
      </c>
      <c r="N35" s="475">
        <f t="shared" si="33"/>
        <v>0</v>
      </c>
      <c r="O35" s="500" t="s">
        <v>1542</v>
      </c>
      <c r="U35" s="465">
        <f t="shared" ref="U35:U47" si="34">F35-G35-H35-K35-L35-M35-N35</f>
        <v>0</v>
      </c>
      <c r="V35" s="465">
        <f t="shared" ref="V35:V47" si="35">H35-I35-J35</f>
        <v>0</v>
      </c>
    </row>
    <row r="36" spans="1:24" ht="18.75" x14ac:dyDescent="0.3">
      <c r="B36" s="478" t="s">
        <v>3382</v>
      </c>
      <c r="C36" s="473"/>
      <c r="D36" s="473">
        <f>(531.53)/1000</f>
        <v>0.53152999999999995</v>
      </c>
      <c r="E36" s="473"/>
      <c r="F36" s="3230">
        <v>0.62</v>
      </c>
      <c r="G36" s="474">
        <f t="shared" si="26"/>
        <v>0.47867862571128628</v>
      </c>
      <c r="H36" s="475">
        <f t="shared" si="27"/>
        <v>0.13045809196429353</v>
      </c>
      <c r="I36" s="474">
        <f t="shared" si="28"/>
        <v>4.7313169405379031E-2</v>
      </c>
      <c r="J36" s="475">
        <f t="shared" si="29"/>
        <v>8.3144922558914494E-2</v>
      </c>
      <c r="K36" s="475">
        <f t="shared" si="30"/>
        <v>1.086328232442013E-2</v>
      </c>
      <c r="L36" s="475">
        <f t="shared" si="31"/>
        <v>0</v>
      </c>
      <c r="M36" s="475">
        <f t="shared" si="32"/>
        <v>0</v>
      </c>
      <c r="N36" s="475">
        <f t="shared" si="33"/>
        <v>0</v>
      </c>
      <c r="O36" s="502" t="s">
        <v>995</v>
      </c>
      <c r="P36" s="593" t="s">
        <v>1642</v>
      </c>
      <c r="Q36" s="586"/>
      <c r="U36" s="465">
        <f t="shared" si="34"/>
        <v>5.7245874707234634E-17</v>
      </c>
      <c r="V36" s="465">
        <f t="shared" si="35"/>
        <v>0</v>
      </c>
    </row>
    <row r="37" spans="1:24" s="477" customFormat="1" ht="37.5" x14ac:dyDescent="0.3">
      <c r="A37" s="458"/>
      <c r="B37" s="476" t="s">
        <v>1643</v>
      </c>
      <c r="C37" s="479">
        <v>59.46</v>
      </c>
      <c r="D37" s="479">
        <f>(20794.79)/1000</f>
        <v>20.794790000000003</v>
      </c>
      <c r="E37" s="479">
        <v>35.75</v>
      </c>
      <c r="F37" s="3234">
        <v>24.291</v>
      </c>
      <c r="G37" s="1475">
        <f t="shared" si="26"/>
        <v>18.754165317988477</v>
      </c>
      <c r="H37" s="471">
        <f t="shared" si="27"/>
        <v>5.1112217933946038</v>
      </c>
      <c r="I37" s="1475">
        <f t="shared" si="28"/>
        <v>1.8536841903646162</v>
      </c>
      <c r="J37" s="471">
        <f t="shared" si="29"/>
        <v>3.257537603029987</v>
      </c>
      <c r="K37" s="471">
        <f t="shared" si="30"/>
        <v>0.42561288861691837</v>
      </c>
      <c r="L37" s="471">
        <f t="shared" si="31"/>
        <v>0</v>
      </c>
      <c r="M37" s="471">
        <f t="shared" si="32"/>
        <v>0</v>
      </c>
      <c r="N37" s="471">
        <f t="shared" si="33"/>
        <v>0</v>
      </c>
      <c r="O37" s="549" t="s">
        <v>1660</v>
      </c>
      <c r="P37" s="504"/>
      <c r="Q37" s="504"/>
      <c r="R37" s="458"/>
      <c r="U37" s="465">
        <f t="shared" si="34"/>
        <v>1.3322676295501878E-15</v>
      </c>
      <c r="V37" s="465">
        <f t="shared" si="35"/>
        <v>0</v>
      </c>
    </row>
    <row r="38" spans="1:24" s="477" customFormat="1" ht="39" hidden="1" customHeight="1" x14ac:dyDescent="0.3">
      <c r="A38" s="458"/>
      <c r="B38" s="476" t="s">
        <v>1644</v>
      </c>
      <c r="C38" s="479">
        <v>0</v>
      </c>
      <c r="D38" s="479">
        <v>0</v>
      </c>
      <c r="E38" s="479">
        <v>0</v>
      </c>
      <c r="F38" s="3234">
        <v>0</v>
      </c>
      <c r="G38" s="474">
        <f t="shared" si="20"/>
        <v>0</v>
      </c>
      <c r="H38" s="475">
        <f t="shared" si="21"/>
        <v>0</v>
      </c>
      <c r="I38" s="474">
        <f t="shared" si="14"/>
        <v>0</v>
      </c>
      <c r="J38" s="475">
        <f t="shared" si="15"/>
        <v>0</v>
      </c>
      <c r="K38" s="475">
        <f t="shared" si="16"/>
        <v>0</v>
      </c>
      <c r="L38" s="475">
        <f t="shared" si="17"/>
        <v>0</v>
      </c>
      <c r="M38" s="475">
        <f t="shared" si="18"/>
        <v>0</v>
      </c>
      <c r="N38" s="475">
        <f t="shared" si="19"/>
        <v>0</v>
      </c>
      <c r="O38" s="500"/>
      <c r="P38" s="4013"/>
      <c r="Q38" s="4013"/>
      <c r="R38" s="4013"/>
      <c r="U38" s="465">
        <f t="shared" si="34"/>
        <v>0</v>
      </c>
      <c r="V38" s="465">
        <f t="shared" si="35"/>
        <v>0</v>
      </c>
    </row>
    <row r="39" spans="1:24" ht="18.75" x14ac:dyDescent="0.3">
      <c r="B39" s="476" t="s">
        <v>953</v>
      </c>
      <c r="C39" s="479">
        <f t="shared" ref="C39:N39" si="36">SUM(C40:C68)</f>
        <v>667.44999999999993</v>
      </c>
      <c r="D39" s="479">
        <f t="shared" si="36"/>
        <v>380.95976000000002</v>
      </c>
      <c r="E39" s="479">
        <f t="shared" si="36"/>
        <v>572.85</v>
      </c>
      <c r="F39" s="3234">
        <f t="shared" si="36"/>
        <v>370.79351919999999</v>
      </c>
      <c r="G39" s="479">
        <f t="shared" si="36"/>
        <v>286.27569708597974</v>
      </c>
      <c r="H39" s="479">
        <f t="shared" si="36"/>
        <v>78.020991979931679</v>
      </c>
      <c r="I39" s="479">
        <f t="shared" si="36"/>
        <v>28.295833206977846</v>
      </c>
      <c r="J39" s="479">
        <f t="shared" si="36"/>
        <v>49.725158772953826</v>
      </c>
      <c r="K39" s="479">
        <f t="shared" si="36"/>
        <v>6.496830134088543</v>
      </c>
      <c r="L39" s="479">
        <f t="shared" si="36"/>
        <v>0</v>
      </c>
      <c r="M39" s="479">
        <f t="shared" si="36"/>
        <v>0</v>
      </c>
      <c r="N39" s="479">
        <f t="shared" si="36"/>
        <v>0</v>
      </c>
      <c r="O39" s="500" t="s">
        <v>1352</v>
      </c>
      <c r="P39" s="488"/>
      <c r="Q39" s="488"/>
      <c r="R39" s="480"/>
      <c r="S39" s="480"/>
      <c r="T39" s="480"/>
      <c r="U39" s="465">
        <f>F39-G39-H39-K39-L39-M39-N39</f>
        <v>2.5757174171303632E-14</v>
      </c>
      <c r="V39" s="465">
        <f>H39-I39-J39</f>
        <v>0</v>
      </c>
      <c r="W39" s="480"/>
      <c r="X39" s="480"/>
    </row>
    <row r="40" spans="1:24" ht="18.75" x14ac:dyDescent="0.3">
      <c r="B40" s="481" t="s">
        <v>3383</v>
      </c>
      <c r="C40" s="473">
        <v>0.18</v>
      </c>
      <c r="D40" s="473">
        <f>(82.63+21.15)/1000</f>
        <v>0.10378</v>
      </c>
      <c r="E40" s="473">
        <v>0.19</v>
      </c>
      <c r="F40" s="3230">
        <v>0.105</v>
      </c>
      <c r="G40" s="474">
        <f>F40*$G$5</f>
        <v>8.1066541451104937E-2</v>
      </c>
      <c r="H40" s="475">
        <f t="shared" ref="H40:H68" si="37">F40*$H$5</f>
        <v>2.2093709122985195E-2</v>
      </c>
      <c r="I40" s="474">
        <f t="shared" ref="I40:I68" si="38">F40*$I$5</f>
        <v>8.0127141734916089E-3</v>
      </c>
      <c r="J40" s="475">
        <f t="shared" ref="J40:J68" si="39">F40*$J$5</f>
        <v>1.4080994949493582E-2</v>
      </c>
      <c r="K40" s="475">
        <f t="shared" ref="K40:K68" si="40">F40*$K$5</f>
        <v>1.8397494259098607E-3</v>
      </c>
      <c r="L40" s="475">
        <f t="shared" ref="L40:L68" si="41">F40*$L$5</f>
        <v>0</v>
      </c>
      <c r="M40" s="475">
        <f t="shared" ref="M40:M68" si="42">F40*$M$5</f>
        <v>0</v>
      </c>
      <c r="N40" s="475">
        <f t="shared" ref="N40:N68" si="43">F40*$N$5</f>
        <v>0</v>
      </c>
      <c r="O40" s="500" t="s">
        <v>1352</v>
      </c>
      <c r="P40" s="488"/>
      <c r="Q40" s="488"/>
      <c r="R40" s="480"/>
      <c r="S40" s="480"/>
      <c r="T40" s="480"/>
      <c r="U40" s="465">
        <f t="shared" si="34"/>
        <v>3.903127820947816E-18</v>
      </c>
      <c r="V40" s="465">
        <f t="shared" si="35"/>
        <v>0</v>
      </c>
      <c r="W40" s="480"/>
      <c r="X40" s="480"/>
    </row>
    <row r="41" spans="1:24" ht="18.75" customHeight="1" x14ac:dyDescent="0.3">
      <c r="B41" s="481" t="s">
        <v>1353</v>
      </c>
      <c r="C41" s="473">
        <v>2.62</v>
      </c>
      <c r="D41" s="473">
        <f>(2281.57+1898.22+82.21)/1000</f>
        <v>4.2619999999999996</v>
      </c>
      <c r="E41" s="473">
        <v>2.78</v>
      </c>
      <c r="F41" s="3230">
        <f>4.278</f>
        <v>4.2779999999999996</v>
      </c>
      <c r="G41" s="474">
        <f>F41*$G$5</f>
        <v>3.3028825174078751</v>
      </c>
      <c r="H41" s="475">
        <f t="shared" si="37"/>
        <v>0.90016083455362528</v>
      </c>
      <c r="I41" s="474">
        <f>F41*$I$5</f>
        <v>0.32646086889711529</v>
      </c>
      <c r="J41" s="475">
        <f t="shared" si="39"/>
        <v>0.57369996565650994</v>
      </c>
      <c r="K41" s="475">
        <f t="shared" si="40"/>
        <v>7.4956648038498885E-2</v>
      </c>
      <c r="L41" s="475">
        <f t="shared" si="41"/>
        <v>0</v>
      </c>
      <c r="M41" s="475">
        <f t="shared" si="42"/>
        <v>0</v>
      </c>
      <c r="N41" s="475">
        <f t="shared" si="43"/>
        <v>0</v>
      </c>
      <c r="O41" s="500" t="s">
        <v>1352</v>
      </c>
      <c r="U41" s="465">
        <f t="shared" si="34"/>
        <v>3.3306690738754696E-16</v>
      </c>
      <c r="V41" s="465">
        <f t="shared" si="35"/>
        <v>0</v>
      </c>
    </row>
    <row r="42" spans="1:24" ht="18.75" customHeight="1" x14ac:dyDescent="0.3">
      <c r="B42" s="481" t="s">
        <v>1535</v>
      </c>
      <c r="C42" s="473"/>
      <c r="D42" s="473"/>
      <c r="E42" s="473">
        <v>0</v>
      </c>
      <c r="F42" s="3230">
        <f>ОП!N155/1000</f>
        <v>0</v>
      </c>
      <c r="G42" s="474">
        <f t="shared" ref="G42:G68" si="44">F42*$G$5</f>
        <v>0</v>
      </c>
      <c r="H42" s="475">
        <f t="shared" si="37"/>
        <v>0</v>
      </c>
      <c r="I42" s="474">
        <f t="shared" si="38"/>
        <v>0</v>
      </c>
      <c r="J42" s="475">
        <f t="shared" si="39"/>
        <v>0</v>
      </c>
      <c r="K42" s="475">
        <f t="shared" si="40"/>
        <v>0</v>
      </c>
      <c r="L42" s="475">
        <f t="shared" si="41"/>
        <v>0</v>
      </c>
      <c r="M42" s="475">
        <f t="shared" si="42"/>
        <v>0</v>
      </c>
      <c r="N42" s="475">
        <f t="shared" si="43"/>
        <v>0</v>
      </c>
      <c r="O42" s="500" t="s">
        <v>1352</v>
      </c>
      <c r="U42" s="465">
        <f t="shared" si="34"/>
        <v>0</v>
      </c>
      <c r="V42" s="465">
        <f t="shared" si="35"/>
        <v>0</v>
      </c>
    </row>
    <row r="43" spans="1:24" ht="18.75" customHeight="1" x14ac:dyDescent="0.3">
      <c r="B43" s="481" t="s">
        <v>3220</v>
      </c>
      <c r="C43" s="473">
        <v>3.19</v>
      </c>
      <c r="D43" s="473">
        <f>(1049.41+91.18)/1000</f>
        <v>1.1405900000000002</v>
      </c>
      <c r="E43" s="473">
        <v>3.38</v>
      </c>
      <c r="F43" s="3230">
        <v>1.1579999999999999</v>
      </c>
      <c r="G43" s="474">
        <f t="shared" si="44"/>
        <v>0.89404814286075718</v>
      </c>
      <c r="H43" s="475">
        <f t="shared" si="37"/>
        <v>0.24366204918492243</v>
      </c>
      <c r="I43" s="474">
        <f t="shared" si="38"/>
        <v>8.8368790599078886E-2</v>
      </c>
      <c r="J43" s="475">
        <f>F43*$J$5</f>
        <v>0.1552932585858435</v>
      </c>
      <c r="K43" s="475">
        <f t="shared" si="40"/>
        <v>2.0289807954320178E-2</v>
      </c>
      <c r="L43" s="475">
        <f t="shared" si="41"/>
        <v>0</v>
      </c>
      <c r="M43" s="475">
        <f t="shared" si="42"/>
        <v>0</v>
      </c>
      <c r="N43" s="475">
        <f t="shared" si="43"/>
        <v>0</v>
      </c>
      <c r="O43" s="500"/>
      <c r="U43" s="465">
        <f t="shared" si="34"/>
        <v>1.3183898417423734E-16</v>
      </c>
      <c r="V43" s="465">
        <f t="shared" si="35"/>
        <v>0</v>
      </c>
    </row>
    <row r="44" spans="1:24" ht="18.75" customHeight="1" x14ac:dyDescent="0.3">
      <c r="B44" s="481" t="s">
        <v>1354</v>
      </c>
      <c r="C44" s="473">
        <v>1.24</v>
      </c>
      <c r="D44" s="473"/>
      <c r="E44" s="473">
        <v>1.32</v>
      </c>
      <c r="F44" s="3230">
        <f>D44*'Вхідні дані'!D77</f>
        <v>0</v>
      </c>
      <c r="G44" s="474">
        <f t="shared" si="44"/>
        <v>0</v>
      </c>
      <c r="H44" s="475">
        <f t="shared" si="37"/>
        <v>0</v>
      </c>
      <c r="I44" s="474">
        <f>F44*$I$5</f>
        <v>0</v>
      </c>
      <c r="J44" s="475">
        <f>F44*$J$5</f>
        <v>0</v>
      </c>
      <c r="K44" s="475">
        <f t="shared" si="40"/>
        <v>0</v>
      </c>
      <c r="L44" s="475">
        <f t="shared" si="41"/>
        <v>0</v>
      </c>
      <c r="M44" s="475">
        <f t="shared" si="42"/>
        <v>0</v>
      </c>
      <c r="N44" s="475">
        <f t="shared" si="43"/>
        <v>0</v>
      </c>
      <c r="O44" s="500" t="s">
        <v>3195</v>
      </c>
      <c r="P44" s="458"/>
      <c r="U44" s="465">
        <f t="shared" si="34"/>
        <v>0</v>
      </c>
      <c r="V44" s="465">
        <f t="shared" si="35"/>
        <v>0</v>
      </c>
    </row>
    <row r="45" spans="1:24" ht="18.75" customHeight="1" thickBot="1" x14ac:dyDescent="0.35">
      <c r="B45" s="3479" t="s">
        <v>1534</v>
      </c>
      <c r="C45" s="541">
        <v>1.93</v>
      </c>
      <c r="D45" s="541">
        <f>(23410.46+295.47)/1000</f>
        <v>23.705929999999999</v>
      </c>
      <c r="E45" s="541">
        <v>2.0499999999999998</v>
      </c>
      <c r="F45" s="3253">
        <v>23.756</v>
      </c>
      <c r="G45" s="571">
        <f t="shared" si="44"/>
        <v>18.341111987737609</v>
      </c>
      <c r="H45" s="483">
        <f t="shared" si="37"/>
        <v>4.9986490850060603</v>
      </c>
      <c r="I45" s="571">
        <f t="shared" si="38"/>
        <v>1.8128575038615875</v>
      </c>
      <c r="J45" s="483">
        <f t="shared" si="39"/>
        <v>3.1857915811444721</v>
      </c>
      <c r="K45" s="483">
        <f t="shared" si="40"/>
        <v>0.41623892725633005</v>
      </c>
      <c r="L45" s="483">
        <f t="shared" si="41"/>
        <v>0</v>
      </c>
      <c r="M45" s="483">
        <f t="shared" si="42"/>
        <v>0</v>
      </c>
      <c r="N45" s="483">
        <f t="shared" si="43"/>
        <v>0</v>
      </c>
      <c r="O45" s="825" t="s">
        <v>1630</v>
      </c>
      <c r="P45" s="469"/>
      <c r="U45" s="465">
        <f t="shared" si="34"/>
        <v>1.1102230246251565E-15</v>
      </c>
      <c r="V45" s="465">
        <f t="shared" si="35"/>
        <v>0</v>
      </c>
    </row>
    <row r="46" spans="1:24" ht="18.75" customHeight="1" x14ac:dyDescent="0.3">
      <c r="B46" s="3476" t="s">
        <v>3179</v>
      </c>
      <c r="C46" s="3477">
        <v>1.04</v>
      </c>
      <c r="D46" s="3477">
        <f>(513.81+49.63)/1000</f>
        <v>0.56343999999999994</v>
      </c>
      <c r="E46" s="3477">
        <v>1.1000000000000001</v>
      </c>
      <c r="F46" s="3629">
        <v>0.57399999999999995</v>
      </c>
      <c r="G46" s="3312">
        <f>F46*$G$5</f>
        <v>0.44316375993270696</v>
      </c>
      <c r="H46" s="3478">
        <f t="shared" si="37"/>
        <v>0.1207789432056524</v>
      </c>
      <c r="I46" s="3312">
        <f t="shared" si="38"/>
        <v>4.3802837481754127E-2</v>
      </c>
      <c r="J46" s="3478">
        <f t="shared" si="39"/>
        <v>7.697610572389825E-2</v>
      </c>
      <c r="K46" s="3478">
        <f t="shared" si="40"/>
        <v>1.0057296861640572E-2</v>
      </c>
      <c r="L46" s="3478">
        <f t="shared" si="41"/>
        <v>0</v>
      </c>
      <c r="M46" s="3478">
        <f t="shared" si="42"/>
        <v>0</v>
      </c>
      <c r="N46" s="3478">
        <f t="shared" si="43"/>
        <v>0</v>
      </c>
      <c r="O46" s="502" t="s">
        <v>1610</v>
      </c>
      <c r="P46" s="469"/>
      <c r="U46" s="465">
        <f t="shared" si="34"/>
        <v>2.7755575615628914E-17</v>
      </c>
      <c r="V46" s="465">
        <f t="shared" si="35"/>
        <v>0</v>
      </c>
    </row>
    <row r="47" spans="1:24" ht="18.75" customHeight="1" x14ac:dyDescent="0.3">
      <c r="B47" s="481" t="s">
        <v>3186</v>
      </c>
      <c r="C47" s="473">
        <v>5.0199999999999996</v>
      </c>
      <c r="D47" s="473"/>
      <c r="E47" s="473">
        <v>5.33</v>
      </c>
      <c r="F47" s="3230">
        <f>D47*'Вхідні дані'!$D$77</f>
        <v>0</v>
      </c>
      <c r="G47" s="474">
        <f t="shared" si="44"/>
        <v>0</v>
      </c>
      <c r="H47" s="475">
        <f t="shared" si="37"/>
        <v>0</v>
      </c>
      <c r="I47" s="474">
        <f t="shared" si="38"/>
        <v>0</v>
      </c>
      <c r="J47" s="475">
        <f>F47*$J$5</f>
        <v>0</v>
      </c>
      <c r="K47" s="475">
        <f t="shared" si="40"/>
        <v>0</v>
      </c>
      <c r="L47" s="475">
        <f t="shared" si="41"/>
        <v>0</v>
      </c>
      <c r="M47" s="475">
        <f t="shared" si="42"/>
        <v>0</v>
      </c>
      <c r="N47" s="475">
        <f t="shared" si="43"/>
        <v>0</v>
      </c>
      <c r="O47" s="825" t="s">
        <v>1905</v>
      </c>
      <c r="P47" s="469"/>
      <c r="U47" s="465">
        <f t="shared" si="34"/>
        <v>0</v>
      </c>
      <c r="V47" s="465">
        <f t="shared" si="35"/>
        <v>0</v>
      </c>
    </row>
    <row r="48" spans="1:24" ht="22.15" customHeight="1" x14ac:dyDescent="0.3">
      <c r="B48" s="481" t="s">
        <v>3222</v>
      </c>
      <c r="C48" s="473">
        <v>0.31</v>
      </c>
      <c r="D48" s="473">
        <f>(176.26+63.76)/1000</f>
        <v>0.24001999999999998</v>
      </c>
      <c r="E48" s="473">
        <v>0.27</v>
      </c>
      <c r="F48" s="474">
        <v>0.253</v>
      </c>
      <c r="G48" s="474">
        <f t="shared" si="44"/>
        <v>0.19533176178218617</v>
      </c>
      <c r="H48" s="475">
        <f>F48*$H$5</f>
        <v>5.3235318172526233E-2</v>
      </c>
      <c r="I48" s="474">
        <f t="shared" ref="I48" si="45">F48*$I$5</f>
        <v>1.9306825579936928E-2</v>
      </c>
      <c r="J48" s="475">
        <f t="shared" ref="J48" si="46">F48*$J$5</f>
        <v>3.3928492592589302E-2</v>
      </c>
      <c r="K48" s="475">
        <f t="shared" ref="K48" si="47">F48*$K$5</f>
        <v>4.4329200452875696E-3</v>
      </c>
      <c r="L48" s="475">
        <f t="shared" ref="L48" si="48">F48*$L$5</f>
        <v>0</v>
      </c>
      <c r="M48" s="475">
        <f t="shared" ref="M48" si="49">F48*$M$5</f>
        <v>0</v>
      </c>
      <c r="N48" s="475">
        <f t="shared" ref="N48" si="50">F48*$N$5</f>
        <v>0</v>
      </c>
      <c r="O48" s="502" t="s">
        <v>1609</v>
      </c>
      <c r="P48" s="458" t="s">
        <v>1619</v>
      </c>
      <c r="Q48" s="458"/>
      <c r="U48" s="465">
        <f>F48-G48-H48-K48-L48-M48-N48</f>
        <v>3.0357660829594124E-17</v>
      </c>
      <c r="V48" s="465">
        <f>H48-I48-J48</f>
        <v>0</v>
      </c>
    </row>
    <row r="49" spans="2:22" ht="18.75" customHeight="1" x14ac:dyDescent="0.3">
      <c r="B49" s="481" t="s">
        <v>3196</v>
      </c>
      <c r="C49" s="473">
        <v>0.04</v>
      </c>
      <c r="D49" s="473"/>
      <c r="E49" s="473">
        <v>0</v>
      </c>
      <c r="F49" s="3230">
        <v>0</v>
      </c>
      <c r="G49" s="474">
        <f t="shared" si="44"/>
        <v>0</v>
      </c>
      <c r="H49" s="475">
        <f t="shared" si="37"/>
        <v>0</v>
      </c>
      <c r="I49" s="474">
        <f t="shared" si="38"/>
        <v>0</v>
      </c>
      <c r="J49" s="475">
        <f t="shared" si="39"/>
        <v>0</v>
      </c>
      <c r="K49" s="475">
        <f t="shared" si="40"/>
        <v>0</v>
      </c>
      <c r="L49" s="475">
        <f t="shared" si="41"/>
        <v>0</v>
      </c>
      <c r="M49" s="475">
        <f t="shared" si="42"/>
        <v>0</v>
      </c>
      <c r="N49" s="475">
        <f t="shared" si="43"/>
        <v>0</v>
      </c>
      <c r="O49" s="500"/>
      <c r="P49" s="469"/>
      <c r="U49" s="465">
        <f t="shared" ref="U49:U60" si="51">F49-G49-H49-K49-L49-M49-N49</f>
        <v>0</v>
      </c>
      <c r="V49" s="465">
        <f t="shared" ref="V49:V60" si="52">H49-I49-J49</f>
        <v>0</v>
      </c>
    </row>
    <row r="50" spans="2:22" ht="18.75" customHeight="1" x14ac:dyDescent="0.3">
      <c r="B50" s="481" t="s">
        <v>1845</v>
      </c>
      <c r="C50" s="473">
        <v>4.03</v>
      </c>
      <c r="D50" s="473"/>
      <c r="E50" s="473">
        <v>3.45</v>
      </c>
      <c r="F50" s="3230">
        <v>0</v>
      </c>
      <c r="G50" s="474">
        <f>F50*$G$5</f>
        <v>0</v>
      </c>
      <c r="H50" s="475">
        <f>F50*$H$5</f>
        <v>0</v>
      </c>
      <c r="I50" s="474">
        <f t="shared" si="38"/>
        <v>0</v>
      </c>
      <c r="J50" s="475">
        <f t="shared" si="39"/>
        <v>0</v>
      </c>
      <c r="K50" s="475">
        <f>F50*$K$5</f>
        <v>0</v>
      </c>
      <c r="L50" s="475">
        <f t="shared" si="41"/>
        <v>0</v>
      </c>
      <c r="M50" s="475">
        <f t="shared" si="42"/>
        <v>0</v>
      </c>
      <c r="N50" s="475">
        <f t="shared" si="43"/>
        <v>0</v>
      </c>
      <c r="O50" s="500" t="s">
        <v>1479</v>
      </c>
      <c r="P50" s="458"/>
      <c r="U50" s="465">
        <f>F50-G50-H50-K50-L50-M50-N50</f>
        <v>0</v>
      </c>
      <c r="V50" s="465">
        <f t="shared" si="52"/>
        <v>0</v>
      </c>
    </row>
    <row r="51" spans="2:22" ht="18.75" customHeight="1" x14ac:dyDescent="0.3">
      <c r="B51" s="481" t="s">
        <v>3205</v>
      </c>
      <c r="C51" s="473">
        <v>1.2</v>
      </c>
      <c r="D51" s="473"/>
      <c r="E51" s="473">
        <v>1.1499999999999999</v>
      </c>
      <c r="F51" s="3230">
        <v>0</v>
      </c>
      <c r="G51" s="474">
        <f t="shared" si="44"/>
        <v>0</v>
      </c>
      <c r="H51" s="475">
        <f t="shared" si="37"/>
        <v>0</v>
      </c>
      <c r="I51" s="474">
        <f t="shared" si="38"/>
        <v>0</v>
      </c>
      <c r="J51" s="475">
        <f t="shared" si="39"/>
        <v>0</v>
      </c>
      <c r="K51" s="475">
        <f t="shared" si="40"/>
        <v>0</v>
      </c>
      <c r="L51" s="475">
        <f t="shared" si="41"/>
        <v>0</v>
      </c>
      <c r="M51" s="475">
        <f t="shared" si="42"/>
        <v>0</v>
      </c>
      <c r="N51" s="475">
        <f t="shared" si="43"/>
        <v>0</v>
      </c>
      <c r="O51" s="502"/>
      <c r="P51" s="469"/>
      <c r="U51" s="465">
        <f t="shared" si="51"/>
        <v>0</v>
      </c>
      <c r="V51" s="465">
        <f t="shared" si="52"/>
        <v>0</v>
      </c>
    </row>
    <row r="52" spans="2:22" ht="18.75" customHeight="1" x14ac:dyDescent="0.3">
      <c r="B52" s="481" t="s">
        <v>1485</v>
      </c>
      <c r="C52" s="473"/>
      <c r="D52" s="473"/>
      <c r="E52" s="473">
        <v>0</v>
      </c>
      <c r="F52" s="3230">
        <f>D52</f>
        <v>0</v>
      </c>
      <c r="G52" s="474">
        <f t="shared" si="44"/>
        <v>0</v>
      </c>
      <c r="H52" s="475">
        <f t="shared" si="37"/>
        <v>0</v>
      </c>
      <c r="I52" s="474">
        <f t="shared" si="38"/>
        <v>0</v>
      </c>
      <c r="J52" s="475">
        <f t="shared" si="39"/>
        <v>0</v>
      </c>
      <c r="K52" s="475">
        <f t="shared" si="40"/>
        <v>0</v>
      </c>
      <c r="L52" s="475">
        <f t="shared" si="41"/>
        <v>0</v>
      </c>
      <c r="M52" s="475">
        <f t="shared" si="42"/>
        <v>0</v>
      </c>
      <c r="N52" s="475">
        <f t="shared" si="43"/>
        <v>0</v>
      </c>
      <c r="O52" s="502" t="s">
        <v>1517</v>
      </c>
      <c r="P52" s="504"/>
      <c r="Q52" s="504"/>
      <c r="U52" s="465">
        <f t="shared" si="51"/>
        <v>0</v>
      </c>
      <c r="V52" s="465">
        <f t="shared" si="52"/>
        <v>0</v>
      </c>
    </row>
    <row r="53" spans="2:22" ht="18.75" customHeight="1" x14ac:dyDescent="0.3">
      <c r="B53" s="539" t="s">
        <v>3212</v>
      </c>
      <c r="C53" s="473">
        <v>6.37</v>
      </c>
      <c r="D53" s="473">
        <v>3.28</v>
      </c>
      <c r="E53" s="473">
        <v>4.9800000000000004</v>
      </c>
      <c r="F53" s="3230">
        <v>3.355</v>
      </c>
      <c r="G53" s="474">
        <f t="shared" si="44"/>
        <v>2.5902690149376864</v>
      </c>
      <c r="H53" s="475">
        <f t="shared" si="37"/>
        <v>0.70594661054871743</v>
      </c>
      <c r="I53" s="474">
        <f t="shared" si="38"/>
        <v>0.25602529573394622</v>
      </c>
      <c r="J53" s="475">
        <f>F53*$J$5</f>
        <v>0.44992131481477116</v>
      </c>
      <c r="K53" s="475">
        <f t="shared" si="40"/>
        <v>5.8784374513596027E-2</v>
      </c>
      <c r="L53" s="475">
        <f t="shared" si="41"/>
        <v>0</v>
      </c>
      <c r="M53" s="475">
        <f t="shared" si="42"/>
        <v>0</v>
      </c>
      <c r="N53" s="475">
        <f t="shared" si="43"/>
        <v>0</v>
      </c>
      <c r="O53" s="502"/>
      <c r="P53" s="504"/>
      <c r="Q53" s="504"/>
      <c r="U53" s="465">
        <f t="shared" ref="U53:U55" si="53">F53-G53-H53-K53-L53-M53-N53</f>
        <v>1.6653345369377348E-16</v>
      </c>
      <c r="V53" s="465">
        <f t="shared" ref="V53:V55" si="54">H53-I53-J53</f>
        <v>0</v>
      </c>
    </row>
    <row r="54" spans="2:22" ht="18.75" customHeight="1" x14ac:dyDescent="0.3">
      <c r="B54" s="481" t="s">
        <v>3209</v>
      </c>
      <c r="C54" s="473">
        <v>89.26</v>
      </c>
      <c r="D54" s="473">
        <v>23.96</v>
      </c>
      <c r="E54" s="473">
        <v>78.599999999999994</v>
      </c>
      <c r="F54" s="3230">
        <f>F21*0%</f>
        <v>0</v>
      </c>
      <c r="G54" s="474">
        <f t="shared" si="44"/>
        <v>0</v>
      </c>
      <c r="H54" s="475">
        <f t="shared" si="37"/>
        <v>0</v>
      </c>
      <c r="I54" s="474">
        <f t="shared" si="38"/>
        <v>0</v>
      </c>
      <c r="J54" s="475">
        <f t="shared" si="39"/>
        <v>0</v>
      </c>
      <c r="K54" s="475">
        <f t="shared" si="40"/>
        <v>0</v>
      </c>
      <c r="L54" s="475">
        <f t="shared" si="41"/>
        <v>0</v>
      </c>
      <c r="M54" s="475">
        <f t="shared" si="42"/>
        <v>0</v>
      </c>
      <c r="N54" s="475">
        <f t="shared" si="43"/>
        <v>0</v>
      </c>
      <c r="O54" s="502"/>
      <c r="P54" s="504"/>
      <c r="Q54" s="504"/>
      <c r="U54" s="465">
        <f t="shared" si="53"/>
        <v>0</v>
      </c>
      <c r="V54" s="465">
        <f t="shared" si="54"/>
        <v>0</v>
      </c>
    </row>
    <row r="55" spans="2:22" ht="18.75" customHeight="1" x14ac:dyDescent="0.3">
      <c r="B55" s="481" t="s">
        <v>3219</v>
      </c>
      <c r="C55" s="473">
        <v>120.82</v>
      </c>
      <c r="D55" s="473">
        <v>93.32</v>
      </c>
      <c r="E55" s="473">
        <v>91.7</v>
      </c>
      <c r="F55" s="3230">
        <f>F21*3.5%</f>
        <v>98.571519200000026</v>
      </c>
      <c r="G55" s="474">
        <f t="shared" si="44"/>
        <v>76.103353782144652</v>
      </c>
      <c r="H55" s="475">
        <f t="shared" si="37"/>
        <v>20.74105212395763</v>
      </c>
      <c r="I55" s="474">
        <f t="shared" si="38"/>
        <v>7.5221467523470524</v>
      </c>
      <c r="J55" s="475">
        <f t="shared" si="39"/>
        <v>13.218905371610573</v>
      </c>
      <c r="K55" s="475">
        <f>F55*$K$5</f>
        <v>1.7271132938977416</v>
      </c>
      <c r="L55" s="475">
        <f t="shared" si="41"/>
        <v>0</v>
      </c>
      <c r="M55" s="475">
        <f t="shared" si="42"/>
        <v>0</v>
      </c>
      <c r="N55" s="475">
        <f t="shared" si="43"/>
        <v>0</v>
      </c>
      <c r="O55" s="502"/>
      <c r="P55" s="504"/>
      <c r="Q55" s="504"/>
      <c r="U55" s="465">
        <f t="shared" si="53"/>
        <v>2.886579864025407E-15</v>
      </c>
      <c r="V55" s="465">
        <f t="shared" si="54"/>
        <v>0</v>
      </c>
    </row>
    <row r="56" spans="2:22" ht="18.75" customHeight="1" x14ac:dyDescent="0.3">
      <c r="B56" s="481" t="s">
        <v>1483</v>
      </c>
      <c r="C56" s="473">
        <v>0.06</v>
      </c>
      <c r="D56" s="473"/>
      <c r="E56" s="473">
        <v>0.06</v>
      </c>
      <c r="F56" s="3230"/>
      <c r="G56" s="474">
        <f t="shared" si="44"/>
        <v>0</v>
      </c>
      <c r="H56" s="475">
        <f t="shared" si="37"/>
        <v>0</v>
      </c>
      <c r="I56" s="474">
        <f t="shared" si="38"/>
        <v>0</v>
      </c>
      <c r="J56" s="475">
        <f t="shared" si="39"/>
        <v>0</v>
      </c>
      <c r="K56" s="475">
        <f t="shared" si="40"/>
        <v>0</v>
      </c>
      <c r="L56" s="475">
        <f t="shared" si="41"/>
        <v>0</v>
      </c>
      <c r="M56" s="475">
        <f t="shared" si="42"/>
        <v>0</v>
      </c>
      <c r="N56" s="475">
        <f t="shared" si="43"/>
        <v>0</v>
      </c>
      <c r="O56" s="502" t="s">
        <v>1518</v>
      </c>
      <c r="P56" s="469"/>
      <c r="U56" s="465">
        <f t="shared" si="51"/>
        <v>0</v>
      </c>
      <c r="V56" s="465">
        <f t="shared" si="52"/>
        <v>0</v>
      </c>
    </row>
    <row r="57" spans="2:22" ht="18.75" customHeight="1" x14ac:dyDescent="0.3">
      <c r="B57" s="481" t="s">
        <v>1526</v>
      </c>
      <c r="C57" s="473">
        <v>0.33</v>
      </c>
      <c r="D57" s="473"/>
      <c r="E57" s="473">
        <v>0.2</v>
      </c>
      <c r="F57" s="3230"/>
      <c r="G57" s="474">
        <f t="shared" si="44"/>
        <v>0</v>
      </c>
      <c r="H57" s="475">
        <f t="shared" si="37"/>
        <v>0</v>
      </c>
      <c r="I57" s="474">
        <f t="shared" si="38"/>
        <v>0</v>
      </c>
      <c r="J57" s="475">
        <f t="shared" si="39"/>
        <v>0</v>
      </c>
      <c r="K57" s="475">
        <f>F57*$K$5</f>
        <v>0</v>
      </c>
      <c r="L57" s="475">
        <f t="shared" si="41"/>
        <v>0</v>
      </c>
      <c r="M57" s="475">
        <f t="shared" si="42"/>
        <v>0</v>
      </c>
      <c r="N57" s="475">
        <f t="shared" si="43"/>
        <v>0</v>
      </c>
      <c r="O57" s="825" t="s">
        <v>1529</v>
      </c>
      <c r="P57" s="469"/>
      <c r="U57" s="465">
        <f t="shared" si="51"/>
        <v>0</v>
      </c>
      <c r="V57" s="465">
        <f t="shared" si="52"/>
        <v>0</v>
      </c>
    </row>
    <row r="58" spans="2:22" ht="18.75" hidden="1" x14ac:dyDescent="0.3">
      <c r="B58" s="472" t="s">
        <v>1525</v>
      </c>
      <c r="C58" s="473"/>
      <c r="D58" s="473"/>
      <c r="E58" s="473"/>
      <c r="F58" s="3230">
        <v>0</v>
      </c>
      <c r="G58" s="474">
        <f t="shared" si="44"/>
        <v>0</v>
      </c>
      <c r="H58" s="475">
        <f t="shared" si="37"/>
        <v>0</v>
      </c>
      <c r="I58" s="474">
        <f t="shared" si="38"/>
        <v>0</v>
      </c>
      <c r="J58" s="475">
        <f t="shared" si="39"/>
        <v>0</v>
      </c>
      <c r="K58" s="475">
        <f t="shared" si="40"/>
        <v>0</v>
      </c>
      <c r="L58" s="475">
        <f t="shared" si="41"/>
        <v>0</v>
      </c>
      <c r="M58" s="475">
        <f t="shared" si="42"/>
        <v>0</v>
      </c>
      <c r="N58" s="475">
        <f t="shared" si="43"/>
        <v>0</v>
      </c>
      <c r="O58" s="587" t="s">
        <v>1530</v>
      </c>
      <c r="P58" s="586"/>
      <c r="Q58" s="586"/>
      <c r="U58" s="465">
        <f t="shared" si="51"/>
        <v>0</v>
      </c>
      <c r="V58" s="465">
        <f t="shared" si="52"/>
        <v>0</v>
      </c>
    </row>
    <row r="59" spans="2:22" ht="18.75" x14ac:dyDescent="0.3">
      <c r="B59" s="472" t="s">
        <v>1335</v>
      </c>
      <c r="C59" s="473"/>
      <c r="D59" s="473"/>
      <c r="E59" s="473"/>
      <c r="F59" s="3238"/>
      <c r="G59" s="474">
        <f t="shared" si="44"/>
        <v>0</v>
      </c>
      <c r="H59" s="475">
        <f t="shared" si="37"/>
        <v>0</v>
      </c>
      <c r="I59" s="474">
        <f t="shared" si="38"/>
        <v>0</v>
      </c>
      <c r="J59" s="475">
        <f t="shared" si="39"/>
        <v>0</v>
      </c>
      <c r="K59" s="475">
        <f t="shared" si="40"/>
        <v>0</v>
      </c>
      <c r="L59" s="475">
        <f t="shared" si="41"/>
        <v>0</v>
      </c>
      <c r="M59" s="475">
        <f t="shared" si="42"/>
        <v>0</v>
      </c>
      <c r="N59" s="475">
        <f t="shared" si="43"/>
        <v>0</v>
      </c>
      <c r="O59" s="500"/>
      <c r="U59" s="465">
        <f t="shared" si="51"/>
        <v>0</v>
      </c>
      <c r="V59" s="465">
        <f t="shared" si="52"/>
        <v>0</v>
      </c>
    </row>
    <row r="60" spans="2:22" ht="18.75" x14ac:dyDescent="0.3">
      <c r="B60" s="538" t="s">
        <v>1336</v>
      </c>
      <c r="C60" s="536">
        <v>13.28</v>
      </c>
      <c r="D60" s="536">
        <v>11.32</v>
      </c>
      <c r="E60" s="536">
        <v>10.050000000000001</v>
      </c>
      <c r="F60" s="3238">
        <v>11.929</v>
      </c>
      <c r="G60" s="474">
        <f t="shared" si="44"/>
        <v>9.2099311711450547</v>
      </c>
      <c r="H60" s="475">
        <f t="shared" si="37"/>
        <v>2.5100557726484802</v>
      </c>
      <c r="I60" s="474">
        <f>F60*$I$5</f>
        <v>0.91032064167220395</v>
      </c>
      <c r="J60" s="475">
        <f t="shared" si="39"/>
        <v>1.5997351309762757</v>
      </c>
      <c r="K60" s="475">
        <f t="shared" si="40"/>
        <v>0.2090130562064641</v>
      </c>
      <c r="L60" s="475">
        <f t="shared" si="41"/>
        <v>0</v>
      </c>
      <c r="M60" s="475">
        <f t="shared" si="42"/>
        <v>0</v>
      </c>
      <c r="N60" s="475">
        <f t="shared" si="43"/>
        <v>0</v>
      </c>
      <c r="O60" s="500" t="s">
        <v>1519</v>
      </c>
      <c r="U60" s="465">
        <f t="shared" si="51"/>
        <v>1.27675647831893E-15</v>
      </c>
      <c r="V60" s="465">
        <f t="shared" si="52"/>
        <v>0</v>
      </c>
    </row>
    <row r="61" spans="2:22" ht="18.75" x14ac:dyDescent="0.3">
      <c r="B61" s="538" t="s">
        <v>1337</v>
      </c>
      <c r="C61" s="536">
        <v>0.79</v>
      </c>
      <c r="D61" s="536">
        <v>0.7</v>
      </c>
      <c r="E61" s="536">
        <v>0.12</v>
      </c>
      <c r="F61" s="3238">
        <v>0.81499999999999995</v>
      </c>
      <c r="G61" s="474">
        <f t="shared" si="44"/>
        <v>0.62923077412048112</v>
      </c>
      <c r="H61" s="475">
        <f t="shared" si="37"/>
        <v>0.17148926604983747</v>
      </c>
      <c r="I61" s="474">
        <f t="shared" si="38"/>
        <v>6.2193924299006303E-2</v>
      </c>
      <c r="J61" s="475">
        <f t="shared" si="39"/>
        <v>0.10929534175083114</v>
      </c>
      <c r="K61" s="475">
        <f>F61*$K$5</f>
        <v>1.4279959829681299E-2</v>
      </c>
      <c r="L61" s="475">
        <f t="shared" si="41"/>
        <v>0</v>
      </c>
      <c r="M61" s="475">
        <f t="shared" si="42"/>
        <v>0</v>
      </c>
      <c r="N61" s="475">
        <f t="shared" si="43"/>
        <v>0</v>
      </c>
      <c r="O61" s="500"/>
      <c r="U61" s="465">
        <f>F61-G61-H61-K61-L61-M61-N61</f>
        <v>6.0715321659188248E-17</v>
      </c>
      <c r="V61" s="465">
        <f t="shared" ref="V61:V68" si="55">H61-I61-J61</f>
        <v>0</v>
      </c>
    </row>
    <row r="62" spans="2:22" ht="19.149999999999999" customHeight="1" x14ac:dyDescent="0.3">
      <c r="B62" s="482" t="s">
        <v>1524</v>
      </c>
      <c r="C62" s="473">
        <v>0.53</v>
      </c>
      <c r="D62" s="473"/>
      <c r="E62" s="473"/>
      <c r="F62" s="3230">
        <v>0</v>
      </c>
      <c r="G62" s="474">
        <f t="shared" si="44"/>
        <v>0</v>
      </c>
      <c r="H62" s="475">
        <f t="shared" si="37"/>
        <v>0</v>
      </c>
      <c r="I62" s="474">
        <f t="shared" si="38"/>
        <v>0</v>
      </c>
      <c r="J62" s="475">
        <f t="shared" si="39"/>
        <v>0</v>
      </c>
      <c r="K62" s="475">
        <f t="shared" si="40"/>
        <v>0</v>
      </c>
      <c r="L62" s="475">
        <f t="shared" si="41"/>
        <v>0</v>
      </c>
      <c r="M62" s="475">
        <f t="shared" si="42"/>
        <v>0</v>
      </c>
      <c r="N62" s="475">
        <f t="shared" si="43"/>
        <v>0</v>
      </c>
      <c r="O62" s="500"/>
      <c r="U62" s="465">
        <f t="shared" ref="U62:U68" si="56">F62-G62-H62-K62-L62-M62-N62</f>
        <v>0</v>
      </c>
      <c r="V62" s="465">
        <f t="shared" si="55"/>
        <v>0</v>
      </c>
    </row>
    <row r="63" spans="2:22" ht="19.149999999999999" customHeight="1" x14ac:dyDescent="0.3">
      <c r="B63" s="482" t="s">
        <v>3221</v>
      </c>
      <c r="C63" s="473">
        <v>395.32</v>
      </c>
      <c r="D63" s="473">
        <v>209.23400000000001</v>
      </c>
      <c r="E63" s="473">
        <v>353.2</v>
      </c>
      <c r="F63" s="3230">
        <v>216.55</v>
      </c>
      <c r="G63" s="474">
        <f t="shared" si="44"/>
        <v>167.19009096415977</v>
      </c>
      <c r="H63" s="475">
        <f t="shared" si="37"/>
        <v>45.56564486268995</v>
      </c>
      <c r="I63" s="474">
        <f t="shared" si="38"/>
        <v>16.525269088281984</v>
      </c>
      <c r="J63" s="475">
        <f>F63*$J$5</f>
        <v>29.040375774407959</v>
      </c>
      <c r="K63" s="475">
        <f t="shared" si="40"/>
        <v>3.7942641731502893</v>
      </c>
      <c r="L63" s="475">
        <f t="shared" si="41"/>
        <v>0</v>
      </c>
      <c r="M63" s="475">
        <f t="shared" si="42"/>
        <v>0</v>
      </c>
      <c r="N63" s="475">
        <f t="shared" si="43"/>
        <v>0</v>
      </c>
      <c r="O63" s="500"/>
      <c r="U63" s="465">
        <f t="shared" ref="U63:U64" si="57">F63-G63-H63-K63-L63-M63-N63</f>
        <v>6.6613381477509392E-15</v>
      </c>
      <c r="V63" s="465">
        <f>H63-I63-J63</f>
        <v>0</v>
      </c>
    </row>
    <row r="64" spans="2:22" ht="19.149999999999999" customHeight="1" x14ac:dyDescent="0.3">
      <c r="B64" s="482" t="s">
        <v>3218</v>
      </c>
      <c r="C64" s="473">
        <v>4.63</v>
      </c>
      <c r="D64" s="473">
        <v>0.62</v>
      </c>
      <c r="E64" s="473"/>
      <c r="F64" s="3230">
        <v>0.72399999999999998</v>
      </c>
      <c r="G64" s="474">
        <f t="shared" si="44"/>
        <v>0.5589731048628569</v>
      </c>
      <c r="H64" s="475">
        <f t="shared" si="37"/>
        <v>0.15234138480991696</v>
      </c>
      <c r="I64" s="474">
        <f t="shared" si="38"/>
        <v>5.5249572015313574E-2</v>
      </c>
      <c r="J64" s="475">
        <f t="shared" si="39"/>
        <v>9.7091812794603369E-2</v>
      </c>
      <c r="K64" s="475">
        <f t="shared" si="40"/>
        <v>1.2685510327226087E-2</v>
      </c>
      <c r="L64" s="475">
        <f t="shared" si="41"/>
        <v>0</v>
      </c>
      <c r="M64" s="475">
        <f t="shared" si="42"/>
        <v>0</v>
      </c>
      <c r="N64" s="475">
        <f t="shared" si="43"/>
        <v>0</v>
      </c>
      <c r="O64" s="500"/>
      <c r="U64" s="465">
        <f t="shared" si="57"/>
        <v>3.1225022567582528E-17</v>
      </c>
      <c r="V64" s="465">
        <f t="shared" ref="V64" si="58">H64-I64-J64</f>
        <v>0</v>
      </c>
    </row>
    <row r="65" spans="2:22" ht="20.25" customHeight="1" x14ac:dyDescent="0.3">
      <c r="B65" s="539" t="s">
        <v>1343</v>
      </c>
      <c r="C65" s="473">
        <v>6.33</v>
      </c>
      <c r="D65" s="473">
        <v>0.99</v>
      </c>
      <c r="E65" s="568">
        <v>5.54</v>
      </c>
      <c r="F65" s="3230">
        <v>1.0049999999999999</v>
      </c>
      <c r="G65" s="474">
        <f t="shared" si="44"/>
        <v>0.77592261103200433</v>
      </c>
      <c r="H65" s="475">
        <f>F65*$H$5</f>
        <v>0.21146835874857256</v>
      </c>
      <c r="I65" s="474">
        <f t="shared" si="38"/>
        <v>7.6693121374848253E-2</v>
      </c>
      <c r="J65" s="475">
        <f t="shared" si="39"/>
        <v>0.13477523737372429</v>
      </c>
      <c r="K65" s="475">
        <f t="shared" si="40"/>
        <v>1.760903021942295E-2</v>
      </c>
      <c r="L65" s="475">
        <f t="shared" si="41"/>
        <v>0</v>
      </c>
      <c r="M65" s="475">
        <f t="shared" si="42"/>
        <v>0</v>
      </c>
      <c r="N65" s="475">
        <f t="shared" si="43"/>
        <v>0</v>
      </c>
      <c r="O65" s="500" t="s">
        <v>1844</v>
      </c>
      <c r="U65" s="465">
        <f t="shared" si="56"/>
        <v>5.5511151231257827E-17</v>
      </c>
      <c r="V65" s="465">
        <f t="shared" si="55"/>
        <v>0</v>
      </c>
    </row>
    <row r="66" spans="2:22" ht="18" customHeight="1" x14ac:dyDescent="0.3">
      <c r="B66" s="472" t="s">
        <v>1523</v>
      </c>
      <c r="C66" s="536">
        <v>1.29</v>
      </c>
      <c r="D66" s="536">
        <v>0.16</v>
      </c>
      <c r="E66" s="536">
        <v>0</v>
      </c>
      <c r="F66" s="3230">
        <v>0.126</v>
      </c>
      <c r="G66" s="474">
        <f t="shared" si="44"/>
        <v>9.7279849741325919E-2</v>
      </c>
      <c r="H66" s="475">
        <f t="shared" si="37"/>
        <v>2.6512450947582235E-2</v>
      </c>
      <c r="I66" s="474">
        <f t="shared" si="38"/>
        <v>9.6152570081899317E-3</v>
      </c>
      <c r="J66" s="475">
        <f t="shared" si="39"/>
        <v>1.6897193939392301E-2</v>
      </c>
      <c r="K66" s="475">
        <f t="shared" si="40"/>
        <v>2.2076993110918329E-3</v>
      </c>
      <c r="L66" s="475">
        <f t="shared" si="41"/>
        <v>0</v>
      </c>
      <c r="M66" s="475">
        <f t="shared" si="42"/>
        <v>0</v>
      </c>
      <c r="N66" s="475">
        <f t="shared" si="43"/>
        <v>0</v>
      </c>
      <c r="O66" s="500"/>
      <c r="U66" s="465">
        <f t="shared" si="56"/>
        <v>1.4311468676808659E-17</v>
      </c>
      <c r="V66" s="465">
        <f t="shared" si="55"/>
        <v>0</v>
      </c>
    </row>
    <row r="67" spans="2:22" ht="18.75" x14ac:dyDescent="0.3">
      <c r="B67" s="472" t="s">
        <v>955</v>
      </c>
      <c r="C67" s="473">
        <v>5.96</v>
      </c>
      <c r="D67" s="570">
        <v>5.76</v>
      </c>
      <c r="E67" s="570">
        <v>6.35</v>
      </c>
      <c r="F67" s="3248">
        <v>5.8010000000000002</v>
      </c>
      <c r="G67" s="474">
        <f t="shared" si="44"/>
        <v>4.4787333995986645</v>
      </c>
      <c r="H67" s="475">
        <f t="shared" si="37"/>
        <v>1.2206248249755918</v>
      </c>
      <c r="I67" s="474">
        <f t="shared" si="38"/>
        <v>0.44268338019452219</v>
      </c>
      <c r="J67" s="475">
        <f t="shared" si="39"/>
        <v>0.7779414447810693</v>
      </c>
      <c r="K67" s="475">
        <f>F67*$K$5</f>
        <v>0.10164177542574383</v>
      </c>
      <c r="L67" s="475">
        <f t="shared" si="41"/>
        <v>0</v>
      </c>
      <c r="M67" s="475">
        <f t="shared" si="42"/>
        <v>0</v>
      </c>
      <c r="N67" s="475">
        <f t="shared" si="43"/>
        <v>0</v>
      </c>
      <c r="O67" s="1855" t="s">
        <v>2608</v>
      </c>
      <c r="U67" s="465">
        <f>F67-G67-H67-K67-L67-M67-N67</f>
        <v>9.7144514654701197E-17</v>
      </c>
      <c r="V67" s="465">
        <f t="shared" si="55"/>
        <v>0</v>
      </c>
    </row>
    <row r="68" spans="2:22" ht="19.5" thickBot="1" x14ac:dyDescent="0.35">
      <c r="B68" s="540" t="s">
        <v>58</v>
      </c>
      <c r="C68" s="541">
        <v>1.68</v>
      </c>
      <c r="D68" s="541">
        <v>1.6</v>
      </c>
      <c r="E68" s="541">
        <v>1.03</v>
      </c>
      <c r="F68" s="3253">
        <v>1.7929999999999999</v>
      </c>
      <c r="G68" s="571">
        <f t="shared" si="44"/>
        <v>1.3843077030650586</v>
      </c>
      <c r="H68" s="483">
        <f t="shared" si="37"/>
        <v>0.37727638530964241</v>
      </c>
      <c r="I68" s="571">
        <f t="shared" si="38"/>
        <v>0.13682663345781387</v>
      </c>
      <c r="J68" s="483">
        <f t="shared" si="39"/>
        <v>0.24044975185182851</v>
      </c>
      <c r="K68" s="483">
        <f t="shared" si="40"/>
        <v>3.1415911625298859E-2</v>
      </c>
      <c r="L68" s="483">
        <f t="shared" si="41"/>
        <v>0</v>
      </c>
      <c r="M68" s="483">
        <f t="shared" si="42"/>
        <v>0</v>
      </c>
      <c r="N68" s="483">
        <f t="shared" si="43"/>
        <v>0</v>
      </c>
      <c r="O68" s="502" t="s">
        <v>1645</v>
      </c>
      <c r="P68" s="469"/>
      <c r="U68" s="465">
        <f t="shared" si="56"/>
        <v>8.3266726846886741E-17</v>
      </c>
      <c r="V68" s="465">
        <f t="shared" si="55"/>
        <v>0</v>
      </c>
    </row>
    <row r="69" spans="2:22" ht="24" customHeight="1" x14ac:dyDescent="0.25">
      <c r="C69" s="458"/>
      <c r="D69" s="458"/>
      <c r="E69" s="458"/>
      <c r="F69" s="458"/>
      <c r="M69" s="484"/>
      <c r="N69" s="484"/>
    </row>
    <row r="70" spans="2:22" ht="24" customHeight="1" x14ac:dyDescent="0.25">
      <c r="B70" s="457"/>
      <c r="G70" s="457"/>
      <c r="H70" s="457"/>
      <c r="I70" s="457"/>
      <c r="J70" s="457"/>
      <c r="M70" s="484"/>
      <c r="N70" s="484"/>
    </row>
    <row r="71" spans="2:22" ht="44.25" customHeight="1" x14ac:dyDescent="0.3">
      <c r="B71" s="3657" t="str">
        <f>'Вхідні дані'!$B$14</f>
        <v>Заступник начальника Адміністрації морського порту Чорноморськ з технічних питань та розвитку</v>
      </c>
      <c r="C71" s="3211"/>
      <c r="D71" s="3211"/>
      <c r="E71" s="3260" t="s">
        <v>1344</v>
      </c>
      <c r="G71" s="3999" t="str">
        <f>'Вхідні дані'!$F$14</f>
        <v>Віталій ЛІПСКИЙ</v>
      </c>
      <c r="H71" s="3999"/>
      <c r="I71" s="3999"/>
      <c r="J71" s="457"/>
      <c r="M71" s="484"/>
      <c r="N71" s="484"/>
    </row>
    <row r="72" spans="2:22" ht="24" customHeight="1" x14ac:dyDescent="0.3">
      <c r="B72" s="3211"/>
      <c r="C72" s="3211"/>
      <c r="D72" s="3211"/>
      <c r="E72" s="3260" t="s">
        <v>220</v>
      </c>
      <c r="G72" s="4000" t="s">
        <v>3347</v>
      </c>
      <c r="H72" s="4000"/>
      <c r="I72" s="4000"/>
      <c r="J72" s="457"/>
      <c r="M72" s="484"/>
      <c r="N72" s="484"/>
    </row>
    <row r="73" spans="2:22" ht="24" customHeight="1" x14ac:dyDescent="0.3">
      <c r="B73" s="3211"/>
      <c r="C73" s="3211"/>
      <c r="D73" s="3211"/>
      <c r="E73" s="3260"/>
      <c r="G73" s="3606"/>
      <c r="H73" s="3606"/>
      <c r="I73" s="3606"/>
      <c r="J73" s="457"/>
      <c r="M73" s="484"/>
      <c r="N73" s="484"/>
    </row>
    <row r="74" spans="2:22" ht="24" customHeight="1" x14ac:dyDescent="0.3">
      <c r="B74" s="3211" t="str">
        <f>'Вхідні дані'!$B$16</f>
        <v>Головний бухгалтер</v>
      </c>
      <c r="C74" s="3211"/>
      <c r="D74" s="3211"/>
      <c r="E74" s="3260" t="s">
        <v>1344</v>
      </c>
      <c r="G74" s="3999" t="str">
        <f>'Вхідні дані'!$F$16</f>
        <v>Тетяна ЗІМАН</v>
      </c>
      <c r="H74" s="3999"/>
      <c r="I74" s="3999"/>
      <c r="J74" s="457"/>
      <c r="M74" s="484"/>
      <c r="N74" s="484"/>
    </row>
    <row r="75" spans="2:22" ht="24" customHeight="1" x14ac:dyDescent="0.3">
      <c r="B75" s="3261"/>
      <c r="C75" s="3261"/>
      <c r="D75" s="3261"/>
      <c r="E75" s="3260" t="s">
        <v>220</v>
      </c>
      <c r="G75" s="4000" t="s">
        <v>3347</v>
      </c>
      <c r="H75" s="4000"/>
      <c r="I75" s="4000"/>
      <c r="J75" s="457"/>
      <c r="K75" s="484"/>
      <c r="L75" s="484"/>
      <c r="M75" s="484"/>
      <c r="N75" s="484"/>
    </row>
    <row r="76" spans="2:22" x14ac:dyDescent="0.25">
      <c r="C76" s="458"/>
      <c r="D76" s="458"/>
      <c r="E76" s="458"/>
      <c r="F76" s="458"/>
    </row>
    <row r="77" spans="2:22" ht="15.75" customHeight="1" x14ac:dyDescent="0.25">
      <c r="B77" s="4006" t="s">
        <v>2764</v>
      </c>
      <c r="C77" s="4006"/>
      <c r="D77" s="4006"/>
      <c r="E77" s="4006"/>
      <c r="F77" s="4006"/>
      <c r="G77" s="4006"/>
      <c r="H77" s="4006"/>
      <c r="I77" s="4006"/>
    </row>
    <row r="78" spans="2:22" ht="15.75" x14ac:dyDescent="0.25">
      <c r="B78" s="1212"/>
      <c r="C78" s="1212"/>
      <c r="D78" s="1212"/>
      <c r="E78" s="4007" t="s">
        <v>1721</v>
      </c>
      <c r="F78" s="4007"/>
      <c r="G78" s="1212"/>
      <c r="H78" s="1212"/>
    </row>
    <row r="79" spans="2:22" ht="15.75" x14ac:dyDescent="0.25">
      <c r="B79" s="1271" t="s">
        <v>356</v>
      </c>
      <c r="C79" s="4005" t="s">
        <v>2206</v>
      </c>
      <c r="D79" s="4005"/>
      <c r="E79" s="4005" t="s">
        <v>2207</v>
      </c>
      <c r="F79" s="4005"/>
      <c r="G79" s="1271" t="s">
        <v>2209</v>
      </c>
      <c r="H79" s="1271" t="s">
        <v>2208</v>
      </c>
    </row>
    <row r="80" spans="2:22" ht="15.75" x14ac:dyDescent="0.25">
      <c r="B80" s="878" t="s">
        <v>2195</v>
      </c>
      <c r="C80" s="1246">
        <f>D80/D$90</f>
        <v>0.7241988965392594</v>
      </c>
      <c r="D80" s="1236">
        <f>F21-L21</f>
        <v>2816.3291200000003</v>
      </c>
      <c r="E80" s="1246">
        <f>F80/F90</f>
        <v>0.665989669652571</v>
      </c>
      <c r="F80" s="1236">
        <f>E21</f>
        <v>2620.0300000000002</v>
      </c>
      <c r="G80" s="1273">
        <f>C80-E80</f>
        <v>5.8209226886688392E-2</v>
      </c>
      <c r="H80" s="1236">
        <f>D80-F80</f>
        <v>196.29912000000013</v>
      </c>
    </row>
    <row r="81" spans="2:8" ht="15.75" x14ac:dyDescent="0.25">
      <c r="B81" s="878" t="s">
        <v>2196</v>
      </c>
      <c r="C81" s="1246">
        <f t="shared" ref="C81:C89" si="59">D81/D$90</f>
        <v>0.15932375723863706</v>
      </c>
      <c r="D81" s="1236">
        <f>F23-L23</f>
        <v>619.59240640000007</v>
      </c>
      <c r="E81" s="1246">
        <f>F81/F90</f>
        <v>0.14651859157507294</v>
      </c>
      <c r="F81" s="1236">
        <f>E23</f>
        <v>576.41</v>
      </c>
      <c r="G81" s="1273">
        <f t="shared" ref="G81:H90" si="60">C81-E81</f>
        <v>1.2805165663564128E-2</v>
      </c>
      <c r="H81" s="1236">
        <f t="shared" si="60"/>
        <v>43.182406400000104</v>
      </c>
    </row>
    <row r="82" spans="2:8" ht="15.75" x14ac:dyDescent="0.25">
      <c r="B82" s="878" t="s">
        <v>2197</v>
      </c>
      <c r="C82" s="1246">
        <f t="shared" si="59"/>
        <v>0</v>
      </c>
      <c r="D82" s="1236"/>
      <c r="E82" s="1246">
        <f>F82/F90</f>
        <v>0</v>
      </c>
      <c r="F82" s="1236"/>
      <c r="G82" s="1273">
        <f t="shared" si="60"/>
        <v>0</v>
      </c>
      <c r="H82" s="1236">
        <f t="shared" si="60"/>
        <v>0</v>
      </c>
    </row>
    <row r="83" spans="2:8" ht="15.75" x14ac:dyDescent="0.25">
      <c r="B83" s="878" t="s">
        <v>43</v>
      </c>
      <c r="C83" s="1246">
        <f t="shared" si="59"/>
        <v>0</v>
      </c>
      <c r="D83" s="1236"/>
      <c r="E83" s="1246">
        <f>F83/F90</f>
        <v>0</v>
      </c>
      <c r="F83" s="1236"/>
      <c r="G83" s="1273">
        <f t="shared" si="60"/>
        <v>0</v>
      </c>
      <c r="H83" s="1236">
        <f t="shared" si="60"/>
        <v>0</v>
      </c>
    </row>
    <row r="84" spans="2:8" ht="15.75" x14ac:dyDescent="0.25">
      <c r="B84" s="878" t="s">
        <v>2198</v>
      </c>
      <c r="C84" s="1246">
        <f t="shared" si="59"/>
        <v>0</v>
      </c>
      <c r="D84" s="1236"/>
      <c r="E84" s="1246">
        <f>F84/F90</f>
        <v>0</v>
      </c>
      <c r="F84" s="1236"/>
      <c r="G84" s="1273">
        <f t="shared" si="60"/>
        <v>0</v>
      </c>
      <c r="H84" s="1236">
        <f t="shared" si="60"/>
        <v>0</v>
      </c>
    </row>
    <row r="85" spans="2:8" ht="15.75" x14ac:dyDescent="0.25">
      <c r="B85" s="878" t="s">
        <v>460</v>
      </c>
      <c r="C85" s="1246">
        <f t="shared" si="59"/>
        <v>6.2462569700785352E-3</v>
      </c>
      <c r="D85" s="1236">
        <f>F37+F38-L37-L38</f>
        <v>24.291</v>
      </c>
      <c r="E85" s="1246">
        <f>F85/F90</f>
        <v>1.4234730709397975E-4</v>
      </c>
      <c r="F85" s="1236">
        <f>E27</f>
        <v>0.56000000000000005</v>
      </c>
      <c r="G85" s="1273">
        <f t="shared" si="60"/>
        <v>6.1039096629845555E-3</v>
      </c>
      <c r="H85" s="1236">
        <f t="shared" si="60"/>
        <v>23.731000000000002</v>
      </c>
    </row>
    <row r="86" spans="2:8" ht="15.75" x14ac:dyDescent="0.25">
      <c r="B86" s="878" t="s">
        <v>2199</v>
      </c>
      <c r="C86" s="1246">
        <f t="shared" si="59"/>
        <v>0</v>
      </c>
      <c r="D86" s="1236"/>
      <c r="E86" s="1246">
        <f>F86/F90</f>
        <v>0</v>
      </c>
      <c r="F86" s="1236"/>
      <c r="G86" s="1273">
        <f t="shared" si="60"/>
        <v>0</v>
      </c>
      <c r="H86" s="1236">
        <f t="shared" si="60"/>
        <v>0</v>
      </c>
    </row>
    <row r="87" spans="2:8" ht="15.75" x14ac:dyDescent="0.25">
      <c r="B87" s="878" t="s">
        <v>2200</v>
      </c>
      <c r="C87" s="1246">
        <f t="shared" si="59"/>
        <v>1.7719713795566747E-3</v>
      </c>
      <c r="D87" s="1236">
        <f>F25+F26-L25-L26</f>
        <v>6.891</v>
      </c>
      <c r="E87" s="1246">
        <f>F87/F90</f>
        <v>0</v>
      </c>
      <c r="F87" s="1236"/>
      <c r="G87" s="1273">
        <f t="shared" si="60"/>
        <v>1.7719713795566747E-3</v>
      </c>
      <c r="H87" s="1236">
        <f t="shared" si="60"/>
        <v>6.891</v>
      </c>
    </row>
    <row r="88" spans="2:8" ht="15.75" x14ac:dyDescent="0.25">
      <c r="B88" s="878" t="s">
        <v>2201</v>
      </c>
      <c r="C88" s="1246">
        <f t="shared" si="59"/>
        <v>0.10845911787246833</v>
      </c>
      <c r="D88" s="1236">
        <f>D90-D80-D81-D82-D83-D84-D85-D86-D87</f>
        <v>421.78547006000031</v>
      </c>
      <c r="E88" s="1246">
        <f>F88/F90</f>
        <v>0.18734939146526217</v>
      </c>
      <c r="F88" s="1236">
        <f>F90-F85-F81-F80</f>
        <v>737.04</v>
      </c>
      <c r="G88" s="1273">
        <f t="shared" si="60"/>
        <v>-7.8890273592793839E-2</v>
      </c>
      <c r="H88" s="1236">
        <f t="shared" si="60"/>
        <v>-315.25452993999966</v>
      </c>
    </row>
    <row r="89" spans="2:8" ht="15.75" x14ac:dyDescent="0.25">
      <c r="B89" s="878" t="s">
        <v>2205</v>
      </c>
      <c r="C89" s="1246">
        <f t="shared" si="59"/>
        <v>0</v>
      </c>
      <c r="D89" s="1236"/>
      <c r="E89" s="1246">
        <f>F89/F90</f>
        <v>0</v>
      </c>
      <c r="F89" s="1236"/>
      <c r="G89" s="1273">
        <f t="shared" si="60"/>
        <v>0</v>
      </c>
      <c r="H89" s="1236">
        <f t="shared" si="60"/>
        <v>0</v>
      </c>
    </row>
    <row r="90" spans="2:8" ht="15.75" x14ac:dyDescent="0.25">
      <c r="B90" s="1248" t="s">
        <v>1890</v>
      </c>
      <c r="C90" s="1249">
        <f>SUM(C80:C89)</f>
        <v>0.99999999999999989</v>
      </c>
      <c r="D90" s="1236">
        <f>F8-L8</f>
        <v>3888.8889964600007</v>
      </c>
      <c r="E90" s="1249">
        <f>SUM(E80:E89)</f>
        <v>1</v>
      </c>
      <c r="F90" s="1236">
        <f>E8</f>
        <v>3934.04</v>
      </c>
      <c r="G90" s="1273">
        <f t="shared" si="60"/>
        <v>0</v>
      </c>
      <c r="H90" s="1236">
        <f t="shared" si="60"/>
        <v>-45.151003539999238</v>
      </c>
    </row>
    <row r="91" spans="2:8" x14ac:dyDescent="0.25">
      <c r="C91" s="458"/>
      <c r="D91" s="458"/>
      <c r="E91" s="458"/>
      <c r="F91" s="458"/>
    </row>
    <row r="92" spans="2:8" x14ac:dyDescent="0.25">
      <c r="C92" s="458"/>
      <c r="D92" s="458"/>
      <c r="E92" s="458"/>
      <c r="F92" s="458"/>
    </row>
    <row r="93" spans="2:8" x14ac:dyDescent="0.25">
      <c r="C93" s="458"/>
      <c r="D93" s="458"/>
      <c r="E93" s="458"/>
      <c r="F93" s="458"/>
    </row>
    <row r="94" spans="2:8" x14ac:dyDescent="0.25">
      <c r="C94" s="458"/>
      <c r="D94" s="458"/>
      <c r="E94" s="458"/>
      <c r="F94" s="458"/>
    </row>
    <row r="95" spans="2:8" x14ac:dyDescent="0.25">
      <c r="C95" s="458"/>
      <c r="D95" s="458"/>
      <c r="E95" s="458"/>
      <c r="F95" s="458"/>
    </row>
    <row r="96" spans="2:8" x14ac:dyDescent="0.25">
      <c r="C96" s="458"/>
      <c r="D96" s="458"/>
      <c r="E96" s="458"/>
      <c r="F96" s="458"/>
    </row>
    <row r="97" spans="3:6" x14ac:dyDescent="0.25">
      <c r="C97" s="458"/>
      <c r="D97" s="458"/>
      <c r="E97" s="458"/>
      <c r="F97" s="458"/>
    </row>
    <row r="98" spans="3:6" x14ac:dyDescent="0.25">
      <c r="C98" s="458"/>
      <c r="D98" s="458"/>
      <c r="E98" s="458"/>
      <c r="F98" s="458"/>
    </row>
    <row r="99" spans="3:6" x14ac:dyDescent="0.25">
      <c r="C99" s="458"/>
      <c r="D99" s="458"/>
      <c r="E99" s="458"/>
      <c r="F99" s="458"/>
    </row>
    <row r="100" spans="3:6" x14ac:dyDescent="0.25">
      <c r="C100" s="458"/>
      <c r="D100" s="458"/>
      <c r="E100" s="458"/>
      <c r="F100" s="458"/>
    </row>
    <row r="101" spans="3:6" x14ac:dyDescent="0.25">
      <c r="C101" s="458"/>
      <c r="D101" s="458"/>
      <c r="E101" s="458"/>
      <c r="F101" s="458"/>
    </row>
    <row r="102" spans="3:6" x14ac:dyDescent="0.25">
      <c r="C102" s="458"/>
      <c r="D102" s="458"/>
      <c r="E102" s="458"/>
      <c r="F102" s="458"/>
    </row>
    <row r="103" spans="3:6" x14ac:dyDescent="0.25">
      <c r="C103" s="458"/>
      <c r="D103" s="458"/>
      <c r="E103" s="458"/>
      <c r="F103" s="458"/>
    </row>
    <row r="104" spans="3:6" x14ac:dyDescent="0.25">
      <c r="C104" s="458"/>
      <c r="D104" s="458"/>
      <c r="E104" s="458"/>
      <c r="F104" s="458"/>
    </row>
    <row r="105" spans="3:6" x14ac:dyDescent="0.25">
      <c r="C105" s="458"/>
      <c r="D105" s="458"/>
      <c r="E105" s="458"/>
      <c r="F105" s="458"/>
    </row>
    <row r="106" spans="3:6" x14ac:dyDescent="0.25">
      <c r="C106" s="458"/>
      <c r="D106" s="458"/>
      <c r="E106" s="458"/>
      <c r="F106" s="458"/>
    </row>
    <row r="107" spans="3:6" x14ac:dyDescent="0.25">
      <c r="C107" s="458"/>
      <c r="D107" s="458"/>
      <c r="E107" s="458"/>
      <c r="F107" s="458"/>
    </row>
    <row r="108" spans="3:6" x14ac:dyDescent="0.25">
      <c r="C108" s="458"/>
      <c r="D108" s="458"/>
      <c r="E108" s="458"/>
      <c r="F108" s="458"/>
    </row>
    <row r="109" spans="3:6" x14ac:dyDescent="0.25">
      <c r="C109" s="458"/>
      <c r="D109" s="458"/>
      <c r="E109" s="458"/>
      <c r="F109" s="458"/>
    </row>
    <row r="110" spans="3:6" x14ac:dyDescent="0.25">
      <c r="C110" s="458"/>
      <c r="D110" s="458"/>
      <c r="E110" s="458"/>
      <c r="F110" s="458"/>
    </row>
    <row r="111" spans="3:6" x14ac:dyDescent="0.25">
      <c r="C111" s="458"/>
      <c r="D111" s="458"/>
      <c r="E111" s="458"/>
      <c r="F111" s="458"/>
    </row>
    <row r="112" spans="3:6" x14ac:dyDescent="0.25">
      <c r="C112" s="458"/>
      <c r="D112" s="458"/>
      <c r="E112" s="458"/>
      <c r="F112" s="458"/>
    </row>
    <row r="113" spans="3:6" x14ac:dyDescent="0.25">
      <c r="C113" s="458"/>
      <c r="D113" s="458"/>
      <c r="E113" s="458"/>
      <c r="F113" s="458"/>
    </row>
    <row r="114" spans="3:6" x14ac:dyDescent="0.25">
      <c r="C114" s="458"/>
      <c r="D114" s="458"/>
      <c r="E114" s="458"/>
      <c r="F114" s="458"/>
    </row>
    <row r="115" spans="3:6" x14ac:dyDescent="0.25">
      <c r="C115" s="458"/>
      <c r="D115" s="458"/>
      <c r="E115" s="458"/>
      <c r="F115" s="458"/>
    </row>
    <row r="116" spans="3:6" x14ac:dyDescent="0.25">
      <c r="C116" s="458"/>
      <c r="D116" s="458"/>
      <c r="E116" s="458"/>
      <c r="F116" s="458"/>
    </row>
    <row r="117" spans="3:6" x14ac:dyDescent="0.25">
      <c r="C117" s="458"/>
      <c r="D117" s="458"/>
      <c r="E117" s="458"/>
      <c r="F117" s="458"/>
    </row>
    <row r="118" spans="3:6" x14ac:dyDescent="0.25">
      <c r="C118" s="458"/>
      <c r="D118" s="458"/>
      <c r="E118" s="458"/>
      <c r="F118" s="458"/>
    </row>
    <row r="119" spans="3:6" x14ac:dyDescent="0.25">
      <c r="C119" s="458"/>
      <c r="D119" s="458"/>
      <c r="E119" s="458"/>
      <c r="F119" s="458"/>
    </row>
    <row r="120" spans="3:6" x14ac:dyDescent="0.25">
      <c r="C120" s="458"/>
      <c r="D120" s="458"/>
      <c r="E120" s="458"/>
      <c r="F120" s="458"/>
    </row>
    <row r="121" spans="3:6" x14ac:dyDescent="0.25">
      <c r="C121" s="458"/>
      <c r="D121" s="458"/>
      <c r="E121" s="458"/>
      <c r="F121" s="458"/>
    </row>
    <row r="122" spans="3:6" x14ac:dyDescent="0.25">
      <c r="C122" s="458"/>
      <c r="D122" s="458"/>
      <c r="E122" s="458"/>
      <c r="F122" s="458"/>
    </row>
    <row r="123" spans="3:6" x14ac:dyDescent="0.25">
      <c r="C123" s="458"/>
      <c r="D123" s="458"/>
      <c r="E123" s="458"/>
      <c r="F123" s="458"/>
    </row>
    <row r="124" spans="3:6" x14ac:dyDescent="0.25">
      <c r="C124" s="458"/>
      <c r="D124" s="458"/>
      <c r="E124" s="458"/>
      <c r="F124" s="458"/>
    </row>
    <row r="125" spans="3:6" x14ac:dyDescent="0.25">
      <c r="C125" s="458"/>
      <c r="D125" s="458"/>
      <c r="E125" s="458"/>
      <c r="F125" s="458"/>
    </row>
    <row r="126" spans="3:6" x14ac:dyDescent="0.25">
      <c r="C126" s="458"/>
      <c r="D126" s="458"/>
      <c r="E126" s="458"/>
      <c r="F126" s="458"/>
    </row>
    <row r="127" spans="3:6" x14ac:dyDescent="0.25">
      <c r="C127" s="458"/>
      <c r="D127" s="458"/>
      <c r="E127" s="458"/>
      <c r="F127" s="458"/>
    </row>
    <row r="128" spans="3:6" x14ac:dyDescent="0.25">
      <c r="C128" s="458"/>
      <c r="D128" s="458"/>
      <c r="E128" s="458"/>
      <c r="F128" s="458"/>
    </row>
    <row r="129" spans="3:6" x14ac:dyDescent="0.25">
      <c r="C129" s="458"/>
      <c r="D129" s="458"/>
      <c r="E129" s="458"/>
      <c r="F129" s="458"/>
    </row>
    <row r="130" spans="3:6" x14ac:dyDescent="0.25">
      <c r="C130" s="458"/>
      <c r="D130" s="458"/>
      <c r="E130" s="458"/>
      <c r="F130" s="458"/>
    </row>
  </sheetData>
  <mergeCells count="11">
    <mergeCell ref="E78:F78"/>
    <mergeCell ref="C79:D79"/>
    <mergeCell ref="E79:F79"/>
    <mergeCell ref="G74:I74"/>
    <mergeCell ref="G75:I75"/>
    <mergeCell ref="B77:I77"/>
    <mergeCell ref="B6:B7"/>
    <mergeCell ref="G6:M6"/>
    <mergeCell ref="P38:R38"/>
    <mergeCell ref="G71:I71"/>
    <mergeCell ref="G72:I72"/>
  </mergeCells>
  <conditionalFormatting sqref="B75:I75 M69:N75 K75:L75">
    <cfRule type="expression" dxfId="19" priority="6" stopIfTrue="1">
      <formula>ABS(#REF!-(#REF!+$D69+$M69+$O69))&gt;отклонение</formula>
    </cfRule>
  </conditionalFormatting>
  <conditionalFormatting sqref="G75:I75 B75:D75">
    <cfRule type="expression" dxfId="18" priority="2" stopIfTrue="1">
      <formula>ABS(#REF!-(#REF!+$D75+$M75+$O75))&gt;отклонение</formula>
    </cfRule>
  </conditionalFormatting>
  <conditionalFormatting sqref="G75:I75">
    <cfRule type="expression" dxfId="17" priority="1" stopIfTrue="1">
      <formula>ABS(#REF!-(#REF!+#REF!+$L75+$N75))&gt;отклонение</formula>
    </cfRule>
    <cfRule type="expression" dxfId="16" priority="3" stopIfTrue="1">
      <formula>ABS(#REF!-(#REF!+$E75+$L75+$N75))&gt;отклонение</formula>
    </cfRule>
    <cfRule type="expression" dxfId="15" priority="4" stopIfTrue="1">
      <formula>ABS(#REF!-(#REF!+$D75+$M75+$O75))&gt;отклонение</formula>
    </cfRule>
  </conditionalFormatting>
  <pageMargins left="0.78740157480314965" right="0.62992125984251968" top="0.59055118110236227" bottom="0.55118110236220474" header="0.31496062992125984" footer="0.31496062992125984"/>
  <pageSetup paperSize="9" scale="61" fitToHeight="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Z125"/>
  <sheetViews>
    <sheetView view="pageBreakPreview" zoomScale="60" zoomScaleNormal="75" workbookViewId="0">
      <pane xSplit="2" ySplit="8" topLeftCell="C44" activePane="bottomRight" state="frozen"/>
      <selection pane="topRight" activeCell="C1" sqref="C1"/>
      <selection pane="bottomLeft" activeCell="A9" sqref="A9"/>
      <selection pane="bottomRight" activeCell="B69" sqref="B69"/>
    </sheetView>
  </sheetViews>
  <sheetFormatPr defaultColWidth="9.140625" defaultRowHeight="15" x14ac:dyDescent="0.25"/>
  <cols>
    <col min="1" max="1" width="4.7109375" style="458" customWidth="1"/>
    <col min="2" max="2" width="59.28515625" style="458" customWidth="1"/>
    <col min="3" max="3" width="14.42578125" style="457" customWidth="1"/>
    <col min="4" max="5" width="13.85546875" style="457" customWidth="1"/>
    <col min="6" max="6" width="17.140625" style="873" customWidth="1"/>
    <col min="7" max="7" width="16.7109375" style="458" customWidth="1"/>
    <col min="8" max="8" width="16" style="458" customWidth="1"/>
    <col min="9" max="9" width="10.5703125" style="458" customWidth="1"/>
    <col min="10" max="10" width="11.85546875" style="458" customWidth="1"/>
    <col min="11" max="11" width="15.5703125" style="458" customWidth="1"/>
    <col min="12" max="12" width="16.42578125" style="458" customWidth="1"/>
    <col min="13" max="13" width="10.85546875" style="458" customWidth="1"/>
    <col min="14" max="14" width="17" style="458" customWidth="1"/>
    <col min="15" max="15" width="29.5703125" style="460" customWidth="1"/>
    <col min="16" max="16" width="16.5703125" style="465" customWidth="1"/>
    <col min="17" max="17" width="11" style="465" customWidth="1"/>
    <col min="18" max="18" width="11.28515625" style="458" customWidth="1"/>
    <col min="19" max="19" width="9.140625" style="458" customWidth="1"/>
    <col min="20" max="20" width="10" style="458" customWidth="1"/>
    <col min="21" max="21" width="9.140625" style="458" customWidth="1"/>
    <col min="22" max="22" width="10.42578125" style="458" customWidth="1"/>
    <col min="23" max="16384" width="9.140625" style="458"/>
  </cols>
  <sheetData>
    <row r="1" spans="2:26" ht="18.75" x14ac:dyDescent="0.3">
      <c r="B1" s="456"/>
      <c r="C1" s="458"/>
      <c r="D1" s="458"/>
      <c r="E1" s="458"/>
      <c r="F1" s="458"/>
      <c r="L1" s="459" t="s">
        <v>835</v>
      </c>
      <c r="O1" s="458"/>
      <c r="P1" s="1086"/>
      <c r="Q1" s="1086"/>
      <c r="R1" s="1086"/>
      <c r="S1" s="1087"/>
    </row>
    <row r="2" spans="2:26" ht="18" customHeight="1" x14ac:dyDescent="0.25">
      <c r="F2" s="457"/>
      <c r="G2" s="457"/>
      <c r="H2" s="457"/>
      <c r="I2" s="457"/>
      <c r="O2" s="458"/>
      <c r="P2" s="1088"/>
      <c r="Q2" s="1086"/>
      <c r="R2" s="1086"/>
      <c r="S2" s="1086"/>
    </row>
    <row r="3" spans="2:26" ht="18.75" x14ac:dyDescent="0.3">
      <c r="B3" s="461" t="s">
        <v>960</v>
      </c>
      <c r="C3" s="3264" t="str">
        <f>'Вхідні дані'!F5</f>
        <v>ЧФ ДП "АМПУ"</v>
      </c>
      <c r="D3" s="3264"/>
      <c r="E3" s="3264"/>
      <c r="G3" s="3264" t="s">
        <v>461</v>
      </c>
      <c r="H3" s="3264" t="str">
        <f>'Вхідні дані'!F6</f>
        <v>2023-2024</v>
      </c>
      <c r="I3" s="3264" t="s">
        <v>648</v>
      </c>
      <c r="J3" s="462"/>
      <c r="L3" s="461"/>
      <c r="Q3" s="458"/>
    </row>
    <row r="4" spans="2:26" ht="18.75" x14ac:dyDescent="0.3">
      <c r="B4" s="461"/>
      <c r="C4" s="458"/>
      <c r="D4" s="458"/>
      <c r="E4" s="458"/>
      <c r="F4" s="870"/>
      <c r="G4" s="496"/>
      <c r="H4" s="497"/>
      <c r="I4" s="497"/>
      <c r="J4" s="497"/>
      <c r="K4" s="462"/>
      <c r="L4" s="461"/>
      <c r="O4" s="460">
        <f>ФОП!G49</f>
        <v>0</v>
      </c>
      <c r="P4" s="465" t="s">
        <v>151</v>
      </c>
      <c r="Q4" s="458"/>
    </row>
    <row r="5" spans="2:26" ht="19.5" thickBot="1" x14ac:dyDescent="0.35">
      <c r="B5" s="485" t="s">
        <v>937</v>
      </c>
      <c r="C5" s="458"/>
      <c r="D5" s="465"/>
      <c r="E5" s="458"/>
      <c r="F5" s="871">
        <f>G5+H5+K5+L5+M5+N5</f>
        <v>0.99999999999999989</v>
      </c>
      <c r="G5" s="566">
        <f>'БАЗИ РОЗПОДІЛУ'!$F$15</f>
        <v>0.7720622995343327</v>
      </c>
      <c r="H5" s="566">
        <f>'БАЗИ РОЗПОДІЛУ'!$G$15</f>
        <v>0.21041627736176377</v>
      </c>
      <c r="I5" s="566">
        <f>'БАЗИ РОЗПОДІЛУ'!$H$15</f>
        <v>7.631156355706295E-2</v>
      </c>
      <c r="J5" s="566">
        <f>'БАЗИ РОЗПОДІЛУ'!$I$15</f>
        <v>0.13410471380470079</v>
      </c>
      <c r="K5" s="566">
        <f>'БАЗИ РОЗПОДІЛУ'!$J$15</f>
        <v>1.7521423103903436E-2</v>
      </c>
      <c r="L5" s="839">
        <f>'БАЗИ РОЗПОДІЛУ'!$K$15</f>
        <v>0</v>
      </c>
      <c r="M5" s="839">
        <f>'БАЗИ РОЗПОДІЛУ'!$L$15</f>
        <v>0</v>
      </c>
      <c r="N5" s="839">
        <v>0</v>
      </c>
      <c r="O5" s="2028">
        <f>(21.9*7+15*5)/12</f>
        <v>19.024999999999999</v>
      </c>
      <c r="Q5" s="458"/>
    </row>
    <row r="6" spans="2:26" ht="19.5" thickBot="1" x14ac:dyDescent="0.3">
      <c r="B6" s="4008" t="s">
        <v>8</v>
      </c>
      <c r="C6" s="588" t="s">
        <v>963</v>
      </c>
      <c r="D6" s="588" t="s">
        <v>963</v>
      </c>
      <c r="E6" s="588" t="s">
        <v>973</v>
      </c>
      <c r="F6" s="872" t="s">
        <v>964</v>
      </c>
      <c r="G6" s="4010" t="s">
        <v>938</v>
      </c>
      <c r="H6" s="4011"/>
      <c r="I6" s="4011"/>
      <c r="J6" s="4011"/>
      <c r="K6" s="4011"/>
      <c r="L6" s="4011"/>
      <c r="M6" s="4012"/>
      <c r="N6" s="463"/>
    </row>
    <row r="7" spans="2:26" ht="67.900000000000006" customHeight="1" thickBot="1" x14ac:dyDescent="0.3">
      <c r="B7" s="4009"/>
      <c r="C7" s="588">
        <f>'Вхідні дані'!F8</f>
        <v>2021</v>
      </c>
      <c r="D7" s="588">
        <f>'Вхідні дані'!F7</f>
        <v>2022</v>
      </c>
      <c r="E7" s="598" t="str">
        <f>'Вхідні дані'!F9</f>
        <v xml:space="preserve">Ріш. № 297 від 25.10.2022 </v>
      </c>
      <c r="F7" s="872" t="str">
        <f>'Вхідні дані'!F6</f>
        <v>2023-2024</v>
      </c>
      <c r="G7" s="588" t="s">
        <v>939</v>
      </c>
      <c r="H7" s="588" t="s">
        <v>940</v>
      </c>
      <c r="I7" s="588" t="s">
        <v>1910</v>
      </c>
      <c r="J7" s="588" t="s">
        <v>1922</v>
      </c>
      <c r="K7" s="588" t="s">
        <v>941</v>
      </c>
      <c r="L7" s="588" t="s">
        <v>942</v>
      </c>
      <c r="M7" s="591" t="s">
        <v>961</v>
      </c>
      <c r="N7" s="464" t="s">
        <v>962</v>
      </c>
      <c r="P7" s="2027">
        <f>F8/D8-1</f>
        <v>0.25015533949681901</v>
      </c>
    </row>
    <row r="8" spans="2:26" ht="18.75" x14ac:dyDescent="0.3">
      <c r="B8" s="466" t="s">
        <v>943</v>
      </c>
      <c r="C8" s="467">
        <f>C9+C20+C38+C24+C36+C37</f>
        <v>1348.19</v>
      </c>
      <c r="D8" s="467">
        <f>D9+D20+D38+D24+D36+D37</f>
        <v>953.57299999999998</v>
      </c>
      <c r="E8" s="467">
        <f>E9+E20+E38+E24+E36+E37</f>
        <v>1568.4800000000002</v>
      </c>
      <c r="F8" s="467">
        <f>F9+F20+F38+F24+F36+F37</f>
        <v>1192.1143775500002</v>
      </c>
      <c r="G8" s="467">
        <f t="shared" ref="G8:N8" si="0">G9+G20+G38+G24+G36+G37</f>
        <v>920.38656763919266</v>
      </c>
      <c r="H8" s="467">
        <f t="shared" si="0"/>
        <v>250.84026951350717</v>
      </c>
      <c r="I8" s="467">
        <f>I9+I20+I38+I24+I36+I37</f>
        <v>90.972112089695358</v>
      </c>
      <c r="J8" s="467">
        <f t="shared" si="0"/>
        <v>159.86815742381179</v>
      </c>
      <c r="K8" s="467">
        <f t="shared" si="0"/>
        <v>20.887540397300036</v>
      </c>
      <c r="L8" s="467">
        <f t="shared" si="0"/>
        <v>0</v>
      </c>
      <c r="M8" s="467">
        <f t="shared" si="0"/>
        <v>0</v>
      </c>
      <c r="N8" s="467">
        <f t="shared" si="0"/>
        <v>0</v>
      </c>
      <c r="O8" s="469"/>
      <c r="S8" s="465">
        <f>F8-G8-H8-K8-L8-M8-N8</f>
        <v>3.3395508580724709E-13</v>
      </c>
      <c r="T8" s="465">
        <f>H8-I8-J8</f>
        <v>0</v>
      </c>
      <c r="Z8" s="458">
        <v>2019</v>
      </c>
    </row>
    <row r="9" spans="2:26" ht="18.75" x14ac:dyDescent="0.3">
      <c r="B9" s="470" t="s">
        <v>944</v>
      </c>
      <c r="C9" s="471">
        <f>SUM(C10:C19)</f>
        <v>32.67</v>
      </c>
      <c r="D9" s="471">
        <f>SUM(D10:D19)</f>
        <v>18.966999999999999</v>
      </c>
      <c r="E9" s="471">
        <f>SUM(E10:E19)</f>
        <v>38.659999999999989</v>
      </c>
      <c r="F9" s="471">
        <f>SUM(F10:F19)</f>
        <v>24.957999999999998</v>
      </c>
      <c r="G9" s="471">
        <f t="shared" ref="G9:N9" si="1">SUM(G10:G19)</f>
        <v>19.269130871777875</v>
      </c>
      <c r="H9" s="471">
        <f t="shared" si="1"/>
        <v>5.2515694503949009</v>
      </c>
      <c r="I9" s="471">
        <f t="shared" si="1"/>
        <v>1.9045840032571772</v>
      </c>
      <c r="J9" s="471">
        <f t="shared" si="1"/>
        <v>3.3469854471377225</v>
      </c>
      <c r="K9" s="471">
        <f t="shared" si="1"/>
        <v>0.43729967782722201</v>
      </c>
      <c r="L9" s="471">
        <f t="shared" si="1"/>
        <v>0</v>
      </c>
      <c r="M9" s="471">
        <f t="shared" si="1"/>
        <v>0</v>
      </c>
      <c r="N9" s="471">
        <f t="shared" si="1"/>
        <v>0</v>
      </c>
      <c r="O9" s="469"/>
      <c r="S9" s="465">
        <f t="shared" ref="S9:S20" si="2">F9-G9-H9-K9-L9-M9-N9</f>
        <v>2.2204460492503131E-16</v>
      </c>
      <c r="T9" s="465">
        <f t="shared" ref="T9:T20" si="3">H9-I9-J9</f>
        <v>0</v>
      </c>
    </row>
    <row r="10" spans="2:26" ht="18.75" x14ac:dyDescent="0.3">
      <c r="B10" s="472" t="s">
        <v>965</v>
      </c>
      <c r="C10" s="473">
        <v>7.86</v>
      </c>
      <c r="D10" s="473">
        <f>0.124+5.903</f>
        <v>6.0269999999999992</v>
      </c>
      <c r="E10" s="473">
        <v>9.5</v>
      </c>
      <c r="F10" s="537">
        <f>7.78+0.163</f>
        <v>7.9430000000000005</v>
      </c>
      <c r="G10" s="474">
        <f t="shared" ref="G10:G19" si="4">F10*$G$5</f>
        <v>6.1324908452012048</v>
      </c>
      <c r="H10" s="475">
        <f t="shared" ref="H10:H19" si="5">F10*$H$5</f>
        <v>1.6713364910844897</v>
      </c>
      <c r="I10" s="475">
        <f>F10*$I$5</f>
        <v>0.60614274933375101</v>
      </c>
      <c r="J10" s="475">
        <f>F10*$J$5</f>
        <v>1.0651937417507384</v>
      </c>
      <c r="K10" s="475">
        <f t="shared" ref="K10:K19" si="6">F10*$K$5</f>
        <v>0.13917266371430501</v>
      </c>
      <c r="L10" s="475">
        <f t="shared" ref="L10:L19" si="7">F10*$L$5</f>
        <v>0</v>
      </c>
      <c r="M10" s="475">
        <f t="shared" ref="M10:M19" si="8">F10*$M$5</f>
        <v>0</v>
      </c>
      <c r="N10" s="475">
        <f t="shared" ref="N10:N19" si="9">F10*$N$5</f>
        <v>0</v>
      </c>
      <c r="O10" s="500" t="s">
        <v>995</v>
      </c>
      <c r="P10" s="586" t="s">
        <v>1332</v>
      </c>
      <c r="Q10" s="586"/>
      <c r="S10" s="465">
        <f t="shared" si="2"/>
        <v>1.0269562977782698E-15</v>
      </c>
      <c r="T10" s="465">
        <f t="shared" si="3"/>
        <v>0</v>
      </c>
      <c r="Z10" s="485">
        <v>114.88186</v>
      </c>
    </row>
    <row r="11" spans="2:26" ht="18.75" x14ac:dyDescent="0.3">
      <c r="B11" s="472" t="s">
        <v>966</v>
      </c>
      <c r="C11" s="473">
        <v>6.2</v>
      </c>
      <c r="D11" s="473">
        <f>0.372+0.029+0.381+1.163+0.057+0.038+0.515+0.439+0.391</f>
        <v>3.3850000000000002</v>
      </c>
      <c r="E11" s="473">
        <v>7.04</v>
      </c>
      <c r="F11" s="537">
        <f>0.49+0.503+1.533+0.075+0.05+0.679+0.578+0.515</f>
        <v>4.423</v>
      </c>
      <c r="G11" s="474">
        <f t="shared" si="4"/>
        <v>3.4148315508403537</v>
      </c>
      <c r="H11" s="475">
        <f t="shared" si="5"/>
        <v>0.93067119477108118</v>
      </c>
      <c r="I11" s="475">
        <f t="shared" ref="I11:I19" si="10">F11*$I$5</f>
        <v>0.33752604561288946</v>
      </c>
      <c r="J11" s="475">
        <f t="shared" ref="J11:J19" si="11">F11*$J$5</f>
        <v>0.59314514915819161</v>
      </c>
      <c r="K11" s="475">
        <f t="shared" si="6"/>
        <v>7.749725438856489E-2</v>
      </c>
      <c r="L11" s="475">
        <f t="shared" si="7"/>
        <v>0</v>
      </c>
      <c r="M11" s="475">
        <f t="shared" si="8"/>
        <v>0</v>
      </c>
      <c r="N11" s="475">
        <f t="shared" si="9"/>
        <v>0</v>
      </c>
      <c r="O11" s="500" t="s">
        <v>995</v>
      </c>
      <c r="S11" s="465">
        <f t="shared" si="2"/>
        <v>2.4980018054066022E-16</v>
      </c>
      <c r="T11" s="465">
        <f t="shared" si="3"/>
        <v>0</v>
      </c>
      <c r="Z11" s="485">
        <v>4.9000000000000002E-2</v>
      </c>
    </row>
    <row r="12" spans="2:26" ht="18.75" x14ac:dyDescent="0.3">
      <c r="B12" s="472" t="s">
        <v>967</v>
      </c>
      <c r="C12" s="537">
        <v>3.22</v>
      </c>
      <c r="D12" s="473">
        <f>1.192+0.019</f>
        <v>1.2109999999999999</v>
      </c>
      <c r="E12" s="537">
        <v>3.9</v>
      </c>
      <c r="F12" s="537">
        <f>1.571+0.025</f>
        <v>1.5959999999999999</v>
      </c>
      <c r="G12" s="474">
        <f>F12*$G$5</f>
        <v>1.2322114300567948</v>
      </c>
      <c r="H12" s="475">
        <f t="shared" si="5"/>
        <v>0.33582437866937492</v>
      </c>
      <c r="I12" s="475">
        <f t="shared" si="10"/>
        <v>0.12179325543707246</v>
      </c>
      <c r="J12" s="475">
        <f t="shared" si="11"/>
        <v>0.21403112323230244</v>
      </c>
      <c r="K12" s="475">
        <f t="shared" si="6"/>
        <v>2.7964191273829882E-2</v>
      </c>
      <c r="L12" s="475">
        <f t="shared" si="7"/>
        <v>0</v>
      </c>
      <c r="M12" s="475">
        <f t="shared" si="8"/>
        <v>0</v>
      </c>
      <c r="N12" s="475">
        <f t="shared" si="9"/>
        <v>0</v>
      </c>
      <c r="O12" s="549" t="s">
        <v>3214</v>
      </c>
      <c r="P12" s="500"/>
      <c r="Q12" s="500"/>
      <c r="R12" s="502"/>
      <c r="S12" s="465">
        <f t="shared" si="2"/>
        <v>2.7061686225238191E-16</v>
      </c>
      <c r="T12" s="465">
        <f t="shared" si="3"/>
        <v>0</v>
      </c>
      <c r="Z12" s="485">
        <v>36.686070000000001</v>
      </c>
    </row>
    <row r="13" spans="2:26" ht="18" customHeight="1" x14ac:dyDescent="0.3">
      <c r="B13" s="472" t="s">
        <v>2721</v>
      </c>
      <c r="C13" s="473">
        <v>0.38</v>
      </c>
      <c r="D13" s="3230">
        <v>0.89600000000000002</v>
      </c>
      <c r="E13" s="473">
        <v>0.45</v>
      </c>
      <c r="F13" s="537">
        <v>1.181</v>
      </c>
      <c r="G13" s="474">
        <f>F13*$G$5</f>
        <v>0.91180557575004695</v>
      </c>
      <c r="H13" s="475">
        <f t="shared" si="5"/>
        <v>0.24850162356424302</v>
      </c>
      <c r="I13" s="475">
        <f t="shared" si="10"/>
        <v>9.0123956560891352E-2</v>
      </c>
      <c r="J13" s="475">
        <f t="shared" si="11"/>
        <v>0.15837766700335165</v>
      </c>
      <c r="K13" s="475">
        <f t="shared" si="6"/>
        <v>2.0692800685709958E-2</v>
      </c>
      <c r="L13" s="475">
        <f t="shared" si="7"/>
        <v>0</v>
      </c>
      <c r="M13" s="475">
        <f t="shared" si="8"/>
        <v>0</v>
      </c>
      <c r="N13" s="475">
        <f t="shared" si="9"/>
        <v>0</v>
      </c>
      <c r="O13" s="500" t="s">
        <v>995</v>
      </c>
      <c r="S13" s="465">
        <f t="shared" si="2"/>
        <v>1.2490009027033011E-16</v>
      </c>
      <c r="T13" s="465">
        <f t="shared" si="3"/>
        <v>0</v>
      </c>
      <c r="Z13" s="485">
        <v>0.73777999999999999</v>
      </c>
    </row>
    <row r="14" spans="2:26" ht="18.75" x14ac:dyDescent="0.3">
      <c r="B14" s="472" t="s">
        <v>946</v>
      </c>
      <c r="C14" s="473">
        <v>0.66</v>
      </c>
      <c r="D14" s="473">
        <f>1.201+0.21</f>
        <v>1.411</v>
      </c>
      <c r="E14" s="473">
        <v>0.8</v>
      </c>
      <c r="F14" s="537">
        <f>1.584+0.276</f>
        <v>1.86</v>
      </c>
      <c r="G14" s="474">
        <f t="shared" si="4"/>
        <v>1.4360358771338588</v>
      </c>
      <c r="H14" s="475">
        <f t="shared" si="5"/>
        <v>0.39137427589288065</v>
      </c>
      <c r="I14" s="475">
        <f t="shared" si="10"/>
        <v>0.1419395082161371</v>
      </c>
      <c r="J14" s="475">
        <f t="shared" si="11"/>
        <v>0.2494347676767435</v>
      </c>
      <c r="K14" s="475">
        <f t="shared" si="6"/>
        <v>3.2589846973260395E-2</v>
      </c>
      <c r="L14" s="475">
        <f t="shared" si="7"/>
        <v>0</v>
      </c>
      <c r="M14" s="475">
        <f t="shared" si="8"/>
        <v>0</v>
      </c>
      <c r="N14" s="475">
        <f t="shared" si="9"/>
        <v>0</v>
      </c>
      <c r="O14" s="500" t="s">
        <v>995</v>
      </c>
      <c r="S14" s="465">
        <f t="shared" si="2"/>
        <v>2.2204460492503131E-16</v>
      </c>
      <c r="T14" s="465">
        <f t="shared" si="3"/>
        <v>0</v>
      </c>
      <c r="Z14" s="485">
        <v>63.283700000000003</v>
      </c>
    </row>
    <row r="15" spans="2:26" ht="18.75" x14ac:dyDescent="0.3">
      <c r="B15" s="472" t="s">
        <v>968</v>
      </c>
      <c r="C15" s="473">
        <v>5.76</v>
      </c>
      <c r="D15" s="473">
        <v>1.097</v>
      </c>
      <c r="E15" s="473">
        <v>6.54</v>
      </c>
      <c r="F15" s="537">
        <v>1.4450000000000001</v>
      </c>
      <c r="G15" s="474">
        <f t="shared" si="4"/>
        <v>1.1156300228271108</v>
      </c>
      <c r="H15" s="475">
        <f t="shared" si="5"/>
        <v>0.30405152078774866</v>
      </c>
      <c r="I15" s="475">
        <f t="shared" si="10"/>
        <v>0.11027020933995597</v>
      </c>
      <c r="J15" s="475">
        <f t="shared" si="11"/>
        <v>0.19378131144779265</v>
      </c>
      <c r="K15" s="475">
        <f t="shared" si="6"/>
        <v>2.5318456385140464E-2</v>
      </c>
      <c r="L15" s="475">
        <f t="shared" si="7"/>
        <v>0</v>
      </c>
      <c r="M15" s="475">
        <f t="shared" si="8"/>
        <v>0</v>
      </c>
      <c r="N15" s="475">
        <f t="shared" si="9"/>
        <v>0</v>
      </c>
      <c r="O15" s="500" t="s">
        <v>995</v>
      </c>
      <c r="S15" s="465">
        <f t="shared" si="2"/>
        <v>1.6653345369377348E-16</v>
      </c>
      <c r="T15" s="465">
        <f t="shared" si="3"/>
        <v>0</v>
      </c>
      <c r="Z15" s="485">
        <v>15.47383</v>
      </c>
    </row>
    <row r="16" spans="2:26" ht="18.75" x14ac:dyDescent="0.3">
      <c r="B16" s="472" t="s">
        <v>969</v>
      </c>
      <c r="C16" s="473"/>
      <c r="D16" s="473"/>
      <c r="E16" s="473"/>
      <c r="F16" s="537">
        <f>D16*'Вхідні дані'!$D$77</f>
        <v>0</v>
      </c>
      <c r="G16" s="474">
        <f t="shared" si="4"/>
        <v>0</v>
      </c>
      <c r="H16" s="475">
        <f t="shared" si="5"/>
        <v>0</v>
      </c>
      <c r="I16" s="475">
        <f t="shared" si="10"/>
        <v>0</v>
      </c>
      <c r="J16" s="475">
        <f t="shared" si="11"/>
        <v>0</v>
      </c>
      <c r="K16" s="475">
        <f t="shared" si="6"/>
        <v>0</v>
      </c>
      <c r="L16" s="475">
        <f t="shared" si="7"/>
        <v>0</v>
      </c>
      <c r="M16" s="475">
        <f t="shared" si="8"/>
        <v>0</v>
      </c>
      <c r="N16" s="475">
        <f t="shared" si="9"/>
        <v>0</v>
      </c>
      <c r="O16" s="500" t="s">
        <v>995</v>
      </c>
      <c r="S16" s="465">
        <f t="shared" si="2"/>
        <v>0</v>
      </c>
      <c r="T16" s="465">
        <f t="shared" si="3"/>
        <v>0</v>
      </c>
      <c r="Z16" s="485">
        <v>3.7607300000000001</v>
      </c>
    </row>
    <row r="17" spans="2:26" ht="18.75" x14ac:dyDescent="0.3">
      <c r="B17" s="472" t="s">
        <v>970</v>
      </c>
      <c r="C17" s="473">
        <v>6.89</v>
      </c>
      <c r="D17" s="473">
        <v>3.1469999999999998</v>
      </c>
      <c r="E17" s="473">
        <v>8.3699999999999992</v>
      </c>
      <c r="F17" s="537">
        <v>4.1470000000000002</v>
      </c>
      <c r="G17" s="474">
        <f>F17*$G$5</f>
        <v>3.2017423561688778</v>
      </c>
      <c r="H17" s="475">
        <f>F17*$H$5</f>
        <v>0.87259630221923445</v>
      </c>
      <c r="I17" s="475">
        <f t="shared" si="10"/>
        <v>0.31646405407114009</v>
      </c>
      <c r="J17" s="475">
        <f t="shared" si="11"/>
        <v>0.55613224814809425</v>
      </c>
      <c r="K17" s="475">
        <f t="shared" si="6"/>
        <v>7.2661341611887559E-2</v>
      </c>
      <c r="L17" s="475">
        <f t="shared" si="7"/>
        <v>0</v>
      </c>
      <c r="M17" s="475">
        <f t="shared" si="8"/>
        <v>0</v>
      </c>
      <c r="N17" s="475">
        <f t="shared" si="9"/>
        <v>0</v>
      </c>
      <c r="O17" s="500" t="s">
        <v>995</v>
      </c>
      <c r="S17" s="465">
        <f t="shared" si="2"/>
        <v>4.163336342344337E-16</v>
      </c>
      <c r="T17" s="465">
        <f t="shared" si="3"/>
        <v>0</v>
      </c>
      <c r="Z17" s="485">
        <v>37.761060000000001</v>
      </c>
    </row>
    <row r="18" spans="2:26" ht="18.75" x14ac:dyDescent="0.3">
      <c r="B18" s="472" t="s">
        <v>971</v>
      </c>
      <c r="C18" s="473">
        <v>0.34</v>
      </c>
      <c r="D18" s="473">
        <v>0.84899999999999998</v>
      </c>
      <c r="E18" s="473">
        <v>0.41</v>
      </c>
      <c r="F18" s="537">
        <f>1.119</f>
        <v>1.119</v>
      </c>
      <c r="G18" s="474">
        <f t="shared" si="4"/>
        <v>0.86393771317891832</v>
      </c>
      <c r="H18" s="475">
        <f t="shared" si="5"/>
        <v>0.23545581436781365</v>
      </c>
      <c r="I18" s="475">
        <f t="shared" si="10"/>
        <v>8.5392639620353442E-2</v>
      </c>
      <c r="J18" s="475">
        <f t="shared" si="11"/>
        <v>0.1500631747474602</v>
      </c>
      <c r="K18" s="475">
        <f t="shared" si="6"/>
        <v>1.9606472453267944E-2</v>
      </c>
      <c r="L18" s="475">
        <f t="shared" si="7"/>
        <v>0</v>
      </c>
      <c r="M18" s="475">
        <f t="shared" si="8"/>
        <v>0</v>
      </c>
      <c r="N18" s="475">
        <f t="shared" si="9"/>
        <v>0</v>
      </c>
      <c r="O18" s="500" t="s">
        <v>995</v>
      </c>
      <c r="S18" s="465">
        <f t="shared" si="2"/>
        <v>7.6327832942979512E-17</v>
      </c>
      <c r="T18" s="465">
        <f t="shared" si="3"/>
        <v>0</v>
      </c>
      <c r="Z18" s="485">
        <v>4.5862800000000004</v>
      </c>
    </row>
    <row r="19" spans="2:26" ht="18.75" x14ac:dyDescent="0.3">
      <c r="B19" s="472" t="s">
        <v>972</v>
      </c>
      <c r="C19" s="473">
        <v>1.36</v>
      </c>
      <c r="D19" s="473">
        <v>0.94399999999999995</v>
      </c>
      <c r="E19" s="473">
        <v>1.65</v>
      </c>
      <c r="F19" s="537">
        <f>1.244</f>
        <v>1.244</v>
      </c>
      <c r="G19" s="474">
        <f t="shared" si="4"/>
        <v>0.96044550062070988</v>
      </c>
      <c r="H19" s="475">
        <f t="shared" si="5"/>
        <v>0.26175784903803412</v>
      </c>
      <c r="I19" s="475">
        <f t="shared" si="10"/>
        <v>9.4931585064986307E-2</v>
      </c>
      <c r="J19" s="475">
        <f t="shared" si="11"/>
        <v>0.16682626397304778</v>
      </c>
      <c r="K19" s="475">
        <f t="shared" si="6"/>
        <v>2.1796650341255875E-2</v>
      </c>
      <c r="L19" s="475">
        <f t="shared" si="7"/>
        <v>0</v>
      </c>
      <c r="M19" s="475">
        <f t="shared" si="8"/>
        <v>0</v>
      </c>
      <c r="N19" s="475">
        <f t="shared" si="9"/>
        <v>0</v>
      </c>
      <c r="O19" s="500" t="s">
        <v>995</v>
      </c>
      <c r="S19" s="465">
        <f t="shared" si="2"/>
        <v>1.214306433183765E-16</v>
      </c>
      <c r="T19" s="465">
        <f t="shared" si="3"/>
        <v>0</v>
      </c>
      <c r="Z19" s="485">
        <v>2.8382800000000001</v>
      </c>
    </row>
    <row r="20" spans="2:26" ht="37.5" x14ac:dyDescent="0.3">
      <c r="B20" s="476" t="s">
        <v>947</v>
      </c>
      <c r="C20" s="471">
        <f>C21+C23</f>
        <v>1021.6400000000001</v>
      </c>
      <c r="D20" s="471">
        <f t="shared" ref="D20:E20" si="12">D21+D23</f>
        <v>641.524</v>
      </c>
      <c r="E20" s="471">
        <f t="shared" si="12"/>
        <v>1191.58</v>
      </c>
      <c r="F20" s="471">
        <f t="shared" ref="F20:N20" si="13">F21+F23</f>
        <v>804.86207220000006</v>
      </c>
      <c r="G20" s="471">
        <f t="shared" si="13"/>
        <v>621.40366227070012</v>
      </c>
      <c r="H20" s="471">
        <f t="shared" si="13"/>
        <v>169.35608102199916</v>
      </c>
      <c r="I20" s="471">
        <f t="shared" si="13"/>
        <v>61.420283177359693</v>
      </c>
      <c r="J20" s="471">
        <f t="shared" si="13"/>
        <v>107.93579784463944</v>
      </c>
      <c r="K20" s="471">
        <f t="shared" si="13"/>
        <v>14.102328907300675</v>
      </c>
      <c r="L20" s="471">
        <f t="shared" si="13"/>
        <v>0</v>
      </c>
      <c r="M20" s="471">
        <f t="shared" si="13"/>
        <v>0</v>
      </c>
      <c r="N20" s="471">
        <f t="shared" si="13"/>
        <v>0</v>
      </c>
      <c r="O20" s="500"/>
      <c r="P20" s="501"/>
      <c r="S20" s="465">
        <f t="shared" si="2"/>
        <v>9.7699626167013776E-14</v>
      </c>
      <c r="T20" s="465">
        <f t="shared" si="3"/>
        <v>0</v>
      </c>
    </row>
    <row r="21" spans="2:26" ht="55.5" customHeight="1" x14ac:dyDescent="0.3">
      <c r="B21" s="472" t="s">
        <v>1633</v>
      </c>
      <c r="C21" s="473">
        <v>839.58</v>
      </c>
      <c r="D21" s="473">
        <v>528.24</v>
      </c>
      <c r="E21" s="473">
        <v>976.7</v>
      </c>
      <c r="F21" s="473">
        <f>ФОП!H49/1000</f>
        <v>659.72301000000004</v>
      </c>
      <c r="G21" s="474">
        <f>F21*$G$5</f>
        <v>509.34726415631161</v>
      </c>
      <c r="H21" s="475">
        <f>F21*$H$5</f>
        <v>138.81645985409767</v>
      </c>
      <c r="I21" s="475">
        <f>F21*$I$5</f>
        <v>50.344494407671881</v>
      </c>
      <c r="J21" s="475">
        <f>F21*$J$5</f>
        <v>88.47196544642577</v>
      </c>
      <c r="K21" s="475">
        <f>F21*$K$5</f>
        <v>11.559285989590718</v>
      </c>
      <c r="L21" s="475">
        <f>F21*$L$5</f>
        <v>0</v>
      </c>
      <c r="M21" s="475">
        <f>F21*$M$5</f>
        <v>0</v>
      </c>
      <c r="N21" s="475">
        <f>F21*$N$5</f>
        <v>0</v>
      </c>
      <c r="O21" s="502" t="s">
        <v>1079</v>
      </c>
      <c r="P21" s="501"/>
      <c r="S21" s="465">
        <f t="shared" ref="S21:S27" si="14">F21-G21-H21-K21-L21-M21-N21</f>
        <v>4.4408920985006262E-14</v>
      </c>
      <c r="T21" s="465">
        <f t="shared" ref="T21:T27" si="15">H21-I21-J21</f>
        <v>0</v>
      </c>
    </row>
    <row r="22" spans="2:26" ht="18.75" hidden="1" x14ac:dyDescent="0.3">
      <c r="B22" s="538" t="s">
        <v>1632</v>
      </c>
      <c r="C22" s="473"/>
      <c r="D22" s="473"/>
      <c r="E22" s="473"/>
      <c r="F22" s="473">
        <f>ФОП!H50/1000</f>
        <v>0</v>
      </c>
      <c r="G22" s="474">
        <f t="shared" ref="G22:G65" si="16">F22*$G$5</f>
        <v>0</v>
      </c>
      <c r="H22" s="475">
        <f t="shared" ref="H22:H65" si="17">F22*$H$5</f>
        <v>0</v>
      </c>
      <c r="I22" s="475">
        <f t="shared" ref="I22:I65" si="18">F22*$I$5</f>
        <v>0</v>
      </c>
      <c r="J22" s="475">
        <f t="shared" ref="J22:J65" si="19">F22*$J$5</f>
        <v>0</v>
      </c>
      <c r="K22" s="475">
        <f t="shared" ref="K22:K65" si="20">F22*$K$5</f>
        <v>0</v>
      </c>
      <c r="L22" s="475">
        <f t="shared" ref="L22:L65" si="21">F22*$L$5</f>
        <v>0</v>
      </c>
      <c r="M22" s="475">
        <f t="shared" ref="M22:M65" si="22">F22*$M$5</f>
        <v>0</v>
      </c>
      <c r="N22" s="475">
        <f t="shared" ref="N22:N65" si="23">F22*$N$5</f>
        <v>0</v>
      </c>
      <c r="O22" s="502" t="s">
        <v>1079</v>
      </c>
      <c r="P22" s="501"/>
      <c r="S22" s="465">
        <f t="shared" si="14"/>
        <v>0</v>
      </c>
      <c r="T22" s="465">
        <f t="shared" si="15"/>
        <v>0</v>
      </c>
    </row>
    <row r="23" spans="2:26" ht="58.5" customHeight="1" x14ac:dyDescent="0.3">
      <c r="B23" s="472" t="s">
        <v>1634</v>
      </c>
      <c r="C23" s="473">
        <v>182.06</v>
      </c>
      <c r="D23" s="473">
        <v>113.28400000000001</v>
      </c>
      <c r="E23" s="473">
        <v>214.88</v>
      </c>
      <c r="F23" s="473">
        <f>(F21-F22)*'Вхідні дані'!D44+F22*'Вхідні дані'!D45</f>
        <v>145.13906220000001</v>
      </c>
      <c r="G23" s="474">
        <f>F23*$G$5</f>
        <v>112.05639811438856</v>
      </c>
      <c r="H23" s="475">
        <f>F23*$H$5</f>
        <v>30.539621167901487</v>
      </c>
      <c r="I23" s="475">
        <f>F23*$I$5</f>
        <v>11.075788769687813</v>
      </c>
      <c r="J23" s="475">
        <f>F23*$J$5</f>
        <v>19.463832398213668</v>
      </c>
      <c r="K23" s="475">
        <f>F23*$K$5</f>
        <v>2.5430429177099581</v>
      </c>
      <c r="L23" s="475">
        <f t="shared" si="21"/>
        <v>0</v>
      </c>
      <c r="M23" s="475">
        <f t="shared" si="22"/>
        <v>0</v>
      </c>
      <c r="N23" s="475">
        <f t="shared" si="23"/>
        <v>0</v>
      </c>
      <c r="O23" s="502" t="s">
        <v>1079</v>
      </c>
      <c r="P23" s="501" t="s">
        <v>3215</v>
      </c>
      <c r="S23" s="465">
        <f t="shared" si="14"/>
        <v>1.021405182655144E-14</v>
      </c>
      <c r="T23" s="465">
        <f t="shared" si="15"/>
        <v>0</v>
      </c>
    </row>
    <row r="24" spans="2:26" s="477" customFormat="1" ht="75" x14ac:dyDescent="0.3">
      <c r="B24" s="476" t="s">
        <v>950</v>
      </c>
      <c r="C24" s="471">
        <f>SUM(C25:C35)</f>
        <v>97.070000000000022</v>
      </c>
      <c r="D24" s="471">
        <f t="shared" ref="D24:N24" si="24">SUM(D25:D35)</f>
        <v>164.25199999999998</v>
      </c>
      <c r="E24" s="471">
        <f t="shared" si="24"/>
        <v>115.91999999999999</v>
      </c>
      <c r="F24" s="471">
        <f>SUM(F25:F35)</f>
        <v>211.602</v>
      </c>
      <c r="G24" s="471">
        <f t="shared" si="24"/>
        <v>163.36992670606386</v>
      </c>
      <c r="H24" s="471">
        <f t="shared" si="24"/>
        <v>44.524505122303935</v>
      </c>
      <c r="I24" s="471">
        <f t="shared" si="24"/>
        <v>16.147679471801631</v>
      </c>
      <c r="J24" s="471">
        <f t="shared" si="24"/>
        <v>28.376825650502294</v>
      </c>
      <c r="K24" s="471">
        <f t="shared" si="24"/>
        <v>3.7075681716321744</v>
      </c>
      <c r="L24" s="471">
        <f t="shared" si="24"/>
        <v>0</v>
      </c>
      <c r="M24" s="471">
        <f t="shared" si="24"/>
        <v>0</v>
      </c>
      <c r="N24" s="471">
        <f t="shared" si="24"/>
        <v>0</v>
      </c>
      <c r="O24" s="500"/>
      <c r="P24" s="503"/>
      <c r="Q24" s="488"/>
      <c r="S24" s="465">
        <f t="shared" si="14"/>
        <v>2.9309887850104133E-14</v>
      </c>
      <c r="T24" s="465">
        <f t="shared" si="15"/>
        <v>0</v>
      </c>
      <c r="U24" s="458"/>
      <c r="V24" s="458"/>
    </row>
    <row r="25" spans="2:26" ht="18" customHeight="1" x14ac:dyDescent="0.3">
      <c r="B25" s="478" t="s">
        <v>1334</v>
      </c>
      <c r="C25" s="536">
        <v>73.650000000000006</v>
      </c>
      <c r="D25" s="536">
        <v>136.227</v>
      </c>
      <c r="E25" s="536">
        <v>83.85</v>
      </c>
      <c r="F25" s="536">
        <f>179.545-4.88</f>
        <v>174.66499999999999</v>
      </c>
      <c r="G25" s="474">
        <f t="shared" si="16"/>
        <v>134.85226154816422</v>
      </c>
      <c r="H25" s="475">
        <f t="shared" si="17"/>
        <v>36.75235908539247</v>
      </c>
      <c r="I25" s="475">
        <f t="shared" si="18"/>
        <v>13.3289592486944</v>
      </c>
      <c r="J25" s="475">
        <f t="shared" si="19"/>
        <v>23.423399836698064</v>
      </c>
      <c r="K25" s="475">
        <f t="shared" si="20"/>
        <v>3.0603793664432937</v>
      </c>
      <c r="L25" s="475">
        <f t="shared" si="21"/>
        <v>0</v>
      </c>
      <c r="M25" s="475">
        <f t="shared" si="22"/>
        <v>0</v>
      </c>
      <c r="N25" s="475">
        <f t="shared" si="23"/>
        <v>0</v>
      </c>
      <c r="O25" s="501" t="s">
        <v>1520</v>
      </c>
      <c r="P25" s="501"/>
      <c r="Q25" s="488"/>
      <c r="S25" s="465">
        <f t="shared" si="14"/>
        <v>6.2172489379008766E-15</v>
      </c>
      <c r="T25" s="465">
        <f t="shared" si="15"/>
        <v>0</v>
      </c>
    </row>
    <row r="26" spans="2:26" ht="18" customHeight="1" x14ac:dyDescent="0.3">
      <c r="B26" s="478" t="s">
        <v>1484</v>
      </c>
      <c r="C26" s="536">
        <v>2.98</v>
      </c>
      <c r="D26" s="536">
        <v>4.7770000000000001</v>
      </c>
      <c r="E26" s="536">
        <v>3.39</v>
      </c>
      <c r="F26" s="536">
        <v>6.2969999999999997</v>
      </c>
      <c r="G26" s="474">
        <f t="shared" si="16"/>
        <v>4.8616763001676926</v>
      </c>
      <c r="H26" s="475">
        <f t="shared" si="17"/>
        <v>1.3249912985470265</v>
      </c>
      <c r="I26" s="475">
        <f>F26*$I$5</f>
        <v>0.48053391571882537</v>
      </c>
      <c r="J26" s="475">
        <f t="shared" si="19"/>
        <v>0.84445738282820082</v>
      </c>
      <c r="K26" s="475">
        <f t="shared" si="20"/>
        <v>0.11033240128527994</v>
      </c>
      <c r="L26" s="475">
        <f t="shared" si="21"/>
        <v>0</v>
      </c>
      <c r="M26" s="475">
        <f t="shared" si="22"/>
        <v>0</v>
      </c>
      <c r="N26" s="475">
        <f t="shared" si="23"/>
        <v>0</v>
      </c>
      <c r="O26" s="587"/>
      <c r="P26" s="501"/>
      <c r="Q26" s="488"/>
      <c r="S26" s="465">
        <f t="shared" si="14"/>
        <v>7.2164496600635175E-16</v>
      </c>
      <c r="T26" s="465">
        <f t="shared" si="15"/>
        <v>0</v>
      </c>
    </row>
    <row r="27" spans="2:26" ht="37.5" x14ac:dyDescent="0.3">
      <c r="B27" s="478" t="s">
        <v>1338</v>
      </c>
      <c r="C27" s="473">
        <v>1.07</v>
      </c>
      <c r="D27" s="473">
        <f>0.315+0.534</f>
        <v>0.84899999999999998</v>
      </c>
      <c r="E27" s="473">
        <v>1.22</v>
      </c>
      <c r="F27" s="536">
        <f>0.415+0.704</f>
        <v>1.119</v>
      </c>
      <c r="G27" s="474">
        <f t="shared" si="16"/>
        <v>0.86393771317891832</v>
      </c>
      <c r="H27" s="475">
        <f t="shared" si="17"/>
        <v>0.23545581436781365</v>
      </c>
      <c r="I27" s="475">
        <f t="shared" si="18"/>
        <v>8.5392639620353442E-2</v>
      </c>
      <c r="J27" s="475">
        <f t="shared" si="19"/>
        <v>0.1500631747474602</v>
      </c>
      <c r="K27" s="475">
        <f>F27*$K$5</f>
        <v>1.9606472453267944E-2</v>
      </c>
      <c r="L27" s="475">
        <f t="shared" si="21"/>
        <v>0</v>
      </c>
      <c r="M27" s="475">
        <f t="shared" si="22"/>
        <v>0</v>
      </c>
      <c r="N27" s="475">
        <f t="shared" si="23"/>
        <v>0</v>
      </c>
      <c r="O27" s="549" t="s">
        <v>1818</v>
      </c>
      <c r="P27" s="500"/>
      <c r="Q27" s="503"/>
      <c r="S27" s="465">
        <f t="shared" si="14"/>
        <v>7.6327832942979512E-17</v>
      </c>
      <c r="T27" s="465">
        <f t="shared" si="15"/>
        <v>0</v>
      </c>
    </row>
    <row r="28" spans="2:26" ht="18.75" x14ac:dyDescent="0.3">
      <c r="B28" s="478" t="s">
        <v>951</v>
      </c>
      <c r="C28" s="475">
        <v>15.4</v>
      </c>
      <c r="D28" s="475">
        <v>19.462</v>
      </c>
      <c r="E28" s="475">
        <v>19.12</v>
      </c>
      <c r="F28" s="536">
        <f>25.651</f>
        <v>25.651</v>
      </c>
      <c r="G28" s="474">
        <f t="shared" si="16"/>
        <v>19.804170045355168</v>
      </c>
      <c r="H28" s="475">
        <f t="shared" si="17"/>
        <v>5.3973879306066026</v>
      </c>
      <c r="I28" s="475">
        <f t="shared" si="18"/>
        <v>1.9574679168022218</v>
      </c>
      <c r="J28" s="475">
        <f t="shared" si="19"/>
        <v>3.4399200138043802</v>
      </c>
      <c r="K28" s="475">
        <f t="shared" si="20"/>
        <v>0.44944202403822703</v>
      </c>
      <c r="L28" s="475">
        <f t="shared" si="21"/>
        <v>0</v>
      </c>
      <c r="M28" s="475">
        <f t="shared" si="22"/>
        <v>0</v>
      </c>
      <c r="N28" s="475">
        <f t="shared" si="23"/>
        <v>0</v>
      </c>
      <c r="O28" s="504" t="s">
        <v>1637</v>
      </c>
      <c r="S28" s="465">
        <f t="shared" ref="S28:S37" si="25">F28-G28-H28-K28-L28-M28-N28</f>
        <v>2.4980018054066022E-15</v>
      </c>
      <c r="T28" s="465">
        <f t="shared" ref="T28:T37" si="26">H28-I28-J28</f>
        <v>0</v>
      </c>
    </row>
    <row r="29" spans="2:26" ht="18.75" hidden="1" x14ac:dyDescent="0.3">
      <c r="B29" s="478" t="s">
        <v>952</v>
      </c>
      <c r="C29" s="475"/>
      <c r="D29" s="475"/>
      <c r="E29" s="475"/>
      <c r="F29" s="536"/>
      <c r="G29" s="474">
        <f t="shared" si="16"/>
        <v>0</v>
      </c>
      <c r="H29" s="475">
        <f t="shared" si="17"/>
        <v>0</v>
      </c>
      <c r="I29" s="475">
        <f t="shared" si="18"/>
        <v>0</v>
      </c>
      <c r="J29" s="475">
        <f t="shared" si="19"/>
        <v>0</v>
      </c>
      <c r="K29" s="475">
        <f t="shared" si="20"/>
        <v>0</v>
      </c>
      <c r="L29" s="475">
        <f t="shared" si="21"/>
        <v>0</v>
      </c>
      <c r="M29" s="475">
        <f t="shared" si="22"/>
        <v>0</v>
      </c>
      <c r="N29" s="475">
        <f t="shared" si="23"/>
        <v>0</v>
      </c>
      <c r="O29" s="504"/>
      <c r="S29" s="465">
        <f t="shared" si="25"/>
        <v>0</v>
      </c>
      <c r="T29" s="465">
        <f t="shared" si="26"/>
        <v>0</v>
      </c>
    </row>
    <row r="30" spans="2:26" ht="18.75" x14ac:dyDescent="0.3">
      <c r="B30" s="478" t="s">
        <v>1345</v>
      </c>
      <c r="C30" s="475">
        <v>0.79</v>
      </c>
      <c r="D30" s="475">
        <v>0.629</v>
      </c>
      <c r="E30" s="475">
        <v>4.74</v>
      </c>
      <c r="F30" s="536">
        <v>0.82899999999999996</v>
      </c>
      <c r="G30" s="474">
        <f t="shared" si="16"/>
        <v>0.64003964631396182</v>
      </c>
      <c r="H30" s="475">
        <f t="shared" si="17"/>
        <v>0.17443509393290216</v>
      </c>
      <c r="I30" s="475">
        <f t="shared" si="18"/>
        <v>6.3262286188805181E-2</v>
      </c>
      <c r="J30" s="475">
        <f t="shared" si="19"/>
        <v>0.11117280774409695</v>
      </c>
      <c r="K30" s="475">
        <f t="shared" si="20"/>
        <v>1.4525259753135948E-2</v>
      </c>
      <c r="L30" s="475">
        <f t="shared" si="21"/>
        <v>0</v>
      </c>
      <c r="M30" s="475">
        <f t="shared" si="22"/>
        <v>0</v>
      </c>
      <c r="N30" s="475">
        <f t="shared" si="23"/>
        <v>0</v>
      </c>
      <c r="O30" s="504"/>
      <c r="S30" s="465">
        <f t="shared" si="25"/>
        <v>3.4694469519536142E-17</v>
      </c>
      <c r="T30" s="465">
        <f t="shared" si="26"/>
        <v>0</v>
      </c>
    </row>
    <row r="31" spans="2:26" ht="18.75" x14ac:dyDescent="0.3">
      <c r="B31" s="478" t="s">
        <v>1346</v>
      </c>
      <c r="C31" s="475">
        <v>1.56</v>
      </c>
      <c r="D31" s="475">
        <v>1.2110000000000001</v>
      </c>
      <c r="E31" s="475">
        <v>1.75</v>
      </c>
      <c r="F31" s="536">
        <v>1.5960000000000001</v>
      </c>
      <c r="G31" s="474">
        <f t="shared" si="16"/>
        <v>1.232211430056795</v>
      </c>
      <c r="H31" s="475">
        <f t="shared" si="17"/>
        <v>0.33582437866937498</v>
      </c>
      <c r="I31" s="475">
        <f t="shared" si="18"/>
        <v>0.12179325543707248</v>
      </c>
      <c r="J31" s="475">
        <f t="shared" si="19"/>
        <v>0.21403112323230247</v>
      </c>
      <c r="K31" s="475">
        <f t="shared" si="20"/>
        <v>2.7964191273829885E-2</v>
      </c>
      <c r="L31" s="475">
        <f t="shared" si="21"/>
        <v>0</v>
      </c>
      <c r="M31" s="475">
        <f t="shared" si="22"/>
        <v>0</v>
      </c>
      <c r="N31" s="475">
        <f t="shared" si="23"/>
        <v>0</v>
      </c>
      <c r="O31" s="504"/>
      <c r="S31" s="465">
        <f t="shared" si="25"/>
        <v>2.1163626406917047E-16</v>
      </c>
      <c r="T31" s="465">
        <f t="shared" si="26"/>
        <v>0</v>
      </c>
    </row>
    <row r="32" spans="2:26" ht="18.75" x14ac:dyDescent="0.3">
      <c r="B32" s="478" t="s">
        <v>1347</v>
      </c>
      <c r="C32" s="475">
        <v>1.62</v>
      </c>
      <c r="D32" s="475">
        <v>1.097</v>
      </c>
      <c r="E32" s="475">
        <v>1.85</v>
      </c>
      <c r="F32" s="536">
        <f>1.445</f>
        <v>1.4450000000000001</v>
      </c>
      <c r="G32" s="474">
        <f t="shared" si="16"/>
        <v>1.1156300228271108</v>
      </c>
      <c r="H32" s="475">
        <f t="shared" si="17"/>
        <v>0.30405152078774866</v>
      </c>
      <c r="I32" s="475">
        <f t="shared" si="18"/>
        <v>0.11027020933995597</v>
      </c>
      <c r="J32" s="475">
        <f t="shared" si="19"/>
        <v>0.19378131144779265</v>
      </c>
      <c r="K32" s="475">
        <f t="shared" si="20"/>
        <v>2.5318456385140464E-2</v>
      </c>
      <c r="L32" s="475">
        <f t="shared" si="21"/>
        <v>0</v>
      </c>
      <c r="M32" s="475">
        <f t="shared" si="22"/>
        <v>0</v>
      </c>
      <c r="N32" s="475">
        <f t="shared" si="23"/>
        <v>0</v>
      </c>
      <c r="O32" s="504" t="s">
        <v>2759</v>
      </c>
      <c r="S32" s="465">
        <f t="shared" si="25"/>
        <v>1.6653345369377348E-16</v>
      </c>
      <c r="T32" s="465">
        <f t="shared" si="26"/>
        <v>0</v>
      </c>
    </row>
    <row r="33" spans="1:24" ht="18.75" hidden="1" x14ac:dyDescent="0.3">
      <c r="B33" s="478" t="s">
        <v>1348</v>
      </c>
      <c r="C33" s="475"/>
      <c r="D33" s="475"/>
      <c r="E33" s="475"/>
      <c r="F33" s="536">
        <v>0</v>
      </c>
      <c r="G33" s="474">
        <f t="shared" si="16"/>
        <v>0</v>
      </c>
      <c r="H33" s="475">
        <f t="shared" si="17"/>
        <v>0</v>
      </c>
      <c r="I33" s="475">
        <f t="shared" si="18"/>
        <v>0</v>
      </c>
      <c r="J33" s="475">
        <f t="shared" si="19"/>
        <v>0</v>
      </c>
      <c r="K33" s="475">
        <f t="shared" si="20"/>
        <v>0</v>
      </c>
      <c r="L33" s="475">
        <f t="shared" si="21"/>
        <v>0</v>
      </c>
      <c r="M33" s="475">
        <f t="shared" si="22"/>
        <v>0</v>
      </c>
      <c r="N33" s="475">
        <f t="shared" si="23"/>
        <v>0</v>
      </c>
      <c r="O33" s="504"/>
      <c r="S33" s="465">
        <f t="shared" si="25"/>
        <v>0</v>
      </c>
      <c r="T33" s="465">
        <f t="shared" si="26"/>
        <v>0</v>
      </c>
    </row>
    <row r="34" spans="1:24" ht="18.75" hidden="1" x14ac:dyDescent="0.3">
      <c r="B34" s="478" t="s">
        <v>1349</v>
      </c>
      <c r="C34" s="475"/>
      <c r="D34" s="475"/>
      <c r="E34" s="475"/>
      <c r="F34" s="536">
        <v>0</v>
      </c>
      <c r="G34" s="474">
        <f t="shared" si="16"/>
        <v>0</v>
      </c>
      <c r="H34" s="475">
        <f t="shared" si="17"/>
        <v>0</v>
      </c>
      <c r="I34" s="475">
        <f t="shared" si="18"/>
        <v>0</v>
      </c>
      <c r="J34" s="475">
        <f t="shared" si="19"/>
        <v>0</v>
      </c>
      <c r="K34" s="475">
        <f t="shared" si="20"/>
        <v>0</v>
      </c>
      <c r="L34" s="475">
        <f t="shared" si="21"/>
        <v>0</v>
      </c>
      <c r="M34" s="475">
        <f t="shared" si="22"/>
        <v>0</v>
      </c>
      <c r="N34" s="475">
        <f t="shared" si="23"/>
        <v>0</v>
      </c>
      <c r="O34" s="504"/>
      <c r="S34" s="465">
        <f t="shared" si="25"/>
        <v>0</v>
      </c>
      <c r="T34" s="465">
        <f t="shared" si="26"/>
        <v>0</v>
      </c>
    </row>
    <row r="35" spans="1:24" ht="18.75" hidden="1" x14ac:dyDescent="0.3">
      <c r="B35" s="478" t="s">
        <v>1350</v>
      </c>
      <c r="C35" s="473"/>
      <c r="D35" s="473"/>
      <c r="E35" s="473"/>
      <c r="F35" s="536">
        <v>0</v>
      </c>
      <c r="G35" s="474">
        <f t="shared" si="16"/>
        <v>0</v>
      </c>
      <c r="H35" s="475">
        <f t="shared" si="17"/>
        <v>0</v>
      </c>
      <c r="I35" s="475">
        <f t="shared" si="18"/>
        <v>0</v>
      </c>
      <c r="J35" s="475">
        <f t="shared" si="19"/>
        <v>0</v>
      </c>
      <c r="K35" s="475">
        <f t="shared" si="20"/>
        <v>0</v>
      </c>
      <c r="L35" s="475">
        <f t="shared" si="21"/>
        <v>0</v>
      </c>
      <c r="M35" s="475">
        <f t="shared" si="22"/>
        <v>0</v>
      </c>
      <c r="N35" s="475">
        <f t="shared" si="23"/>
        <v>0</v>
      </c>
      <c r="O35" s="504"/>
      <c r="S35" s="465">
        <f t="shared" si="25"/>
        <v>0</v>
      </c>
      <c r="T35" s="465">
        <f t="shared" si="26"/>
        <v>0</v>
      </c>
    </row>
    <row r="36" spans="1:24" s="477" customFormat="1" ht="37.5" x14ac:dyDescent="0.3">
      <c r="A36" s="458"/>
      <c r="B36" s="476" t="s">
        <v>1635</v>
      </c>
      <c r="C36" s="479">
        <v>21.75</v>
      </c>
      <c r="D36" s="479">
        <v>16.201000000000001</v>
      </c>
      <c r="E36" s="479">
        <v>24.78</v>
      </c>
      <c r="F36" s="479">
        <f>21.353</f>
        <v>21.353000000000002</v>
      </c>
      <c r="G36" s="1475">
        <f t="shared" si="16"/>
        <v>16.485846281956608</v>
      </c>
      <c r="H36" s="471">
        <f t="shared" si="17"/>
        <v>4.4930187705057421</v>
      </c>
      <c r="I36" s="471">
        <f>F36*$I$5</f>
        <v>1.6294808166339654</v>
      </c>
      <c r="J36" s="471">
        <f t="shared" si="19"/>
        <v>2.8635379538717762</v>
      </c>
      <c r="K36" s="471">
        <f t="shared" si="20"/>
        <v>0.37413494753765009</v>
      </c>
      <c r="L36" s="471">
        <f t="shared" si="21"/>
        <v>0</v>
      </c>
      <c r="M36" s="471">
        <f t="shared" si="22"/>
        <v>0</v>
      </c>
      <c r="N36" s="471">
        <f t="shared" si="23"/>
        <v>0</v>
      </c>
      <c r="O36" s="594" t="s">
        <v>1660</v>
      </c>
      <c r="P36" s="504"/>
      <c r="Q36" s="504"/>
      <c r="R36" s="504"/>
      <c r="S36" s="465">
        <f t="shared" si="25"/>
        <v>1.5543122344752192E-15</v>
      </c>
      <c r="T36" s="465">
        <f t="shared" si="26"/>
        <v>0</v>
      </c>
      <c r="U36" s="458"/>
    </row>
    <row r="37" spans="1:24" s="477" customFormat="1" ht="56.25" hidden="1" x14ac:dyDescent="0.3">
      <c r="A37" s="458"/>
      <c r="B37" s="476" t="s">
        <v>1636</v>
      </c>
      <c r="C37" s="479">
        <v>0</v>
      </c>
      <c r="D37" s="479">
        <v>0</v>
      </c>
      <c r="E37" s="479">
        <v>0</v>
      </c>
      <c r="F37" s="479">
        <v>0</v>
      </c>
      <c r="G37" s="474">
        <f t="shared" si="16"/>
        <v>0</v>
      </c>
      <c r="H37" s="475">
        <f t="shared" si="17"/>
        <v>0</v>
      </c>
      <c r="I37" s="475">
        <f t="shared" si="18"/>
        <v>0</v>
      </c>
      <c r="J37" s="475">
        <f t="shared" si="19"/>
        <v>0</v>
      </c>
      <c r="K37" s="475">
        <f t="shared" si="20"/>
        <v>0</v>
      </c>
      <c r="L37" s="475">
        <f t="shared" si="21"/>
        <v>0</v>
      </c>
      <c r="M37" s="475">
        <f t="shared" si="22"/>
        <v>0</v>
      </c>
      <c r="N37" s="475">
        <f t="shared" si="23"/>
        <v>0</v>
      </c>
      <c r="O37" s="469"/>
      <c r="P37" s="4013"/>
      <c r="Q37" s="4013"/>
      <c r="R37" s="4013"/>
      <c r="S37" s="465">
        <f t="shared" si="25"/>
        <v>0</v>
      </c>
      <c r="T37" s="465">
        <f t="shared" si="26"/>
        <v>0</v>
      </c>
      <c r="U37" s="458"/>
    </row>
    <row r="38" spans="1:24" ht="18.75" x14ac:dyDescent="0.3">
      <c r="B38" s="476" t="s">
        <v>953</v>
      </c>
      <c r="C38" s="479">
        <f t="shared" ref="C38:K38" si="27">SUM(C39:C65)</f>
        <v>175.06</v>
      </c>
      <c r="D38" s="479">
        <f t="shared" si="27"/>
        <v>112.62900000000002</v>
      </c>
      <c r="E38" s="479">
        <f t="shared" si="27"/>
        <v>197.54000000000008</v>
      </c>
      <c r="F38" s="479">
        <f t="shared" si="27"/>
        <v>129.33930534999999</v>
      </c>
      <c r="G38" s="479">
        <f t="shared" si="27"/>
        <v>99.85800150869423</v>
      </c>
      <c r="H38" s="479">
        <f t="shared" si="27"/>
        <v>27.215095148303458</v>
      </c>
      <c r="I38" s="479">
        <f t="shared" si="27"/>
        <v>9.8700846206428974</v>
      </c>
      <c r="J38" s="479">
        <f t="shared" si="27"/>
        <v>17.345010527660559</v>
      </c>
      <c r="K38" s="479">
        <f t="shared" si="27"/>
        <v>2.2662086930023118</v>
      </c>
      <c r="L38" s="471">
        <f t="shared" si="21"/>
        <v>0</v>
      </c>
      <c r="M38" s="471">
        <f t="shared" si="22"/>
        <v>0</v>
      </c>
      <c r="N38" s="471">
        <f t="shared" si="23"/>
        <v>0</v>
      </c>
      <c r="O38" s="469"/>
      <c r="P38" s="488"/>
      <c r="Q38" s="488"/>
      <c r="R38" s="480"/>
      <c r="S38" s="465">
        <f>F38-G38-H38-K38-L38-M38-N38</f>
        <v>-1.021405182655144E-14</v>
      </c>
      <c r="T38" s="465">
        <f>H38-I38-J38</f>
        <v>0</v>
      </c>
      <c r="U38" s="480"/>
      <c r="V38" s="480"/>
      <c r="W38" s="480"/>
      <c r="X38" s="480"/>
    </row>
    <row r="39" spans="1:24" ht="19.5" thickBot="1" x14ac:dyDescent="0.35">
      <c r="B39" s="3479" t="s">
        <v>3206</v>
      </c>
      <c r="C39" s="541">
        <v>28.26</v>
      </c>
      <c r="D39" s="541">
        <f>0.029+23.868</f>
        <v>23.896999999999998</v>
      </c>
      <c r="E39" s="541">
        <v>34.18</v>
      </c>
      <c r="F39" s="541">
        <f>F21*3.5%+0.038</f>
        <v>23.128305350000005</v>
      </c>
      <c r="G39" s="571">
        <f t="shared" si="16"/>
        <v>17.856492612853213</v>
      </c>
      <c r="H39" s="483">
        <f t="shared" si="17"/>
        <v>4.866571913433166</v>
      </c>
      <c r="I39" s="483">
        <f>F39*$I$5</f>
        <v>1.7649571436836844</v>
      </c>
      <c r="J39" s="483">
        <f>F39*$J$5</f>
        <v>3.1016147697494807</v>
      </c>
      <c r="K39" s="483">
        <f t="shared" si="20"/>
        <v>0.40524082371362352</v>
      </c>
      <c r="L39" s="483">
        <f t="shared" si="21"/>
        <v>0</v>
      </c>
      <c r="M39" s="483">
        <f t="shared" si="22"/>
        <v>0</v>
      </c>
      <c r="N39" s="475">
        <f t="shared" si="23"/>
        <v>0</v>
      </c>
      <c r="O39" s="504" t="s">
        <v>1352</v>
      </c>
      <c r="P39" s="488"/>
      <c r="Q39" s="488"/>
      <c r="R39" s="480"/>
      <c r="S39" s="465">
        <f t="shared" ref="S39:S50" si="28">F39-G39-H39-K39-L39-M39-N39</f>
        <v>2.7200464103316335E-15</v>
      </c>
      <c r="T39" s="465">
        <f t="shared" ref="T39:T50" si="29">H39-I39-J39</f>
        <v>0</v>
      </c>
      <c r="U39" s="480"/>
      <c r="V39" s="480"/>
      <c r="W39" s="480"/>
      <c r="X39" s="480"/>
    </row>
    <row r="40" spans="1:24" ht="18.75" customHeight="1" x14ac:dyDescent="0.3">
      <c r="B40" s="3476" t="s">
        <v>1353</v>
      </c>
      <c r="C40" s="3477">
        <v>1.08</v>
      </c>
      <c r="D40" s="3477">
        <v>0.17199999999999999</v>
      </c>
      <c r="E40" s="3477">
        <v>1.27</v>
      </c>
      <c r="F40" s="3477">
        <f>0.226</f>
        <v>0.22600000000000001</v>
      </c>
      <c r="G40" s="3312">
        <f t="shared" si="16"/>
        <v>0.17448607969475918</v>
      </c>
      <c r="H40" s="3478">
        <f t="shared" si="17"/>
        <v>4.7554078683758612E-2</v>
      </c>
      <c r="I40" s="3478">
        <f>F40*$I$5</f>
        <v>1.7246413363896228E-2</v>
      </c>
      <c r="J40" s="3478">
        <f t="shared" si="19"/>
        <v>3.0307665319862381E-2</v>
      </c>
      <c r="K40" s="3478">
        <f t="shared" si="20"/>
        <v>3.9598416214821769E-3</v>
      </c>
      <c r="L40" s="3478">
        <f t="shared" si="21"/>
        <v>0</v>
      </c>
      <c r="M40" s="3478">
        <f t="shared" si="22"/>
        <v>0</v>
      </c>
      <c r="N40" s="475">
        <f t="shared" si="23"/>
        <v>0</v>
      </c>
      <c r="O40" s="504" t="s">
        <v>1352</v>
      </c>
      <c r="S40" s="465">
        <f t="shared" si="28"/>
        <v>3.4694469519536142E-17</v>
      </c>
      <c r="T40" s="465">
        <f t="shared" si="29"/>
        <v>0</v>
      </c>
    </row>
    <row r="41" spans="1:24" ht="18" customHeight="1" x14ac:dyDescent="0.3">
      <c r="B41" s="481" t="s">
        <v>3181</v>
      </c>
      <c r="C41" s="473">
        <v>0.27</v>
      </c>
      <c r="D41" s="473">
        <v>0.01</v>
      </c>
      <c r="E41" s="473">
        <v>0.21</v>
      </c>
      <c r="F41" s="473">
        <v>1.2999999999999999E-2</v>
      </c>
      <c r="G41" s="474">
        <f t="shared" si="16"/>
        <v>1.0036809893946324E-2</v>
      </c>
      <c r="H41" s="475">
        <f t="shared" si="17"/>
        <v>2.7354116057029289E-3</v>
      </c>
      <c r="I41" s="475">
        <f>F41*$I$5</f>
        <v>9.9205032624181825E-4</v>
      </c>
      <c r="J41" s="475">
        <f t="shared" si="19"/>
        <v>1.7433612794611102E-3</v>
      </c>
      <c r="K41" s="475">
        <f t="shared" si="20"/>
        <v>2.2777850035074466E-4</v>
      </c>
      <c r="L41" s="475">
        <f t="shared" si="21"/>
        <v>0</v>
      </c>
      <c r="M41" s="475">
        <f t="shared" si="22"/>
        <v>0</v>
      </c>
      <c r="N41" s="475">
        <f t="shared" si="23"/>
        <v>0</v>
      </c>
      <c r="O41" s="504"/>
      <c r="P41" s="469"/>
      <c r="S41" s="465">
        <f t="shared" si="28"/>
        <v>1.951563910473908E-18</v>
      </c>
      <c r="T41" s="465">
        <f t="shared" si="29"/>
        <v>0</v>
      </c>
    </row>
    <row r="42" spans="1:24" ht="18.75" customHeight="1" x14ac:dyDescent="0.3">
      <c r="B42" s="481" t="s">
        <v>1533</v>
      </c>
      <c r="C42" s="473">
        <v>2.58</v>
      </c>
      <c r="D42" s="473">
        <v>2.4319999999999999</v>
      </c>
      <c r="E42" s="473">
        <v>2.94</v>
      </c>
      <c r="F42" s="3230">
        <v>3.2050000000000001</v>
      </c>
      <c r="G42" s="474">
        <f t="shared" si="16"/>
        <v>2.4744596700075365</v>
      </c>
      <c r="H42" s="475">
        <f t="shared" si="17"/>
        <v>0.67438416894445286</v>
      </c>
      <c r="I42" s="475">
        <f t="shared" si="18"/>
        <v>0.24457856120038676</v>
      </c>
      <c r="J42" s="475">
        <f t="shared" si="19"/>
        <v>0.42980560774406606</v>
      </c>
      <c r="K42" s="475">
        <f t="shared" si="20"/>
        <v>5.6156161048010515E-2</v>
      </c>
      <c r="L42" s="475">
        <f t="shared" si="21"/>
        <v>0</v>
      </c>
      <c r="M42" s="475">
        <f t="shared" si="22"/>
        <v>0</v>
      </c>
      <c r="N42" s="475">
        <f t="shared" si="23"/>
        <v>0</v>
      </c>
      <c r="O42" s="458" t="s">
        <v>3216</v>
      </c>
      <c r="P42" s="469"/>
      <c r="S42" s="465">
        <f t="shared" si="28"/>
        <v>1.7347234759768071E-16</v>
      </c>
      <c r="T42" s="465">
        <f t="shared" si="29"/>
        <v>0</v>
      </c>
    </row>
    <row r="43" spans="1:24" ht="18.75" customHeight="1" x14ac:dyDescent="0.3">
      <c r="B43" s="481" t="s">
        <v>1845</v>
      </c>
      <c r="C43" s="473">
        <v>2.74</v>
      </c>
      <c r="D43" s="473"/>
      <c r="E43" s="473">
        <v>2.74</v>
      </c>
      <c r="F43" s="473"/>
      <c r="G43" s="474">
        <f t="shared" si="16"/>
        <v>0</v>
      </c>
      <c r="H43" s="475">
        <f t="shared" si="17"/>
        <v>0</v>
      </c>
      <c r="I43" s="475">
        <f>F43*$I$5</f>
        <v>0</v>
      </c>
      <c r="J43" s="475">
        <f t="shared" si="19"/>
        <v>0</v>
      </c>
      <c r="K43" s="475">
        <f t="shared" si="20"/>
        <v>0</v>
      </c>
      <c r="L43" s="475">
        <f t="shared" si="21"/>
        <v>0</v>
      </c>
      <c r="M43" s="475">
        <f t="shared" si="22"/>
        <v>0</v>
      </c>
      <c r="N43" s="475">
        <f t="shared" si="23"/>
        <v>0</v>
      </c>
      <c r="O43" s="458"/>
      <c r="P43" s="469"/>
      <c r="S43" s="465">
        <f t="shared" si="28"/>
        <v>0</v>
      </c>
      <c r="T43" s="465">
        <f t="shared" si="29"/>
        <v>0</v>
      </c>
    </row>
    <row r="44" spans="1:24" ht="18.75" customHeight="1" x14ac:dyDescent="0.3">
      <c r="B44" s="481" t="s">
        <v>1481</v>
      </c>
      <c r="C44" s="473">
        <v>0.34</v>
      </c>
      <c r="D44" s="473"/>
      <c r="E44" s="473">
        <v>0.37</v>
      </c>
      <c r="F44" s="473"/>
      <c r="G44" s="474">
        <f t="shared" si="16"/>
        <v>0</v>
      </c>
      <c r="H44" s="475">
        <f t="shared" si="17"/>
        <v>0</v>
      </c>
      <c r="I44" s="475">
        <f t="shared" si="18"/>
        <v>0</v>
      </c>
      <c r="J44" s="475">
        <f t="shared" si="19"/>
        <v>0</v>
      </c>
      <c r="K44" s="475">
        <f t="shared" si="20"/>
        <v>0</v>
      </c>
      <c r="L44" s="475">
        <f t="shared" si="21"/>
        <v>0</v>
      </c>
      <c r="M44" s="475">
        <f t="shared" si="22"/>
        <v>0</v>
      </c>
      <c r="N44" s="475">
        <f t="shared" si="23"/>
        <v>0</v>
      </c>
      <c r="O44" s="458" t="s">
        <v>1517</v>
      </c>
      <c r="P44" s="469"/>
      <c r="S44" s="465">
        <f t="shared" si="28"/>
        <v>0</v>
      </c>
      <c r="T44" s="465">
        <f t="shared" si="29"/>
        <v>0</v>
      </c>
    </row>
    <row r="45" spans="1:24" ht="18.75" hidden="1" customHeight="1" x14ac:dyDescent="0.3">
      <c r="B45" s="481" t="s">
        <v>1482</v>
      </c>
      <c r="C45" s="473"/>
      <c r="D45" s="473"/>
      <c r="E45" s="473"/>
      <c r="F45" s="473"/>
      <c r="G45" s="474">
        <f t="shared" si="16"/>
        <v>0</v>
      </c>
      <c r="H45" s="475">
        <f t="shared" si="17"/>
        <v>0</v>
      </c>
      <c r="I45" s="475">
        <f t="shared" si="18"/>
        <v>0</v>
      </c>
      <c r="J45" s="475">
        <f t="shared" si="19"/>
        <v>0</v>
      </c>
      <c r="K45" s="475">
        <f t="shared" si="20"/>
        <v>0</v>
      </c>
      <c r="L45" s="475">
        <f t="shared" si="21"/>
        <v>0</v>
      </c>
      <c r="M45" s="475">
        <f t="shared" si="22"/>
        <v>0</v>
      </c>
      <c r="N45" s="475">
        <f t="shared" si="23"/>
        <v>0</v>
      </c>
      <c r="O45" s="458"/>
      <c r="P45" s="469"/>
      <c r="S45" s="465">
        <f t="shared" si="28"/>
        <v>0</v>
      </c>
      <c r="T45" s="465">
        <f t="shared" si="29"/>
        <v>0</v>
      </c>
    </row>
    <row r="46" spans="1:24" ht="18.75" hidden="1" customHeight="1" x14ac:dyDescent="0.3">
      <c r="B46" s="481" t="s">
        <v>1485</v>
      </c>
      <c r="C46" s="473"/>
      <c r="D46" s="473"/>
      <c r="E46" s="473"/>
      <c r="F46" s="473"/>
      <c r="G46" s="474">
        <f t="shared" si="16"/>
        <v>0</v>
      </c>
      <c r="H46" s="475">
        <f t="shared" si="17"/>
        <v>0</v>
      </c>
      <c r="I46" s="475">
        <f t="shared" si="18"/>
        <v>0</v>
      </c>
      <c r="J46" s="475">
        <f t="shared" si="19"/>
        <v>0</v>
      </c>
      <c r="K46" s="475">
        <f t="shared" si="20"/>
        <v>0</v>
      </c>
      <c r="L46" s="475">
        <f t="shared" si="21"/>
        <v>0</v>
      </c>
      <c r="M46" s="475">
        <f t="shared" si="22"/>
        <v>0</v>
      </c>
      <c r="N46" s="475">
        <f t="shared" si="23"/>
        <v>0</v>
      </c>
      <c r="O46" s="458" t="s">
        <v>1517</v>
      </c>
      <c r="P46" s="469"/>
      <c r="S46" s="465">
        <f t="shared" si="28"/>
        <v>0</v>
      </c>
      <c r="T46" s="465">
        <f t="shared" si="29"/>
        <v>0</v>
      </c>
    </row>
    <row r="47" spans="1:24" ht="18.75" customHeight="1" x14ac:dyDescent="0.3">
      <c r="B47" s="481" t="s">
        <v>1483</v>
      </c>
      <c r="C47" s="473">
        <v>1.2</v>
      </c>
      <c r="D47" s="473">
        <v>0.496</v>
      </c>
      <c r="E47" s="473">
        <v>1.34</v>
      </c>
      <c r="F47" s="473">
        <f>0.654</f>
        <v>0.65400000000000003</v>
      </c>
      <c r="G47" s="474">
        <f t="shared" si="16"/>
        <v>0.50492874389545361</v>
      </c>
      <c r="H47" s="475">
        <f t="shared" si="17"/>
        <v>0.13761224539459352</v>
      </c>
      <c r="I47" s="475">
        <f t="shared" si="18"/>
        <v>4.9907762566319173E-2</v>
      </c>
      <c r="J47" s="475">
        <f>F47*$J$5</f>
        <v>8.7704482828274324E-2</v>
      </c>
      <c r="K47" s="475">
        <f t="shared" si="20"/>
        <v>1.1459010709952847E-2</v>
      </c>
      <c r="L47" s="475">
        <f t="shared" si="21"/>
        <v>0</v>
      </c>
      <c r="M47" s="475">
        <f t="shared" si="22"/>
        <v>0</v>
      </c>
      <c r="N47" s="475">
        <f t="shared" si="23"/>
        <v>0</v>
      </c>
      <c r="O47" s="458" t="s">
        <v>2708</v>
      </c>
      <c r="P47" s="469"/>
      <c r="S47" s="465">
        <f t="shared" si="28"/>
        <v>4.6837533851373792E-17</v>
      </c>
      <c r="T47" s="465">
        <f t="shared" si="29"/>
        <v>0</v>
      </c>
    </row>
    <row r="48" spans="1:24" ht="18.75" customHeight="1" x14ac:dyDescent="0.3">
      <c r="B48" s="481" t="s">
        <v>3207</v>
      </c>
      <c r="C48" s="473">
        <v>0.98</v>
      </c>
      <c r="D48" s="473">
        <v>7.5999999999999998E-2</v>
      </c>
      <c r="E48" s="473">
        <v>1.1100000000000001</v>
      </c>
      <c r="F48" s="473">
        <f>0.101</f>
        <v>0.10100000000000001</v>
      </c>
      <c r="G48" s="474">
        <f t="shared" si="16"/>
        <v>7.797829225296761E-2</v>
      </c>
      <c r="H48" s="475">
        <f t="shared" si="17"/>
        <v>2.1252044013538141E-2</v>
      </c>
      <c r="I48" s="475">
        <f t="shared" si="18"/>
        <v>7.7074679192633581E-3</v>
      </c>
      <c r="J48" s="475">
        <f>F48*$J$5</f>
        <v>1.3544576094274782E-2</v>
      </c>
      <c r="K48" s="475">
        <f t="shared" si="20"/>
        <v>1.7696637334942472E-3</v>
      </c>
      <c r="L48" s="475">
        <f t="shared" si="21"/>
        <v>0</v>
      </c>
      <c r="M48" s="475">
        <f t="shared" si="22"/>
        <v>0</v>
      </c>
      <c r="N48" s="475">
        <f t="shared" si="23"/>
        <v>0</v>
      </c>
      <c r="O48" s="458" t="s">
        <v>995</v>
      </c>
      <c r="P48" s="469"/>
      <c r="S48" s="465">
        <f t="shared" si="28"/>
        <v>8.8904578143811364E-18</v>
      </c>
      <c r="T48" s="465">
        <f t="shared" si="29"/>
        <v>0</v>
      </c>
    </row>
    <row r="49" spans="2:20" ht="37.5" x14ac:dyDescent="0.3">
      <c r="B49" s="472" t="s">
        <v>1510</v>
      </c>
      <c r="C49" s="473">
        <v>1.89</v>
      </c>
      <c r="D49" s="473">
        <f>0.048+0.086+0.086+0.029+0.153</f>
        <v>0.40200000000000002</v>
      </c>
      <c r="E49" s="473">
        <v>2.27</v>
      </c>
      <c r="F49" s="473">
        <f>0.038+0.113+0.201+0.063</f>
        <v>0.41499999999999998</v>
      </c>
      <c r="G49" s="474">
        <f>F49*$G$5</f>
        <v>0.32040585430674806</v>
      </c>
      <c r="H49" s="475">
        <f t="shared" si="17"/>
        <v>8.7322755105131961E-2</v>
      </c>
      <c r="I49" s="475">
        <f t="shared" si="18"/>
        <v>3.1669298876181126E-2</v>
      </c>
      <c r="J49" s="475">
        <f t="shared" si="19"/>
        <v>5.5653456228950828E-2</v>
      </c>
      <c r="K49" s="475">
        <f t="shared" si="20"/>
        <v>7.2713905881199251E-3</v>
      </c>
      <c r="L49" s="475">
        <f t="shared" si="21"/>
        <v>0</v>
      </c>
      <c r="M49" s="475">
        <f t="shared" si="22"/>
        <v>0</v>
      </c>
      <c r="N49" s="475">
        <f t="shared" si="23"/>
        <v>0</v>
      </c>
      <c r="O49" s="458" t="s">
        <v>995</v>
      </c>
      <c r="S49" s="465">
        <f t="shared" si="28"/>
        <v>3.2959746043559335E-17</v>
      </c>
      <c r="T49" s="465">
        <f t="shared" si="29"/>
        <v>0</v>
      </c>
    </row>
    <row r="50" spans="2:20" ht="18.75" x14ac:dyDescent="0.3">
      <c r="B50" s="472" t="s">
        <v>1335</v>
      </c>
      <c r="C50" s="473"/>
      <c r="D50" s="473"/>
      <c r="E50" s="473"/>
      <c r="F50" s="536"/>
      <c r="G50" s="474"/>
      <c r="H50" s="475"/>
      <c r="I50" s="475"/>
      <c r="J50" s="475"/>
      <c r="K50" s="475"/>
      <c r="L50" s="475"/>
      <c r="M50" s="475"/>
      <c r="N50" s="475"/>
      <c r="O50" s="504"/>
      <c r="S50" s="465">
        <f t="shared" si="28"/>
        <v>0</v>
      </c>
      <c r="T50" s="465">
        <f t="shared" si="29"/>
        <v>0</v>
      </c>
    </row>
    <row r="51" spans="2:20" ht="18.75" x14ac:dyDescent="0.3">
      <c r="B51" s="538" t="s">
        <v>1336</v>
      </c>
      <c r="C51" s="536">
        <v>2.4</v>
      </c>
      <c r="D51" s="536">
        <f>0.534+0.01+1.64</f>
        <v>2.1840000000000002</v>
      </c>
      <c r="E51" s="536">
        <v>0.17</v>
      </c>
      <c r="F51" s="536">
        <f>0.113+2.162+0.704+0.013</f>
        <v>2.992</v>
      </c>
      <c r="G51" s="474">
        <f t="shared" si="16"/>
        <v>2.3100104002067234</v>
      </c>
      <c r="H51" s="475">
        <f t="shared" si="17"/>
        <v>0.62956550186639715</v>
      </c>
      <c r="I51" s="475">
        <f t="shared" si="18"/>
        <v>0.22832419816273233</v>
      </c>
      <c r="J51" s="475">
        <f t="shared" si="19"/>
        <v>0.40124130370366479</v>
      </c>
      <c r="K51" s="475">
        <f t="shared" si="20"/>
        <v>5.2424097926879076E-2</v>
      </c>
      <c r="L51" s="475">
        <f t="shared" si="21"/>
        <v>0</v>
      </c>
      <c r="M51" s="475">
        <f t="shared" si="22"/>
        <v>0</v>
      </c>
      <c r="N51" s="475">
        <f t="shared" si="23"/>
        <v>0</v>
      </c>
      <c r="O51" s="504" t="s">
        <v>1519</v>
      </c>
      <c r="S51" s="465">
        <f t="shared" ref="S51:S65" si="30">F51-G51-H51-K51-L51-M51-N51</f>
        <v>3.3306690738754696E-16</v>
      </c>
      <c r="T51" s="465">
        <f t="shared" ref="T51:T65" si="31">H51-I51-J51</f>
        <v>0</v>
      </c>
    </row>
    <row r="52" spans="2:20" ht="18.75" x14ac:dyDescent="0.3">
      <c r="B52" s="538" t="s">
        <v>1337</v>
      </c>
      <c r="C52" s="536">
        <v>0.61</v>
      </c>
      <c r="D52" s="536"/>
      <c r="E52" s="536">
        <v>0.02</v>
      </c>
      <c r="F52" s="536"/>
      <c r="G52" s="474">
        <f t="shared" si="16"/>
        <v>0</v>
      </c>
      <c r="H52" s="475">
        <f t="shared" si="17"/>
        <v>0</v>
      </c>
      <c r="I52" s="475">
        <f t="shared" si="18"/>
        <v>0</v>
      </c>
      <c r="J52" s="475">
        <f t="shared" si="19"/>
        <v>0</v>
      </c>
      <c r="K52" s="475">
        <f t="shared" si="20"/>
        <v>0</v>
      </c>
      <c r="L52" s="475">
        <f t="shared" si="21"/>
        <v>0</v>
      </c>
      <c r="M52" s="475">
        <f t="shared" si="22"/>
        <v>0</v>
      </c>
      <c r="N52" s="475">
        <f t="shared" si="23"/>
        <v>0</v>
      </c>
      <c r="O52" s="504" t="s">
        <v>1519</v>
      </c>
      <c r="S52" s="465">
        <f t="shared" si="30"/>
        <v>0</v>
      </c>
      <c r="T52" s="465">
        <f t="shared" si="31"/>
        <v>0</v>
      </c>
    </row>
    <row r="53" spans="2:20" ht="18.75" x14ac:dyDescent="0.3">
      <c r="B53" s="482" t="s">
        <v>954</v>
      </c>
      <c r="C53" s="473">
        <v>1.26</v>
      </c>
      <c r="D53" s="473">
        <f>0.495</f>
        <v>0.495</v>
      </c>
      <c r="E53" s="473">
        <v>1.46</v>
      </c>
      <c r="F53" s="473">
        <f>0.126+0.138+0.616</f>
        <v>0.88</v>
      </c>
      <c r="G53" s="474">
        <f t="shared" si="16"/>
        <v>0.67941482359021277</v>
      </c>
      <c r="H53" s="475">
        <f t="shared" si="17"/>
        <v>0.18516632407835212</v>
      </c>
      <c r="I53" s="475">
        <f t="shared" si="18"/>
        <v>6.7154175930215401E-2</v>
      </c>
      <c r="J53" s="475">
        <f t="shared" si="19"/>
        <v>0.11801214814813669</v>
      </c>
      <c r="K53" s="475">
        <f t="shared" si="20"/>
        <v>1.5418852331435024E-2</v>
      </c>
      <c r="L53" s="475">
        <f t="shared" si="21"/>
        <v>0</v>
      </c>
      <c r="M53" s="475">
        <f t="shared" si="22"/>
        <v>0</v>
      </c>
      <c r="N53" s="475">
        <f t="shared" si="23"/>
        <v>0</v>
      </c>
      <c r="O53" s="504" t="s">
        <v>1517</v>
      </c>
      <c r="S53" s="465">
        <f>F53-G53-H53-K53-L53-M53-N53</f>
        <v>8.8470897274817162E-17</v>
      </c>
      <c r="T53" s="465">
        <f t="shared" si="31"/>
        <v>0</v>
      </c>
    </row>
    <row r="54" spans="2:20" ht="18.75" x14ac:dyDescent="0.3">
      <c r="B54" s="482" t="s">
        <v>3208</v>
      </c>
      <c r="C54" s="473">
        <v>0.08</v>
      </c>
      <c r="D54" s="473"/>
      <c r="E54" s="473">
        <v>1.18</v>
      </c>
      <c r="F54" s="473"/>
      <c r="G54" s="474">
        <f>F54*$G$5</f>
        <v>0</v>
      </c>
      <c r="H54" s="475">
        <f t="shared" ref="H54" si="32">F54*$H$5</f>
        <v>0</v>
      </c>
      <c r="I54" s="475">
        <f t="shared" ref="I54" si="33">F54*$I$5</f>
        <v>0</v>
      </c>
      <c r="J54" s="475">
        <f>F54*$J$5</f>
        <v>0</v>
      </c>
      <c r="K54" s="475">
        <f t="shared" ref="K54" si="34">F54*$K$5</f>
        <v>0</v>
      </c>
      <c r="L54" s="475">
        <f t="shared" ref="L54" si="35">F54*$L$5</f>
        <v>0</v>
      </c>
      <c r="M54" s="475">
        <f t="shared" ref="M54" si="36">F54*$M$5</f>
        <v>0</v>
      </c>
      <c r="N54" s="475">
        <f t="shared" ref="N54" si="37">F54*$N$5</f>
        <v>0</v>
      </c>
      <c r="O54" s="504"/>
      <c r="S54" s="465">
        <f t="shared" ref="S54:S56" si="38">F54-G54-H54-K54-L54-M54-N54</f>
        <v>0</v>
      </c>
      <c r="T54" s="465">
        <f t="shared" ref="T54:T56" si="39">H54-I54-J54</f>
        <v>0</v>
      </c>
    </row>
    <row r="55" spans="2:20" ht="18.75" x14ac:dyDescent="0.3">
      <c r="B55" s="482" t="s">
        <v>3179</v>
      </c>
      <c r="C55" s="473">
        <v>0.03</v>
      </c>
      <c r="D55" s="473">
        <v>1.9E-2</v>
      </c>
      <c r="E55" s="473">
        <v>0.03</v>
      </c>
      <c r="F55" s="473">
        <f>0.025</f>
        <v>2.5000000000000001E-2</v>
      </c>
      <c r="G55" s="474">
        <f>F55*$G$5</f>
        <v>1.9301557488358319E-2</v>
      </c>
      <c r="H55" s="475">
        <f>F55*$H$5</f>
        <v>5.2604069340440943E-3</v>
      </c>
      <c r="I55" s="475">
        <f>F55*$I$5</f>
        <v>1.9077890889265738E-3</v>
      </c>
      <c r="J55" s="475">
        <f>F55*$J$5</f>
        <v>3.3526178451175198E-3</v>
      </c>
      <c r="K55" s="475">
        <f t="shared" ref="K55:K56" si="40">F55*$K$5</f>
        <v>4.3803557759758589E-4</v>
      </c>
      <c r="L55" s="475">
        <f t="shared" ref="L55:L56" si="41">F55*$L$5</f>
        <v>0</v>
      </c>
      <c r="M55" s="475">
        <f t="shared" ref="M55:M56" si="42">F55*$M$5</f>
        <v>0</v>
      </c>
      <c r="N55" s="475">
        <f t="shared" ref="N55:N56" si="43">F55*$N$5</f>
        <v>0</v>
      </c>
      <c r="O55" s="504"/>
      <c r="S55" s="465">
        <f t="shared" si="38"/>
        <v>1.7347234759768071E-18</v>
      </c>
      <c r="T55" s="465">
        <f t="shared" si="39"/>
        <v>0</v>
      </c>
    </row>
    <row r="56" spans="2:20" ht="18.75" x14ac:dyDescent="0.3">
      <c r="B56" s="482" t="s">
        <v>3186</v>
      </c>
      <c r="C56" s="473">
        <v>0.46</v>
      </c>
      <c r="D56" s="473">
        <v>0.36199999999999999</v>
      </c>
      <c r="E56" s="473">
        <v>0.54</v>
      </c>
      <c r="F56" s="473">
        <f>0.478</f>
        <v>0.47799999999999998</v>
      </c>
      <c r="G56" s="474">
        <f>F56*$G$5</f>
        <v>0.36904577917741099</v>
      </c>
      <c r="H56" s="475">
        <f t="shared" ref="H56" si="44">F56*$H$5</f>
        <v>0.10057898057892307</v>
      </c>
      <c r="I56" s="475">
        <f t="shared" ref="I56" si="45">F56*$I$5</f>
        <v>3.6476927380276088E-2</v>
      </c>
      <c r="J56" s="475">
        <f>F56*$J$5</f>
        <v>6.410205319864698E-2</v>
      </c>
      <c r="K56" s="475">
        <f t="shared" si="40"/>
        <v>8.3752402436658418E-3</v>
      </c>
      <c r="L56" s="475">
        <f t="shared" si="41"/>
        <v>0</v>
      </c>
      <c r="M56" s="475">
        <f t="shared" si="42"/>
        <v>0</v>
      </c>
      <c r="N56" s="475">
        <f t="shared" si="43"/>
        <v>0</v>
      </c>
      <c r="O56" s="504"/>
      <c r="S56" s="465">
        <f t="shared" si="38"/>
        <v>7.1123662515049091E-17</v>
      </c>
      <c r="T56" s="465">
        <f t="shared" si="39"/>
        <v>0</v>
      </c>
    </row>
    <row r="57" spans="2:20" ht="18.75" x14ac:dyDescent="0.3">
      <c r="B57" s="539" t="s">
        <v>1343</v>
      </c>
      <c r="C57" s="473">
        <v>49.87</v>
      </c>
      <c r="D57" s="473">
        <f>0.057+4.777+20.12</f>
        <v>24.954000000000001</v>
      </c>
      <c r="E57" s="473">
        <v>56.77</v>
      </c>
      <c r="F57" s="473">
        <f>26.518+0.075+6.297</f>
        <v>32.89</v>
      </c>
      <c r="G57" s="474">
        <f t="shared" si="16"/>
        <v>25.393129031684204</v>
      </c>
      <c r="H57" s="475">
        <f t="shared" si="17"/>
        <v>6.9205913624284108</v>
      </c>
      <c r="I57" s="475">
        <f t="shared" si="18"/>
        <v>2.5098873253918006</v>
      </c>
      <c r="J57" s="475">
        <f t="shared" si="19"/>
        <v>4.4107040370366093</v>
      </c>
      <c r="K57" s="475">
        <f t="shared" si="20"/>
        <v>0.57627960588738403</v>
      </c>
      <c r="L57" s="475">
        <f t="shared" si="21"/>
        <v>0</v>
      </c>
      <c r="M57" s="475">
        <f t="shared" si="22"/>
        <v>0</v>
      </c>
      <c r="N57" s="475">
        <f t="shared" si="23"/>
        <v>0</v>
      </c>
      <c r="O57" s="504"/>
      <c r="S57" s="465">
        <f t="shared" si="30"/>
        <v>1.9984014443252818E-15</v>
      </c>
      <c r="T57" s="465">
        <f t="shared" si="31"/>
        <v>0</v>
      </c>
    </row>
    <row r="58" spans="2:20" ht="18.75" x14ac:dyDescent="0.3">
      <c r="B58" s="539" t="s">
        <v>3209</v>
      </c>
      <c r="C58" s="473">
        <v>24.92</v>
      </c>
      <c r="D58" s="473">
        <v>5.9409999999999998</v>
      </c>
      <c r="E58" s="473">
        <v>29.3</v>
      </c>
      <c r="F58" s="473">
        <f>F20*0%</f>
        <v>0</v>
      </c>
      <c r="G58" s="474">
        <f t="shared" ref="G58" si="46">F58*$G$5</f>
        <v>0</v>
      </c>
      <c r="H58" s="475">
        <f t="shared" ref="H58:H60" si="47">F58*$H$5</f>
        <v>0</v>
      </c>
      <c r="I58" s="475">
        <f t="shared" ref="I58:I60" si="48">F58*$I$5</f>
        <v>0</v>
      </c>
      <c r="J58" s="475">
        <f>F58*$J$5</f>
        <v>0</v>
      </c>
      <c r="K58" s="475">
        <f t="shared" ref="K58:K59" si="49">F58*$K$5</f>
        <v>0</v>
      </c>
      <c r="L58" s="475">
        <f t="shared" ref="L58:L60" si="50">F58*$L$5</f>
        <v>0</v>
      </c>
      <c r="M58" s="475">
        <f t="shared" ref="M58:M60" si="51">F58*$M$5</f>
        <v>0</v>
      </c>
      <c r="N58" s="475">
        <f t="shared" ref="N58:N60" si="52">F58*$N$5</f>
        <v>0</v>
      </c>
      <c r="O58" s="504"/>
      <c r="S58" s="465">
        <f t="shared" ref="S58:S62" si="53">F58-G58-H58-K58-L58-M58-N58</f>
        <v>0</v>
      </c>
      <c r="T58" s="465">
        <f t="shared" ref="T58:T62" si="54">H58-I58-J58</f>
        <v>0</v>
      </c>
    </row>
    <row r="59" spans="2:20" ht="18.75" x14ac:dyDescent="0.3">
      <c r="B59" s="539" t="s">
        <v>3210</v>
      </c>
      <c r="C59" s="473">
        <v>47.61</v>
      </c>
      <c r="D59" s="473">
        <f>20.979+0.144+0.963+0.782+0.029+9.183+6.265</f>
        <v>38.344999999999999</v>
      </c>
      <c r="E59" s="473">
        <v>54.3</v>
      </c>
      <c r="F59" s="473">
        <v>47.628</v>
      </c>
      <c r="G59" s="474">
        <f>F59*$G$5</f>
        <v>36.771783202221201</v>
      </c>
      <c r="H59" s="475">
        <f t="shared" si="47"/>
        <v>10.021706458186085</v>
      </c>
      <c r="I59" s="475">
        <f t="shared" si="48"/>
        <v>3.634567149095794</v>
      </c>
      <c r="J59" s="475">
        <f t="shared" ref="J59:J60" si="55">F59*$J$5</f>
        <v>6.3871393090902897</v>
      </c>
      <c r="K59" s="475">
        <f t="shared" si="49"/>
        <v>0.83451033959271281</v>
      </c>
      <c r="L59" s="475">
        <f t="shared" si="50"/>
        <v>0</v>
      </c>
      <c r="M59" s="475">
        <f t="shared" si="51"/>
        <v>0</v>
      </c>
      <c r="N59" s="475">
        <f t="shared" si="52"/>
        <v>0</v>
      </c>
      <c r="O59" s="504"/>
      <c r="S59" s="465">
        <f t="shared" si="53"/>
        <v>1.8873791418627661E-15</v>
      </c>
      <c r="T59" s="465">
        <f t="shared" si="54"/>
        <v>0</v>
      </c>
    </row>
    <row r="60" spans="2:20" ht="37.5" x14ac:dyDescent="0.3">
      <c r="B60" s="539" t="s">
        <v>3211</v>
      </c>
      <c r="C60" s="473">
        <v>0.85</v>
      </c>
      <c r="D60" s="473">
        <v>2.6320000000000001</v>
      </c>
      <c r="E60" s="473">
        <v>1.02</v>
      </c>
      <c r="F60" s="473">
        <f>3.469</f>
        <v>3.4689999999999999</v>
      </c>
      <c r="G60" s="474">
        <f>F60*$G$5</f>
        <v>2.6782841170845999</v>
      </c>
      <c r="H60" s="475">
        <f t="shared" si="47"/>
        <v>0.72993406616795853</v>
      </c>
      <c r="I60" s="475">
        <f t="shared" si="48"/>
        <v>0.26472481397945136</v>
      </c>
      <c r="J60" s="475">
        <f t="shared" si="55"/>
        <v>0.46520925218850701</v>
      </c>
      <c r="K60" s="475">
        <f>F60*$K$5</f>
        <v>6.0781816747441014E-2</v>
      </c>
      <c r="L60" s="475">
        <f t="shared" si="50"/>
        <v>0</v>
      </c>
      <c r="M60" s="475">
        <f t="shared" si="51"/>
        <v>0</v>
      </c>
      <c r="N60" s="475">
        <f t="shared" si="52"/>
        <v>0</v>
      </c>
      <c r="O60" s="504"/>
      <c r="S60" s="465">
        <f t="shared" si="53"/>
        <v>4.163336342344337E-16</v>
      </c>
      <c r="T60" s="465">
        <f t="shared" si="54"/>
        <v>0</v>
      </c>
    </row>
    <row r="61" spans="2:20" ht="18.75" x14ac:dyDescent="0.3">
      <c r="B61" s="539" t="s">
        <v>3382</v>
      </c>
      <c r="C61" s="473">
        <v>0.65</v>
      </c>
      <c r="D61" s="473">
        <v>6.093</v>
      </c>
      <c r="E61" s="473"/>
      <c r="F61" s="473">
        <v>8.0310000000000006</v>
      </c>
      <c r="G61" s="473">
        <f>F61*$G$5</f>
        <v>6.2004323275602262</v>
      </c>
      <c r="H61" s="473">
        <f t="shared" ref="H61" si="56">F61*$H$5</f>
        <v>1.6898531234923249</v>
      </c>
      <c r="I61" s="473">
        <f t="shared" ref="I61" si="57">F61*$I$5</f>
        <v>0.61285816692677264</v>
      </c>
      <c r="J61" s="475">
        <f t="shared" ref="J61" si="58">F61*$J$5</f>
        <v>1.0769949565655521</v>
      </c>
      <c r="K61" s="475">
        <f>F61*$K$5</f>
        <v>0.1407145489474485</v>
      </c>
      <c r="L61" s="475">
        <f t="shared" ref="L61" si="59">F61*$L$5</f>
        <v>0</v>
      </c>
      <c r="M61" s="475">
        <f t="shared" ref="M61" si="60">F61*$M$5</f>
        <v>0</v>
      </c>
      <c r="N61" s="475">
        <f t="shared" ref="N61" si="61">F61*$N$5</f>
        <v>0</v>
      </c>
      <c r="O61" s="504"/>
      <c r="S61" s="465">
        <f>F61-G61-H61-K61-L61-M61-N61</f>
        <v>9.9920072216264089E-16</v>
      </c>
      <c r="T61" s="465">
        <f t="shared" si="54"/>
        <v>0</v>
      </c>
    </row>
    <row r="62" spans="2:20" ht="37.5" x14ac:dyDescent="0.3">
      <c r="B62" s="539" t="s">
        <v>3212</v>
      </c>
      <c r="C62" s="473">
        <v>2.2599999999999998</v>
      </c>
      <c r="D62" s="473">
        <f>0.648+0.153</f>
        <v>0.80100000000000005</v>
      </c>
      <c r="E62" s="473">
        <v>2.2799999999999998</v>
      </c>
      <c r="F62" s="473">
        <f>0.855+0.201</f>
        <v>1.056</v>
      </c>
      <c r="G62" s="474">
        <f t="shared" ref="G62" si="62">F62*$G$5</f>
        <v>0.81529778830825539</v>
      </c>
      <c r="H62" s="475">
        <f t="shared" ref="H62" si="63">F62*$H$5</f>
        <v>0.22219958889402255</v>
      </c>
      <c r="I62" s="475">
        <f t="shared" ref="I62" si="64">F62*$I$5</f>
        <v>8.0585011116258473E-2</v>
      </c>
      <c r="J62" s="475">
        <f t="shared" ref="J62" si="65">F62*$J$5</f>
        <v>0.14161457777776404</v>
      </c>
      <c r="K62" s="475">
        <f t="shared" ref="K62" si="66">F62*$K$5</f>
        <v>1.8502622797722031E-2</v>
      </c>
      <c r="L62" s="475">
        <f t="shared" ref="L62" si="67">F62*$L$5</f>
        <v>0</v>
      </c>
      <c r="M62" s="475">
        <f t="shared" ref="M62" si="68">F62*$M$5</f>
        <v>0</v>
      </c>
      <c r="N62" s="475">
        <f t="shared" ref="N62" si="69">F62*$N$5</f>
        <v>0</v>
      </c>
      <c r="O62" s="504"/>
      <c r="S62" s="465">
        <f t="shared" si="53"/>
        <v>7.6327832942979512E-17</v>
      </c>
      <c r="T62" s="465">
        <f t="shared" si="54"/>
        <v>0</v>
      </c>
    </row>
    <row r="63" spans="2:20" ht="18.75" x14ac:dyDescent="0.3">
      <c r="B63" s="472" t="s">
        <v>3385</v>
      </c>
      <c r="C63" s="536">
        <v>1.96</v>
      </c>
      <c r="D63" s="536">
        <v>1.659</v>
      </c>
      <c r="E63" s="536">
        <v>2.2400000000000002</v>
      </c>
      <c r="F63" s="473">
        <f>2.187</f>
        <v>2.1869999999999998</v>
      </c>
      <c r="G63" s="474">
        <f t="shared" si="16"/>
        <v>1.6885002490815855</v>
      </c>
      <c r="H63" s="475">
        <f t="shared" si="17"/>
        <v>0.46018039859017734</v>
      </c>
      <c r="I63" s="475">
        <f t="shared" si="18"/>
        <v>0.16689338949929666</v>
      </c>
      <c r="J63" s="475">
        <f t="shared" si="19"/>
        <v>0.29328700909088062</v>
      </c>
      <c r="K63" s="475">
        <f t="shared" si="20"/>
        <v>3.8319352328236814E-2</v>
      </c>
      <c r="L63" s="475">
        <f t="shared" si="21"/>
        <v>0</v>
      </c>
      <c r="M63" s="475">
        <f t="shared" si="22"/>
        <v>0</v>
      </c>
      <c r="N63" s="475">
        <f t="shared" si="23"/>
        <v>0</v>
      </c>
      <c r="O63" s="1855" t="s">
        <v>2691</v>
      </c>
      <c r="S63" s="465">
        <f t="shared" si="30"/>
        <v>2.0816681711721685E-16</v>
      </c>
      <c r="T63" s="465">
        <f t="shared" si="31"/>
        <v>0</v>
      </c>
    </row>
    <row r="64" spans="2:20" ht="18.75" x14ac:dyDescent="0.3">
      <c r="B64" s="821" t="s">
        <v>3384</v>
      </c>
      <c r="C64" s="570"/>
      <c r="D64" s="570">
        <v>0.30499999999999999</v>
      </c>
      <c r="E64" s="570"/>
      <c r="F64" s="569">
        <v>0.40200000000000002</v>
      </c>
      <c r="G64" s="474">
        <f>F64*$G$5</f>
        <v>0.31036904441280178</v>
      </c>
      <c r="H64" s="475">
        <f>F64*$H$5</f>
        <v>8.4587343499429035E-2</v>
      </c>
      <c r="I64" s="475">
        <f t="shared" si="18"/>
        <v>3.0677248549939307E-2</v>
      </c>
      <c r="J64" s="475">
        <f t="shared" si="19"/>
        <v>5.3910094949489722E-2</v>
      </c>
      <c r="K64" s="475">
        <f>F64*$K$5</f>
        <v>7.043612087769182E-3</v>
      </c>
      <c r="L64" s="475">
        <f>F64*$L$5</f>
        <v>0</v>
      </c>
      <c r="M64" s="475">
        <f>F64*$M$5</f>
        <v>0</v>
      </c>
      <c r="N64" s="475">
        <f t="shared" si="23"/>
        <v>0</v>
      </c>
      <c r="O64" s="465"/>
      <c r="S64" s="465">
        <f t="shared" si="30"/>
        <v>3.1225022567582528E-17</v>
      </c>
      <c r="T64" s="465">
        <f t="shared" si="31"/>
        <v>0</v>
      </c>
    </row>
    <row r="65" spans="2:20" ht="19.5" thickBot="1" x14ac:dyDescent="0.35">
      <c r="B65" s="540" t="s">
        <v>58</v>
      </c>
      <c r="C65" s="541">
        <f>3.41-0.65</f>
        <v>2.7600000000000002</v>
      </c>
      <c r="D65" s="541">
        <f>0.095+0.229+0.105+0.925</f>
        <v>1.3540000000000001</v>
      </c>
      <c r="E65" s="541">
        <v>1.8</v>
      </c>
      <c r="F65" s="541">
        <f>0.038+0.302+1.219</f>
        <v>1.5590000000000002</v>
      </c>
      <c r="G65" s="571">
        <f t="shared" si="16"/>
        <v>1.2036451249740248</v>
      </c>
      <c r="H65" s="483">
        <f t="shared" si="17"/>
        <v>0.32803897640698976</v>
      </c>
      <c r="I65" s="483">
        <f t="shared" si="18"/>
        <v>0.11896972758546115</v>
      </c>
      <c r="J65" s="483">
        <f t="shared" si="19"/>
        <v>0.20906924882152855</v>
      </c>
      <c r="K65" s="483">
        <f t="shared" si="20"/>
        <v>2.7315898618985458E-2</v>
      </c>
      <c r="L65" s="483">
        <f t="shared" si="21"/>
        <v>0</v>
      </c>
      <c r="M65" s="483">
        <f t="shared" si="22"/>
        <v>0</v>
      </c>
      <c r="N65" s="483">
        <f t="shared" si="23"/>
        <v>0</v>
      </c>
      <c r="O65" s="458" t="s">
        <v>3217</v>
      </c>
      <c r="P65" s="458"/>
      <c r="Q65" s="469"/>
      <c r="S65" s="465">
        <f t="shared" si="30"/>
        <v>1.8735013540549517E-16</v>
      </c>
      <c r="T65" s="465">
        <f t="shared" si="31"/>
        <v>0</v>
      </c>
    </row>
    <row r="66" spans="2:20" ht="24" customHeight="1" x14ac:dyDescent="0.3">
      <c r="C66" s="458"/>
      <c r="D66" s="485"/>
      <c r="E66" s="458"/>
      <c r="F66" s="870"/>
      <c r="M66" s="484"/>
      <c r="N66" s="484"/>
    </row>
    <row r="67" spans="2:20" ht="24" customHeight="1" x14ac:dyDescent="0.25">
      <c r="C67" s="1390"/>
      <c r="D67" s="465"/>
      <c r="E67" s="458"/>
      <c r="F67" s="870"/>
      <c r="M67" s="484"/>
      <c r="N67" s="484"/>
    </row>
    <row r="68" spans="2:20" ht="46.5" customHeight="1" x14ac:dyDescent="0.3">
      <c r="B68" s="4001" t="str">
        <f>'Вхідні дані'!$B$14</f>
        <v>Заступник начальника Адміністрації морського порту Чорноморськ з технічних питань та розвитку</v>
      </c>
      <c r="C68" s="4001"/>
      <c r="D68" s="3211"/>
      <c r="E68" s="3260" t="s">
        <v>1344</v>
      </c>
      <c r="F68" s="457"/>
      <c r="G68" s="3999" t="str">
        <f>'Вхідні дані'!$F$14</f>
        <v>Віталій ЛІПСКИЙ</v>
      </c>
      <c r="H68" s="3999"/>
      <c r="I68" s="3999"/>
      <c r="M68" s="484"/>
      <c r="N68" s="484"/>
    </row>
    <row r="69" spans="2:20" ht="24" customHeight="1" x14ac:dyDescent="0.3">
      <c r="B69" s="3211"/>
      <c r="C69" s="3211"/>
      <c r="D69" s="3211"/>
      <c r="E69" s="3260" t="s">
        <v>220</v>
      </c>
      <c r="F69" s="457"/>
      <c r="G69" s="4000" t="s">
        <v>3352</v>
      </c>
      <c r="H69" s="4000"/>
      <c r="I69" s="4000"/>
      <c r="M69" s="484"/>
      <c r="N69" s="484"/>
    </row>
    <row r="70" spans="2:20" ht="24" customHeight="1" x14ac:dyDescent="0.3">
      <c r="B70" s="3211"/>
      <c r="C70" s="3211"/>
      <c r="D70" s="3211"/>
      <c r="E70" s="3260"/>
      <c r="F70" s="457"/>
      <c r="G70" s="3606"/>
      <c r="H70" s="3606"/>
      <c r="I70" s="3606"/>
      <c r="M70" s="484"/>
      <c r="N70" s="484"/>
    </row>
    <row r="71" spans="2:20" ht="24" customHeight="1" x14ac:dyDescent="0.3">
      <c r="B71" s="3211" t="str">
        <f>'Вхідні дані'!$B$16</f>
        <v>Головний бухгалтер</v>
      </c>
      <c r="C71" s="3211"/>
      <c r="D71" s="3211"/>
      <c r="E71" s="3260" t="s">
        <v>1344</v>
      </c>
      <c r="F71" s="457"/>
      <c r="G71" s="3999" t="str">
        <f>'Вхідні дані'!$F$16</f>
        <v>Тетяна ЗІМАН</v>
      </c>
      <c r="H71" s="3999"/>
      <c r="I71" s="3999"/>
      <c r="M71" s="484"/>
      <c r="N71" s="484"/>
    </row>
    <row r="72" spans="2:20" ht="24" customHeight="1" x14ac:dyDescent="0.3">
      <c r="B72" s="3261"/>
      <c r="C72" s="3261"/>
      <c r="D72" s="3261"/>
      <c r="E72" s="3260" t="s">
        <v>220</v>
      </c>
      <c r="F72" s="457"/>
      <c r="G72" s="4000" t="s">
        <v>3352</v>
      </c>
      <c r="H72" s="4000"/>
      <c r="I72" s="4000"/>
      <c r="K72" s="484"/>
      <c r="L72" s="484"/>
      <c r="M72" s="484"/>
      <c r="N72" s="484"/>
    </row>
    <row r="73" spans="2:20" ht="18.75" x14ac:dyDescent="0.3">
      <c r="C73" s="458"/>
      <c r="D73" s="458"/>
      <c r="E73" s="458"/>
      <c r="F73" s="1036"/>
      <c r="G73" s="485"/>
      <c r="H73" s="485"/>
      <c r="I73" s="485"/>
    </row>
    <row r="74" spans="2:20" x14ac:dyDescent="0.25">
      <c r="C74" s="458"/>
      <c r="D74" s="458"/>
      <c r="E74" s="458"/>
      <c r="F74" s="870"/>
    </row>
    <row r="75" spans="2:20" x14ac:dyDescent="0.25">
      <c r="C75" s="458"/>
      <c r="D75" s="458"/>
      <c r="E75" s="458"/>
      <c r="F75" s="870"/>
    </row>
    <row r="76" spans="2:20" x14ac:dyDescent="0.25">
      <c r="C76" s="458"/>
      <c r="D76" s="458"/>
      <c r="E76" s="458"/>
      <c r="F76" s="870"/>
    </row>
    <row r="77" spans="2:20" ht="31.5" x14ac:dyDescent="0.25">
      <c r="B77" s="744" t="s">
        <v>1827</v>
      </c>
      <c r="C77" s="456" t="str">
        <f>'Вхідні дані'!F6</f>
        <v>2023-2024</v>
      </c>
      <c r="D77" s="458"/>
      <c r="E77" s="458"/>
      <c r="F77" s="870"/>
    </row>
    <row r="78" spans="2:20" ht="15.75" x14ac:dyDescent="0.25">
      <c r="B78" s="745" t="str">
        <f>'Вхідні дані'!F5</f>
        <v>ЧФ ДП "АМПУ"</v>
      </c>
      <c r="C78" s="786" t="s">
        <v>648</v>
      </c>
      <c r="D78" s="458"/>
      <c r="E78" s="458"/>
      <c r="F78" s="870"/>
    </row>
    <row r="79" spans="2:20" ht="16.5" thickBot="1" x14ac:dyDescent="0.3">
      <c r="B79" s="456"/>
      <c r="C79" s="456"/>
      <c r="D79" s="458"/>
      <c r="E79" s="458"/>
      <c r="F79" s="870"/>
    </row>
    <row r="80" spans="2:20" ht="16.5" thickBot="1" x14ac:dyDescent="0.3">
      <c r="B80" s="822" t="s">
        <v>1903</v>
      </c>
      <c r="C80" s="823" t="s">
        <v>1904</v>
      </c>
      <c r="D80" s="458"/>
      <c r="E80" s="458"/>
      <c r="F80" s="870"/>
    </row>
    <row r="81" spans="2:6" ht="15.75" x14ac:dyDescent="0.25">
      <c r="B81" s="717" t="s">
        <v>1072</v>
      </c>
      <c r="C81" s="782"/>
      <c r="D81" s="458"/>
      <c r="E81" s="458"/>
      <c r="F81" s="870"/>
    </row>
    <row r="82" spans="2:6" ht="15.75" x14ac:dyDescent="0.25">
      <c r="B82" s="718"/>
      <c r="C82" s="719"/>
      <c r="D82" s="458"/>
      <c r="E82" s="458"/>
      <c r="F82" s="870"/>
    </row>
    <row r="83" spans="2:6" ht="15.75" x14ac:dyDescent="0.25">
      <c r="B83" s="718" t="s">
        <v>1072</v>
      </c>
      <c r="C83" s="719"/>
      <c r="D83" s="458"/>
      <c r="E83" s="458"/>
      <c r="F83" s="870"/>
    </row>
    <row r="84" spans="2:6" ht="15.75" x14ac:dyDescent="0.25">
      <c r="B84" s="718" t="s">
        <v>1072</v>
      </c>
      <c r="C84" s="719"/>
      <c r="D84" s="458"/>
      <c r="E84" s="458"/>
      <c r="F84" s="870"/>
    </row>
    <row r="85" spans="2:6" ht="15.75" x14ac:dyDescent="0.25">
      <c r="B85" s="718" t="s">
        <v>959</v>
      </c>
      <c r="C85" s="719"/>
      <c r="D85" s="458"/>
      <c r="E85" s="458"/>
      <c r="F85" s="870"/>
    </row>
    <row r="86" spans="2:6" ht="15.75" x14ac:dyDescent="0.25">
      <c r="B86" s="718" t="s">
        <v>1072</v>
      </c>
      <c r="C86" s="719"/>
      <c r="D86" s="458"/>
      <c r="E86" s="458"/>
      <c r="F86" s="870"/>
    </row>
    <row r="87" spans="2:6" ht="16.5" thickBot="1" x14ac:dyDescent="0.3">
      <c r="B87" s="720" t="s">
        <v>1072</v>
      </c>
      <c r="C87" s="783"/>
      <c r="D87" s="458"/>
      <c r="E87" s="458"/>
      <c r="F87" s="870"/>
    </row>
    <row r="88" spans="2:6" ht="15.75" x14ac:dyDescent="0.25">
      <c r="B88" s="717" t="s">
        <v>1515</v>
      </c>
      <c r="C88" s="782"/>
      <c r="D88" s="458"/>
      <c r="E88" s="458"/>
      <c r="F88" s="870"/>
    </row>
    <row r="89" spans="2:6" ht="15.75" x14ac:dyDescent="0.25">
      <c r="B89" s="718" t="s">
        <v>1515</v>
      </c>
      <c r="C89" s="719"/>
      <c r="D89" s="458"/>
      <c r="E89" s="458"/>
      <c r="F89" s="870"/>
    </row>
    <row r="90" spans="2:6" ht="15.75" x14ac:dyDescent="0.25">
      <c r="B90" s="718" t="s">
        <v>1515</v>
      </c>
      <c r="C90" s="719"/>
      <c r="D90" s="458"/>
      <c r="E90" s="458"/>
      <c r="F90" s="870"/>
    </row>
    <row r="91" spans="2:6" ht="16.5" thickBot="1" x14ac:dyDescent="0.3">
      <c r="B91" s="721" t="s">
        <v>1515</v>
      </c>
      <c r="C91" s="784"/>
      <c r="D91" s="458"/>
      <c r="E91" s="458"/>
      <c r="F91" s="870"/>
    </row>
    <row r="92" spans="2:6" ht="15.75" x14ac:dyDescent="0.25">
      <c r="B92" s="722" t="s">
        <v>1072</v>
      </c>
      <c r="C92" s="785"/>
      <c r="D92" s="458"/>
      <c r="E92" s="458"/>
      <c r="F92" s="870"/>
    </row>
    <row r="93" spans="2:6" ht="15.75" x14ac:dyDescent="0.25">
      <c r="B93" s="718" t="s">
        <v>1072</v>
      </c>
      <c r="C93" s="719"/>
      <c r="D93" s="458"/>
      <c r="E93" s="458"/>
      <c r="F93" s="870"/>
    </row>
    <row r="94" spans="2:6" ht="16.5" thickBot="1" x14ac:dyDescent="0.3">
      <c r="B94" s="728" t="s">
        <v>1480</v>
      </c>
      <c r="C94" s="729"/>
      <c r="D94" s="458"/>
      <c r="E94" s="458"/>
      <c r="F94" s="870"/>
    </row>
    <row r="95" spans="2:6" ht="15.75" x14ac:dyDescent="0.25">
      <c r="B95" s="717" t="s">
        <v>1975</v>
      </c>
      <c r="C95" s="723"/>
      <c r="D95" s="458"/>
      <c r="E95" s="458"/>
      <c r="F95" s="870"/>
    </row>
    <row r="96" spans="2:6" ht="15.75" x14ac:dyDescent="0.25">
      <c r="B96" s="724" t="s">
        <v>1528</v>
      </c>
      <c r="C96" s="725"/>
      <c r="D96" s="458"/>
      <c r="E96" s="458"/>
      <c r="F96" s="870"/>
    </row>
    <row r="97" spans="2:10" ht="16.5" thickBot="1" x14ac:dyDescent="0.3">
      <c r="B97" s="726" t="s">
        <v>1527</v>
      </c>
      <c r="C97" s="727"/>
      <c r="D97" s="458"/>
      <c r="E97" s="458"/>
      <c r="F97" s="870"/>
    </row>
    <row r="98" spans="2:10" x14ac:dyDescent="0.25">
      <c r="C98" s="458"/>
      <c r="D98" s="458"/>
      <c r="E98" s="458"/>
      <c r="F98" s="870"/>
    </row>
    <row r="99" spans="2:10" x14ac:dyDescent="0.25">
      <c r="C99" s="458"/>
      <c r="D99" s="458"/>
      <c r="E99" s="458"/>
      <c r="F99" s="870"/>
    </row>
    <row r="100" spans="2:10" ht="18.75" x14ac:dyDescent="0.3">
      <c r="B100" s="485" t="str">
        <f>'Вхідні дані'!$B$15</f>
        <v>Заступник начальника з економіки та фінансів</v>
      </c>
      <c r="C100" s="567" t="s">
        <v>1344</v>
      </c>
      <c r="D100" s="485" t="str">
        <f>'Вхідні дані'!$F$15</f>
        <v>Наталія БАРТОШИК</v>
      </c>
      <c r="E100" s="458"/>
      <c r="F100" s="870"/>
      <c r="H100" s="485"/>
      <c r="I100" s="485"/>
      <c r="J100" s="485"/>
    </row>
    <row r="101" spans="2:10" ht="18.75" x14ac:dyDescent="0.3">
      <c r="B101" s="484"/>
      <c r="C101" s="567" t="s">
        <v>220</v>
      </c>
      <c r="D101" s="484"/>
      <c r="E101" s="458"/>
      <c r="F101" s="870"/>
      <c r="H101" s="484"/>
      <c r="I101" s="484"/>
      <c r="J101" s="484"/>
    </row>
    <row r="102" spans="2:10" x14ac:dyDescent="0.25">
      <c r="C102" s="458"/>
      <c r="D102" s="458"/>
      <c r="E102" s="458"/>
      <c r="F102" s="870"/>
    </row>
    <row r="103" spans="2:10" ht="15.75" x14ac:dyDescent="0.25">
      <c r="B103" s="4006" t="s">
        <v>3213</v>
      </c>
      <c r="C103" s="4006"/>
      <c r="D103" s="4006"/>
      <c r="E103" s="4006"/>
      <c r="F103" s="4006"/>
      <c r="G103" s="4006"/>
      <c r="H103" s="4006"/>
    </row>
    <row r="104" spans="2:10" ht="15.75" x14ac:dyDescent="0.25">
      <c r="B104" s="1212"/>
      <c r="C104" s="1212"/>
      <c r="D104" s="1212"/>
      <c r="E104" s="4007" t="s">
        <v>1721</v>
      </c>
      <c r="F104" s="4007"/>
      <c r="G104" s="1212"/>
      <c r="H104" s="1212"/>
    </row>
    <row r="105" spans="2:10" ht="15.75" x14ac:dyDescent="0.25">
      <c r="B105" s="1271" t="s">
        <v>356</v>
      </c>
      <c r="C105" s="4005" t="s">
        <v>2206</v>
      </c>
      <c r="D105" s="4005"/>
      <c r="E105" s="4005" t="s">
        <v>2207</v>
      </c>
      <c r="F105" s="4005"/>
      <c r="G105" s="1271" t="s">
        <v>2209</v>
      </c>
      <c r="H105" s="1271" t="s">
        <v>2208</v>
      </c>
    </row>
    <row r="106" spans="2:10" ht="15.75" x14ac:dyDescent="0.25">
      <c r="B106" s="878" t="s">
        <v>2195</v>
      </c>
      <c r="C106" s="1246">
        <f>D106/D116</f>
        <v>0.55340579932929268</v>
      </c>
      <c r="D106" s="1236">
        <f>F21-L21</f>
        <v>659.72301000000004</v>
      </c>
      <c r="E106" s="1246">
        <f>F106/F116</f>
        <v>0.62270478424971942</v>
      </c>
      <c r="F106" s="1236">
        <f>E21</f>
        <v>976.7</v>
      </c>
      <c r="G106" s="1273">
        <f>C106-E106</f>
        <v>-6.9298984920426743E-2</v>
      </c>
      <c r="H106" s="1236">
        <f>D106-F106</f>
        <v>-316.97699</v>
      </c>
    </row>
    <row r="107" spans="2:10" ht="15.75" x14ac:dyDescent="0.25">
      <c r="B107" s="878" t="s">
        <v>2196</v>
      </c>
      <c r="C107" s="1246">
        <f>D107/D116</f>
        <v>0.12174927585244438</v>
      </c>
      <c r="D107" s="1236">
        <f>F23-L23</f>
        <v>145.13906220000001</v>
      </c>
      <c r="E107" s="1246">
        <f>F107/F116</f>
        <v>0.13699887789452206</v>
      </c>
      <c r="F107" s="1236">
        <f>E23</f>
        <v>214.88</v>
      </c>
      <c r="G107" s="1273">
        <f t="shared" ref="G107:H116" si="70">C107-E107</f>
        <v>-1.5249602042077676E-2</v>
      </c>
      <c r="H107" s="1236">
        <f t="shared" si="70"/>
        <v>-69.740937799999983</v>
      </c>
    </row>
    <row r="108" spans="2:10" ht="15.75" x14ac:dyDescent="0.25">
      <c r="B108" s="878" t="s">
        <v>2197</v>
      </c>
      <c r="C108" s="1246">
        <f>D108/D116</f>
        <v>0</v>
      </c>
      <c r="D108" s="1236"/>
      <c r="E108" s="1246">
        <f>F108/F116</f>
        <v>0</v>
      </c>
      <c r="F108" s="1236"/>
      <c r="G108" s="1273">
        <f t="shared" si="70"/>
        <v>0</v>
      </c>
      <c r="H108" s="1236">
        <f t="shared" si="70"/>
        <v>0</v>
      </c>
    </row>
    <row r="109" spans="2:10" ht="15.75" x14ac:dyDescent="0.25">
      <c r="B109" s="878" t="s">
        <v>43</v>
      </c>
      <c r="C109" s="1246">
        <f>D109/D116</f>
        <v>0</v>
      </c>
      <c r="D109" s="1236"/>
      <c r="E109" s="1246">
        <f>F109/F116</f>
        <v>0</v>
      </c>
      <c r="F109" s="1236"/>
      <c r="G109" s="1273">
        <f t="shared" si="70"/>
        <v>0</v>
      </c>
      <c r="H109" s="1236">
        <f t="shared" si="70"/>
        <v>0</v>
      </c>
    </row>
    <row r="110" spans="2:10" ht="15.75" x14ac:dyDescent="0.25">
      <c r="B110" s="878" t="s">
        <v>2198</v>
      </c>
      <c r="C110" s="1246">
        <f>D110/D116</f>
        <v>0</v>
      </c>
      <c r="D110" s="1236"/>
      <c r="E110" s="1246">
        <f>F110/F116</f>
        <v>0</v>
      </c>
      <c r="F110" s="1236"/>
      <c r="G110" s="1273">
        <f t="shared" si="70"/>
        <v>0</v>
      </c>
      <c r="H110" s="1236">
        <f t="shared" si="70"/>
        <v>0</v>
      </c>
    </row>
    <row r="111" spans="2:10" ht="15.75" x14ac:dyDescent="0.25">
      <c r="B111" s="878" t="s">
        <v>460</v>
      </c>
      <c r="C111" s="1246">
        <f>D111/D116</f>
        <v>1.7911871882532012E-2</v>
      </c>
      <c r="D111" s="1236">
        <f>F36+F37-L36-L37</f>
        <v>21.353000000000002</v>
      </c>
      <c r="E111" s="1246">
        <f>F111/F116</f>
        <v>1.5798735081097623E-2</v>
      </c>
      <c r="F111" s="1236">
        <f>E36</f>
        <v>24.78</v>
      </c>
      <c r="G111" s="1273">
        <f t="shared" si="70"/>
        <v>2.1131368014343892E-3</v>
      </c>
      <c r="H111" s="1236">
        <f t="shared" si="70"/>
        <v>-3.4269999999999996</v>
      </c>
    </row>
    <row r="112" spans="2:10" ht="15.75" x14ac:dyDescent="0.25">
      <c r="B112" s="878" t="s">
        <v>2199</v>
      </c>
      <c r="C112" s="1246">
        <f>D112/D116</f>
        <v>0</v>
      </c>
      <c r="D112" s="1236"/>
      <c r="E112" s="1246">
        <f>F112/F116</f>
        <v>0</v>
      </c>
      <c r="F112" s="1236"/>
      <c r="G112" s="1273">
        <f t="shared" si="70"/>
        <v>0</v>
      </c>
      <c r="H112" s="1236">
        <f t="shared" si="70"/>
        <v>0</v>
      </c>
    </row>
    <row r="113" spans="2:8" ht="15.75" x14ac:dyDescent="0.25">
      <c r="B113" s="878" t="s">
        <v>2200</v>
      </c>
      <c r="C113" s="1246">
        <f>D113/D116</f>
        <v>0.15179919260088784</v>
      </c>
      <c r="D113" s="1236">
        <f>F25+F26-L25-L26</f>
        <v>180.96199999999999</v>
      </c>
      <c r="E113" s="1246">
        <f>F113/F116</f>
        <v>0</v>
      </c>
      <c r="F113" s="1236"/>
      <c r="G113" s="1273">
        <f t="shared" si="70"/>
        <v>0.15179919260088784</v>
      </c>
      <c r="H113" s="1236">
        <f t="shared" si="70"/>
        <v>180.96199999999999</v>
      </c>
    </row>
    <row r="114" spans="2:8" ht="15.75" x14ac:dyDescent="0.25">
      <c r="B114" s="878" t="s">
        <v>2201</v>
      </c>
      <c r="C114" s="1246">
        <f>D114/D116</f>
        <v>0.15513386033484311</v>
      </c>
      <c r="D114" s="1236">
        <f>D116-D106-D107-D108-D109-D110-D111-D112-D113</f>
        <v>184.93730535000014</v>
      </c>
      <c r="E114" s="1246">
        <f>F114/F116</f>
        <v>0.22449760277466094</v>
      </c>
      <c r="F114" s="1236">
        <f>F116-F106-F107-F111</f>
        <v>352.12000000000023</v>
      </c>
      <c r="G114" s="1273">
        <f t="shared" si="70"/>
        <v>-6.9363742439817827E-2</v>
      </c>
      <c r="H114" s="1236">
        <f t="shared" si="70"/>
        <v>-167.18269465000009</v>
      </c>
    </row>
    <row r="115" spans="2:8" ht="15.75" x14ac:dyDescent="0.25">
      <c r="B115" s="878" t="s">
        <v>2205</v>
      </c>
      <c r="C115" s="1246">
        <f>D115/D116</f>
        <v>0</v>
      </c>
      <c r="D115" s="1236"/>
      <c r="E115" s="1246">
        <f>F115/F116</f>
        <v>0</v>
      </c>
      <c r="F115" s="1236"/>
      <c r="G115" s="1273">
        <f t="shared" si="70"/>
        <v>0</v>
      </c>
      <c r="H115" s="1236">
        <f t="shared" si="70"/>
        <v>0</v>
      </c>
    </row>
    <row r="116" spans="2:8" ht="15.75" x14ac:dyDescent="0.25">
      <c r="B116" s="1248" t="s">
        <v>1890</v>
      </c>
      <c r="C116" s="1249">
        <f>SUM(C106:C115)</f>
        <v>0.99999999999999989</v>
      </c>
      <c r="D116" s="1236">
        <f>F8-L8</f>
        <v>1192.1143775500002</v>
      </c>
      <c r="E116" s="1249">
        <f>SUM(E106:E115)</f>
        <v>1</v>
      </c>
      <c r="F116" s="1236">
        <f>E8</f>
        <v>1568.4800000000002</v>
      </c>
      <c r="G116" s="1273">
        <f t="shared" si="70"/>
        <v>0</v>
      </c>
      <c r="H116" s="1236">
        <f t="shared" si="70"/>
        <v>-376.36562245000005</v>
      </c>
    </row>
    <row r="117" spans="2:8" x14ac:dyDescent="0.25">
      <c r="C117" s="458"/>
      <c r="D117" s="458"/>
      <c r="E117" s="458"/>
      <c r="F117" s="870"/>
    </row>
    <row r="118" spans="2:8" x14ac:dyDescent="0.25">
      <c r="C118" s="458"/>
      <c r="D118" s="458"/>
      <c r="E118" s="458"/>
      <c r="F118" s="870"/>
    </row>
    <row r="119" spans="2:8" x14ac:dyDescent="0.25">
      <c r="C119" s="458"/>
      <c r="D119" s="458"/>
      <c r="E119" s="458"/>
      <c r="F119" s="870"/>
    </row>
    <row r="120" spans="2:8" x14ac:dyDescent="0.25">
      <c r="C120" s="458"/>
      <c r="D120" s="458"/>
      <c r="E120" s="458"/>
      <c r="F120" s="870"/>
    </row>
    <row r="121" spans="2:8" x14ac:dyDescent="0.25">
      <c r="C121" s="458"/>
      <c r="D121" s="458"/>
      <c r="E121" s="458"/>
      <c r="F121" s="870"/>
    </row>
    <row r="122" spans="2:8" x14ac:dyDescent="0.25">
      <c r="C122" s="458"/>
      <c r="D122" s="458"/>
      <c r="E122" s="458"/>
      <c r="F122" s="870"/>
    </row>
    <row r="123" spans="2:8" x14ac:dyDescent="0.25">
      <c r="C123" s="458"/>
      <c r="D123" s="458"/>
      <c r="E123" s="458"/>
      <c r="F123" s="870"/>
    </row>
    <row r="124" spans="2:8" x14ac:dyDescent="0.25">
      <c r="C124" s="458"/>
      <c r="D124" s="458"/>
      <c r="E124" s="458"/>
      <c r="F124" s="870"/>
    </row>
    <row r="125" spans="2:8" x14ac:dyDescent="0.25">
      <c r="C125" s="458"/>
      <c r="D125" s="458"/>
      <c r="E125" s="458"/>
      <c r="F125" s="870"/>
    </row>
  </sheetData>
  <mergeCells count="12">
    <mergeCell ref="B103:H103"/>
    <mergeCell ref="E104:F104"/>
    <mergeCell ref="C105:D105"/>
    <mergeCell ref="E105:F105"/>
    <mergeCell ref="G71:I71"/>
    <mergeCell ref="G72:I72"/>
    <mergeCell ref="P37:R37"/>
    <mergeCell ref="G6:M6"/>
    <mergeCell ref="B6:B7"/>
    <mergeCell ref="G68:I68"/>
    <mergeCell ref="G69:I69"/>
    <mergeCell ref="B68:C68"/>
  </mergeCells>
  <conditionalFormatting sqref="B101 D101 H101:J101">
    <cfRule type="expression" dxfId="14" priority="13" stopIfTrue="1">
      <formula>ABS(#REF!-(#REF!+#REF!+$M101+$O101))&gt;отклонение</formula>
    </cfRule>
  </conditionalFormatting>
  <conditionalFormatting sqref="G72:I72 M66:N72 B72:D72 K72:M72">
    <cfRule type="expression" dxfId="13" priority="12" stopIfTrue="1">
      <formula>ABS(#REF!-(#REF!+$D66+$M66+$O66))&gt;отклонение</formula>
    </cfRule>
  </conditionalFormatting>
  <conditionalFormatting sqref="G72:I72">
    <cfRule type="expression" dxfId="12" priority="1" stopIfTrue="1">
      <formula>ABS(#REF!-(#REF!+#REF!+$L72+$N72))&gt;отклонение</formula>
    </cfRule>
  </conditionalFormatting>
  <pageMargins left="0.23622047244094491" right="0.23622047244094491" top="0.55118110236220474" bottom="0.15748031496062992" header="0.59055118110236227" footer="0.31496062992125984"/>
  <pageSetup paperSize="9" scale="64" fitToHeight="2" orientation="landscape" r:id="rId1"/>
  <headerFooter alignWithMargins="0"/>
  <rowBreaks count="1" manualBreakCount="1">
    <brk id="39" max="1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pageSetUpPr fitToPage="1"/>
  </sheetPr>
  <dimension ref="B1:Q29"/>
  <sheetViews>
    <sheetView view="pageBreakPreview" zoomScale="60" zoomScaleNormal="80" workbookViewId="0">
      <selection activeCell="E28" sqref="E28"/>
    </sheetView>
  </sheetViews>
  <sheetFormatPr defaultColWidth="9.140625" defaultRowHeight="15" x14ac:dyDescent="0.25"/>
  <cols>
    <col min="1" max="1" width="4.140625" style="18" customWidth="1"/>
    <col min="2" max="2" width="38.7109375" style="18" customWidth="1"/>
    <col min="3" max="3" width="8.5703125" style="787" customWidth="1"/>
    <col min="4" max="4" width="10.42578125" style="18" customWidth="1"/>
    <col min="5" max="5" width="10.85546875" style="18" bestFit="1" customWidth="1"/>
    <col min="6" max="6" width="13.85546875" style="18" customWidth="1"/>
    <col min="7" max="7" width="17.7109375" style="18" customWidth="1"/>
    <col min="8" max="8" width="10.5703125" style="18" customWidth="1"/>
    <col min="9" max="9" width="9.85546875" style="18" bestFit="1" customWidth="1"/>
    <col min="10" max="10" width="11.85546875" style="18" bestFit="1" customWidth="1"/>
    <col min="11" max="11" width="16.7109375" style="18" customWidth="1"/>
    <col min="12" max="12" width="9.28515625" style="18" bestFit="1" customWidth="1"/>
    <col min="13" max="13" width="10.28515625" style="18" customWidth="1"/>
    <col min="14" max="14" width="12.7109375" style="18" bestFit="1" customWidth="1"/>
    <col min="15" max="15" width="9.28515625" style="18" bestFit="1" customWidth="1"/>
    <col min="16" max="16384" width="9.140625" style="18"/>
  </cols>
  <sheetData>
    <row r="1" spans="2:17" ht="15.75" x14ac:dyDescent="0.25">
      <c r="L1" s="58" t="s">
        <v>956</v>
      </c>
    </row>
    <row r="2" spans="2:17" x14ac:dyDescent="0.25">
      <c r="G2" s="2489"/>
      <c r="H2" s="2489"/>
      <c r="I2" s="2489"/>
      <c r="J2" s="2489"/>
      <c r="K2" s="2489"/>
    </row>
    <row r="3" spans="2:17" ht="15.75" x14ac:dyDescent="0.25">
      <c r="B3" s="57" t="s">
        <v>1912</v>
      </c>
      <c r="C3" s="57"/>
      <c r="D3" s="57"/>
      <c r="E3" s="57"/>
      <c r="F3" s="57"/>
      <c r="G3" s="3144" t="str">
        <f>'Вхідні дані'!F5</f>
        <v>ЧФ ДП "АМПУ"</v>
      </c>
      <c r="H3" s="2490"/>
      <c r="I3" s="3144"/>
      <c r="J3" s="3645" t="s">
        <v>461</v>
      </c>
      <c r="K3" s="3144" t="str">
        <f>'Вхідні дані'!F6</f>
        <v>2023-2024</v>
      </c>
      <c r="L3" s="23" t="s">
        <v>648</v>
      </c>
      <c r="M3" s="58"/>
    </row>
    <row r="4" spans="2:17" ht="15.75" thickBot="1" x14ac:dyDescent="0.3"/>
    <row r="5" spans="2:17" ht="15.75" thickBot="1" x14ac:dyDescent="0.3">
      <c r="B5" s="4019" t="s">
        <v>8</v>
      </c>
      <c r="C5" s="4021" t="s">
        <v>9</v>
      </c>
      <c r="D5" s="4021" t="s">
        <v>498</v>
      </c>
      <c r="E5" s="4016" t="s">
        <v>1906</v>
      </c>
      <c r="F5" s="4017"/>
      <c r="G5" s="4017"/>
      <c r="H5" s="4017"/>
      <c r="I5" s="4017"/>
      <c r="J5" s="4018"/>
      <c r="K5" s="4016" t="s">
        <v>1908</v>
      </c>
      <c r="L5" s="4017"/>
      <c r="M5" s="4018"/>
    </row>
    <row r="6" spans="2:17" s="1734" customFormat="1" ht="30.75" thickBot="1" x14ac:dyDescent="0.3">
      <c r="B6" s="4020"/>
      <c r="C6" s="4022"/>
      <c r="D6" s="4022"/>
      <c r="E6" s="2029" t="s">
        <v>1907</v>
      </c>
      <c r="F6" s="2029" t="s">
        <v>885</v>
      </c>
      <c r="G6" s="2030" t="s">
        <v>1911</v>
      </c>
      <c r="H6" s="2029" t="s">
        <v>632</v>
      </c>
      <c r="I6" s="2029" t="s">
        <v>631</v>
      </c>
      <c r="J6" s="2029" t="s">
        <v>926</v>
      </c>
      <c r="K6" s="2030" t="s">
        <v>1820</v>
      </c>
      <c r="L6" s="2029" t="s">
        <v>888</v>
      </c>
      <c r="M6" s="2030" t="s">
        <v>1908</v>
      </c>
    </row>
    <row r="7" spans="2:17" x14ac:dyDescent="0.25">
      <c r="B7" s="829"/>
      <c r="C7" s="830"/>
      <c r="D7" s="829"/>
      <c r="E7" s="829"/>
      <c r="F7" s="829"/>
      <c r="G7" s="829"/>
      <c r="H7" s="829"/>
      <c r="I7" s="829"/>
      <c r="J7" s="829"/>
      <c r="K7" s="829"/>
      <c r="L7" s="829"/>
      <c r="M7" s="829"/>
    </row>
    <row r="8" spans="2:17" x14ac:dyDescent="0.25">
      <c r="B8" s="831" t="s">
        <v>1909</v>
      </c>
      <c r="C8" s="832" t="s">
        <v>1721</v>
      </c>
      <c r="D8" s="3630">
        <f>E8+K8+L8+M8</f>
        <v>5770.8937550000001</v>
      </c>
      <c r="E8" s="3630">
        <f>F8+G8+J8</f>
        <v>5770.8937550000001</v>
      </c>
      <c r="F8" s="3630">
        <f>ФОП!H9/1000</f>
        <v>2967.8816200000001</v>
      </c>
      <c r="G8" s="3630">
        <f>H8+I8</f>
        <v>2505.9224249999997</v>
      </c>
      <c r="H8" s="3630">
        <f>Виробництво_Транспортування_1ст!K115</f>
        <v>1037.5551852318399</v>
      </c>
      <c r="I8" s="3630">
        <f>Виробництво_Транспортування_1ст!L115</f>
        <v>1468.3672397681601</v>
      </c>
      <c r="J8" s="3630">
        <f>ФОП!H24/1000</f>
        <v>297.08970999999997</v>
      </c>
      <c r="K8" s="3630">
        <f>ФОП!H29/1000</f>
        <v>0</v>
      </c>
      <c r="L8" s="3630">
        <f>ФОП!H39/1000</f>
        <v>0</v>
      </c>
      <c r="M8" s="3630">
        <v>0</v>
      </c>
      <c r="N8" s="827">
        <f>(ФОП!H54-ФОП!H44-ФОП!H49)/1000</f>
        <v>5770.8937550000001</v>
      </c>
      <c r="O8" s="828">
        <f>D8-N8</f>
        <v>0</v>
      </c>
      <c r="P8" s="828"/>
      <c r="Q8" s="828"/>
    </row>
    <row r="9" spans="2:17" x14ac:dyDescent="0.25">
      <c r="B9" s="831" t="s">
        <v>1909</v>
      </c>
      <c r="C9" s="832" t="s">
        <v>4</v>
      </c>
      <c r="D9" s="3631">
        <f>D8/$D$8</f>
        <v>1</v>
      </c>
      <c r="E9" s="3631">
        <f>E8/$D$8</f>
        <v>1</v>
      </c>
      <c r="F9" s="3630"/>
      <c r="G9" s="3630"/>
      <c r="H9" s="3630"/>
      <c r="I9" s="3630"/>
      <c r="J9" s="3630"/>
      <c r="K9" s="3631">
        <f t="shared" ref="K9:M9" si="0">K8/$D$8</f>
        <v>0</v>
      </c>
      <c r="L9" s="3631">
        <f t="shared" si="0"/>
        <v>0</v>
      </c>
      <c r="M9" s="3631">
        <f t="shared" si="0"/>
        <v>0</v>
      </c>
      <c r="P9" s="828"/>
      <c r="Q9" s="828"/>
    </row>
    <row r="10" spans="2:17" ht="45" x14ac:dyDescent="0.25">
      <c r="B10" s="833" t="s">
        <v>1913</v>
      </c>
      <c r="C10" s="832" t="s">
        <v>1721</v>
      </c>
      <c r="D10" s="3631"/>
      <c r="E10" s="3630">
        <f>F10+G10+J10</f>
        <v>25819.658059645539</v>
      </c>
      <c r="F10" s="3630">
        <f>Виробництво_Транспортування_1ст!F9</f>
        <v>19934.384574720101</v>
      </c>
      <c r="G10" s="3630">
        <f>H10+I10</f>
        <v>5432.8763316642753</v>
      </c>
      <c r="H10" s="3630">
        <f>Виробництво_Транспортування_1ст!K102+Виробництво_Транспортування_1ст!K103+Виробництво_Транспортування_1ст!K104+Виробництво_Транспортування_1ст!K105+Виробництво_Транспортування_1ст!K106+Виробництво_Транспортування_1ст!K107+Виробництво_Транспортування_1ст!K108+Виробництво_Транспортування_1ст!K109+Виробництво_Транспортування_1ст!K110+Виробництво_Транспортування_1ст!K111+Виробництво_Транспортування_1ст!K112+Виробництво_Транспортування_1ст!K113+Виробництво_Транспортування_1ст!K115+Виробництво_Транспортування_1ст!K117</f>
        <v>1970.3384770402733</v>
      </c>
      <c r="I10" s="3630">
        <f>Виробництво_Транспортування_1ст!L102+Виробництво_Транспортування_1ст!L103+Виробництво_Транспортування_1ст!L104+Виробництво_Транспортування_1ст!L105+Виробництво_Транспортування_1ст!L106+Виробництво_Транспортування_1ст!L107+Виробництво_Транспортування_1ст!L108+Виробництво_Транспортування_1ст!L109+Виробництво_Транспортування_1ст!L110+Виробництво_Транспортування_1ст!L111+Виробництво_Транспортування_1ст!L112+Виробництво_Транспортування_1ст!L113+Виробництво_Транспортування_1ст!L115+Виробництво_Транспортування_1ст!L117</f>
        <v>3462.5378546240017</v>
      </c>
      <c r="J10" s="3630">
        <f>Постачання_1ст!F9</f>
        <v>452.39715326115993</v>
      </c>
      <c r="K10" s="3630"/>
      <c r="L10" s="3630"/>
      <c r="M10" s="3630"/>
      <c r="N10" s="828">
        <f>F10+G10+J10</f>
        <v>25819.658059645539</v>
      </c>
      <c r="P10" s="828"/>
      <c r="Q10" s="828"/>
    </row>
    <row r="11" spans="2:17" ht="45.75" thickBot="1" x14ac:dyDescent="0.3">
      <c r="B11" s="834" t="s">
        <v>1913</v>
      </c>
      <c r="C11" s="835" t="s">
        <v>4</v>
      </c>
      <c r="D11" s="3631"/>
      <c r="E11" s="3632">
        <f t="shared" ref="E11:I11" si="1">E10/$E$10</f>
        <v>1</v>
      </c>
      <c r="F11" s="3632">
        <f>F10/$E$10</f>
        <v>0.7720622995343327</v>
      </c>
      <c r="G11" s="3632">
        <f t="shared" si="1"/>
        <v>0.21041627736176377</v>
      </c>
      <c r="H11" s="3632">
        <f t="shared" si="1"/>
        <v>7.631156355706295E-2</v>
      </c>
      <c r="I11" s="3632">
        <f t="shared" si="1"/>
        <v>0.13410471380470082</v>
      </c>
      <c r="J11" s="3632">
        <f>J10/$E$10</f>
        <v>1.7521423103903436E-2</v>
      </c>
      <c r="K11" s="3633"/>
      <c r="L11" s="3633"/>
      <c r="M11" s="3633"/>
      <c r="P11" s="828"/>
      <c r="Q11" s="828"/>
    </row>
    <row r="12" spans="2:17" ht="45" x14ac:dyDescent="0.25">
      <c r="B12" s="837" t="s">
        <v>1916</v>
      </c>
      <c r="C12" s="830" t="s">
        <v>1721</v>
      </c>
      <c r="D12" s="3634">
        <f>ЗВВ_1ст!F8</f>
        <v>3888.8889964600007</v>
      </c>
      <c r="E12" s="3635">
        <f>D12*E9</f>
        <v>3888.8889964600007</v>
      </c>
      <c r="F12" s="3635"/>
      <c r="G12" s="3635"/>
      <c r="H12" s="3635"/>
      <c r="I12" s="3635"/>
      <c r="J12" s="3635"/>
      <c r="K12" s="3635">
        <f>$D$12*K9</f>
        <v>0</v>
      </c>
      <c r="L12" s="3636">
        <f>$D$12*L9</f>
        <v>0</v>
      </c>
      <c r="M12" s="3636">
        <f>$D$12*M9</f>
        <v>0</v>
      </c>
      <c r="P12" s="828"/>
      <c r="Q12" s="828"/>
    </row>
    <row r="13" spans="2:17" ht="45" x14ac:dyDescent="0.25">
      <c r="B13" s="833" t="s">
        <v>1917</v>
      </c>
      <c r="C13" s="832" t="s">
        <v>1721</v>
      </c>
      <c r="D13" s="3637"/>
      <c r="E13" s="3630">
        <f>E12</f>
        <v>3888.8889964600007</v>
      </c>
      <c r="F13" s="3630">
        <f>$E$13*F11</f>
        <v>3002.4645812406716</v>
      </c>
      <c r="G13" s="3630">
        <f>$E$13*G11</f>
        <v>818.28554570823871</v>
      </c>
      <c r="H13" s="3630">
        <f>$E$13*H11</f>
        <v>296.76719981972008</v>
      </c>
      <c r="I13" s="3630">
        <f>$E$13*I11</f>
        <v>521.51834588851852</v>
      </c>
      <c r="J13" s="3630">
        <f>$E$13*J11</f>
        <v>68.138869511090107</v>
      </c>
      <c r="K13" s="3630"/>
      <c r="L13" s="3637"/>
      <c r="M13" s="3637"/>
      <c r="P13" s="828"/>
      <c r="Q13" s="828"/>
    </row>
    <row r="14" spans="2:17" ht="30" x14ac:dyDescent="0.25">
      <c r="B14" s="833" t="s">
        <v>1918</v>
      </c>
      <c r="C14" s="832" t="s">
        <v>1721</v>
      </c>
      <c r="D14" s="3637">
        <f>D12</f>
        <v>3888.8889964600007</v>
      </c>
      <c r="E14" s="3630">
        <f>E12</f>
        <v>3888.8889964600007</v>
      </c>
      <c r="F14" s="3630">
        <f>F13</f>
        <v>3002.4645812406716</v>
      </c>
      <c r="G14" s="3630">
        <f>G13</f>
        <v>818.28554570823871</v>
      </c>
      <c r="H14" s="3630">
        <f>H13</f>
        <v>296.76719981972008</v>
      </c>
      <c r="I14" s="3630">
        <f>I13</f>
        <v>521.51834588851852</v>
      </c>
      <c r="J14" s="3630">
        <f>J13</f>
        <v>68.138869511090107</v>
      </c>
      <c r="K14" s="3630">
        <f>K12</f>
        <v>0</v>
      </c>
      <c r="L14" s="3637">
        <f>L12</f>
        <v>0</v>
      </c>
      <c r="M14" s="3637">
        <f>M12</f>
        <v>0</v>
      </c>
      <c r="P14" s="828"/>
      <c r="Q14" s="828"/>
    </row>
    <row r="15" spans="2:17" ht="30.75" thickBot="1" x14ac:dyDescent="0.3">
      <c r="B15" s="834" t="s">
        <v>1919</v>
      </c>
      <c r="C15" s="835" t="s">
        <v>4</v>
      </c>
      <c r="D15" s="3638">
        <f>D14/$D$14</f>
        <v>1</v>
      </c>
      <c r="E15" s="3638">
        <f t="shared" ref="E15:M15" si="2">E14/$D$14</f>
        <v>1</v>
      </c>
      <c r="F15" s="3639">
        <f>F14/E14</f>
        <v>0.7720622995343327</v>
      </c>
      <c r="G15" s="3639">
        <f>G14/E14</f>
        <v>0.21041627736176377</v>
      </c>
      <c r="H15" s="3639">
        <f>H14/E14</f>
        <v>7.631156355706295E-2</v>
      </c>
      <c r="I15" s="3639">
        <f>I14/E14</f>
        <v>0.13410471380470079</v>
      </c>
      <c r="J15" s="3639">
        <f>J14/E14</f>
        <v>1.7521423103903436E-2</v>
      </c>
      <c r="K15" s="3638">
        <f t="shared" si="2"/>
        <v>0</v>
      </c>
      <c r="L15" s="3638">
        <f t="shared" si="2"/>
        <v>0</v>
      </c>
      <c r="M15" s="3638">
        <f t="shared" si="2"/>
        <v>0</v>
      </c>
      <c r="P15" s="828"/>
      <c r="Q15" s="828"/>
    </row>
    <row r="16" spans="2:17" ht="15.75" thickBot="1" x14ac:dyDescent="0.3">
      <c r="B16" s="826"/>
      <c r="D16" s="3640"/>
      <c r="E16" s="3640"/>
      <c r="F16" s="3640"/>
      <c r="G16" s="3640"/>
      <c r="H16" s="3640"/>
      <c r="I16" s="3640"/>
      <c r="J16" s="3640"/>
      <c r="K16" s="3640"/>
      <c r="L16" s="3640"/>
      <c r="M16" s="3640"/>
      <c r="P16" s="828"/>
      <c r="Q16" s="828"/>
    </row>
    <row r="17" spans="2:17" ht="45" x14ac:dyDescent="0.25">
      <c r="B17" s="837" t="s">
        <v>1920</v>
      </c>
      <c r="C17" s="830" t="s">
        <v>1721</v>
      </c>
      <c r="D17" s="3641"/>
      <c r="E17" s="3635">
        <f t="shared" ref="E17:J17" si="3">E10+E13</f>
        <v>29708.547056105541</v>
      </c>
      <c r="F17" s="3635">
        <f>F10+F13</f>
        <v>22936.849155960772</v>
      </c>
      <c r="G17" s="3635">
        <f t="shared" si="3"/>
        <v>6251.161877372514</v>
      </c>
      <c r="H17" s="3635">
        <f t="shared" si="3"/>
        <v>2267.1056768599933</v>
      </c>
      <c r="I17" s="3635">
        <f t="shared" si="3"/>
        <v>3984.0562005125203</v>
      </c>
      <c r="J17" s="3635">
        <f t="shared" si="3"/>
        <v>520.53602277225002</v>
      </c>
      <c r="K17" s="3635"/>
      <c r="L17" s="3635"/>
      <c r="M17" s="3635"/>
      <c r="P17" s="828"/>
      <c r="Q17" s="828"/>
    </row>
    <row r="18" spans="2:17" ht="45" x14ac:dyDescent="0.25">
      <c r="B18" s="838" t="s">
        <v>1920</v>
      </c>
      <c r="C18" s="832" t="s">
        <v>4</v>
      </c>
      <c r="D18" s="3631"/>
      <c r="E18" s="3642">
        <f t="shared" ref="E18:J18" si="4">E17/$E$17</f>
        <v>1</v>
      </c>
      <c r="F18" s="3631">
        <f>F17/$E$17</f>
        <v>0.77206229953433259</v>
      </c>
      <c r="G18" s="3631">
        <f t="shared" si="4"/>
        <v>0.21041627736176377</v>
      </c>
      <c r="H18" s="3631">
        <f t="shared" si="4"/>
        <v>7.631156355706295E-2</v>
      </c>
      <c r="I18" s="3631">
        <f t="shared" si="4"/>
        <v>0.13410471380470082</v>
      </c>
      <c r="J18" s="3631">
        <f t="shared" si="4"/>
        <v>1.7521423103903436E-2</v>
      </c>
      <c r="K18" s="3631"/>
      <c r="L18" s="3631"/>
      <c r="M18" s="3631"/>
      <c r="P18" s="828"/>
      <c r="Q18" s="828"/>
    </row>
    <row r="19" spans="2:17" ht="45" x14ac:dyDescent="0.25">
      <c r="B19" s="833" t="s">
        <v>1915</v>
      </c>
      <c r="C19" s="832" t="s">
        <v>1721</v>
      </c>
      <c r="D19" s="3630">
        <f>Адміністративні_1ст!F8</f>
        <v>1192.1143775500002</v>
      </c>
      <c r="E19" s="3630">
        <f>D19*E9</f>
        <v>1192.1143775500002</v>
      </c>
      <c r="F19" s="3631"/>
      <c r="G19" s="3631"/>
      <c r="H19" s="3631"/>
      <c r="I19" s="3631"/>
      <c r="J19" s="3631"/>
      <c r="K19" s="3630">
        <f>$D$19*K9</f>
        <v>0</v>
      </c>
      <c r="L19" s="3630">
        <f>$D$19*L9</f>
        <v>0</v>
      </c>
      <c r="M19" s="3630">
        <f>$D$19*M9</f>
        <v>0</v>
      </c>
      <c r="P19" s="828"/>
      <c r="Q19" s="828"/>
    </row>
    <row r="20" spans="2:17" ht="45" x14ac:dyDescent="0.25">
      <c r="B20" s="833" t="s">
        <v>1921</v>
      </c>
      <c r="C20" s="832" t="s">
        <v>1721</v>
      </c>
      <c r="D20" s="3631"/>
      <c r="E20" s="3630">
        <f>E19</f>
        <v>1192.1143775500002</v>
      </c>
      <c r="F20" s="3630">
        <f>$E$20*F18</f>
        <v>920.38656763919266</v>
      </c>
      <c r="G20" s="3630">
        <f>$E$20*G18</f>
        <v>250.84026951350722</v>
      </c>
      <c r="H20" s="3630">
        <f>$E$20*H18</f>
        <v>90.972112089695372</v>
      </c>
      <c r="I20" s="3630">
        <f>$E$20*I18</f>
        <v>159.86815742381185</v>
      </c>
      <c r="J20" s="3630">
        <f>$E$20*J18</f>
        <v>20.887540397300036</v>
      </c>
      <c r="K20" s="3631"/>
      <c r="L20" s="3631"/>
      <c r="M20" s="3631"/>
      <c r="P20" s="828"/>
      <c r="Q20" s="828"/>
    </row>
    <row r="21" spans="2:17" ht="30" x14ac:dyDescent="0.25">
      <c r="B21" s="833" t="s">
        <v>1923</v>
      </c>
      <c r="C21" s="832" t="s">
        <v>1721</v>
      </c>
      <c r="D21" s="3630">
        <f>D19</f>
        <v>1192.1143775500002</v>
      </c>
      <c r="E21" s="3630">
        <f t="shared" ref="E21:M21" si="5">E19</f>
        <v>1192.1143775500002</v>
      </c>
      <c r="F21" s="3630">
        <f>F20</f>
        <v>920.38656763919266</v>
      </c>
      <c r="G21" s="3630">
        <f>G20</f>
        <v>250.84026951350722</v>
      </c>
      <c r="H21" s="3630">
        <f>H20</f>
        <v>90.972112089695372</v>
      </c>
      <c r="I21" s="3630">
        <f>I20</f>
        <v>159.86815742381185</v>
      </c>
      <c r="J21" s="3630">
        <f>J20</f>
        <v>20.887540397300036</v>
      </c>
      <c r="K21" s="3630">
        <f t="shared" si="5"/>
        <v>0</v>
      </c>
      <c r="L21" s="3630">
        <f t="shared" si="5"/>
        <v>0</v>
      </c>
      <c r="M21" s="3630">
        <f t="shared" si="5"/>
        <v>0</v>
      </c>
      <c r="P21" s="828"/>
      <c r="Q21" s="828"/>
    </row>
    <row r="22" spans="2:17" ht="30.75" thickBot="1" x14ac:dyDescent="0.3">
      <c r="B22" s="834" t="s">
        <v>1945</v>
      </c>
      <c r="C22" s="835" t="s">
        <v>4</v>
      </c>
      <c r="D22" s="836">
        <f>D21/$D$21</f>
        <v>1</v>
      </c>
      <c r="E22" s="836">
        <f t="shared" ref="E22:M22" si="6">E21/$D$21</f>
        <v>1</v>
      </c>
      <c r="F22" s="2867">
        <f>F21/$D$21</f>
        <v>0.77206229953433259</v>
      </c>
      <c r="G22" s="2867">
        <f t="shared" si="6"/>
        <v>0.21041627736176377</v>
      </c>
      <c r="H22" s="2867">
        <f t="shared" si="6"/>
        <v>7.631156355706295E-2</v>
      </c>
      <c r="I22" s="2867">
        <f t="shared" si="6"/>
        <v>0.13410471380470082</v>
      </c>
      <c r="J22" s="2867">
        <f t="shared" si="6"/>
        <v>1.7521423103903436E-2</v>
      </c>
      <c r="K22" s="836">
        <f t="shared" si="6"/>
        <v>0</v>
      </c>
      <c r="L22" s="836">
        <f t="shared" si="6"/>
        <v>0</v>
      </c>
      <c r="M22" s="836">
        <f t="shared" si="6"/>
        <v>0</v>
      </c>
      <c r="P22" s="1303"/>
      <c r="Q22" s="1303"/>
    </row>
    <row r="25" spans="2:17" ht="48" customHeight="1" x14ac:dyDescent="0.3">
      <c r="B25" s="4001" t="str">
        <f>'Вхідні дані'!$B$14</f>
        <v>Заступник начальника Адміністрації морського порту Чорноморськ з технічних питань та розвитку</v>
      </c>
      <c r="C25" s="4001"/>
      <c r="D25" s="4001"/>
      <c r="E25" s="4001"/>
      <c r="F25" s="2489"/>
      <c r="H25" s="3315" t="s">
        <v>1344</v>
      </c>
      <c r="J25" s="2756"/>
      <c r="K25" s="4014" t="str">
        <f>'Вхідні дані'!$F$14</f>
        <v>Віталій ЛІПСКИЙ</v>
      </c>
      <c r="L25" s="4014"/>
      <c r="M25" s="4014"/>
    </row>
    <row r="26" spans="2:17" ht="18.75" x14ac:dyDescent="0.3">
      <c r="B26" s="3211"/>
      <c r="C26" s="3211"/>
      <c r="D26" s="3211"/>
      <c r="F26" s="2489"/>
      <c r="H26" s="3315" t="s">
        <v>220</v>
      </c>
      <c r="J26" s="2756"/>
      <c r="K26" s="4015" t="s">
        <v>3352</v>
      </c>
      <c r="L26" s="4015"/>
      <c r="M26" s="4015"/>
    </row>
    <row r="27" spans="2:17" ht="18.75" x14ac:dyDescent="0.3">
      <c r="B27" s="3211"/>
      <c r="C27" s="3211"/>
      <c r="D27" s="3211"/>
      <c r="E27" s="3315"/>
      <c r="F27" s="2489"/>
      <c r="G27" s="3607"/>
      <c r="H27" s="3607"/>
      <c r="I27" s="3607"/>
      <c r="J27" s="2756"/>
    </row>
    <row r="28" spans="2:17" ht="18.75" customHeight="1" x14ac:dyDescent="0.3">
      <c r="B28" s="3211" t="str">
        <f>'Вхідні дані'!$B$16</f>
        <v>Головний бухгалтер</v>
      </c>
      <c r="C28" s="3211"/>
      <c r="D28" s="3211"/>
      <c r="F28" s="2489"/>
      <c r="H28" s="3315" t="s">
        <v>1344</v>
      </c>
      <c r="J28" s="2756"/>
      <c r="K28" s="4014" t="str">
        <f>'Вхідні дані'!$F$16</f>
        <v>Тетяна ЗІМАН</v>
      </c>
      <c r="L28" s="4014"/>
      <c r="M28" s="4014"/>
    </row>
    <row r="29" spans="2:17" ht="18.75" x14ac:dyDescent="0.3">
      <c r="B29" s="3261"/>
      <c r="C29" s="3261"/>
      <c r="D29" s="3261"/>
      <c r="F29" s="2489"/>
      <c r="H29" s="3315" t="s">
        <v>220</v>
      </c>
      <c r="J29" s="2756"/>
      <c r="K29" s="4015" t="s">
        <v>3364</v>
      </c>
      <c r="L29" s="4015"/>
      <c r="M29" s="4015"/>
    </row>
  </sheetData>
  <mergeCells count="10">
    <mergeCell ref="K28:M28"/>
    <mergeCell ref="K29:M29"/>
    <mergeCell ref="E5:J5"/>
    <mergeCell ref="K5:M5"/>
    <mergeCell ref="B5:B6"/>
    <mergeCell ref="D5:D6"/>
    <mergeCell ref="C5:C6"/>
    <mergeCell ref="K25:M25"/>
    <mergeCell ref="K26:M26"/>
    <mergeCell ref="B25:E25"/>
  </mergeCells>
  <conditionalFormatting sqref="B29:D29 K29:M29">
    <cfRule type="expression" dxfId="11" priority="2" stopIfTrue="1">
      <formula>ABS(#REF!-(#REF!+#REF!+#REF!+$N29))&gt;отклонение</formula>
    </cfRule>
  </conditionalFormatting>
  <pageMargins left="0.77" right="0.27559055118110237" top="0.51" bottom="0.31496062992125984" header="0.31496062992125984" footer="0.31496062992125984"/>
  <pageSetup paperSize="9" scale="68"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7558519241921"/>
    <pageSetUpPr fitToPage="1"/>
  </sheetPr>
  <dimension ref="A1:S89"/>
  <sheetViews>
    <sheetView view="pageBreakPreview" topLeftCell="B54" zoomScale="75" zoomScaleNormal="75" zoomScaleSheetLayoutView="75" workbookViewId="0">
      <selection activeCell="Q66" sqref="Q66"/>
    </sheetView>
  </sheetViews>
  <sheetFormatPr defaultColWidth="9.140625" defaultRowHeight="15.75" x14ac:dyDescent="0.25"/>
  <cols>
    <col min="1" max="1" width="5.42578125" style="1127" customWidth="1"/>
    <col min="2" max="2" width="70" style="1096" customWidth="1"/>
    <col min="3" max="3" width="12.42578125" style="1096" customWidth="1"/>
    <col min="4" max="4" width="11.42578125" style="1112" customWidth="1"/>
    <col min="5" max="5" width="13.140625" style="1112" bestFit="1" customWidth="1"/>
    <col min="6" max="6" width="13.140625" style="1096" customWidth="1"/>
    <col min="7" max="7" width="14.5703125" style="1096" customWidth="1"/>
    <col min="8" max="9" width="12.28515625" style="1096" customWidth="1"/>
    <col min="10" max="10" width="20.85546875" style="1096" customWidth="1"/>
    <col min="11" max="11" width="10.42578125" style="1096" bestFit="1" customWidth="1"/>
    <col min="12" max="14" width="9.140625" style="1096" customWidth="1"/>
    <col min="15" max="16384" width="9.140625" style="1096"/>
  </cols>
  <sheetData>
    <row r="1" spans="1:19" ht="51.6" customHeight="1" x14ac:dyDescent="0.25">
      <c r="A1" s="1093"/>
      <c r="B1" s="1094"/>
      <c r="C1" s="1094"/>
      <c r="D1" s="1097"/>
      <c r="E1" s="1094"/>
      <c r="F1" s="4026" t="s">
        <v>3416</v>
      </c>
      <c r="G1" s="4026"/>
      <c r="H1" s="4026"/>
      <c r="I1" s="4026"/>
      <c r="J1" s="1095"/>
    </row>
    <row r="2" spans="1:19" x14ac:dyDescent="0.25">
      <c r="A2" s="1093"/>
      <c r="B2" s="1094"/>
      <c r="C2" s="1094"/>
      <c r="D2" s="1097"/>
      <c r="E2" s="1094"/>
      <c r="F2" s="1097"/>
      <c r="G2" s="1097"/>
      <c r="H2" s="4027"/>
      <c r="I2" s="4027"/>
    </row>
    <row r="3" spans="1:19" ht="15.6" customHeight="1" x14ac:dyDescent="0.25">
      <c r="A3" s="1093"/>
      <c r="B3" s="1094"/>
      <c r="C3" s="1094"/>
      <c r="D3" s="1097"/>
      <c r="E3" s="1094"/>
      <c r="F3" s="1097"/>
      <c r="G3" s="1097"/>
      <c r="H3" s="4028"/>
      <c r="I3" s="4028"/>
    </row>
    <row r="4" spans="1:19" ht="17.25" x14ac:dyDescent="0.25">
      <c r="A4" s="1093"/>
      <c r="B4" s="4029" t="s">
        <v>1986</v>
      </c>
      <c r="C4" s="4029"/>
      <c r="D4" s="4029"/>
      <c r="E4" s="4029"/>
      <c r="F4" s="4029"/>
      <c r="G4" s="4029"/>
      <c r="H4" s="4029"/>
      <c r="I4" s="4029"/>
      <c r="J4" s="1096" t="s">
        <v>644</v>
      </c>
    </row>
    <row r="5" spans="1:19" ht="17.25" x14ac:dyDescent="0.25">
      <c r="A5" s="1093"/>
      <c r="B5" s="4030" t="s">
        <v>3353</v>
      </c>
      <c r="C5" s="4030"/>
      <c r="D5" s="4030"/>
      <c r="E5" s="4030"/>
      <c r="F5" s="4030"/>
      <c r="G5" s="4030"/>
      <c r="H5" s="4030"/>
      <c r="I5" s="4030"/>
      <c r="J5" s="1096" t="s">
        <v>644</v>
      </c>
    </row>
    <row r="6" spans="1:19" ht="16.5" thickBot="1" x14ac:dyDescent="0.3">
      <c r="A6" s="1093"/>
      <c r="B6" s="1094"/>
      <c r="C6" s="1094"/>
      <c r="D6" s="1097"/>
      <c r="E6" s="1097"/>
      <c r="F6" s="1094"/>
      <c r="G6" s="1094"/>
      <c r="H6" s="1094"/>
      <c r="I6" s="1094"/>
    </row>
    <row r="7" spans="1:19" x14ac:dyDescent="0.25">
      <c r="A7" s="4043" t="s">
        <v>7</v>
      </c>
      <c r="B7" s="4031" t="s">
        <v>1987</v>
      </c>
      <c r="C7" s="4031" t="s">
        <v>35</v>
      </c>
      <c r="D7" s="4033" t="s">
        <v>1988</v>
      </c>
      <c r="E7" s="4031" t="s">
        <v>1989</v>
      </c>
      <c r="F7" s="4031" t="s">
        <v>1990</v>
      </c>
      <c r="G7" s="4031"/>
      <c r="H7" s="4031"/>
      <c r="I7" s="4037"/>
    </row>
    <row r="8" spans="1:19" ht="31.5" x14ac:dyDescent="0.25">
      <c r="A8" s="4044"/>
      <c r="B8" s="4032"/>
      <c r="C8" s="4032"/>
      <c r="D8" s="4034"/>
      <c r="E8" s="4032"/>
      <c r="F8" s="1169" t="s">
        <v>1991</v>
      </c>
      <c r="G8" s="3004" t="s">
        <v>1992</v>
      </c>
      <c r="H8" s="3004" t="s">
        <v>754</v>
      </c>
      <c r="I8" s="1184" t="s">
        <v>163</v>
      </c>
      <c r="J8" s="1096" t="s">
        <v>2111</v>
      </c>
    </row>
    <row r="9" spans="1:19" x14ac:dyDescent="0.25">
      <c r="A9" s="1185" t="s">
        <v>482</v>
      </c>
      <c r="B9" s="1098">
        <v>2</v>
      </c>
      <c r="C9" s="1098">
        <v>3</v>
      </c>
      <c r="D9" s="1099">
        <v>4</v>
      </c>
      <c r="E9" s="1099">
        <v>5</v>
      </c>
      <c r="F9" s="1098">
        <v>6</v>
      </c>
      <c r="G9" s="1098">
        <v>7</v>
      </c>
      <c r="H9" s="1098">
        <v>8</v>
      </c>
      <c r="I9" s="1186">
        <v>9</v>
      </c>
    </row>
    <row r="10" spans="1:19" x14ac:dyDescent="0.25">
      <c r="A10" s="1187" t="s">
        <v>1687</v>
      </c>
      <c r="B10" s="1101" t="s">
        <v>1993</v>
      </c>
      <c r="C10" s="1102" t="s">
        <v>1994</v>
      </c>
      <c r="D10" s="1134">
        <f t="shared" ref="D10:I10" si="0">D11+D12+D13+D14</f>
        <v>2.7709999999999999</v>
      </c>
      <c r="E10" s="1133">
        <f t="shared" si="0"/>
        <v>4.5153999999999996</v>
      </c>
      <c r="F10" s="1133">
        <f t="shared" si="0"/>
        <v>0</v>
      </c>
      <c r="G10" s="1133">
        <f t="shared" si="0"/>
        <v>0</v>
      </c>
      <c r="H10" s="1133">
        <f t="shared" si="0"/>
        <v>0</v>
      </c>
      <c r="I10" s="1136">
        <f t="shared" si="0"/>
        <v>4.5153999999999996</v>
      </c>
      <c r="K10" s="1145">
        <f>F10+G10+H10+I10</f>
        <v>4.5153999999999996</v>
      </c>
      <c r="L10" s="1096">
        <f>'Д 8_Паливо'!E109</f>
        <v>4.5153999999999996</v>
      </c>
    </row>
    <row r="11" spans="1:19" x14ac:dyDescent="0.25">
      <c r="A11" s="1188" t="s">
        <v>23</v>
      </c>
      <c r="B11" s="1103" t="s">
        <v>1995</v>
      </c>
      <c r="C11" s="1102" t="s">
        <v>1996</v>
      </c>
      <c r="D11" s="1134">
        <f>'Д 7_РП'!F95-'Д 7_РП'!F112</f>
        <v>2.7709999999999999</v>
      </c>
      <c r="E11" s="1134">
        <f>F11+G11+H11+I11</f>
        <v>4.5153999999999996</v>
      </c>
      <c r="F11" s="1133">
        <f>'Д 7_РП'!G96</f>
        <v>0</v>
      </c>
      <c r="G11" s="1133">
        <f>'Д 7_РП'!G103</f>
        <v>0</v>
      </c>
      <c r="H11" s="1133">
        <f>'Д 7_РП'!G106</f>
        <v>0</v>
      </c>
      <c r="I11" s="1136">
        <f>'Д 7_РП'!G109</f>
        <v>4.5153999999999996</v>
      </c>
      <c r="J11" s="1179" t="s">
        <v>2137</v>
      </c>
      <c r="L11" s="1096">
        <f>'Д 8_Паливо'!E110</f>
        <v>0</v>
      </c>
      <c r="M11" s="1145">
        <f>F10</f>
        <v>0</v>
      </c>
      <c r="N11" s="1145">
        <f>L11-M11</f>
        <v>0</v>
      </c>
    </row>
    <row r="12" spans="1:19" x14ac:dyDescent="0.25">
      <c r="A12" s="1188" t="s">
        <v>24</v>
      </c>
      <c r="B12" s="1103" t="s">
        <v>1997</v>
      </c>
      <c r="C12" s="1102" t="s">
        <v>1996</v>
      </c>
      <c r="D12" s="1134">
        <v>0</v>
      </c>
      <c r="E12" s="1133">
        <v>0</v>
      </c>
      <c r="F12" s="1133">
        <v>0</v>
      </c>
      <c r="G12" s="1133">
        <v>0</v>
      </c>
      <c r="H12" s="1133">
        <v>0</v>
      </c>
      <c r="I12" s="1136">
        <v>0</v>
      </c>
      <c r="L12" s="1096">
        <f>'Д 8_Паливо'!E111</f>
        <v>0</v>
      </c>
      <c r="M12" s="1145">
        <f>G10</f>
        <v>0</v>
      </c>
      <c r="N12" s="1145">
        <f t="shared" ref="N12:N14" si="1">L12-M12</f>
        <v>0</v>
      </c>
    </row>
    <row r="13" spans="1:19" x14ac:dyDescent="0.25">
      <c r="A13" s="1188" t="s">
        <v>48</v>
      </c>
      <c r="B13" s="1103" t="s">
        <v>422</v>
      </c>
      <c r="C13" s="1102" t="s">
        <v>1996</v>
      </c>
      <c r="D13" s="1134">
        <v>0</v>
      </c>
      <c r="E13" s="1133">
        <v>0</v>
      </c>
      <c r="F13" s="1133">
        <v>0</v>
      </c>
      <c r="G13" s="1133">
        <v>0</v>
      </c>
      <c r="H13" s="1133">
        <v>0</v>
      </c>
      <c r="I13" s="1136">
        <v>0</v>
      </c>
      <c r="L13" s="1096">
        <f>'Д 8_Паливо'!E112</f>
        <v>0</v>
      </c>
      <c r="M13" s="1145">
        <f>H10</f>
        <v>0</v>
      </c>
      <c r="N13" s="1145">
        <f t="shared" si="1"/>
        <v>0</v>
      </c>
    </row>
    <row r="14" spans="1:19" x14ac:dyDescent="0.25">
      <c r="A14" s="1188" t="s">
        <v>53</v>
      </c>
      <c r="B14" s="1103" t="s">
        <v>1998</v>
      </c>
      <c r="C14" s="1102" t="s">
        <v>1996</v>
      </c>
      <c r="D14" s="1134">
        <v>0</v>
      </c>
      <c r="E14" s="1133">
        <v>0</v>
      </c>
      <c r="F14" s="1133">
        <v>0</v>
      </c>
      <c r="G14" s="1133">
        <v>0</v>
      </c>
      <c r="H14" s="1133">
        <v>0</v>
      </c>
      <c r="I14" s="1136">
        <v>0</v>
      </c>
      <c r="L14" s="1096">
        <f>'Д 8_Паливо'!E113</f>
        <v>4.5153999999999996</v>
      </c>
      <c r="M14" s="1145">
        <f>I10</f>
        <v>4.5153999999999996</v>
      </c>
      <c r="N14" s="1145">
        <f t="shared" si="1"/>
        <v>0</v>
      </c>
    </row>
    <row r="15" spans="1:19" ht="21" customHeight="1" x14ac:dyDescent="0.25">
      <c r="A15" s="1187" t="s">
        <v>1709</v>
      </c>
      <c r="B15" s="1101" t="s">
        <v>1999</v>
      </c>
      <c r="C15" s="1102" t="s">
        <v>2000</v>
      </c>
      <c r="D15" s="1104">
        <f>D17+D18+D19+D20</f>
        <v>0.83913000000000004</v>
      </c>
      <c r="E15" s="1139">
        <f>E17+E18+E19+E20</f>
        <v>3.8995202521466661</v>
      </c>
      <c r="F15" s="1139">
        <f>F17+F18+F19</f>
        <v>0</v>
      </c>
      <c r="G15" s="1139">
        <f>G17+G18+G19+G20</f>
        <v>0</v>
      </c>
      <c r="H15" s="1139">
        <f>H17+H18+H19+H20</f>
        <v>0</v>
      </c>
      <c r="I15" s="1137">
        <f>I17+I18+I19+I20</f>
        <v>3.8995202521466661</v>
      </c>
      <c r="L15" s="1105"/>
    </row>
    <row r="16" spans="1:19" ht="18" customHeight="1" x14ac:dyDescent="0.25">
      <c r="A16" s="1188"/>
      <c r="B16" s="1103" t="s">
        <v>2001</v>
      </c>
      <c r="C16" s="4038" t="s">
        <v>2002</v>
      </c>
      <c r="D16" s="4038"/>
      <c r="E16" s="4038"/>
      <c r="F16" s="4038"/>
      <c r="G16" s="4038"/>
      <c r="H16" s="4038"/>
      <c r="I16" s="4039"/>
      <c r="L16" s="1105"/>
      <c r="M16" s="1106"/>
      <c r="N16" s="1106"/>
      <c r="O16" s="1106"/>
      <c r="P16" s="1106"/>
      <c r="Q16" s="1106"/>
      <c r="R16" s="1106"/>
      <c r="S16" s="1106"/>
    </row>
    <row r="17" spans="1:19" x14ac:dyDescent="0.25">
      <c r="A17" s="1188" t="s">
        <v>25</v>
      </c>
      <c r="B17" s="1103" t="s">
        <v>1995</v>
      </c>
      <c r="C17" s="1102" t="s">
        <v>1996</v>
      </c>
      <c r="D17" s="1104">
        <f>'Д 7_РП'!F74/1000</f>
        <v>0.83913000000000004</v>
      </c>
      <c r="E17" s="1139">
        <f>'Д 7_РП'!G74/1000</f>
        <v>3.8995202521466661</v>
      </c>
      <c r="F17" s="1139">
        <f>'Д 7_РП'!G75/1000</f>
        <v>0</v>
      </c>
      <c r="G17" s="1139">
        <f>'Д 7_РП'!G83/1000</f>
        <v>0</v>
      </c>
      <c r="H17" s="1139">
        <f>'Д 7_РП'!G87/1000</f>
        <v>0</v>
      </c>
      <c r="I17" s="1137">
        <f>'Д 7_РП'!G91/1000</f>
        <v>3.8995202521466661</v>
      </c>
      <c r="J17" s="2121" t="s">
        <v>2137</v>
      </c>
      <c r="L17" s="1105"/>
      <c r="M17" s="1106"/>
      <c r="N17" s="1106"/>
      <c r="O17" s="1106"/>
      <c r="P17" s="1106"/>
      <c r="Q17" s="1106"/>
      <c r="R17" s="1106"/>
      <c r="S17" s="1106"/>
    </row>
    <row r="18" spans="1:19" x14ac:dyDescent="0.25">
      <c r="A18" s="1188" t="s">
        <v>26</v>
      </c>
      <c r="B18" s="1103" t="s">
        <v>2003</v>
      </c>
      <c r="C18" s="1102" t="s">
        <v>1996</v>
      </c>
      <c r="D18" s="1104">
        <v>0</v>
      </c>
      <c r="E18" s="1139">
        <v>0</v>
      </c>
      <c r="F18" s="1139">
        <v>0</v>
      </c>
      <c r="G18" s="1139">
        <v>0</v>
      </c>
      <c r="H18" s="1139">
        <v>0</v>
      </c>
      <c r="I18" s="1137">
        <v>0</v>
      </c>
      <c r="L18" s="1105"/>
      <c r="M18" s="1106"/>
      <c r="N18" s="1106"/>
      <c r="O18" s="1106"/>
      <c r="P18" s="1106"/>
      <c r="Q18" s="1106"/>
      <c r="R18" s="1106"/>
      <c r="S18" s="1106"/>
    </row>
    <row r="19" spans="1:19" x14ac:dyDescent="0.25">
      <c r="A19" s="1188" t="s">
        <v>59</v>
      </c>
      <c r="B19" s="1103" t="s">
        <v>2004</v>
      </c>
      <c r="C19" s="1102" t="s">
        <v>1996</v>
      </c>
      <c r="D19" s="1104">
        <v>0</v>
      </c>
      <c r="E19" s="1139">
        <v>0</v>
      </c>
      <c r="F19" s="1139">
        <v>0</v>
      </c>
      <c r="G19" s="1139">
        <v>0</v>
      </c>
      <c r="H19" s="1139">
        <v>0</v>
      </c>
      <c r="I19" s="1137">
        <v>0</v>
      </c>
    </row>
    <row r="20" spans="1:19" x14ac:dyDescent="0.25">
      <c r="A20" s="1188" t="s">
        <v>2005</v>
      </c>
      <c r="B20" s="1103" t="s">
        <v>1998</v>
      </c>
      <c r="C20" s="1102" t="s">
        <v>1996</v>
      </c>
      <c r="D20" s="1104">
        <v>0</v>
      </c>
      <c r="E20" s="1139">
        <v>0</v>
      </c>
      <c r="F20" s="1139" t="s">
        <v>2006</v>
      </c>
      <c r="G20" s="1139">
        <v>0</v>
      </c>
      <c r="H20" s="1139">
        <v>0</v>
      </c>
      <c r="I20" s="1137">
        <v>0</v>
      </c>
    </row>
    <row r="21" spans="1:19" ht="31.9" customHeight="1" x14ac:dyDescent="0.25">
      <c r="A21" s="1187" t="s">
        <v>1711</v>
      </c>
      <c r="B21" s="1101" t="s">
        <v>2007</v>
      </c>
      <c r="C21" s="1102" t="s">
        <v>1996</v>
      </c>
      <c r="D21" s="1104">
        <f>'Д 7_РП'!F48/1000</f>
        <v>0.52868999999999999</v>
      </c>
      <c r="E21" s="1139">
        <f>('Д 7_РП'!G48-'Д 7_РП'!G55-'Д 7_РП'!G63)/1000</f>
        <v>0.59227391081898573</v>
      </c>
      <c r="F21" s="1139">
        <f>F23-F15-F24</f>
        <v>0</v>
      </c>
      <c r="G21" s="1139">
        <f>G23-G15-G24</f>
        <v>0</v>
      </c>
      <c r="H21" s="1139">
        <f>H23-H15-H24</f>
        <v>0</v>
      </c>
      <c r="I21" s="1137">
        <f>I23-I15-I24</f>
        <v>0.5922739108189865</v>
      </c>
      <c r="J21" s="1128">
        <f>E21-F21-G21-H21-I21</f>
        <v>0</v>
      </c>
      <c r="K21" s="2122" t="s">
        <v>2784</v>
      </c>
    </row>
    <row r="22" spans="1:19" x14ac:dyDescent="0.25">
      <c r="A22" s="1187" t="s">
        <v>1714</v>
      </c>
      <c r="B22" s="1101" t="s">
        <v>2008</v>
      </c>
      <c r="C22" s="1102" t="s">
        <v>1996</v>
      </c>
      <c r="D22" s="1104">
        <v>0</v>
      </c>
      <c r="E22" s="1104">
        <v>0</v>
      </c>
      <c r="F22" s="1139">
        <v>0</v>
      </c>
      <c r="G22" s="1139">
        <v>0</v>
      </c>
      <c r="H22" s="1139">
        <v>0</v>
      </c>
      <c r="I22" s="1137">
        <v>0</v>
      </c>
      <c r="J22" s="1128"/>
      <c r="K22" s="1128"/>
    </row>
    <row r="23" spans="1:19" ht="19.899999999999999" customHeight="1" x14ac:dyDescent="0.25">
      <c r="A23" s="1187" t="s">
        <v>1786</v>
      </c>
      <c r="B23" s="1101" t="s">
        <v>2009</v>
      </c>
      <c r="C23" s="1102" t="s">
        <v>1996</v>
      </c>
      <c r="D23" s="1104">
        <f>D15+D21+D24</f>
        <v>2.7127400000000002</v>
      </c>
      <c r="E23" s="1139">
        <f>E15+E21+E24</f>
        <v>6.6759097458333319</v>
      </c>
      <c r="F23" s="1139">
        <f>'Д 8_Паливо'!C11/1000</f>
        <v>0</v>
      </c>
      <c r="G23" s="1139">
        <f>'Д 8_Паливо'!C12/1000</f>
        <v>0</v>
      </c>
      <c r="H23" s="1139">
        <f>'Д 8_Паливо'!C13/1000</f>
        <v>0</v>
      </c>
      <c r="I23" s="2576">
        <f>'Д 8_Паливо'!C14/1000</f>
        <v>6.6759097458333327</v>
      </c>
      <c r="J23" s="1128">
        <f>'Д 7_РП'!G24</f>
        <v>6675.9097458333326</v>
      </c>
      <c r="K23" s="1128">
        <f>J23/1000-E23</f>
        <v>0</v>
      </c>
    </row>
    <row r="24" spans="1:19" ht="17.45" customHeight="1" x14ac:dyDescent="0.25">
      <c r="A24" s="1187" t="s">
        <v>1792</v>
      </c>
      <c r="B24" s="1101" t="s">
        <v>2010</v>
      </c>
      <c r="C24" s="1102" t="s">
        <v>1996</v>
      </c>
      <c r="D24" s="1104">
        <f>'Д 7_РП'!F71/1000</f>
        <v>1.3449200000000001</v>
      </c>
      <c r="E24" s="1139">
        <f>'Д 7_РП'!G39/1000</f>
        <v>2.1841155828676801</v>
      </c>
      <c r="F24" s="1139">
        <f>'Д 8_Паливо'!D74/1000</f>
        <v>0</v>
      </c>
      <c r="G24" s="1139">
        <f>'Д 8_Паливо'!D75/1000</f>
        <v>0</v>
      </c>
      <c r="H24" s="1139">
        <f>'Д 8_Паливо'!D76/1000</f>
        <v>0</v>
      </c>
      <c r="I24" s="2576">
        <f>'Д 8_Паливо'!D77/1000</f>
        <v>2.1841155828676801</v>
      </c>
      <c r="J24" s="1128">
        <f>E23-E24</f>
        <v>4.4917941629656521</v>
      </c>
      <c r="K24" s="1128"/>
    </row>
    <row r="25" spans="1:19" ht="30.6" customHeight="1" x14ac:dyDescent="0.25">
      <c r="A25" s="1187" t="s">
        <v>1798</v>
      </c>
      <c r="B25" s="1101" t="s">
        <v>2011</v>
      </c>
      <c r="C25" s="1102" t="s">
        <v>1996</v>
      </c>
      <c r="D25" s="1104">
        <f t="shared" ref="D25:I25" si="2">D15</f>
        <v>0.83913000000000004</v>
      </c>
      <c r="E25" s="1139">
        <f t="shared" si="2"/>
        <v>3.8995202521466661</v>
      </c>
      <c r="F25" s="1139">
        <f t="shared" si="2"/>
        <v>0</v>
      </c>
      <c r="G25" s="1139">
        <f t="shared" si="2"/>
        <v>0</v>
      </c>
      <c r="H25" s="1139">
        <f t="shared" si="2"/>
        <v>0</v>
      </c>
      <c r="I25" s="1137">
        <f t="shared" si="2"/>
        <v>3.8995202521466661</v>
      </c>
      <c r="J25" s="1128"/>
      <c r="K25" s="1128"/>
    </row>
    <row r="26" spans="1:19" ht="19.899999999999999" customHeight="1" x14ac:dyDescent="0.25">
      <c r="A26" s="1187" t="s">
        <v>1800</v>
      </c>
      <c r="B26" s="1101" t="s">
        <v>2012</v>
      </c>
      <c r="C26" s="1102" t="s">
        <v>1996</v>
      </c>
      <c r="D26" s="1104">
        <f>D23/(100%-0.8%)</f>
        <v>2.7346169354838712</v>
      </c>
      <c r="E26" s="1139">
        <f>E23/(100%-0.8%)</f>
        <v>6.7297477276545683</v>
      </c>
      <c r="F26" s="1139">
        <f t="shared" ref="F26:G26" si="3">F23/(100%-2.2%)</f>
        <v>0</v>
      </c>
      <c r="G26" s="1139">
        <f t="shared" si="3"/>
        <v>0</v>
      </c>
      <c r="H26" s="1139">
        <f>H23/(100%-0.76%)</f>
        <v>0</v>
      </c>
      <c r="I26" s="1137">
        <f>I23/(100%-0.76%)</f>
        <v>6.7270352134555953</v>
      </c>
      <c r="J26" s="1128">
        <f>'Д 7_РП'!G14</f>
        <v>6727.0352134555951</v>
      </c>
      <c r="K26" s="1128">
        <f>J26/1000-E26</f>
        <v>-2.7125141989730039E-3</v>
      </c>
    </row>
    <row r="27" spans="1:19" ht="19.149999999999999" customHeight="1" x14ac:dyDescent="0.25">
      <c r="A27" s="1187" t="s">
        <v>1802</v>
      </c>
      <c r="B27" s="1108" t="s">
        <v>2013</v>
      </c>
      <c r="C27" s="4040" t="s">
        <v>2002</v>
      </c>
      <c r="D27" s="4041"/>
      <c r="E27" s="4041"/>
      <c r="F27" s="4041"/>
      <c r="G27" s="4041"/>
      <c r="H27" s="4041"/>
      <c r="I27" s="4042"/>
    </row>
    <row r="28" spans="1:19" ht="31.5" x14ac:dyDescent="0.25">
      <c r="A28" s="1188" t="s">
        <v>161</v>
      </c>
      <c r="B28" s="1109" t="s">
        <v>2014</v>
      </c>
      <c r="C28" s="1107" t="s">
        <v>2015</v>
      </c>
      <c r="D28" s="1104">
        <f>858501/1000</f>
        <v>858.50099999999998</v>
      </c>
      <c r="E28" s="1104">
        <f>F28+G28+H28+I28</f>
        <v>364.32000003611842</v>
      </c>
      <c r="F28" s="1139">
        <f>'Д 8_Паливо'!G11</f>
        <v>0</v>
      </c>
      <c r="G28" s="1139">
        <f>'Д 8_Паливо'!G12</f>
        <v>0</v>
      </c>
      <c r="H28" s="1139">
        <f>'Д 8_Паливо'!G13</f>
        <v>0</v>
      </c>
      <c r="I28" s="1137">
        <f>'Д 8_Паливо'!G14</f>
        <v>364.32000003611842</v>
      </c>
    </row>
    <row r="29" spans="1:19" x14ac:dyDescent="0.25">
      <c r="A29" s="1188" t="s">
        <v>215</v>
      </c>
      <c r="B29" s="1109" t="s">
        <v>2016</v>
      </c>
      <c r="C29" s="1107" t="s">
        <v>2017</v>
      </c>
      <c r="D29" s="1104">
        <v>0</v>
      </c>
      <c r="E29" s="1104">
        <v>0</v>
      </c>
      <c r="F29" s="1104">
        <v>0</v>
      </c>
      <c r="G29" s="1104">
        <v>0</v>
      </c>
      <c r="H29" s="1104">
        <v>0</v>
      </c>
      <c r="I29" s="1189">
        <v>0</v>
      </c>
    </row>
    <row r="30" spans="1:19" x14ac:dyDescent="0.25">
      <c r="A30" s="1188" t="s">
        <v>355</v>
      </c>
      <c r="B30" s="1110" t="s">
        <v>2018</v>
      </c>
      <c r="C30" s="1102" t="s">
        <v>1996</v>
      </c>
      <c r="D30" s="1104">
        <v>0</v>
      </c>
      <c r="E30" s="1104">
        <v>0</v>
      </c>
      <c r="F30" s="1104">
        <v>0</v>
      </c>
      <c r="G30" s="1104">
        <v>0</v>
      </c>
      <c r="H30" s="1104">
        <v>0</v>
      </c>
      <c r="I30" s="1189">
        <v>0</v>
      </c>
    </row>
    <row r="31" spans="1:19" x14ac:dyDescent="0.25">
      <c r="A31" s="1188" t="s">
        <v>1960</v>
      </c>
      <c r="B31" s="1109" t="s">
        <v>2019</v>
      </c>
      <c r="C31" s="1102" t="s">
        <v>1996</v>
      </c>
      <c r="D31" s="1104">
        <v>0</v>
      </c>
      <c r="E31" s="1104">
        <v>0</v>
      </c>
      <c r="F31" s="1104">
        <v>0</v>
      </c>
      <c r="G31" s="1104">
        <v>0</v>
      </c>
      <c r="H31" s="1104">
        <v>0</v>
      </c>
      <c r="I31" s="1189">
        <v>0</v>
      </c>
    </row>
    <row r="32" spans="1:19" ht="22.9" customHeight="1" x14ac:dyDescent="0.25">
      <c r="A32" s="1187" t="s">
        <v>1806</v>
      </c>
      <c r="B32" s="1101" t="s">
        <v>2020</v>
      </c>
      <c r="C32" s="1102" t="s">
        <v>2017</v>
      </c>
      <c r="D32" s="1104">
        <f t="shared" ref="D32:I32" si="4">D33*D23/1000</f>
        <v>1.0091664074</v>
      </c>
      <c r="E32" s="1139">
        <f t="shared" si="4"/>
        <v>0.43229170289999996</v>
      </c>
      <c r="F32" s="1139">
        <f t="shared" si="4"/>
        <v>0</v>
      </c>
      <c r="G32" s="1139">
        <f t="shared" si="4"/>
        <v>0</v>
      </c>
      <c r="H32" s="1139">
        <f>H33*H23/1000</f>
        <v>0</v>
      </c>
      <c r="I32" s="1137">
        <f t="shared" si="4"/>
        <v>0.43229170290000002</v>
      </c>
      <c r="K32" s="1128">
        <f>D23</f>
        <v>2.7127400000000002</v>
      </c>
    </row>
    <row r="33" spans="1:9" x14ac:dyDescent="0.25">
      <c r="A33" s="1187" t="s">
        <v>1808</v>
      </c>
      <c r="B33" s="1101" t="s">
        <v>2021</v>
      </c>
      <c r="C33" s="1102" t="s">
        <v>2022</v>
      </c>
      <c r="D33" s="1107">
        <v>372.01</v>
      </c>
      <c r="E33" s="1104">
        <f>'Д 8_Паливо'!D10</f>
        <v>64.753976515306888</v>
      </c>
      <c r="F33" s="1139">
        <v>0</v>
      </c>
      <c r="G33" s="1139">
        <f>F33</f>
        <v>0</v>
      </c>
      <c r="H33" s="1139">
        <f>G33</f>
        <v>0</v>
      </c>
      <c r="I33" s="1137">
        <f>E33</f>
        <v>64.753976515306888</v>
      </c>
    </row>
    <row r="34" spans="1:9" hidden="1" x14ac:dyDescent="0.25">
      <c r="A34" s="1187" t="s">
        <v>1810</v>
      </c>
      <c r="B34" s="1101" t="s">
        <v>2023</v>
      </c>
      <c r="C34" s="1102" t="s">
        <v>2022</v>
      </c>
      <c r="D34" s="1107"/>
      <c r="E34" s="1107"/>
      <c r="F34" s="1102"/>
      <c r="G34" s="1102"/>
      <c r="H34" s="1102"/>
      <c r="I34" s="1170"/>
    </row>
    <row r="35" spans="1:9" ht="24" customHeight="1" x14ac:dyDescent="0.25">
      <c r="A35" s="1187" t="s">
        <v>1810</v>
      </c>
      <c r="B35" s="1101" t="s">
        <v>2024</v>
      </c>
      <c r="C35" s="1102" t="s">
        <v>2025</v>
      </c>
      <c r="D35" s="2524">
        <f>751.12</f>
        <v>751.12</v>
      </c>
      <c r="E35" s="1104">
        <f>'Д 9_ЕЕ'!D12+'Д 9_ЕЕ'!D33+'Д 9_ЕЕ'!D70</f>
        <v>179.83799999999999</v>
      </c>
      <c r="F35" s="1139" t="s">
        <v>2006</v>
      </c>
      <c r="G35" s="1139" t="s">
        <v>2006</v>
      </c>
      <c r="H35" s="1139" t="s">
        <v>327</v>
      </c>
      <c r="I35" s="1137" t="s">
        <v>2006</v>
      </c>
    </row>
    <row r="36" spans="1:9" ht="24" customHeight="1" x14ac:dyDescent="0.25">
      <c r="A36" s="1187" t="s">
        <v>1812</v>
      </c>
      <c r="B36" s="1111" t="s">
        <v>2026</v>
      </c>
      <c r="C36" s="1102" t="s">
        <v>2027</v>
      </c>
      <c r="D36" s="1104">
        <f>D35/D23</f>
        <v>276.88610040033325</v>
      </c>
      <c r="E36" s="1139">
        <f>E35/E23</f>
        <v>26.938351003358481</v>
      </c>
      <c r="F36" s="1139" t="s">
        <v>2006</v>
      </c>
      <c r="G36" s="1139" t="s">
        <v>2006</v>
      </c>
      <c r="H36" s="1139" t="s">
        <v>327</v>
      </c>
      <c r="I36" s="1137" t="s">
        <v>2006</v>
      </c>
    </row>
    <row r="37" spans="1:9" ht="31.5" x14ac:dyDescent="0.25">
      <c r="A37" s="1187" t="s">
        <v>1814</v>
      </c>
      <c r="B37" s="1101" t="s">
        <v>2029</v>
      </c>
      <c r="C37" s="1102" t="s">
        <v>2030</v>
      </c>
      <c r="D37" s="1104">
        <f>12755/1000</f>
        <v>12.755000000000001</v>
      </c>
      <c r="E37" s="1180">
        <f>14197/1000</f>
        <v>14.196999999999999</v>
      </c>
      <c r="F37" s="1139" t="s">
        <v>2006</v>
      </c>
      <c r="G37" s="1139" t="s">
        <v>2006</v>
      </c>
      <c r="H37" s="1139" t="s">
        <v>327</v>
      </c>
      <c r="I37" s="1137" t="s">
        <v>2006</v>
      </c>
    </row>
    <row r="38" spans="1:9" s="1112" customFormat="1" ht="32.450000000000003" customHeight="1" x14ac:dyDescent="0.25">
      <c r="A38" s="1190" t="s">
        <v>2028</v>
      </c>
      <c r="B38" s="1108" t="s">
        <v>2032</v>
      </c>
      <c r="C38" s="1107" t="s">
        <v>2025</v>
      </c>
      <c r="D38" s="1104">
        <v>0</v>
      </c>
      <c r="E38" s="1104">
        <v>0</v>
      </c>
      <c r="F38" s="1104">
        <v>0</v>
      </c>
      <c r="G38" s="1104">
        <v>0</v>
      </c>
      <c r="H38" s="1104">
        <v>0</v>
      </c>
      <c r="I38" s="1189">
        <v>0</v>
      </c>
    </row>
    <row r="39" spans="1:9" ht="17.45" customHeight="1" x14ac:dyDescent="0.25">
      <c r="A39" s="1187" t="s">
        <v>2031</v>
      </c>
      <c r="B39" s="1101" t="s">
        <v>2034</v>
      </c>
      <c r="C39" s="1102" t="s">
        <v>2035</v>
      </c>
      <c r="D39" s="1131">
        <v>127</v>
      </c>
      <c r="E39" s="1131">
        <f>'Вхідні дані'!D50</f>
        <v>151</v>
      </c>
      <c r="F39" s="1129">
        <v>0</v>
      </c>
      <c r="G39" s="1129">
        <v>0</v>
      </c>
      <c r="H39" s="1129">
        <v>0</v>
      </c>
      <c r="I39" s="1191">
        <f>E39</f>
        <v>151</v>
      </c>
    </row>
    <row r="40" spans="1:9" ht="22.15" customHeight="1" x14ac:dyDescent="0.25">
      <c r="A40" s="1187" t="s">
        <v>2036</v>
      </c>
      <c r="B40" s="1101" t="s">
        <v>2037</v>
      </c>
      <c r="C40" s="1102" t="s">
        <v>1996</v>
      </c>
      <c r="D40" s="1131">
        <f t="shared" ref="D40:E40" si="5">365-D39</f>
        <v>238</v>
      </c>
      <c r="E40" s="1131">
        <f t="shared" si="5"/>
        <v>214</v>
      </c>
      <c r="F40" s="1131">
        <v>0</v>
      </c>
      <c r="G40" s="1131">
        <v>0</v>
      </c>
      <c r="H40" s="1131">
        <v>0</v>
      </c>
      <c r="I40" s="1192">
        <f>365-I39</f>
        <v>214</v>
      </c>
    </row>
    <row r="41" spans="1:9" ht="33.6" customHeight="1" x14ac:dyDescent="0.25">
      <c r="A41" s="1187" t="s">
        <v>2033</v>
      </c>
      <c r="B41" s="1101" t="s">
        <v>2039</v>
      </c>
      <c r="C41" s="1102" t="s">
        <v>2040</v>
      </c>
      <c r="D41" s="1107">
        <f>'Вхідні дані'!D75</f>
        <v>18</v>
      </c>
      <c r="E41" s="1107">
        <f>D41</f>
        <v>18</v>
      </c>
      <c r="F41" s="1107">
        <v>0</v>
      </c>
      <c r="G41" s="1107">
        <f>F41</f>
        <v>0</v>
      </c>
      <c r="H41" s="1107">
        <f>G41</f>
        <v>0</v>
      </c>
      <c r="I41" s="1141">
        <f>E41</f>
        <v>18</v>
      </c>
    </row>
    <row r="42" spans="1:9" ht="31.5" x14ac:dyDescent="0.25">
      <c r="A42" s="1187" t="s">
        <v>2036</v>
      </c>
      <c r="B42" s="1101" t="s">
        <v>2042</v>
      </c>
      <c r="C42" s="1102" t="s">
        <v>1996</v>
      </c>
      <c r="D42" s="1107">
        <v>5.2</v>
      </c>
      <c r="E42" s="1104">
        <f>'Вхідні дані'!D59</f>
        <v>4.0599999999999996</v>
      </c>
      <c r="F42" s="1107" t="s">
        <v>2006</v>
      </c>
      <c r="G42" s="1107" t="s">
        <v>2006</v>
      </c>
      <c r="H42" s="1107" t="s">
        <v>327</v>
      </c>
      <c r="I42" s="1141" t="s">
        <v>2006</v>
      </c>
    </row>
    <row r="43" spans="1:9" ht="36" customHeight="1" x14ac:dyDescent="0.25">
      <c r="A43" s="1187" t="s">
        <v>2038</v>
      </c>
      <c r="B43" s="1101" t="s">
        <v>2044</v>
      </c>
      <c r="C43" s="1102" t="s">
        <v>1996</v>
      </c>
      <c r="D43" s="1107">
        <f>'Вхідні дані'!D58</f>
        <v>-18</v>
      </c>
      <c r="E43" s="1107">
        <f>D43</f>
        <v>-18</v>
      </c>
      <c r="F43" s="1107" t="s">
        <v>2006</v>
      </c>
      <c r="G43" s="1107" t="s">
        <v>2006</v>
      </c>
      <c r="H43" s="1107" t="s">
        <v>327</v>
      </c>
      <c r="I43" s="1141" t="s">
        <v>2006</v>
      </c>
    </row>
    <row r="44" spans="1:9" ht="31.5" hidden="1" x14ac:dyDescent="0.25">
      <c r="A44" s="1187" t="s">
        <v>2045</v>
      </c>
      <c r="B44" s="1101" t="s">
        <v>2046</v>
      </c>
      <c r="C44" s="1102" t="s">
        <v>1996</v>
      </c>
      <c r="D44" s="1107"/>
      <c r="E44" s="1107" t="s">
        <v>2002</v>
      </c>
      <c r="F44" s="1102" t="s">
        <v>2002</v>
      </c>
      <c r="G44" s="1102" t="s">
        <v>2002</v>
      </c>
      <c r="H44" s="1102"/>
      <c r="I44" s="1170" t="s">
        <v>2002</v>
      </c>
    </row>
    <row r="45" spans="1:9" ht="31.5" hidden="1" x14ac:dyDescent="0.25">
      <c r="A45" s="1187" t="s">
        <v>2047</v>
      </c>
      <c r="B45" s="1101" t="s">
        <v>2048</v>
      </c>
      <c r="C45" s="1102" t="s">
        <v>2002</v>
      </c>
      <c r="D45" s="1107"/>
      <c r="E45" s="1107" t="s">
        <v>2002</v>
      </c>
      <c r="F45" s="1102" t="s">
        <v>2002</v>
      </c>
      <c r="G45" s="1102" t="s">
        <v>2002</v>
      </c>
      <c r="H45" s="1102"/>
      <c r="I45" s="1170" t="s">
        <v>2002</v>
      </c>
    </row>
    <row r="46" spans="1:9" hidden="1" x14ac:dyDescent="0.25">
      <c r="A46" s="1188" t="s">
        <v>2049</v>
      </c>
      <c r="B46" s="1103" t="s">
        <v>2050</v>
      </c>
      <c r="C46" s="1102" t="s">
        <v>2051</v>
      </c>
      <c r="D46" s="1107">
        <v>0</v>
      </c>
      <c r="E46" s="1102">
        <v>0</v>
      </c>
      <c r="F46" s="1102">
        <v>0</v>
      </c>
      <c r="G46" s="1102">
        <v>0</v>
      </c>
      <c r="H46" s="1102">
        <v>0</v>
      </c>
      <c r="I46" s="1170">
        <v>0</v>
      </c>
    </row>
    <row r="47" spans="1:9" hidden="1" x14ac:dyDescent="0.25">
      <c r="A47" s="1188" t="s">
        <v>2052</v>
      </c>
      <c r="B47" s="1103" t="s">
        <v>2053</v>
      </c>
      <c r="C47" s="1102" t="s">
        <v>2035</v>
      </c>
      <c r="D47" s="1107">
        <v>0</v>
      </c>
      <c r="E47" s="1102">
        <v>0</v>
      </c>
      <c r="F47" s="1102">
        <v>0</v>
      </c>
      <c r="G47" s="1102">
        <v>0</v>
      </c>
      <c r="H47" s="1102">
        <v>0</v>
      </c>
      <c r="I47" s="1170">
        <v>0</v>
      </c>
    </row>
    <row r="48" spans="1:9" hidden="1" x14ac:dyDescent="0.25">
      <c r="A48" s="1188" t="s">
        <v>2054</v>
      </c>
      <c r="B48" s="1103" t="s">
        <v>2055</v>
      </c>
      <c r="C48" s="1102" t="s">
        <v>2056</v>
      </c>
      <c r="D48" s="1107">
        <v>0</v>
      </c>
      <c r="E48" s="1102">
        <v>0</v>
      </c>
      <c r="F48" s="1102">
        <v>0</v>
      </c>
      <c r="G48" s="1102">
        <v>0</v>
      </c>
      <c r="H48" s="1102">
        <v>0</v>
      </c>
      <c r="I48" s="1170">
        <v>0</v>
      </c>
    </row>
    <row r="49" spans="1:17" ht="31.5" hidden="1" x14ac:dyDescent="0.25">
      <c r="A49" s="1187" t="s">
        <v>2057</v>
      </c>
      <c r="B49" s="1101" t="s">
        <v>2058</v>
      </c>
      <c r="C49" s="1102" t="s">
        <v>2059</v>
      </c>
      <c r="D49" s="1107">
        <v>0</v>
      </c>
      <c r="E49" s="1102">
        <v>0</v>
      </c>
      <c r="F49" s="1102">
        <v>0</v>
      </c>
      <c r="G49" s="1102">
        <v>0</v>
      </c>
      <c r="H49" s="1102">
        <v>0</v>
      </c>
      <c r="I49" s="1170">
        <v>0</v>
      </c>
    </row>
    <row r="50" spans="1:17" ht="31.5" hidden="1" x14ac:dyDescent="0.25">
      <c r="A50" s="1187" t="s">
        <v>2060</v>
      </c>
      <c r="B50" s="1101" t="s">
        <v>2061</v>
      </c>
      <c r="C50" s="1102" t="s">
        <v>2062</v>
      </c>
      <c r="D50" s="1107">
        <v>0</v>
      </c>
      <c r="E50" s="1102">
        <v>0</v>
      </c>
      <c r="F50" s="1102">
        <v>0</v>
      </c>
      <c r="G50" s="1102">
        <v>0</v>
      </c>
      <c r="H50" s="1102">
        <v>0</v>
      </c>
      <c r="I50" s="1170">
        <v>0</v>
      </c>
    </row>
    <row r="51" spans="1:17" hidden="1" x14ac:dyDescent="0.25">
      <c r="A51" s="1187" t="s">
        <v>2063</v>
      </c>
      <c r="B51" s="1101" t="s">
        <v>2064</v>
      </c>
      <c r="C51" s="1102" t="s">
        <v>2002</v>
      </c>
      <c r="D51" s="1107">
        <v>0</v>
      </c>
      <c r="E51" s="1102">
        <v>0</v>
      </c>
      <c r="F51" s="1102">
        <v>0</v>
      </c>
      <c r="G51" s="1102">
        <v>0</v>
      </c>
      <c r="H51" s="1102">
        <v>0</v>
      </c>
      <c r="I51" s="1170">
        <v>0</v>
      </c>
    </row>
    <row r="52" spans="1:17" hidden="1" x14ac:dyDescent="0.25">
      <c r="A52" s="1188" t="s">
        <v>2065</v>
      </c>
      <c r="B52" s="1110" t="s">
        <v>2066</v>
      </c>
      <c r="C52" s="1102" t="s">
        <v>2040</v>
      </c>
      <c r="D52" s="1107">
        <v>0</v>
      </c>
      <c r="E52" s="1102">
        <v>0</v>
      </c>
      <c r="F52" s="1102">
        <v>0</v>
      </c>
      <c r="G52" s="1102">
        <v>0</v>
      </c>
      <c r="H52" s="1102">
        <v>0</v>
      </c>
      <c r="I52" s="1170">
        <v>0</v>
      </c>
    </row>
    <row r="53" spans="1:17" hidden="1" x14ac:dyDescent="0.25">
      <c r="A53" s="1188" t="s">
        <v>2067</v>
      </c>
      <c r="B53" s="1110" t="s">
        <v>2068</v>
      </c>
      <c r="C53" s="1102" t="s">
        <v>1996</v>
      </c>
      <c r="D53" s="1107">
        <v>0</v>
      </c>
      <c r="E53" s="1102">
        <v>0</v>
      </c>
      <c r="F53" s="1102">
        <v>0</v>
      </c>
      <c r="G53" s="1102">
        <v>0</v>
      </c>
      <c r="H53" s="1102">
        <v>0</v>
      </c>
      <c r="I53" s="1170">
        <v>0</v>
      </c>
    </row>
    <row r="54" spans="1:17" ht="21" customHeight="1" x14ac:dyDescent="0.25">
      <c r="A54" s="1187" t="s">
        <v>2041</v>
      </c>
      <c r="B54" s="1101" t="s">
        <v>2070</v>
      </c>
      <c r="C54" s="1102" t="s">
        <v>2002</v>
      </c>
      <c r="D54" s="1107"/>
      <c r="E54" s="1107"/>
      <c r="F54" s="1107" t="s">
        <v>2006</v>
      </c>
      <c r="G54" s="1107" t="s">
        <v>2006</v>
      </c>
      <c r="H54" s="1107" t="s">
        <v>327</v>
      </c>
      <c r="I54" s="1141" t="s">
        <v>2006</v>
      </c>
    </row>
    <row r="55" spans="1:17" ht="47.25" x14ac:dyDescent="0.25">
      <c r="A55" s="1188" t="s">
        <v>2109</v>
      </c>
      <c r="B55" s="1110" t="s">
        <v>2014</v>
      </c>
      <c r="C55" s="1102" t="s">
        <v>2071</v>
      </c>
      <c r="D55" s="1104">
        <v>8228.5</v>
      </c>
      <c r="E55" s="1139">
        <f>'Д 8_Паливо'!F10</f>
        <v>8306</v>
      </c>
      <c r="F55" s="1107" t="s">
        <v>2006</v>
      </c>
      <c r="G55" s="1107" t="s">
        <v>2006</v>
      </c>
      <c r="H55" s="1107" t="s">
        <v>327</v>
      </c>
      <c r="I55" s="1141" t="s">
        <v>2006</v>
      </c>
    </row>
    <row r="56" spans="1:17" x14ac:dyDescent="0.25">
      <c r="A56" s="1188" t="s">
        <v>2110</v>
      </c>
      <c r="B56" s="1110" t="s">
        <v>2016</v>
      </c>
      <c r="C56" s="1102" t="s">
        <v>1996</v>
      </c>
      <c r="D56" s="1107">
        <v>0</v>
      </c>
      <c r="E56" s="1107">
        <v>0</v>
      </c>
      <c r="F56" s="1107" t="s">
        <v>2006</v>
      </c>
      <c r="G56" s="1107" t="s">
        <v>2006</v>
      </c>
      <c r="H56" s="1107" t="s">
        <v>327</v>
      </c>
      <c r="I56" s="1141" t="s">
        <v>2006</v>
      </c>
    </row>
    <row r="57" spans="1:17" x14ac:dyDescent="0.25">
      <c r="A57" s="1188" t="s">
        <v>2113</v>
      </c>
      <c r="B57" s="1110" t="s">
        <v>2018</v>
      </c>
      <c r="C57" s="1102" t="s">
        <v>1996</v>
      </c>
      <c r="D57" s="1107">
        <v>0</v>
      </c>
      <c r="E57" s="1107">
        <v>0</v>
      </c>
      <c r="F57" s="1107" t="s">
        <v>2006</v>
      </c>
      <c r="G57" s="1107" t="s">
        <v>2006</v>
      </c>
      <c r="H57" s="1107" t="s">
        <v>2006</v>
      </c>
      <c r="I57" s="1141" t="s">
        <v>2006</v>
      </c>
    </row>
    <row r="58" spans="1:17" x14ac:dyDescent="0.25">
      <c r="A58" s="1188" t="s">
        <v>2114</v>
      </c>
      <c r="B58" s="1110" t="s">
        <v>2019</v>
      </c>
      <c r="C58" s="1102" t="s">
        <v>1996</v>
      </c>
      <c r="D58" s="1107">
        <v>0</v>
      </c>
      <c r="E58" s="1107">
        <v>0</v>
      </c>
      <c r="F58" s="1107" t="s">
        <v>2006</v>
      </c>
      <c r="G58" s="1107" t="s">
        <v>2006</v>
      </c>
      <c r="H58" s="1107" t="s">
        <v>2006</v>
      </c>
      <c r="I58" s="1141" t="s">
        <v>2006</v>
      </c>
    </row>
    <row r="59" spans="1:17" ht="25.9" customHeight="1" x14ac:dyDescent="0.25">
      <c r="A59" s="1188" t="s">
        <v>2043</v>
      </c>
      <c r="B59" s="1101" t="s">
        <v>2073</v>
      </c>
      <c r="C59" s="4045" t="s">
        <v>2142</v>
      </c>
      <c r="D59" s="1104">
        <f>Виробництво_Транспортування_1ст!D11</f>
        <v>34017.8249</v>
      </c>
      <c r="E59" s="1107" t="s">
        <v>2006</v>
      </c>
      <c r="F59" s="1107" t="s">
        <v>2006</v>
      </c>
      <c r="G59" s="1107" t="s">
        <v>2006</v>
      </c>
      <c r="H59" s="1107" t="s">
        <v>2006</v>
      </c>
      <c r="I59" s="1141" t="s">
        <v>2006</v>
      </c>
    </row>
    <row r="60" spans="1:17" x14ac:dyDescent="0.25">
      <c r="A60" s="1188" t="s">
        <v>2139</v>
      </c>
      <c r="B60" s="1110" t="s">
        <v>2138</v>
      </c>
      <c r="C60" s="4046"/>
      <c r="D60" s="1104"/>
      <c r="E60" s="1104">
        <f>'Д 8_Паливо'!H10</f>
        <v>29854.99</v>
      </c>
      <c r="F60" s="1107" t="s">
        <v>2006</v>
      </c>
      <c r="G60" s="1107" t="s">
        <v>2006</v>
      </c>
      <c r="H60" s="1107" t="s">
        <v>2006</v>
      </c>
      <c r="I60" s="1137">
        <f>'Д 8_Паливо'!H14</f>
        <v>29854.99</v>
      </c>
    </row>
    <row r="61" spans="1:17" x14ac:dyDescent="0.25">
      <c r="A61" s="1188" t="s">
        <v>2140</v>
      </c>
      <c r="B61" s="1110" t="s">
        <v>1840</v>
      </c>
      <c r="C61" s="4046"/>
      <c r="D61" s="1104"/>
      <c r="E61" s="1104">
        <f>'Д 8_Паливо'!H16</f>
        <v>136.58000000000001</v>
      </c>
      <c r="F61" s="1107" t="s">
        <v>2006</v>
      </c>
      <c r="G61" s="1107" t="s">
        <v>2006</v>
      </c>
      <c r="H61" s="1107" t="s">
        <v>2006</v>
      </c>
      <c r="I61" s="1137">
        <f>E61</f>
        <v>136.58000000000001</v>
      </c>
    </row>
    <row r="62" spans="1:17" x14ac:dyDescent="0.25">
      <c r="A62" s="1188" t="s">
        <v>2141</v>
      </c>
      <c r="B62" s="1110" t="s">
        <v>1951</v>
      </c>
      <c r="C62" s="4047"/>
      <c r="D62" s="1104"/>
      <c r="E62" s="1104">
        <f>'Д 8_Паливо'!H22</f>
        <v>1090</v>
      </c>
      <c r="F62" s="1107" t="s">
        <v>2006</v>
      </c>
      <c r="G62" s="1107" t="s">
        <v>2006</v>
      </c>
      <c r="H62" s="1107" t="s">
        <v>2006</v>
      </c>
      <c r="I62" s="1137">
        <f>E62</f>
        <v>1090</v>
      </c>
    </row>
    <row r="63" spans="1:17" ht="31.5" x14ac:dyDescent="0.25">
      <c r="A63" s="1187" t="s">
        <v>2045</v>
      </c>
      <c r="B63" s="1101" t="s">
        <v>2075</v>
      </c>
      <c r="C63" s="1102" t="s">
        <v>2076</v>
      </c>
      <c r="D63" s="1104">
        <f>2425.63/D35</f>
        <v>3.2293508360847802</v>
      </c>
      <c r="E63" s="1104">
        <f>('Д 9_ЕЕ'!D17+'Д 9_ЕЕ'!D44+'Д 9_ЕЕ'!D75)/E35</f>
        <v>5.3377399999999993</v>
      </c>
      <c r="F63" s="1107" t="s">
        <v>2006</v>
      </c>
      <c r="G63" s="1107" t="s">
        <v>2006</v>
      </c>
      <c r="H63" s="1107" t="s">
        <v>2006</v>
      </c>
      <c r="I63" s="1141" t="s">
        <v>2006</v>
      </c>
    </row>
    <row r="64" spans="1:17" ht="31.5" x14ac:dyDescent="0.25">
      <c r="A64" s="1187" t="s">
        <v>2047</v>
      </c>
      <c r="B64" s="1101" t="s">
        <v>2078</v>
      </c>
      <c r="C64" s="1102" t="s">
        <v>2079</v>
      </c>
      <c r="D64" s="1104">
        <v>0</v>
      </c>
      <c r="E64" s="1139">
        <v>0</v>
      </c>
      <c r="F64" s="1139">
        <v>0</v>
      </c>
      <c r="G64" s="1139">
        <v>0</v>
      </c>
      <c r="H64" s="1139">
        <v>0</v>
      </c>
      <c r="I64" s="1137">
        <v>0</v>
      </c>
      <c r="Q64" s="1106"/>
    </row>
    <row r="65" spans="1:14" ht="31.5" x14ac:dyDescent="0.25">
      <c r="A65" s="1187" t="s">
        <v>2057</v>
      </c>
      <c r="B65" s="1101" t="s">
        <v>2081</v>
      </c>
      <c r="C65" s="1102" t="s">
        <v>2082</v>
      </c>
      <c r="D65" s="1104">
        <v>0</v>
      </c>
      <c r="E65" s="1139">
        <v>0</v>
      </c>
      <c r="F65" s="1139">
        <v>0</v>
      </c>
      <c r="G65" s="1139">
        <v>0</v>
      </c>
      <c r="H65" s="1139">
        <v>0</v>
      </c>
      <c r="I65" s="1137">
        <v>0</v>
      </c>
    </row>
    <row r="66" spans="1:14" ht="32.25" thickBot="1" x14ac:dyDescent="0.3">
      <c r="A66" s="1193" t="s">
        <v>2060</v>
      </c>
      <c r="B66" s="1194" t="s">
        <v>2143</v>
      </c>
      <c r="C66" s="1132" t="s">
        <v>2084</v>
      </c>
      <c r="D66" s="1195">
        <f>E66</f>
        <v>34.83</v>
      </c>
      <c r="E66" s="1195">
        <f>'Вхідні дані'!D37+'Вхідні дані'!D38</f>
        <v>34.83</v>
      </c>
      <c r="F66" s="1196" t="s">
        <v>2006</v>
      </c>
      <c r="G66" s="1196" t="s">
        <v>2006</v>
      </c>
      <c r="H66" s="1196" t="s">
        <v>2006</v>
      </c>
      <c r="I66" s="1142" t="s">
        <v>2006</v>
      </c>
    </row>
    <row r="67" spans="1:14" ht="34.15" hidden="1" customHeight="1" x14ac:dyDescent="0.25">
      <c r="A67" s="1181" t="s">
        <v>2063</v>
      </c>
      <c r="B67" s="1182" t="s">
        <v>2086</v>
      </c>
      <c r="C67" s="1135" t="s">
        <v>2087</v>
      </c>
      <c r="D67" s="1183"/>
      <c r="E67" s="1183" t="s">
        <v>2002</v>
      </c>
      <c r="F67" s="1135" t="s">
        <v>2002</v>
      </c>
      <c r="G67" s="1135" t="s">
        <v>2002</v>
      </c>
      <c r="H67" s="1135"/>
      <c r="I67" s="1135" t="s">
        <v>2002</v>
      </c>
    </row>
    <row r="68" spans="1:14" ht="31.5" hidden="1" x14ac:dyDescent="0.25">
      <c r="A68" s="1100" t="s">
        <v>2069</v>
      </c>
      <c r="B68" s="1101" t="s">
        <v>2089</v>
      </c>
      <c r="C68" s="1102" t="s">
        <v>1996</v>
      </c>
      <c r="D68" s="1107">
        <v>1163.1551899999999</v>
      </c>
      <c r="E68" s="1107"/>
      <c r="F68" s="1102"/>
      <c r="G68" s="1102"/>
      <c r="H68" s="1102"/>
      <c r="I68" s="1102"/>
    </row>
    <row r="69" spans="1:14" ht="31.5" hidden="1" x14ac:dyDescent="0.25">
      <c r="A69" s="1100" t="s">
        <v>2072</v>
      </c>
      <c r="B69" s="1101" t="s">
        <v>2090</v>
      </c>
      <c r="C69" s="1102" t="s">
        <v>1996</v>
      </c>
      <c r="D69" s="1107">
        <v>173.47329999999999</v>
      </c>
      <c r="E69" s="1107"/>
      <c r="F69" s="1102"/>
      <c r="G69" s="1102"/>
      <c r="H69" s="1102"/>
      <c r="I69" s="1102"/>
    </row>
    <row r="70" spans="1:14" ht="47.25" hidden="1" x14ac:dyDescent="0.25">
      <c r="A70" s="1100" t="s">
        <v>2074</v>
      </c>
      <c r="B70" s="1113" t="s">
        <v>2091</v>
      </c>
      <c r="C70" s="1102" t="s">
        <v>2092</v>
      </c>
      <c r="D70" s="1107">
        <v>989.68188999999995</v>
      </c>
      <c r="E70" s="1107"/>
      <c r="F70" s="1102"/>
      <c r="G70" s="1102"/>
      <c r="H70" s="1102"/>
      <c r="I70" s="1102"/>
      <c r="N70" s="1106"/>
    </row>
    <row r="71" spans="1:14" ht="31.5" hidden="1" x14ac:dyDescent="0.25">
      <c r="A71" s="1100" t="s">
        <v>2077</v>
      </c>
      <c r="B71" s="1101" t="s">
        <v>2093</v>
      </c>
      <c r="C71" s="1102" t="s">
        <v>2094</v>
      </c>
      <c r="D71" s="1107"/>
      <c r="E71" s="1107"/>
      <c r="F71" s="1102"/>
      <c r="G71" s="1102"/>
      <c r="H71" s="1102"/>
      <c r="I71" s="1102"/>
    </row>
    <row r="72" spans="1:14" ht="31.5" hidden="1" x14ac:dyDescent="0.25">
      <c r="A72" s="1100" t="s">
        <v>2080</v>
      </c>
      <c r="B72" s="1101" t="s">
        <v>2095</v>
      </c>
      <c r="C72" s="1102" t="s">
        <v>2096</v>
      </c>
      <c r="D72" s="1107"/>
      <c r="E72" s="1130"/>
      <c r="F72" s="1130"/>
      <c r="G72" s="1102" t="s">
        <v>2006</v>
      </c>
      <c r="H72" s="1102" t="s">
        <v>2006</v>
      </c>
      <c r="I72" s="1102" t="s">
        <v>2006</v>
      </c>
    </row>
    <row r="73" spans="1:14" ht="31.5" hidden="1" x14ac:dyDescent="0.25">
      <c r="A73" s="1100" t="s">
        <v>2083</v>
      </c>
      <c r="B73" s="1101" t="s">
        <v>2097</v>
      </c>
      <c r="C73" s="1102" t="s">
        <v>2096</v>
      </c>
      <c r="D73" s="1107">
        <v>0</v>
      </c>
      <c r="E73" s="1102">
        <v>0</v>
      </c>
      <c r="F73" s="1102">
        <v>0</v>
      </c>
      <c r="G73" s="1102" t="s">
        <v>2006</v>
      </c>
      <c r="H73" s="1102" t="s">
        <v>2006</v>
      </c>
      <c r="I73" s="1102" t="s">
        <v>2006</v>
      </c>
    </row>
    <row r="74" spans="1:14" ht="31.5" hidden="1" x14ac:dyDescent="0.25">
      <c r="A74" s="1100" t="s">
        <v>2085</v>
      </c>
      <c r="B74" s="1101" t="s">
        <v>2098</v>
      </c>
      <c r="C74" s="1102" t="s">
        <v>2099</v>
      </c>
      <c r="D74" s="1107">
        <v>0</v>
      </c>
      <c r="E74" s="1107">
        <f>F74+G74+H74+I74</f>
        <v>3</v>
      </c>
      <c r="F74" s="1129">
        <f>'Д 13_12'!C14</f>
        <v>0</v>
      </c>
      <c r="G74" s="1129">
        <f>'Д 13_12'!F14</f>
        <v>0</v>
      </c>
      <c r="H74" s="1129">
        <f>'Д 13_12'!I14</f>
        <v>0</v>
      </c>
      <c r="I74" s="1129">
        <f>'Д 13_12'!M14</f>
        <v>3</v>
      </c>
    </row>
    <row r="75" spans="1:14" ht="31.5" hidden="1" x14ac:dyDescent="0.25">
      <c r="A75" s="1100" t="s">
        <v>2088</v>
      </c>
      <c r="B75" s="1101" t="s">
        <v>2112</v>
      </c>
      <c r="C75" s="1102" t="s">
        <v>2099</v>
      </c>
      <c r="D75" s="1107">
        <v>0</v>
      </c>
      <c r="E75" s="1102">
        <v>0</v>
      </c>
      <c r="F75" s="1102">
        <v>0</v>
      </c>
      <c r="G75" s="1102">
        <v>0</v>
      </c>
      <c r="H75" s="1102">
        <v>0</v>
      </c>
      <c r="I75" s="1102">
        <v>0</v>
      </c>
    </row>
    <row r="76" spans="1:14" x14ac:dyDescent="0.25">
      <c r="A76" s="1093"/>
      <c r="B76" s="1114"/>
      <c r="C76" s="1115"/>
      <c r="D76" s="1116"/>
      <c r="E76" s="1116"/>
      <c r="F76" s="1115"/>
      <c r="G76" s="1115"/>
      <c r="H76" s="1115"/>
      <c r="I76" s="1115"/>
    </row>
    <row r="77" spans="1:14" x14ac:dyDescent="0.25">
      <c r="A77" s="1093"/>
      <c r="B77" s="1114"/>
      <c r="C77" s="1115"/>
      <c r="D77" s="1116"/>
      <c r="E77" s="1116"/>
      <c r="F77" s="1115"/>
      <c r="G77" s="1115"/>
      <c r="H77" s="1115"/>
      <c r="I77" s="1115"/>
    </row>
    <row r="78" spans="1:14" x14ac:dyDescent="0.25">
      <c r="A78" s="1093"/>
      <c r="B78" s="1114"/>
      <c r="C78" s="1115"/>
      <c r="D78" s="1116"/>
      <c r="E78" s="1116"/>
      <c r="F78" s="1115"/>
      <c r="G78" s="1115"/>
      <c r="H78" s="1115"/>
      <c r="I78" s="1115"/>
    </row>
    <row r="79" spans="1:14" x14ac:dyDescent="0.25">
      <c r="A79" s="1093"/>
      <c r="B79" s="1114"/>
      <c r="C79" s="1115"/>
      <c r="D79" s="1116"/>
      <c r="E79" s="1116"/>
      <c r="F79" s="1115"/>
      <c r="G79" s="1115"/>
      <c r="H79" s="1115"/>
      <c r="I79" s="1115"/>
      <c r="N79" s="4023"/>
    </row>
    <row r="80" spans="1:14" ht="31.5" x14ac:dyDescent="0.25">
      <c r="A80" s="1093"/>
      <c r="B80" s="3658" t="str">
        <f>'Вхідні дані'!B14</f>
        <v>Заступник начальника Адміністрації морського порту Чорноморськ з технічних питань та розвитку</v>
      </c>
      <c r="C80" s="1097"/>
      <c r="D80" s="1097" t="s">
        <v>2100</v>
      </c>
      <c r="E80" s="1117"/>
      <c r="F80" s="1097"/>
      <c r="G80" s="4024" t="str">
        <f>'Вхідні дані'!F14</f>
        <v>Віталій ЛІПСКИЙ</v>
      </c>
      <c r="H80" s="4024"/>
      <c r="I80" s="4024"/>
      <c r="N80" s="4023"/>
    </row>
    <row r="81" spans="1:9" x14ac:dyDescent="0.25">
      <c r="A81" s="1093"/>
      <c r="B81" s="1118" t="s">
        <v>2101</v>
      </c>
      <c r="C81" s="1094"/>
      <c r="D81" s="4025" t="s">
        <v>220</v>
      </c>
      <c r="E81" s="4025"/>
      <c r="F81" s="1094"/>
      <c r="G81" s="4025" t="s">
        <v>2102</v>
      </c>
      <c r="H81" s="4025"/>
      <c r="I81" s="4025"/>
    </row>
    <row r="82" spans="1:9" x14ac:dyDescent="0.25">
      <c r="A82" s="1093"/>
      <c r="B82" s="1119"/>
      <c r="C82" s="1094"/>
      <c r="D82" s="1097"/>
      <c r="E82" s="1097"/>
      <c r="F82" s="1094"/>
      <c r="G82" s="1094"/>
      <c r="H82" s="1094"/>
      <c r="I82" s="1094"/>
    </row>
    <row r="83" spans="1:9" x14ac:dyDescent="0.25">
      <c r="A83" s="1093"/>
      <c r="B83" s="1120"/>
      <c r="C83" s="1094"/>
      <c r="D83" s="1097"/>
      <c r="E83" s="1097"/>
      <c r="F83" s="1094"/>
      <c r="G83" s="1094"/>
      <c r="H83" s="1094"/>
      <c r="I83" s="1094"/>
    </row>
    <row r="84" spans="1:9" ht="29.25" customHeight="1" x14ac:dyDescent="0.25">
      <c r="A84" s="1121" t="s">
        <v>2103</v>
      </c>
      <c r="B84" s="1122"/>
      <c r="C84" s="1122"/>
      <c r="D84" s="1122"/>
      <c r="E84" s="1122"/>
      <c r="F84" s="1122"/>
      <c r="G84" s="1122"/>
      <c r="H84" s="1122"/>
      <c r="I84" s="1122"/>
    </row>
    <row r="85" spans="1:9" ht="13.5" customHeight="1" x14ac:dyDescent="0.25">
      <c r="A85" s="4035" t="s">
        <v>2104</v>
      </c>
      <c r="B85" s="4035"/>
      <c r="C85" s="4035"/>
      <c r="D85" s="4035"/>
      <c r="E85" s="4035"/>
      <c r="F85" s="4035"/>
      <c r="G85" s="4035"/>
      <c r="H85" s="4035"/>
      <c r="I85" s="4035"/>
    </row>
    <row r="86" spans="1:9" ht="13.5" customHeight="1" x14ac:dyDescent="0.25">
      <c r="A86" s="1123"/>
      <c r="B86" s="1123"/>
      <c r="C86" s="1123"/>
      <c r="D86" s="1124"/>
      <c r="E86" s="1124"/>
      <c r="F86" s="1123"/>
      <c r="G86" s="1123"/>
      <c r="H86" s="1123"/>
      <c r="I86" s="1123"/>
    </row>
    <row r="87" spans="1:9" ht="14.25" customHeight="1" x14ac:dyDescent="0.25">
      <c r="A87" s="1093"/>
      <c r="B87" s="1125"/>
      <c r="C87" s="1094"/>
      <c r="D87" s="1097"/>
      <c r="E87" s="1097"/>
      <c r="F87" s="1094"/>
      <c r="G87" s="1094"/>
      <c r="H87" s="1094"/>
      <c r="I87" s="1094"/>
    </row>
    <row r="88" spans="1:9" x14ac:dyDescent="0.25">
      <c r="A88" s="4036"/>
      <c r="B88" s="4036"/>
      <c r="C88" s="1094"/>
      <c r="D88" s="1097"/>
      <c r="E88" s="1097"/>
      <c r="F88" s="1094"/>
      <c r="G88" s="1094"/>
      <c r="H88" s="1094"/>
      <c r="I88" s="1094"/>
    </row>
    <row r="89" spans="1:9" x14ac:dyDescent="0.25">
      <c r="A89" s="4036"/>
      <c r="B89" s="4036"/>
      <c r="C89" s="1094"/>
      <c r="D89" s="1097"/>
      <c r="E89" s="1097"/>
      <c r="F89" s="1094"/>
      <c r="G89" s="1094"/>
      <c r="H89" s="1126"/>
      <c r="I89" s="1094"/>
    </row>
  </sheetData>
  <mergeCells count="21">
    <mergeCell ref="A85:I85"/>
    <mergeCell ref="A88:B88"/>
    <mergeCell ref="A89:B89"/>
    <mergeCell ref="F7:I7"/>
    <mergeCell ref="C16:I16"/>
    <mergeCell ref="C27:I27"/>
    <mergeCell ref="A7:A8"/>
    <mergeCell ref="C59:C62"/>
    <mergeCell ref="N79:N80"/>
    <mergeCell ref="G80:I80"/>
    <mergeCell ref="D81:E81"/>
    <mergeCell ref="G81:I81"/>
    <mergeCell ref="F1:I1"/>
    <mergeCell ref="H2:I2"/>
    <mergeCell ref="H3:I3"/>
    <mergeCell ref="B4:I4"/>
    <mergeCell ref="B5:I5"/>
    <mergeCell ref="B7:B8"/>
    <mergeCell ref="C7:C8"/>
    <mergeCell ref="D7:D8"/>
    <mergeCell ref="E7:E8"/>
  </mergeCells>
  <pageMargins left="0.70866141732283472" right="0.19685039370078741" top="0.62992125984251968" bottom="0.35433070866141736" header="0.31496062992125984" footer="0.31496062992125984"/>
  <pageSetup paperSize="9" scale="5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1"/>
  </sheetPr>
  <dimension ref="A1:M20"/>
  <sheetViews>
    <sheetView zoomScaleNormal="100" workbookViewId="0">
      <selection activeCell="U20" sqref="U20"/>
    </sheetView>
  </sheetViews>
  <sheetFormatPr defaultRowHeight="15" x14ac:dyDescent="0.25"/>
  <cols>
    <col min="1" max="1" width="20" customWidth="1"/>
    <col min="2" max="2" width="14.5703125" customWidth="1"/>
    <col min="3" max="3" width="12.28515625" customWidth="1"/>
    <col min="4" max="4" width="11.42578125" customWidth="1"/>
    <col min="5" max="6" width="11.85546875" customWidth="1"/>
    <col min="7" max="7" width="11.42578125" customWidth="1"/>
    <col min="8" max="8" width="10.42578125" customWidth="1"/>
    <col min="9" max="12" width="13.42578125" bestFit="1" customWidth="1"/>
  </cols>
  <sheetData>
    <row r="1" spans="1:13" ht="15.75" x14ac:dyDescent="0.25">
      <c r="A1" s="58" t="s">
        <v>2779</v>
      </c>
      <c r="B1" s="58"/>
      <c r="C1" s="58"/>
      <c r="D1" s="58"/>
      <c r="E1" s="58"/>
      <c r="F1" s="58"/>
      <c r="G1" s="58"/>
      <c r="H1" s="58"/>
      <c r="I1" s="58"/>
      <c r="J1" s="58"/>
      <c r="K1" s="58"/>
      <c r="L1" s="58"/>
      <c r="M1" s="58"/>
    </row>
    <row r="2" spans="1:13" ht="31.5" x14ac:dyDescent="0.25">
      <c r="A2" s="1481" t="s">
        <v>1355</v>
      </c>
      <c r="B2" s="878"/>
      <c r="C2" s="808" t="s">
        <v>771</v>
      </c>
      <c r="D2" s="808" t="s">
        <v>3</v>
      </c>
      <c r="E2" s="808" t="s">
        <v>170</v>
      </c>
      <c r="F2" s="808" t="s">
        <v>2775</v>
      </c>
      <c r="G2" s="808" t="s">
        <v>163</v>
      </c>
      <c r="H2" s="58"/>
      <c r="I2" s="58"/>
      <c r="J2" s="58"/>
      <c r="K2" s="58"/>
      <c r="L2" s="58"/>
      <c r="M2" s="58"/>
    </row>
    <row r="3" spans="1:13" s="1764" customFormat="1" ht="47.25" x14ac:dyDescent="0.25">
      <c r="A3" s="1793" t="s">
        <v>2778</v>
      </c>
      <c r="B3" s="3316" t="s">
        <v>2781</v>
      </c>
      <c r="C3" s="3317">
        <f>D3+E3+F3+G3</f>
        <v>4.5153999999999996</v>
      </c>
      <c r="D3" s="3316">
        <f>'Д 7_РП'!G96</f>
        <v>0</v>
      </c>
      <c r="E3" s="3316">
        <f>'Д 7_РП'!G103</f>
        <v>0</v>
      </c>
      <c r="F3" s="3316">
        <f>'Д 7_РП'!G106</f>
        <v>0</v>
      </c>
      <c r="G3" s="3316">
        <f>'Д 7_РП'!G109</f>
        <v>4.5153999999999996</v>
      </c>
      <c r="H3" s="57"/>
      <c r="I3" s="57"/>
      <c r="J3" s="57"/>
      <c r="K3" s="57"/>
      <c r="L3" s="57"/>
      <c r="M3" s="57"/>
    </row>
    <row r="4" spans="1:13" ht="15.75" x14ac:dyDescent="0.25">
      <c r="A4" s="2104" t="s">
        <v>630</v>
      </c>
      <c r="B4" s="808" t="s">
        <v>2781</v>
      </c>
      <c r="C4" s="878">
        <f>SUM(D4:G4)</f>
        <v>1.2254</v>
      </c>
      <c r="D4" s="16">
        <f>'Д 7_РП'!G97</f>
        <v>0</v>
      </c>
      <c r="E4" s="16">
        <f>'Д 7_РП'!G104</f>
        <v>0</v>
      </c>
      <c r="F4" s="16">
        <f>'Д 7_РП'!G107</f>
        <v>0</v>
      </c>
      <c r="G4" s="16">
        <f>'Д 7_РП'!G110</f>
        <v>1.2254</v>
      </c>
      <c r="H4" s="58"/>
      <c r="I4" s="58"/>
      <c r="J4" s="58"/>
      <c r="K4" s="58"/>
      <c r="L4" s="58"/>
      <c r="M4" s="58"/>
    </row>
    <row r="5" spans="1:13" ht="15.75" x14ac:dyDescent="0.25">
      <c r="A5" s="2104" t="s">
        <v>631</v>
      </c>
      <c r="B5" s="808" t="s">
        <v>2781</v>
      </c>
      <c r="C5" s="878">
        <f>SUM(D5:G5)</f>
        <v>3.29</v>
      </c>
      <c r="D5" s="16">
        <f>'Д 7_РП'!G100</f>
        <v>0</v>
      </c>
      <c r="E5" s="16">
        <f>'Д 7_РП'!G105</f>
        <v>0</v>
      </c>
      <c r="F5" s="16">
        <f>'Д 7_РП'!G108</f>
        <v>0</v>
      </c>
      <c r="G5" s="16">
        <f>'Д 7_РП'!G111</f>
        <v>3.29</v>
      </c>
      <c r="H5" s="58"/>
      <c r="I5" s="58"/>
      <c r="J5" s="58"/>
      <c r="K5" s="58"/>
      <c r="L5" s="58"/>
      <c r="M5" s="58"/>
    </row>
    <row r="6" spans="1:13" s="1764" customFormat="1" ht="16.149999999999999" customHeight="1" x14ac:dyDescent="0.25">
      <c r="A6" s="1793" t="s">
        <v>2774</v>
      </c>
      <c r="B6" s="1793" t="s">
        <v>22</v>
      </c>
      <c r="C6" s="1248">
        <f>D6+E6+F6+G6</f>
        <v>592.27391081898588</v>
      </c>
      <c r="D6" s="3318">
        <f>'Д 7_РП'!G51+'Д 7_РП'!G59</f>
        <v>0</v>
      </c>
      <c r="E6" s="3318">
        <f>'Д 7_РП'!G52+'Д 7_РП'!G60</f>
        <v>0</v>
      </c>
      <c r="F6" s="3318">
        <f>'Д 7_РП'!G53+'Д 7_РП'!G61</f>
        <v>0</v>
      </c>
      <c r="G6" s="3318">
        <f>'Д 7_РП'!G54+'Д 7_РП'!G62</f>
        <v>592.27391081898588</v>
      </c>
      <c r="H6" s="57"/>
      <c r="I6" s="57"/>
      <c r="J6" s="57"/>
      <c r="K6" s="57"/>
      <c r="L6" s="57"/>
      <c r="M6" s="57"/>
    </row>
    <row r="7" spans="1:13" s="170" customFormat="1" ht="16.149999999999999" customHeight="1" x14ac:dyDescent="0.25">
      <c r="A7" s="2104" t="s">
        <v>630</v>
      </c>
      <c r="B7" s="808" t="s">
        <v>22</v>
      </c>
      <c r="C7" s="878">
        <f t="shared" ref="C7:C8" si="0">D7+E7+F7+G7</f>
        <v>186.33699999999996</v>
      </c>
      <c r="D7" s="3319">
        <f>'Д 7_РП'!G51</f>
        <v>0</v>
      </c>
      <c r="E7" s="3319">
        <f>'Д 7_РП'!G52</f>
        <v>0</v>
      </c>
      <c r="F7" s="3319">
        <f>'Д 7_РП'!G53</f>
        <v>0</v>
      </c>
      <c r="G7" s="3319">
        <f>'Д 7_РП'!G54</f>
        <v>186.33699999999996</v>
      </c>
      <c r="H7" s="2350"/>
      <c r="I7" s="2350"/>
      <c r="J7" s="2350"/>
      <c r="K7" s="2350"/>
      <c r="L7" s="2350"/>
      <c r="M7" s="2350"/>
    </row>
    <row r="8" spans="1:13" s="170" customFormat="1" ht="16.149999999999999" customHeight="1" x14ac:dyDescent="0.25">
      <c r="A8" s="2104" t="s">
        <v>631</v>
      </c>
      <c r="B8" s="808" t="s">
        <v>22</v>
      </c>
      <c r="C8" s="878">
        <f t="shared" si="0"/>
        <v>405.93691081898589</v>
      </c>
      <c r="D8" s="3319">
        <f>'Д 7_РП'!G59</f>
        <v>0</v>
      </c>
      <c r="E8" s="3319">
        <f>'Д 7_РП'!G60</f>
        <v>0</v>
      </c>
      <c r="F8" s="3319">
        <f>'Д 7_РП'!G61</f>
        <v>0</v>
      </c>
      <c r="G8" s="3319">
        <f>'Д 7_РП'!G62</f>
        <v>405.93691081898589</v>
      </c>
      <c r="H8" s="2350"/>
      <c r="I8" s="2350"/>
      <c r="J8" s="2350"/>
      <c r="K8" s="2350"/>
      <c r="L8" s="2350"/>
      <c r="M8" s="2350"/>
    </row>
    <row r="9" spans="1:13" s="1949" customFormat="1" ht="31.5" x14ac:dyDescent="0.25">
      <c r="A9" s="2205" t="s">
        <v>2777</v>
      </c>
      <c r="B9" s="3320" t="s">
        <v>2776</v>
      </c>
      <c r="C9" s="3321"/>
      <c r="D9" s="1997">
        <f>'Д 2_Т на В'!L52</f>
        <v>0</v>
      </c>
      <c r="E9" s="1997">
        <f>'Д 2_Т на В'!P52</f>
        <v>0</v>
      </c>
      <c r="F9" s="1997">
        <v>0</v>
      </c>
      <c r="G9" s="1997">
        <f>'Д 2_Т на В'!X52</f>
        <v>5701.3545558892911</v>
      </c>
      <c r="H9" s="2203"/>
      <c r="I9" s="3322"/>
      <c r="J9" s="2203"/>
      <c r="K9" s="2203"/>
      <c r="L9" s="2203"/>
      <c r="M9" s="2203"/>
    </row>
    <row r="10" spans="1:13" s="1949" customFormat="1" ht="31.5" x14ac:dyDescent="0.25">
      <c r="A10" s="3323" t="s">
        <v>2780</v>
      </c>
      <c r="B10" s="3323" t="s">
        <v>1721</v>
      </c>
      <c r="C10" s="2203"/>
      <c r="D10" s="2203"/>
      <c r="E10" s="2203"/>
      <c r="F10" s="2203"/>
      <c r="G10" s="2203"/>
      <c r="H10" s="3324"/>
      <c r="I10" s="3324"/>
      <c r="J10" s="3324"/>
      <c r="K10" s="3324"/>
      <c r="L10" s="3324"/>
      <c r="M10" s="2203"/>
    </row>
    <row r="11" spans="1:13" s="2311" customFormat="1" ht="31.5" x14ac:dyDescent="0.25">
      <c r="A11" s="3325" t="s">
        <v>2782</v>
      </c>
      <c r="B11" s="3325" t="s">
        <v>1721</v>
      </c>
      <c r="C11" s="3326">
        <f>D11+E11+F11+G11</f>
        <v>3376.7635597821932</v>
      </c>
      <c r="D11" s="3326">
        <f>D6*D9/1000</f>
        <v>0</v>
      </c>
      <c r="E11" s="3326">
        <f>E6*E9/1000</f>
        <v>0</v>
      </c>
      <c r="F11" s="3326">
        <f>F6*F9/1000</f>
        <v>0</v>
      </c>
      <c r="G11" s="3327">
        <f>G6*G9/1000</f>
        <v>3376.7635597821932</v>
      </c>
      <c r="H11" s="3329">
        <f>Виробництво_Транспортування_1ст!F114</f>
        <v>3376.7635597821932</v>
      </c>
      <c r="I11" s="3329">
        <f>Виробництво_Транспортування_1ст!G114</f>
        <v>0</v>
      </c>
      <c r="J11" s="3329">
        <f>Виробництво_Транспортування_1ст!H114</f>
        <v>0</v>
      </c>
      <c r="K11" s="3329">
        <f>Виробництво_Транспортування_1ст!I114</f>
        <v>0</v>
      </c>
      <c r="L11" s="3329">
        <f>Виробництво_Транспортування_1ст!J114</f>
        <v>3376.7635597821932</v>
      </c>
      <c r="M11" s="3326"/>
    </row>
    <row r="12" spans="1:13" ht="15.75" x14ac:dyDescent="0.25">
      <c r="A12" s="3328" t="s">
        <v>630</v>
      </c>
      <c r="B12" s="1781" t="s">
        <v>1721</v>
      </c>
      <c r="C12" s="1084">
        <f>D12+E12+F12+G12</f>
        <v>1062.3733038807425</v>
      </c>
      <c r="D12" s="1084">
        <f>D7*D9/1000</f>
        <v>0</v>
      </c>
      <c r="E12" s="1084">
        <f>E7*E9/1000</f>
        <v>0</v>
      </c>
      <c r="F12" s="1084">
        <f>F7*F9/1000</f>
        <v>0</v>
      </c>
      <c r="G12" s="1084">
        <f>G7*G9/1000</f>
        <v>1062.3733038807425</v>
      </c>
      <c r="H12" s="1841"/>
      <c r="I12" s="1841"/>
      <c r="J12" s="1841"/>
      <c r="K12" s="1841"/>
      <c r="L12" s="1841"/>
      <c r="M12" s="58"/>
    </row>
    <row r="13" spans="1:13" ht="15.75" x14ac:dyDescent="0.25">
      <c r="A13" s="3328" t="s">
        <v>631</v>
      </c>
      <c r="B13" s="1781" t="s">
        <v>1721</v>
      </c>
      <c r="C13" s="1084">
        <f t="shared" ref="C13" si="1">D13+E13+F13+G13</f>
        <v>2314.3902559014505</v>
      </c>
      <c r="D13" s="1084">
        <f>D8*D9/1000</f>
        <v>0</v>
      </c>
      <c r="E13" s="1084">
        <f>E8*E9/1000</f>
        <v>0</v>
      </c>
      <c r="F13" s="1084">
        <f>F8*F9/1000</f>
        <v>0</v>
      </c>
      <c r="G13" s="1084">
        <f>G8*G9/1000</f>
        <v>2314.3902559014505</v>
      </c>
      <c r="H13" s="1841"/>
      <c r="I13" s="1841"/>
      <c r="J13" s="1841"/>
      <c r="K13" s="1841"/>
      <c r="L13" s="1841"/>
      <c r="M13" s="58"/>
    </row>
    <row r="14" spans="1:13" ht="15.75" x14ac:dyDescent="0.25">
      <c r="A14" s="3328"/>
      <c r="B14" s="1781"/>
      <c r="C14" s="58"/>
      <c r="D14" s="58"/>
      <c r="E14" s="58"/>
      <c r="F14" s="58"/>
      <c r="G14" s="58"/>
      <c r="H14" s="1841"/>
      <c r="I14" s="1841"/>
      <c r="J14" s="1841"/>
      <c r="K14" s="1841"/>
      <c r="L14" s="1841"/>
      <c r="M14" s="58"/>
    </row>
    <row r="15" spans="1:13" ht="15.75" x14ac:dyDescent="0.25">
      <c r="A15" s="3328" t="s">
        <v>630</v>
      </c>
      <c r="B15" s="58" t="s">
        <v>3076</v>
      </c>
      <c r="C15" s="2204">
        <f>C12/C4/12*1000</f>
        <v>72246.702021159232</v>
      </c>
      <c r="D15" s="2204">
        <v>0</v>
      </c>
      <c r="E15" s="2204">
        <v>0</v>
      </c>
      <c r="F15" s="2204">
        <v>0</v>
      </c>
      <c r="G15" s="2204">
        <f>G12/G4/12*1000</f>
        <v>72246.702021159232</v>
      </c>
      <c r="H15" s="1841"/>
      <c r="I15" s="1841"/>
      <c r="J15" s="1841"/>
      <c r="K15" s="1841"/>
      <c r="L15" s="1841"/>
      <c r="M15" s="58"/>
    </row>
    <row r="16" spans="1:13" ht="15.75" x14ac:dyDescent="0.25">
      <c r="A16" s="3328" t="s">
        <v>631</v>
      </c>
      <c r="B16" s="58" t="s">
        <v>3076</v>
      </c>
      <c r="C16" s="2204">
        <f>C13/C5/12*1000</f>
        <v>58621.840321718599</v>
      </c>
      <c r="D16" s="2204">
        <v>0</v>
      </c>
      <c r="E16" s="2204">
        <v>0</v>
      </c>
      <c r="F16" s="2204">
        <v>0</v>
      </c>
      <c r="G16" s="2204">
        <f>G13/G5/12*1000</f>
        <v>58621.840321718599</v>
      </c>
      <c r="H16" s="1841"/>
      <c r="I16" s="1841"/>
      <c r="J16" s="1841"/>
      <c r="K16" s="1841"/>
      <c r="L16" s="1841"/>
      <c r="M16" s="58"/>
    </row>
    <row r="17" spans="1:13" ht="15.75" x14ac:dyDescent="0.25">
      <c r="A17" s="3328"/>
      <c r="B17" s="1781"/>
      <c r="C17" s="58"/>
      <c r="D17" s="58"/>
      <c r="E17" s="58"/>
      <c r="F17" s="58"/>
      <c r="G17" s="58"/>
      <c r="H17" s="1841"/>
      <c r="I17" s="1841"/>
      <c r="J17" s="1841"/>
      <c r="K17" s="1841"/>
      <c r="L17" s="1841"/>
      <c r="M17" s="58"/>
    </row>
    <row r="18" spans="1:13" ht="15.75" x14ac:dyDescent="0.25">
      <c r="A18" s="58"/>
      <c r="B18" s="58"/>
      <c r="C18" s="58"/>
      <c r="D18" s="58"/>
      <c r="E18" s="58"/>
      <c r="F18" s="58"/>
      <c r="G18" s="58"/>
      <c r="H18" s="58"/>
      <c r="I18" s="58"/>
      <c r="J18" s="58"/>
      <c r="K18" s="58"/>
      <c r="L18" s="58"/>
      <c r="M18" s="58"/>
    </row>
    <row r="19" spans="1:13" ht="15.75" x14ac:dyDescent="0.25">
      <c r="A19" s="58"/>
      <c r="B19" s="58"/>
      <c r="C19" s="58"/>
      <c r="D19" s="58"/>
      <c r="E19" s="58"/>
      <c r="F19" s="58"/>
      <c r="G19" s="58"/>
      <c r="H19" s="58"/>
      <c r="I19" s="58"/>
      <c r="J19" s="58"/>
      <c r="K19" s="58"/>
      <c r="L19" s="58"/>
      <c r="M19" s="58"/>
    </row>
    <row r="20" spans="1:13" ht="15.75" x14ac:dyDescent="0.25">
      <c r="A20" s="58"/>
      <c r="B20" s="58"/>
      <c r="C20" s="58"/>
      <c r="D20" s="58"/>
      <c r="E20" s="58"/>
      <c r="F20" s="58"/>
    </row>
  </sheetData>
  <pageMargins left="0.70866141732283472" right="0.51181102362204722" top="0.74803149606299213" bottom="0.74803149606299213" header="0.31496062992125984" footer="0.31496062992125984"/>
  <pageSetup paperSize="9" scale="95" orientation="portrait" r:id="rId1"/>
  <colBreaks count="1" manualBreakCount="1">
    <brk id="7"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2:BA129"/>
  <sheetViews>
    <sheetView topLeftCell="A4" workbookViewId="0">
      <selection activeCell="F35" sqref="F35"/>
    </sheetView>
  </sheetViews>
  <sheetFormatPr defaultRowHeight="15" x14ac:dyDescent="0.25"/>
  <cols>
    <col min="1" max="1" width="34.140625" customWidth="1"/>
    <col min="3" max="3" width="12.42578125" customWidth="1"/>
    <col min="4" max="4" width="10.28515625" customWidth="1"/>
    <col min="5" max="5" width="9.42578125" bestFit="1" customWidth="1"/>
    <col min="6" max="7" width="9.7109375" customWidth="1"/>
    <col min="8" max="8" width="10" customWidth="1"/>
    <col min="11" max="11" width="10.5703125" customWidth="1"/>
    <col min="18" max="18" width="9.7109375" customWidth="1"/>
  </cols>
  <sheetData>
    <row r="2" spans="1:53" x14ac:dyDescent="0.25">
      <c r="A2" s="1849" t="e">
        <f>#REF!</f>
        <v>#REF!</v>
      </c>
      <c r="B2" t="e">
        <f>#REF!</f>
        <v>#REF!</v>
      </c>
      <c r="C2" t="e">
        <f>#REF!</f>
        <v>#REF!</v>
      </c>
      <c r="D2" t="e">
        <f>#REF!</f>
        <v>#REF!</v>
      </c>
      <c r="E2" t="e">
        <f>#REF!</f>
        <v>#REF!</v>
      </c>
      <c r="F2" t="e">
        <f>#REF!</f>
        <v>#REF!</v>
      </c>
      <c r="G2" t="e">
        <f>#REF!</f>
        <v>#REF!</v>
      </c>
      <c r="H2" t="e">
        <f>#REF!</f>
        <v>#REF!</v>
      </c>
      <c r="I2" t="e">
        <f>#REF!</f>
        <v>#REF!</v>
      </c>
      <c r="J2" t="e">
        <f>#REF!</f>
        <v>#REF!</v>
      </c>
      <c r="K2" t="e">
        <f>#REF!</f>
        <v>#REF!</v>
      </c>
      <c r="L2" t="e">
        <f>#REF!</f>
        <v>#REF!</v>
      </c>
      <c r="M2" t="e">
        <f>#REF!</f>
        <v>#REF!</v>
      </c>
      <c r="N2" t="e">
        <f>#REF!</f>
        <v>#REF!</v>
      </c>
      <c r="O2" t="e">
        <f>#REF!</f>
        <v>#REF!</v>
      </c>
      <c r="P2" t="e">
        <f>#REF!</f>
        <v>#REF!</v>
      </c>
      <c r="Q2" t="e">
        <f>#REF!</f>
        <v>#REF!</v>
      </c>
      <c r="R2" t="e">
        <f>#REF!</f>
        <v>#REF!</v>
      </c>
      <c r="S2" t="e">
        <f>#REF!</f>
        <v>#REF!</v>
      </c>
      <c r="T2" t="e">
        <f>#REF!</f>
        <v>#REF!</v>
      </c>
      <c r="U2" t="e">
        <f>#REF!</f>
        <v>#REF!</v>
      </c>
      <c r="V2" t="e">
        <f>#REF!</f>
        <v>#REF!</v>
      </c>
      <c r="W2" t="e">
        <f>#REF!</f>
        <v>#REF!</v>
      </c>
      <c r="X2" t="e">
        <f>#REF!</f>
        <v>#REF!</v>
      </c>
      <c r="Y2" t="e">
        <f>#REF!</f>
        <v>#REF!</v>
      </c>
      <c r="Z2" t="e">
        <f>#REF!</f>
        <v>#REF!</v>
      </c>
      <c r="AA2" t="e">
        <f>#REF!</f>
        <v>#REF!</v>
      </c>
      <c r="AB2" t="e">
        <f>#REF!</f>
        <v>#REF!</v>
      </c>
      <c r="AC2" t="e">
        <f>#REF!</f>
        <v>#REF!</v>
      </c>
      <c r="AD2" t="e">
        <f>#REF!</f>
        <v>#REF!</v>
      </c>
      <c r="AE2" t="e">
        <f>#REF!</f>
        <v>#REF!</v>
      </c>
      <c r="AF2" t="e">
        <f>#REF!</f>
        <v>#REF!</v>
      </c>
      <c r="AG2" t="e">
        <f>#REF!</f>
        <v>#REF!</v>
      </c>
      <c r="AH2" t="e">
        <f>#REF!</f>
        <v>#REF!</v>
      </c>
      <c r="AI2" t="e">
        <f>#REF!</f>
        <v>#REF!</v>
      </c>
      <c r="AJ2" t="e">
        <f>#REF!-#REF!</f>
        <v>#REF!</v>
      </c>
      <c r="AK2" t="e">
        <f>#REF!-#REF!</f>
        <v>#REF!</v>
      </c>
      <c r="AL2" t="e">
        <f>#REF!-#REF!</f>
        <v>#REF!</v>
      </c>
      <c r="AM2" t="e">
        <f>#REF!-#REF!</f>
        <v>#REF!</v>
      </c>
      <c r="AN2" t="e">
        <f>#REF!-#REF!</f>
        <v>#REF!</v>
      </c>
      <c r="AO2" t="e">
        <f>#REF!-#REF!</f>
        <v>#REF!</v>
      </c>
      <c r="AP2" t="e">
        <f>#REF!-#REF!</f>
        <v>#REF!</v>
      </c>
      <c r="AQ2" t="e">
        <f>#REF!-#REF!</f>
        <v>#REF!</v>
      </c>
      <c r="AR2" t="e">
        <f>#REF!-#REF!</f>
        <v>#REF!</v>
      </c>
      <c r="AS2" t="e">
        <f>#REF!-#REF!</f>
        <v>#REF!</v>
      </c>
      <c r="AT2" t="e">
        <f>#REF!-#REF!</f>
        <v>#REF!</v>
      </c>
      <c r="AU2" t="e">
        <f>#REF!-#REF!</f>
        <v>#REF!</v>
      </c>
      <c r="AV2" t="e">
        <f>#REF!-#REF!</f>
        <v>#REF!</v>
      </c>
      <c r="AW2" t="e">
        <f>#REF!-#REF!</f>
        <v>#REF!</v>
      </c>
      <c r="AX2" t="e">
        <f>#REF!-#REF!</f>
        <v>#REF!</v>
      </c>
      <c r="AY2" t="e">
        <f>#REF!-#REF!</f>
        <v>#REF!</v>
      </c>
      <c r="AZ2" t="e">
        <f>#REF!-#REF!</f>
        <v>#REF!</v>
      </c>
      <c r="BA2" t="e">
        <f>#REF!-#REF!</f>
        <v>#REF!</v>
      </c>
    </row>
    <row r="3" spans="1:53" x14ac:dyDescent="0.25">
      <c r="A3" s="1849" t="e">
        <f>#REF!</f>
        <v>#REF!</v>
      </c>
      <c r="B3" t="e">
        <f>#REF!</f>
        <v>#REF!</v>
      </c>
      <c r="C3" t="e">
        <f>#REF!-#REF!</f>
        <v>#REF!</v>
      </c>
    </row>
    <row r="4" spans="1:53" x14ac:dyDescent="0.25">
      <c r="A4" s="1849" t="e">
        <f>#REF!</f>
        <v>#REF!</v>
      </c>
      <c r="B4" t="e">
        <f>#REF!</f>
        <v>#REF!</v>
      </c>
      <c r="C4" t="e">
        <f>#REF!-#REF!</f>
        <v>#REF!</v>
      </c>
    </row>
    <row r="5" spans="1:53" x14ac:dyDescent="0.25">
      <c r="A5" s="1849" t="e">
        <f>#REF!</f>
        <v>#REF!</v>
      </c>
      <c r="B5" t="e">
        <f>#REF!</f>
        <v>#REF!</v>
      </c>
      <c r="C5" t="e">
        <f>#REF!</f>
        <v>#REF!</v>
      </c>
      <c r="D5" t="e">
        <f>#REF!</f>
        <v>#REF!</v>
      </c>
      <c r="E5" t="e">
        <f>#REF!</f>
        <v>#REF!</v>
      </c>
      <c r="F5" t="e">
        <f>#REF!</f>
        <v>#REF!</v>
      </c>
      <c r="G5" t="e">
        <f>#REF!</f>
        <v>#REF!</v>
      </c>
      <c r="H5" t="e">
        <f>#REF!</f>
        <v>#REF!</v>
      </c>
      <c r="I5" t="e">
        <f>#REF!</f>
        <v>#REF!</v>
      </c>
      <c r="J5" t="e">
        <f>#REF!</f>
        <v>#REF!</v>
      </c>
      <c r="K5" t="e">
        <f>#REF!</f>
        <v>#REF!</v>
      </c>
      <c r="L5" t="e">
        <f>#REF!</f>
        <v>#REF!</v>
      </c>
      <c r="M5" t="e">
        <f>#REF!</f>
        <v>#REF!</v>
      </c>
      <c r="N5" t="e">
        <f>#REF!</f>
        <v>#REF!</v>
      </c>
      <c r="O5" t="e">
        <f>#REF!</f>
        <v>#REF!</v>
      </c>
      <c r="P5" t="e">
        <f>#REF!</f>
        <v>#REF!</v>
      </c>
      <c r="Q5" t="e">
        <f>#REF!</f>
        <v>#REF!</v>
      </c>
      <c r="R5" t="e">
        <f>#REF!</f>
        <v>#REF!</v>
      </c>
      <c r="S5" t="e">
        <f>#REF!</f>
        <v>#REF!</v>
      </c>
      <c r="T5" t="e">
        <f>#REF!</f>
        <v>#REF!</v>
      </c>
      <c r="U5" t="e">
        <f>#REF!</f>
        <v>#REF!</v>
      </c>
      <c r="V5" t="e">
        <f>#REF!</f>
        <v>#REF!</v>
      </c>
      <c r="W5" t="e">
        <f>#REF!</f>
        <v>#REF!</v>
      </c>
      <c r="X5" t="e">
        <f>#REF!</f>
        <v>#REF!</v>
      </c>
      <c r="Y5" t="e">
        <f>#REF!</f>
        <v>#REF!</v>
      </c>
      <c r="Z5" t="e">
        <f>#REF!</f>
        <v>#REF!</v>
      </c>
      <c r="AA5" t="e">
        <f>#REF!</f>
        <v>#REF!</v>
      </c>
      <c r="AB5" t="e">
        <f>#REF!</f>
        <v>#REF!</v>
      </c>
      <c r="AC5" t="e">
        <f>#REF!</f>
        <v>#REF!</v>
      </c>
      <c r="AD5" t="e">
        <f>#REF!</f>
        <v>#REF!</v>
      </c>
      <c r="AE5" t="e">
        <f>#REF!</f>
        <v>#REF!</v>
      </c>
      <c r="AF5" t="e">
        <f>#REF!</f>
        <v>#REF!</v>
      </c>
      <c r="AG5" t="e">
        <f>#REF!</f>
        <v>#REF!</v>
      </c>
      <c r="AH5" t="e">
        <f>#REF!</f>
        <v>#REF!</v>
      </c>
      <c r="AI5" t="e">
        <f>#REF!</f>
        <v>#REF!</v>
      </c>
      <c r="AJ5" t="e">
        <f>#REF!</f>
        <v>#REF!</v>
      </c>
      <c r="AK5" t="e">
        <f>#REF!</f>
        <v>#REF!</v>
      </c>
      <c r="AL5" t="e">
        <f>#REF!</f>
        <v>#REF!</v>
      </c>
      <c r="AM5" t="e">
        <f>#REF!</f>
        <v>#REF!</v>
      </c>
    </row>
    <row r="6" spans="1:53" x14ac:dyDescent="0.25">
      <c r="A6" s="1849" t="e">
        <f>#REF!</f>
        <v>#REF!</v>
      </c>
      <c r="B6" t="e">
        <f>#REF!</f>
        <v>#REF!</v>
      </c>
      <c r="C6" t="e">
        <f>#REF!-#REF!</f>
        <v>#REF!</v>
      </c>
    </row>
    <row r="7" spans="1:53" x14ac:dyDescent="0.25">
      <c r="A7" s="1849" t="e">
        <f>#REF!</f>
        <v>#REF!</v>
      </c>
      <c r="B7" t="e">
        <f>#REF!</f>
        <v>#REF!</v>
      </c>
      <c r="C7" t="e">
        <f>#REF!-#REF!</f>
        <v>#REF!</v>
      </c>
    </row>
    <row r="8" spans="1:53" hidden="1" x14ac:dyDescent="0.25">
      <c r="A8" s="1849" t="e">
        <f>#REF!</f>
        <v>#REF!</v>
      </c>
      <c r="B8" t="e">
        <f>#REF!</f>
        <v>#REF!</v>
      </c>
      <c r="C8" t="e">
        <f>#REF!-#REF!</f>
        <v>#REF!</v>
      </c>
    </row>
    <row r="9" spans="1:53" hidden="1" x14ac:dyDescent="0.25">
      <c r="A9" s="1849" t="e">
        <f>#REF!</f>
        <v>#REF!</v>
      </c>
      <c r="B9" t="e">
        <f>#REF!</f>
        <v>#REF!</v>
      </c>
      <c r="C9" t="e">
        <f>#REF!-#REF!</f>
        <v>#REF!</v>
      </c>
    </row>
    <row r="10" spans="1:53" hidden="1" x14ac:dyDescent="0.25">
      <c r="A10" s="1849" t="e">
        <f>#REF!</f>
        <v>#REF!</v>
      </c>
      <c r="B10" t="e">
        <f>#REF!</f>
        <v>#REF!</v>
      </c>
      <c r="C10" t="e">
        <f>#REF!-#REF!</f>
        <v>#REF!</v>
      </c>
    </row>
    <row r="11" spans="1:53" hidden="1" x14ac:dyDescent="0.25">
      <c r="A11" s="1849" t="e">
        <f>#REF!</f>
        <v>#REF!</v>
      </c>
      <c r="B11" t="e">
        <f>#REF!</f>
        <v>#REF!</v>
      </c>
      <c r="C11" t="e">
        <f>#REF!-#REF!</f>
        <v>#REF!</v>
      </c>
    </row>
    <row r="12" spans="1:53" hidden="1" x14ac:dyDescent="0.25">
      <c r="A12" s="1849" t="e">
        <f>#REF!</f>
        <v>#REF!</v>
      </c>
      <c r="B12" t="e">
        <f>#REF!</f>
        <v>#REF!</v>
      </c>
      <c r="C12" t="e">
        <f>#REF!-#REF!</f>
        <v>#REF!</v>
      </c>
    </row>
    <row r="13" spans="1:53" hidden="1" x14ac:dyDescent="0.25">
      <c r="A13" s="1849" t="e">
        <f>#REF!</f>
        <v>#REF!</v>
      </c>
      <c r="B13" t="e">
        <f>#REF!</f>
        <v>#REF!</v>
      </c>
      <c r="C13" t="e">
        <f>#REF!-#REF!</f>
        <v>#REF!</v>
      </c>
    </row>
    <row r="14" spans="1:53" hidden="1" x14ac:dyDescent="0.25">
      <c r="A14" s="1849" t="e">
        <f>#REF!</f>
        <v>#REF!</v>
      </c>
      <c r="B14" t="e">
        <f>#REF!</f>
        <v>#REF!</v>
      </c>
      <c r="C14" t="e">
        <f>#REF!-#REF!</f>
        <v>#REF!</v>
      </c>
    </row>
    <row r="15" spans="1:53" hidden="1" x14ac:dyDescent="0.25">
      <c r="A15" s="1849" t="e">
        <f>#REF!</f>
        <v>#REF!</v>
      </c>
      <c r="B15" t="e">
        <f>#REF!</f>
        <v>#REF!</v>
      </c>
      <c r="C15" t="e">
        <f>#REF!-#REF!</f>
        <v>#REF!</v>
      </c>
    </row>
    <row r="16" spans="1:53" hidden="1" x14ac:dyDescent="0.25">
      <c r="A16" s="1849" t="e">
        <f>#REF!</f>
        <v>#REF!</v>
      </c>
      <c r="B16" t="e">
        <f>#REF!</f>
        <v>#REF!</v>
      </c>
      <c r="C16" t="e">
        <f>#REF!-#REF!</f>
        <v>#REF!</v>
      </c>
    </row>
    <row r="17" spans="1:43" hidden="1" x14ac:dyDescent="0.25">
      <c r="A17" s="1849" t="e">
        <f>#REF!</f>
        <v>#REF!</v>
      </c>
      <c r="B17" t="e">
        <f>#REF!</f>
        <v>#REF!</v>
      </c>
      <c r="C17" t="e">
        <f>#REF!-#REF!</f>
        <v>#REF!</v>
      </c>
    </row>
    <row r="18" spans="1:43" x14ac:dyDescent="0.25">
      <c r="A18" s="1849" t="e">
        <f>#REF!</f>
        <v>#REF!</v>
      </c>
      <c r="B18" t="e">
        <f>#REF!</f>
        <v>#REF!</v>
      </c>
      <c r="C18" t="e">
        <f>#REF!</f>
        <v>#REF!</v>
      </c>
      <c r="D18" t="e">
        <f>#REF!</f>
        <v>#REF!</v>
      </c>
      <c r="E18" t="e">
        <f>#REF!</f>
        <v>#REF!</v>
      </c>
      <c r="F18" t="e">
        <f>#REF!</f>
        <v>#REF!</v>
      </c>
      <c r="G18" t="e">
        <f>#REF!</f>
        <v>#REF!</v>
      </c>
      <c r="H18" t="e">
        <f>#REF!</f>
        <v>#REF!</v>
      </c>
      <c r="I18" t="e">
        <f>#REF!</f>
        <v>#REF!</v>
      </c>
      <c r="J18" t="e">
        <f>#REF!</f>
        <v>#REF!</v>
      </c>
      <c r="K18" t="e">
        <f>#REF!</f>
        <v>#REF!</v>
      </c>
      <c r="L18" t="e">
        <f>#REF!</f>
        <v>#REF!</v>
      </c>
      <c r="M18" t="e">
        <f>#REF!</f>
        <v>#REF!</v>
      </c>
      <c r="N18" t="e">
        <f>#REF!</f>
        <v>#REF!</v>
      </c>
      <c r="O18" t="e">
        <f>#REF!</f>
        <v>#REF!</v>
      </c>
      <c r="P18" t="e">
        <f>#REF!</f>
        <v>#REF!</v>
      </c>
      <c r="Q18" t="e">
        <f>#REF!</f>
        <v>#REF!</v>
      </c>
      <c r="R18" t="e">
        <f>#REF!</f>
        <v>#REF!</v>
      </c>
      <c r="S18" t="e">
        <f>#REF!</f>
        <v>#REF!</v>
      </c>
      <c r="T18" t="e">
        <f>#REF!</f>
        <v>#REF!</v>
      </c>
      <c r="U18" t="e">
        <f>#REF!</f>
        <v>#REF!</v>
      </c>
      <c r="V18" t="e">
        <f>#REF!</f>
        <v>#REF!</v>
      </c>
      <c r="W18" t="e">
        <f>#REF!</f>
        <v>#REF!</v>
      </c>
      <c r="X18" t="e">
        <f>#REF!</f>
        <v>#REF!</v>
      </c>
      <c r="Y18" t="e">
        <f>#REF!</f>
        <v>#REF!</v>
      </c>
      <c r="Z18" t="e">
        <f>#REF!</f>
        <v>#REF!</v>
      </c>
      <c r="AA18" t="e">
        <f>#REF!</f>
        <v>#REF!</v>
      </c>
      <c r="AB18" t="e">
        <f>#REF!</f>
        <v>#REF!</v>
      </c>
      <c r="AC18" t="e">
        <f>#REF!</f>
        <v>#REF!</v>
      </c>
      <c r="AD18" t="e">
        <f>#REF!</f>
        <v>#REF!</v>
      </c>
      <c r="AE18" t="e">
        <f>#REF!</f>
        <v>#REF!</v>
      </c>
      <c r="AF18" t="e">
        <f>#REF!</f>
        <v>#REF!</v>
      </c>
      <c r="AG18" t="e">
        <f>#REF!</f>
        <v>#REF!</v>
      </c>
      <c r="AH18" t="e">
        <f>#REF!</f>
        <v>#REF!</v>
      </c>
      <c r="AI18" t="e">
        <f>#REF!</f>
        <v>#REF!</v>
      </c>
      <c r="AJ18" t="e">
        <f>#REF!</f>
        <v>#REF!</v>
      </c>
      <c r="AK18" t="e">
        <f>#REF!</f>
        <v>#REF!</v>
      </c>
      <c r="AL18" t="e">
        <f>#REF!</f>
        <v>#REF!</v>
      </c>
      <c r="AM18" t="e">
        <f>#REF!</f>
        <v>#REF!</v>
      </c>
      <c r="AN18" t="e">
        <f>#REF!</f>
        <v>#REF!</v>
      </c>
      <c r="AO18" t="e">
        <f>#REF!</f>
        <v>#REF!</v>
      </c>
      <c r="AP18" t="e">
        <f>#REF!</f>
        <v>#REF!</v>
      </c>
      <c r="AQ18" t="e">
        <f>#REF!</f>
        <v>#REF!</v>
      </c>
    </row>
    <row r="19" spans="1:43" hidden="1" x14ac:dyDescent="0.25">
      <c r="A19" s="1849" t="e">
        <f>#REF!</f>
        <v>#REF!</v>
      </c>
      <c r="B19" t="e">
        <f>#REF!</f>
        <v>#REF!</v>
      </c>
      <c r="C19" t="e">
        <f>#REF!-#REF!</f>
        <v>#REF!</v>
      </c>
    </row>
    <row r="20" spans="1:43" hidden="1" x14ac:dyDescent="0.25">
      <c r="A20" s="1849" t="e">
        <f>#REF!</f>
        <v>#REF!</v>
      </c>
      <c r="B20" t="e">
        <f>#REF!</f>
        <v>#REF!</v>
      </c>
      <c r="C20" t="e">
        <f>#REF!-#REF!</f>
        <v>#REF!</v>
      </c>
    </row>
    <row r="21" spans="1:43" hidden="1" x14ac:dyDescent="0.25">
      <c r="A21" s="1849" t="e">
        <f>#REF!</f>
        <v>#REF!</v>
      </c>
      <c r="B21" t="e">
        <f>#REF!</f>
        <v>#REF!</v>
      </c>
      <c r="C21" t="e">
        <f>#REF!-#REF!</f>
        <v>#REF!</v>
      </c>
    </row>
    <row r="22" spans="1:43" hidden="1" x14ac:dyDescent="0.25">
      <c r="A22" s="1849" t="e">
        <f>#REF!</f>
        <v>#REF!</v>
      </c>
      <c r="B22" t="e">
        <f>#REF!</f>
        <v>#REF!</v>
      </c>
      <c r="C22" t="e">
        <f>#REF!-#REF!</f>
        <v>#REF!</v>
      </c>
    </row>
    <row r="23" spans="1:43" hidden="1" x14ac:dyDescent="0.25">
      <c r="A23" s="1849" t="e">
        <f>#REF!</f>
        <v>#REF!</v>
      </c>
      <c r="B23" t="e">
        <f>#REF!</f>
        <v>#REF!</v>
      </c>
      <c r="C23" t="e">
        <f>#REF!-#REF!</f>
        <v>#REF!</v>
      </c>
    </row>
    <row r="24" spans="1:43" x14ac:dyDescent="0.25">
      <c r="A24" s="2237" t="e">
        <f>#REF!</f>
        <v>#REF!</v>
      </c>
      <c r="B24" t="e">
        <f>#REF!</f>
        <v>#REF!</v>
      </c>
      <c r="C24" t="e">
        <f>#REF!-#REF!</f>
        <v>#REF!</v>
      </c>
    </row>
    <row r="25" spans="1:43" x14ac:dyDescent="0.25">
      <c r="A25" s="1849" t="e">
        <f>#REF!</f>
        <v>#REF!</v>
      </c>
      <c r="B25" t="e">
        <f>#REF!</f>
        <v>#REF!</v>
      </c>
      <c r="C25" s="2239" t="e">
        <f>#REF!</f>
        <v>#REF!</v>
      </c>
      <c r="D25" s="2239" t="e">
        <f>#REF!/D$18</f>
        <v>#REF!</v>
      </c>
      <c r="E25" s="2239" t="e">
        <f>#REF!/E$5*1000/12</f>
        <v>#REF!</v>
      </c>
      <c r="F25" s="88"/>
      <c r="G25" s="88" t="e">
        <f>#REF!/G18</f>
        <v>#REF!</v>
      </c>
      <c r="H25" s="88" t="e">
        <f>#REF!/H$5*1000/12</f>
        <v>#REF!</v>
      </c>
      <c r="I25" s="2239" t="e">
        <f>#REF!</f>
        <v>#REF!</v>
      </c>
      <c r="J25" s="2239" t="e">
        <f>#REF!/J$18</f>
        <v>#REF!</v>
      </c>
      <c r="K25" s="2239" t="e">
        <f>#REF!/K$5*1000/12</f>
        <v>#REF!</v>
      </c>
      <c r="L25" s="88" t="e">
        <f>#REF!</f>
        <v>#REF!</v>
      </c>
      <c r="M25" s="88" t="e">
        <f>#REF!/M$18</f>
        <v>#REF!</v>
      </c>
      <c r="N25" s="88" t="e">
        <f>#REF!/N$5*1000/12</f>
        <v>#REF!</v>
      </c>
      <c r="O25" s="2239" t="e">
        <f>#REF!</f>
        <v>#REF!</v>
      </c>
      <c r="P25" s="2239" t="e">
        <f>#REF!/P$18</f>
        <v>#REF!</v>
      </c>
      <c r="Q25" s="2239" t="e">
        <f>#REF!/Q$5*1000/12</f>
        <v>#REF!</v>
      </c>
      <c r="R25" s="88"/>
      <c r="S25" s="88"/>
    </row>
    <row r="26" spans="1:43" x14ac:dyDescent="0.25">
      <c r="A26" s="1849" t="e">
        <f>#REF!</f>
        <v>#REF!</v>
      </c>
      <c r="B26" t="e">
        <f>#REF!</f>
        <v>#REF!</v>
      </c>
      <c r="C26" s="88" t="e">
        <f>#REF!</f>
        <v>#REF!</v>
      </c>
      <c r="D26" s="2239" t="e">
        <f>#REF!/D$18</f>
        <v>#REF!</v>
      </c>
      <c r="E26" s="2239" t="e">
        <f>#REF!/E$5*1000/12</f>
        <v>#REF!</v>
      </c>
      <c r="G26" s="2002" t="e">
        <f>#REF!/G$18</f>
        <v>#REF!</v>
      </c>
      <c r="H26" s="88" t="e">
        <f>#REF!/H$5*1000/12</f>
        <v>#REF!</v>
      </c>
      <c r="I26" t="e">
        <f>#REF!-#REF!</f>
        <v>#REF!</v>
      </c>
      <c r="J26" s="2239" t="e">
        <f>#REF!/J$18</f>
        <v>#REF!</v>
      </c>
      <c r="K26" s="2239" t="e">
        <f>#REF!/K$5*1000/12</f>
        <v>#REF!</v>
      </c>
      <c r="L26" t="e">
        <f>#REF!-#REF!</f>
        <v>#REF!</v>
      </c>
      <c r="M26" s="88" t="e">
        <f>#REF!/M$18</f>
        <v>#REF!</v>
      </c>
      <c r="N26" s="88" t="e">
        <f>#REF!/N$5*1000/12</f>
        <v>#REF!</v>
      </c>
      <c r="O26" t="e">
        <f>#REF!-#REF!</f>
        <v>#REF!</v>
      </c>
      <c r="P26" s="2239" t="e">
        <f>#REF!/P$18</f>
        <v>#REF!</v>
      </c>
      <c r="Q26" s="2239" t="e">
        <f>#REF!/Q$5*1000/12</f>
        <v>#REF!</v>
      </c>
    </row>
    <row r="27" spans="1:43" x14ac:dyDescent="0.25">
      <c r="A27" s="1849" t="e">
        <f>#REF!</f>
        <v>#REF!</v>
      </c>
      <c r="B27" t="e">
        <f>#REF!</f>
        <v>#REF!</v>
      </c>
      <c r="C27" s="88" t="e">
        <f>#REF!</f>
        <v>#REF!</v>
      </c>
      <c r="D27" s="2239" t="e">
        <f>#REF!/D$18</f>
        <v>#REF!</v>
      </c>
      <c r="E27" s="2239" t="e">
        <f>#REF!/E$5*1000/12</f>
        <v>#REF!</v>
      </c>
      <c r="G27" s="2002" t="e">
        <f>#REF!/G$18</f>
        <v>#REF!</v>
      </c>
      <c r="H27" s="88" t="e">
        <f>#REF!/H$5*1000/12</f>
        <v>#REF!</v>
      </c>
      <c r="I27" t="e">
        <f>#REF!-#REF!</f>
        <v>#REF!</v>
      </c>
      <c r="J27" s="2239" t="e">
        <f>#REF!/J$18</f>
        <v>#REF!</v>
      </c>
      <c r="K27" s="2239" t="e">
        <f>#REF!/K$5*1000/12</f>
        <v>#REF!</v>
      </c>
      <c r="L27" t="e">
        <f>#REF!-#REF!</f>
        <v>#REF!</v>
      </c>
      <c r="M27" s="88" t="e">
        <f>#REF!/M$18</f>
        <v>#REF!</v>
      </c>
      <c r="N27" s="88" t="e">
        <f>#REF!/N$5*1000/12</f>
        <v>#REF!</v>
      </c>
      <c r="O27" t="e">
        <f>#REF!-#REF!</f>
        <v>#REF!</v>
      </c>
      <c r="P27" s="2239" t="e">
        <f>#REF!/P$18</f>
        <v>#REF!</v>
      </c>
      <c r="Q27" s="2239" t="e">
        <f>#REF!/Q$5*1000/12</f>
        <v>#REF!</v>
      </c>
    </row>
    <row r="28" spans="1:43" x14ac:dyDescent="0.25">
      <c r="A28" s="1849" t="e">
        <f>#REF!</f>
        <v>#REF!</v>
      </c>
      <c r="B28" t="e">
        <f>#REF!</f>
        <v>#REF!</v>
      </c>
      <c r="C28" s="88" t="e">
        <f>#REF!</f>
        <v>#REF!</v>
      </c>
      <c r="D28" s="2239" t="e">
        <f>#REF!/D$18</f>
        <v>#REF!</v>
      </c>
      <c r="E28" s="2239" t="e">
        <f>#REF!/E$5*1000/12</f>
        <v>#REF!</v>
      </c>
      <c r="G28" s="2002" t="e">
        <f>#REF!/G$18</f>
        <v>#REF!</v>
      </c>
      <c r="H28" s="88" t="e">
        <f>#REF!/H$5*1000/12</f>
        <v>#REF!</v>
      </c>
      <c r="I28" t="e">
        <f>#REF!-#REF!</f>
        <v>#REF!</v>
      </c>
      <c r="J28" s="2239" t="e">
        <f>#REF!/J$18</f>
        <v>#REF!</v>
      </c>
      <c r="K28" s="2239" t="e">
        <f>#REF!/K$5*1000/12</f>
        <v>#REF!</v>
      </c>
      <c r="L28" t="e">
        <f>#REF!-#REF!</f>
        <v>#REF!</v>
      </c>
      <c r="M28" s="88" t="e">
        <f>#REF!/M$18</f>
        <v>#REF!</v>
      </c>
      <c r="N28" s="88" t="e">
        <f>#REF!/N$5*1000/12</f>
        <v>#REF!</v>
      </c>
      <c r="O28" t="e">
        <f>#REF!-#REF!</f>
        <v>#REF!</v>
      </c>
      <c r="P28" s="2239" t="e">
        <f>#REF!/P$18</f>
        <v>#REF!</v>
      </c>
      <c r="Q28" s="2239" t="e">
        <f>#REF!/Q$5*1000/12</f>
        <v>#REF!</v>
      </c>
    </row>
    <row r="29" spans="1:43" x14ac:dyDescent="0.25">
      <c r="A29" s="1849" t="e">
        <f>#REF!</f>
        <v>#REF!</v>
      </c>
      <c r="B29" t="e">
        <f>#REF!</f>
        <v>#REF!</v>
      </c>
      <c r="C29" s="88" t="e">
        <f>#REF!</f>
        <v>#REF!</v>
      </c>
      <c r="D29" s="2239" t="e">
        <f>#REF!/D$18</f>
        <v>#REF!</v>
      </c>
      <c r="E29" s="2239" t="e">
        <f>#REF!/E$5*1000/12</f>
        <v>#REF!</v>
      </c>
      <c r="G29" s="2002" t="e">
        <f>#REF!/G$18</f>
        <v>#REF!</v>
      </c>
      <c r="H29" s="88" t="e">
        <f>#REF!/H$5*1000/12</f>
        <v>#REF!</v>
      </c>
      <c r="I29" t="e">
        <f>#REF!-#REF!</f>
        <v>#REF!</v>
      </c>
      <c r="J29" s="2239" t="e">
        <f>#REF!/J$18</f>
        <v>#REF!</v>
      </c>
      <c r="K29" s="2239" t="e">
        <f>#REF!/K$5*1000/12</f>
        <v>#REF!</v>
      </c>
      <c r="L29" t="e">
        <f>#REF!-#REF!</f>
        <v>#REF!</v>
      </c>
      <c r="M29" s="88" t="e">
        <f>#REF!/M$18</f>
        <v>#REF!</v>
      </c>
      <c r="N29" s="88" t="e">
        <f>#REF!/N$5*1000/12</f>
        <v>#REF!</v>
      </c>
      <c r="O29" t="e">
        <f>#REF!-#REF!</f>
        <v>#REF!</v>
      </c>
      <c r="P29" s="2239" t="e">
        <f>#REF!/P$18</f>
        <v>#REF!</v>
      </c>
      <c r="Q29" s="2239" t="e">
        <f>#REF!/Q$5*1000/12</f>
        <v>#REF!</v>
      </c>
    </row>
    <row r="30" spans="1:43" x14ac:dyDescent="0.25">
      <c r="A30" s="1849" t="e">
        <f>#REF!</f>
        <v>#REF!</v>
      </c>
      <c r="B30" t="e">
        <f>#REF!</f>
        <v>#REF!</v>
      </c>
      <c r="C30" s="88" t="e">
        <f>#REF!</f>
        <v>#REF!</v>
      </c>
      <c r="D30" s="2239" t="e">
        <f>#REF!/D$18</f>
        <v>#REF!</v>
      </c>
      <c r="E30" s="2239" t="e">
        <f>#REF!/E$5*1000/12</f>
        <v>#REF!</v>
      </c>
      <c r="G30" s="2002" t="e">
        <f>#REF!/G$18</f>
        <v>#REF!</v>
      </c>
      <c r="H30" s="88" t="e">
        <f>#REF!/H$5*1000/12</f>
        <v>#REF!</v>
      </c>
      <c r="I30" t="e">
        <f>#REF!-#REF!</f>
        <v>#REF!</v>
      </c>
      <c r="J30" s="2239" t="e">
        <f>#REF!/J$18</f>
        <v>#REF!</v>
      </c>
      <c r="K30" s="2239" t="e">
        <f>#REF!/K$5*1000/12</f>
        <v>#REF!</v>
      </c>
      <c r="L30" t="e">
        <f>#REF!-#REF!</f>
        <v>#REF!</v>
      </c>
      <c r="M30" s="88" t="e">
        <f>#REF!/M$18</f>
        <v>#REF!</v>
      </c>
      <c r="N30" s="88" t="e">
        <f>#REF!/N$5*1000/12</f>
        <v>#REF!</v>
      </c>
      <c r="O30" t="e">
        <f>#REF!-#REF!</f>
        <v>#REF!</v>
      </c>
      <c r="P30" s="2239" t="e">
        <f>#REF!/P$18</f>
        <v>#REF!</v>
      </c>
      <c r="Q30" s="2239" t="e">
        <f>#REF!/Q$5*1000/12</f>
        <v>#REF!</v>
      </c>
    </row>
    <row r="31" spans="1:43" x14ac:dyDescent="0.25">
      <c r="A31" s="1849" t="e">
        <f>#REF!</f>
        <v>#REF!</v>
      </c>
      <c r="B31" t="e">
        <f>#REF!</f>
        <v>#REF!</v>
      </c>
      <c r="C31" s="88" t="e">
        <f>#REF!</f>
        <v>#REF!</v>
      </c>
      <c r="D31" s="2239" t="e">
        <f>#REF!/D$18</f>
        <v>#REF!</v>
      </c>
      <c r="E31" s="2239" t="e">
        <f>#REF!/E$5*1000/12</f>
        <v>#REF!</v>
      </c>
      <c r="G31" s="2002" t="e">
        <f>#REF!/G$18</f>
        <v>#REF!</v>
      </c>
      <c r="H31" s="88" t="e">
        <f>#REF!/H$5*1000/12</f>
        <v>#REF!</v>
      </c>
      <c r="I31" t="e">
        <f>#REF!-#REF!</f>
        <v>#REF!</v>
      </c>
      <c r="J31" s="2239" t="e">
        <f>#REF!/J$18</f>
        <v>#REF!</v>
      </c>
      <c r="K31" s="2239" t="e">
        <f>#REF!/K$5*1000/12</f>
        <v>#REF!</v>
      </c>
      <c r="L31" t="e">
        <f>#REF!-#REF!</f>
        <v>#REF!</v>
      </c>
      <c r="M31" s="88" t="e">
        <f>#REF!/M$18</f>
        <v>#REF!</v>
      </c>
      <c r="N31" s="88" t="e">
        <f>#REF!/N$5*1000/12</f>
        <v>#REF!</v>
      </c>
      <c r="O31" t="e">
        <f>#REF!-#REF!</f>
        <v>#REF!</v>
      </c>
      <c r="P31" s="2239" t="e">
        <f>#REF!/P$18</f>
        <v>#REF!</v>
      </c>
      <c r="Q31" s="2239" t="e">
        <f>#REF!/Q$5*1000/12</f>
        <v>#REF!</v>
      </c>
    </row>
    <row r="32" spans="1:43" x14ac:dyDescent="0.25">
      <c r="A32" s="1849" t="e">
        <f>#REF!</f>
        <v>#REF!</v>
      </c>
      <c r="B32" t="e">
        <f>#REF!</f>
        <v>#REF!</v>
      </c>
      <c r="C32" s="88" t="e">
        <f>#REF!</f>
        <v>#REF!</v>
      </c>
      <c r="D32" t="e">
        <f>#REF!-#REF!</f>
        <v>#REF!</v>
      </c>
      <c r="E32" s="2239" t="e">
        <f>#REF!/E$5*1000/12</f>
        <v>#REF!</v>
      </c>
      <c r="G32" t="e">
        <f>#REF!-#REF!</f>
        <v>#REF!</v>
      </c>
      <c r="H32" s="88" t="e">
        <f>#REF!/H$5*1000/12</f>
        <v>#REF!</v>
      </c>
      <c r="I32" t="e">
        <f>#REF!-#REF!</f>
        <v>#REF!</v>
      </c>
      <c r="J32" t="e">
        <f>#REF!-#REF!</f>
        <v>#REF!</v>
      </c>
      <c r="K32" s="2239" t="e">
        <f>#REF!/K$5*1000/12</f>
        <v>#REF!</v>
      </c>
      <c r="L32" t="e">
        <f>#REF!-#REF!</f>
        <v>#REF!</v>
      </c>
      <c r="M32" t="e">
        <f>#REF!-#REF!</f>
        <v>#REF!</v>
      </c>
      <c r="N32" s="88" t="e">
        <f>#REF!/N$5*1000/12</f>
        <v>#REF!</v>
      </c>
      <c r="O32" t="e">
        <f>#REF!-#REF!</f>
        <v>#REF!</v>
      </c>
      <c r="P32" t="e">
        <f>#REF!-#REF!</f>
        <v>#REF!</v>
      </c>
      <c r="Q32" s="2239" t="e">
        <f>#REF!/Q$5*1000/12</f>
        <v>#REF!</v>
      </c>
    </row>
    <row r="33" spans="1:17" x14ac:dyDescent="0.25">
      <c r="A33" s="1849" t="e">
        <f>#REF!</f>
        <v>#REF!</v>
      </c>
      <c r="B33" t="e">
        <f>#REF!</f>
        <v>#REF!</v>
      </c>
      <c r="C33" s="88" t="e">
        <f>#REF!</f>
        <v>#REF!</v>
      </c>
      <c r="D33" t="e">
        <f>#REF!-#REF!</f>
        <v>#REF!</v>
      </c>
      <c r="E33" s="2239" t="e">
        <f>#REF!/E$5*1000/12</f>
        <v>#REF!</v>
      </c>
      <c r="G33" t="e">
        <f>#REF!-#REF!</f>
        <v>#REF!</v>
      </c>
      <c r="H33" s="88" t="e">
        <f>#REF!/H$5*1000/12</f>
        <v>#REF!</v>
      </c>
      <c r="I33" t="e">
        <f>#REF!-#REF!</f>
        <v>#REF!</v>
      </c>
      <c r="J33" t="e">
        <f>#REF!-#REF!</f>
        <v>#REF!</v>
      </c>
      <c r="K33" s="2239" t="e">
        <f>#REF!/K$5*1000/12</f>
        <v>#REF!</v>
      </c>
      <c r="L33" t="e">
        <f>#REF!-#REF!</f>
        <v>#REF!</v>
      </c>
      <c r="M33" t="e">
        <f>#REF!-#REF!</f>
        <v>#REF!</v>
      </c>
      <c r="N33" s="88" t="e">
        <f>#REF!/N$5*1000/12</f>
        <v>#REF!</v>
      </c>
      <c r="O33" t="e">
        <f>#REF!-#REF!</f>
        <v>#REF!</v>
      </c>
      <c r="P33" t="e">
        <f>#REF!-#REF!</f>
        <v>#REF!</v>
      </c>
      <c r="Q33" s="2239" t="e">
        <f>#REF!/Q$5*1000/12</f>
        <v>#REF!</v>
      </c>
    </row>
    <row r="34" spans="1:17" x14ac:dyDescent="0.25">
      <c r="A34" s="1849" t="e">
        <f>#REF!</f>
        <v>#REF!</v>
      </c>
      <c r="B34" t="e">
        <f>#REF!</f>
        <v>#REF!</v>
      </c>
      <c r="C34" s="88" t="e">
        <f>#REF!</f>
        <v>#REF!</v>
      </c>
      <c r="D34" t="e">
        <f>#REF!-#REF!</f>
        <v>#REF!</v>
      </c>
      <c r="E34" s="2239" t="e">
        <f>#REF!/E$5*1000/12</f>
        <v>#REF!</v>
      </c>
      <c r="G34" t="e">
        <f>#REF!-#REF!</f>
        <v>#REF!</v>
      </c>
      <c r="H34" s="88" t="e">
        <f>#REF!/H$5*1000/12</f>
        <v>#REF!</v>
      </c>
      <c r="I34" t="e">
        <f>#REF!-#REF!</f>
        <v>#REF!</v>
      </c>
      <c r="J34" t="e">
        <f>#REF!-#REF!</f>
        <v>#REF!</v>
      </c>
      <c r="K34" s="2239" t="e">
        <f>#REF!/K$5*1000/12</f>
        <v>#REF!</v>
      </c>
      <c r="L34" t="e">
        <f>#REF!-#REF!</f>
        <v>#REF!</v>
      </c>
      <c r="M34" t="e">
        <f>#REF!-#REF!</f>
        <v>#REF!</v>
      </c>
      <c r="N34" s="88" t="e">
        <f>#REF!/N$5*1000/12</f>
        <v>#REF!</v>
      </c>
      <c r="O34" t="e">
        <f>#REF!-#REF!</f>
        <v>#REF!</v>
      </c>
      <c r="P34" t="e">
        <f>#REF!-#REF!</f>
        <v>#REF!</v>
      </c>
      <c r="Q34" s="2239" t="e">
        <f>#REF!/Q$5*1000/12</f>
        <v>#REF!</v>
      </c>
    </row>
    <row r="35" spans="1:17" x14ac:dyDescent="0.25">
      <c r="A35" s="1849" t="e">
        <f>#REF!</f>
        <v>#REF!</v>
      </c>
      <c r="B35" t="e">
        <f>#REF!</f>
        <v>#REF!</v>
      </c>
      <c r="C35" s="88" t="e">
        <f>#REF!</f>
        <v>#REF!</v>
      </c>
      <c r="D35" t="e">
        <f>#REF!-#REF!</f>
        <v>#REF!</v>
      </c>
      <c r="E35" s="2239" t="e">
        <f>#REF!/E$5*1000/12</f>
        <v>#REF!</v>
      </c>
      <c r="G35" t="e">
        <f>#REF!-#REF!</f>
        <v>#REF!</v>
      </c>
      <c r="H35" s="88" t="e">
        <f>#REF!/H$5*1000/12</f>
        <v>#REF!</v>
      </c>
      <c r="I35" t="e">
        <f>#REF!-#REF!</f>
        <v>#REF!</v>
      </c>
      <c r="J35" t="e">
        <f>#REF!-#REF!</f>
        <v>#REF!</v>
      </c>
      <c r="K35" s="2239" t="e">
        <f>#REF!/K$5*1000/12</f>
        <v>#REF!</v>
      </c>
      <c r="L35" t="e">
        <f>#REF!-#REF!</f>
        <v>#REF!</v>
      </c>
      <c r="M35" t="e">
        <f>#REF!-#REF!</f>
        <v>#REF!</v>
      </c>
      <c r="N35" s="88" t="e">
        <f>#REF!/N$5*1000/12</f>
        <v>#REF!</v>
      </c>
      <c r="O35" t="e">
        <f>#REF!-#REF!</f>
        <v>#REF!</v>
      </c>
      <c r="P35" t="e">
        <f>#REF!-#REF!</f>
        <v>#REF!</v>
      </c>
      <c r="Q35" s="2239" t="e">
        <f>#REF!/Q$5*1000/12</f>
        <v>#REF!</v>
      </c>
    </row>
    <row r="36" spans="1:17" x14ac:dyDescent="0.25">
      <c r="A36" s="1849" t="e">
        <f>#REF!</f>
        <v>#REF!</v>
      </c>
      <c r="B36" t="e">
        <f>#REF!</f>
        <v>#REF!</v>
      </c>
      <c r="C36" s="88" t="e">
        <f>#REF!</f>
        <v>#REF!</v>
      </c>
      <c r="D36" t="e">
        <f>#REF!-#REF!</f>
        <v>#REF!</v>
      </c>
      <c r="E36" s="2239" t="e">
        <f>#REF!/E$5*1000/12</f>
        <v>#REF!</v>
      </c>
      <c r="G36" t="e">
        <f>#REF!-#REF!</f>
        <v>#REF!</v>
      </c>
      <c r="H36" s="88" t="e">
        <f>#REF!/H$5*1000/12</f>
        <v>#REF!</v>
      </c>
      <c r="I36" t="e">
        <f>#REF!-#REF!</f>
        <v>#REF!</v>
      </c>
      <c r="J36" t="e">
        <f>#REF!-#REF!</f>
        <v>#REF!</v>
      </c>
      <c r="K36" s="2239" t="e">
        <f>#REF!/K$5*1000/12</f>
        <v>#REF!</v>
      </c>
      <c r="L36" t="e">
        <f>#REF!-#REF!</f>
        <v>#REF!</v>
      </c>
      <c r="M36" t="e">
        <f>#REF!-#REF!</f>
        <v>#REF!</v>
      </c>
      <c r="N36" s="88" t="e">
        <f>#REF!/N$5*1000/12</f>
        <v>#REF!</v>
      </c>
      <c r="O36" t="e">
        <f>#REF!-#REF!</f>
        <v>#REF!</v>
      </c>
      <c r="P36" t="e">
        <f>#REF!-#REF!</f>
        <v>#REF!</v>
      </c>
      <c r="Q36" s="2239" t="e">
        <f>#REF!/Q$5*1000/12</f>
        <v>#REF!</v>
      </c>
    </row>
    <row r="37" spans="1:17" x14ac:dyDescent="0.25">
      <c r="A37" s="1849" t="e">
        <f>#REF!</f>
        <v>#REF!</v>
      </c>
      <c r="B37" t="e">
        <f>#REF!</f>
        <v>#REF!</v>
      </c>
      <c r="C37" s="88" t="e">
        <f>#REF!</f>
        <v>#REF!</v>
      </c>
      <c r="D37" t="e">
        <f>#REF!-#REF!</f>
        <v>#REF!</v>
      </c>
      <c r="E37" s="2239" t="e">
        <f>#REF!/E$5*1000/12</f>
        <v>#REF!</v>
      </c>
      <c r="G37" t="e">
        <f>#REF!-#REF!</f>
        <v>#REF!</v>
      </c>
      <c r="H37" s="88" t="e">
        <f>#REF!/H$5*1000/12</f>
        <v>#REF!</v>
      </c>
      <c r="I37" t="e">
        <f>#REF!-#REF!</f>
        <v>#REF!</v>
      </c>
      <c r="J37" t="e">
        <f>#REF!-#REF!</f>
        <v>#REF!</v>
      </c>
      <c r="K37" s="2239" t="e">
        <f>#REF!/K$5*1000/12</f>
        <v>#REF!</v>
      </c>
      <c r="L37" t="e">
        <f>#REF!-#REF!</f>
        <v>#REF!</v>
      </c>
      <c r="M37" t="e">
        <f>#REF!-#REF!</f>
        <v>#REF!</v>
      </c>
      <c r="N37" s="88" t="e">
        <f>#REF!/N$5*1000/12</f>
        <v>#REF!</v>
      </c>
      <c r="O37" t="e">
        <f>#REF!-#REF!</f>
        <v>#REF!</v>
      </c>
      <c r="P37" t="e">
        <f>#REF!-#REF!</f>
        <v>#REF!</v>
      </c>
      <c r="Q37" s="2239" t="e">
        <f>#REF!/Q$5*1000/12</f>
        <v>#REF!</v>
      </c>
    </row>
    <row r="38" spans="1:17" x14ac:dyDescent="0.25">
      <c r="A38" s="1849" t="e">
        <f>#REF!</f>
        <v>#REF!</v>
      </c>
      <c r="B38" t="e">
        <f>#REF!</f>
        <v>#REF!</v>
      </c>
      <c r="C38" s="88" t="e">
        <f>#REF!</f>
        <v>#REF!</v>
      </c>
      <c r="D38" t="e">
        <f>#REF!-#REF!</f>
        <v>#REF!</v>
      </c>
      <c r="E38" s="2239" t="e">
        <f>#REF!/E$5*1000/12</f>
        <v>#REF!</v>
      </c>
      <c r="G38" t="e">
        <f>#REF!-#REF!</f>
        <v>#REF!</v>
      </c>
      <c r="H38" s="88" t="e">
        <f>#REF!/H$5*1000/12</f>
        <v>#REF!</v>
      </c>
      <c r="I38" t="e">
        <f>#REF!-#REF!</f>
        <v>#REF!</v>
      </c>
      <c r="J38" t="e">
        <f>#REF!-#REF!</f>
        <v>#REF!</v>
      </c>
      <c r="K38" s="2239" t="e">
        <f>#REF!/K$5*1000/12</f>
        <v>#REF!</v>
      </c>
      <c r="L38" t="e">
        <f>#REF!-#REF!</f>
        <v>#REF!</v>
      </c>
      <c r="M38" t="e">
        <f>#REF!-#REF!</f>
        <v>#REF!</v>
      </c>
      <c r="N38" s="88" t="e">
        <f>#REF!/N$5*1000/12</f>
        <v>#REF!</v>
      </c>
      <c r="O38" t="e">
        <f>#REF!-#REF!</f>
        <v>#REF!</v>
      </c>
      <c r="P38" t="e">
        <f>#REF!-#REF!</f>
        <v>#REF!</v>
      </c>
      <c r="Q38" s="2239" t="e">
        <f>#REF!/Q$5*1000/12</f>
        <v>#REF!</v>
      </c>
    </row>
    <row r="39" spans="1:17" x14ac:dyDescent="0.25">
      <c r="A39" s="1849" t="e">
        <f>#REF!</f>
        <v>#REF!</v>
      </c>
      <c r="B39" t="e">
        <f>#REF!</f>
        <v>#REF!</v>
      </c>
      <c r="C39" s="88" t="e">
        <f>#REF!</f>
        <v>#REF!</v>
      </c>
      <c r="D39" t="e">
        <f>#REF!-#REF!</f>
        <v>#REF!</v>
      </c>
      <c r="E39" s="2239" t="e">
        <f>#REF!/E$5*1000/12</f>
        <v>#REF!</v>
      </c>
      <c r="G39" t="e">
        <f>#REF!-#REF!</f>
        <v>#REF!</v>
      </c>
      <c r="H39" s="88" t="e">
        <f>#REF!/H$5*1000/12</f>
        <v>#REF!</v>
      </c>
      <c r="I39" t="e">
        <f>#REF!-#REF!</f>
        <v>#REF!</v>
      </c>
      <c r="J39" t="e">
        <f>#REF!-#REF!</f>
        <v>#REF!</v>
      </c>
      <c r="K39" s="2239" t="e">
        <f>#REF!/K$5*1000/12</f>
        <v>#REF!</v>
      </c>
      <c r="L39" t="e">
        <f>#REF!-#REF!</f>
        <v>#REF!</v>
      </c>
      <c r="M39" t="e">
        <f>#REF!-#REF!</f>
        <v>#REF!</v>
      </c>
      <c r="N39" s="88" t="e">
        <f>#REF!/N$5*1000/12</f>
        <v>#REF!</v>
      </c>
      <c r="O39" t="e">
        <f>#REF!-#REF!</f>
        <v>#REF!</v>
      </c>
      <c r="P39" t="e">
        <f>#REF!-#REF!</f>
        <v>#REF!</v>
      </c>
      <c r="Q39" s="2239" t="e">
        <f>#REF!/Q$5*1000/12</f>
        <v>#REF!</v>
      </c>
    </row>
    <row r="40" spans="1:17" x14ac:dyDescent="0.25">
      <c r="A40" s="1849" t="e">
        <f>#REF!</f>
        <v>#REF!</v>
      </c>
      <c r="B40" t="e">
        <f>#REF!</f>
        <v>#REF!</v>
      </c>
      <c r="C40" s="88" t="e">
        <f>#REF!</f>
        <v>#REF!</v>
      </c>
      <c r="D40" t="e">
        <f>#REF!-#REF!</f>
        <v>#REF!</v>
      </c>
      <c r="E40" s="2239" t="e">
        <f>#REF!/E$5*1000/12</f>
        <v>#REF!</v>
      </c>
      <c r="G40" t="e">
        <f>#REF!-#REF!</f>
        <v>#REF!</v>
      </c>
      <c r="H40" s="88" t="e">
        <f>#REF!/H$5*1000/12</f>
        <v>#REF!</v>
      </c>
      <c r="I40" t="e">
        <f>#REF!-#REF!</f>
        <v>#REF!</v>
      </c>
      <c r="J40" t="e">
        <f>#REF!-#REF!</f>
        <v>#REF!</v>
      </c>
      <c r="K40" s="2239" t="e">
        <f>#REF!/K$5*1000/12</f>
        <v>#REF!</v>
      </c>
      <c r="L40" t="e">
        <f>#REF!-#REF!</f>
        <v>#REF!</v>
      </c>
      <c r="M40" t="e">
        <f>#REF!-#REF!</f>
        <v>#REF!</v>
      </c>
      <c r="N40" s="88" t="e">
        <f>#REF!/N$5*1000/12</f>
        <v>#REF!</v>
      </c>
      <c r="O40" t="e">
        <f>#REF!-#REF!</f>
        <v>#REF!</v>
      </c>
      <c r="P40" t="e">
        <f>#REF!-#REF!</f>
        <v>#REF!</v>
      </c>
      <c r="Q40" s="2239" t="e">
        <f>#REF!/Q$5*1000/12</f>
        <v>#REF!</v>
      </c>
    </row>
    <row r="41" spans="1:17" x14ac:dyDescent="0.25">
      <c r="A41" s="1849" t="e">
        <f>#REF!</f>
        <v>#REF!</v>
      </c>
      <c r="B41" t="e">
        <f>#REF!</f>
        <v>#REF!</v>
      </c>
      <c r="C41" s="88" t="e">
        <f>#REF!</f>
        <v>#REF!</v>
      </c>
      <c r="D41" t="e">
        <f>#REF!-#REF!</f>
        <v>#REF!</v>
      </c>
      <c r="E41" s="2239" t="e">
        <f>#REF!/E$5*1000/12</f>
        <v>#REF!</v>
      </c>
      <c r="G41" t="e">
        <f>#REF!-#REF!</f>
        <v>#REF!</v>
      </c>
      <c r="H41" s="88" t="e">
        <f>#REF!/H$5*1000/12</f>
        <v>#REF!</v>
      </c>
      <c r="I41" t="e">
        <f>#REF!-#REF!</f>
        <v>#REF!</v>
      </c>
      <c r="J41" t="e">
        <f>#REF!-#REF!</f>
        <v>#REF!</v>
      </c>
      <c r="K41" s="2239" t="e">
        <f>#REF!/K$5*1000/12</f>
        <v>#REF!</v>
      </c>
      <c r="L41" t="e">
        <f>#REF!-#REF!</f>
        <v>#REF!</v>
      </c>
      <c r="M41" t="e">
        <f>#REF!-#REF!</f>
        <v>#REF!</v>
      </c>
      <c r="N41" s="88" t="e">
        <f>#REF!/N$5*1000/12</f>
        <v>#REF!</v>
      </c>
      <c r="O41" t="e">
        <f>#REF!-#REF!</f>
        <v>#REF!</v>
      </c>
      <c r="P41" t="e">
        <f>#REF!-#REF!</f>
        <v>#REF!</v>
      </c>
      <c r="Q41" s="2239" t="e">
        <f>#REF!/Q$5*1000/12</f>
        <v>#REF!</v>
      </c>
    </row>
    <row r="42" spans="1:17" x14ac:dyDescent="0.25">
      <c r="A42" s="1849" t="e">
        <f>#REF!</f>
        <v>#REF!</v>
      </c>
      <c r="B42" t="e">
        <f>#REF!</f>
        <v>#REF!</v>
      </c>
      <c r="C42" s="88" t="e">
        <f>#REF!</f>
        <v>#REF!</v>
      </c>
      <c r="D42" t="e">
        <f>#REF!-#REF!</f>
        <v>#REF!</v>
      </c>
      <c r="E42" s="2239" t="e">
        <f>#REF!/E$5*1000/12</f>
        <v>#REF!</v>
      </c>
      <c r="G42" t="e">
        <f>#REF!-#REF!</f>
        <v>#REF!</v>
      </c>
      <c r="H42" s="88" t="e">
        <f>#REF!/H$5*1000/12</f>
        <v>#REF!</v>
      </c>
      <c r="I42" t="e">
        <f>#REF!-#REF!</f>
        <v>#REF!</v>
      </c>
      <c r="J42" t="e">
        <f>#REF!-#REF!</f>
        <v>#REF!</v>
      </c>
      <c r="K42" s="2239" t="e">
        <f>#REF!/K$5*1000/12</f>
        <v>#REF!</v>
      </c>
      <c r="L42" t="e">
        <f>#REF!-#REF!</f>
        <v>#REF!</v>
      </c>
      <c r="M42" t="e">
        <f>#REF!-#REF!</f>
        <v>#REF!</v>
      </c>
      <c r="N42" s="88" t="e">
        <f>#REF!/N$5*1000/12</f>
        <v>#REF!</v>
      </c>
      <c r="O42" t="e">
        <f>#REF!-#REF!</f>
        <v>#REF!</v>
      </c>
      <c r="P42" t="e">
        <f>#REF!-#REF!</f>
        <v>#REF!</v>
      </c>
      <c r="Q42" s="2239" t="e">
        <f>#REF!/Q$5*1000/12</f>
        <v>#REF!</v>
      </c>
    </row>
    <row r="43" spans="1:17" x14ac:dyDescent="0.25">
      <c r="A43" s="1849" t="e">
        <f>#REF!</f>
        <v>#REF!</v>
      </c>
      <c r="B43" t="e">
        <f>#REF!</f>
        <v>#REF!</v>
      </c>
      <c r="C43" s="88" t="e">
        <f>#REF!</f>
        <v>#REF!</v>
      </c>
      <c r="D43" t="e">
        <f>#REF!-#REF!</f>
        <v>#REF!</v>
      </c>
      <c r="E43" s="2239" t="e">
        <f>#REF!/E$5*1000/12</f>
        <v>#REF!</v>
      </c>
      <c r="G43" t="e">
        <f>#REF!-#REF!</f>
        <v>#REF!</v>
      </c>
      <c r="H43" s="88" t="e">
        <f>#REF!/H$5*1000/12</f>
        <v>#REF!</v>
      </c>
      <c r="I43" t="e">
        <f>#REF!-#REF!</f>
        <v>#REF!</v>
      </c>
      <c r="J43" t="e">
        <f>#REF!-#REF!</f>
        <v>#REF!</v>
      </c>
      <c r="K43" s="2239" t="e">
        <f>#REF!/K$5*1000/12</f>
        <v>#REF!</v>
      </c>
      <c r="L43" t="e">
        <f>#REF!-#REF!</f>
        <v>#REF!</v>
      </c>
      <c r="M43" t="e">
        <f>#REF!-#REF!</f>
        <v>#REF!</v>
      </c>
      <c r="N43" s="88" t="e">
        <f>#REF!/N$5*1000/12</f>
        <v>#REF!</v>
      </c>
      <c r="O43" t="e">
        <f>#REF!-#REF!</f>
        <v>#REF!</v>
      </c>
      <c r="P43" t="e">
        <f>#REF!-#REF!</f>
        <v>#REF!</v>
      </c>
      <c r="Q43" s="2239" t="e">
        <f>#REF!/Q$5*1000/12</f>
        <v>#REF!</v>
      </c>
    </row>
    <row r="44" spans="1:17" x14ac:dyDescent="0.25">
      <c r="A44" s="1849" t="e">
        <f>#REF!</f>
        <v>#REF!</v>
      </c>
      <c r="B44" t="e">
        <f>#REF!</f>
        <v>#REF!</v>
      </c>
      <c r="C44" s="88" t="e">
        <f>#REF!</f>
        <v>#REF!</v>
      </c>
      <c r="D44" t="e">
        <f>#REF!-#REF!</f>
        <v>#REF!</v>
      </c>
      <c r="E44" s="2239" t="e">
        <f>#REF!/E$5*1000/12</f>
        <v>#REF!</v>
      </c>
      <c r="G44" t="e">
        <f>#REF!-#REF!</f>
        <v>#REF!</v>
      </c>
      <c r="H44" s="88" t="e">
        <f>#REF!/H$5*1000/12</f>
        <v>#REF!</v>
      </c>
      <c r="I44" t="e">
        <f>#REF!-#REF!</f>
        <v>#REF!</v>
      </c>
      <c r="J44" t="e">
        <f>#REF!-#REF!</f>
        <v>#REF!</v>
      </c>
      <c r="K44" s="2239" t="e">
        <f>#REF!/K$5*1000/12</f>
        <v>#REF!</v>
      </c>
      <c r="L44" t="e">
        <f>#REF!-#REF!</f>
        <v>#REF!</v>
      </c>
      <c r="M44" t="e">
        <f>#REF!-#REF!</f>
        <v>#REF!</v>
      </c>
      <c r="N44" s="88" t="e">
        <f>#REF!/N$5*1000/12</f>
        <v>#REF!</v>
      </c>
      <c r="O44" t="e">
        <f>#REF!-#REF!</f>
        <v>#REF!</v>
      </c>
      <c r="P44" t="e">
        <f>#REF!-#REF!</f>
        <v>#REF!</v>
      </c>
      <c r="Q44" s="2239" t="e">
        <f>#REF!/Q$5*1000/12</f>
        <v>#REF!</v>
      </c>
    </row>
    <row r="45" spans="1:17" x14ac:dyDescent="0.25">
      <c r="A45" s="1849" t="e">
        <f>#REF!</f>
        <v>#REF!</v>
      </c>
      <c r="B45" t="e">
        <f>#REF!</f>
        <v>#REF!</v>
      </c>
      <c r="C45" s="88" t="e">
        <f>#REF!</f>
        <v>#REF!</v>
      </c>
      <c r="D45" t="e">
        <f>#REF!-#REF!</f>
        <v>#REF!</v>
      </c>
      <c r="E45" s="2239" t="e">
        <f>#REF!/E$5*1000/12</f>
        <v>#REF!</v>
      </c>
      <c r="G45" t="e">
        <f>#REF!-#REF!</f>
        <v>#REF!</v>
      </c>
      <c r="H45" s="88" t="e">
        <f>#REF!/H$5*1000/12</f>
        <v>#REF!</v>
      </c>
      <c r="I45" t="e">
        <f>#REF!-#REF!</f>
        <v>#REF!</v>
      </c>
      <c r="J45" t="e">
        <f>#REF!-#REF!</f>
        <v>#REF!</v>
      </c>
      <c r="K45" s="2239" t="e">
        <f>#REF!/K$5*1000/12</f>
        <v>#REF!</v>
      </c>
      <c r="L45" t="e">
        <f>#REF!-#REF!</f>
        <v>#REF!</v>
      </c>
      <c r="M45" t="e">
        <f>#REF!-#REF!</f>
        <v>#REF!</v>
      </c>
      <c r="N45" s="88" t="e">
        <f>#REF!/N$5*1000/12</f>
        <v>#REF!</v>
      </c>
      <c r="O45" t="e">
        <f>#REF!-#REF!</f>
        <v>#REF!</v>
      </c>
      <c r="P45" t="e">
        <f>#REF!-#REF!</f>
        <v>#REF!</v>
      </c>
      <c r="Q45" s="2239" t="e">
        <f>#REF!/Q$5*1000/12</f>
        <v>#REF!</v>
      </c>
    </row>
    <row r="46" spans="1:17" x14ac:dyDescent="0.25">
      <c r="A46" s="1849" t="e">
        <f>#REF!</f>
        <v>#REF!</v>
      </c>
      <c r="B46" t="e">
        <f>#REF!</f>
        <v>#REF!</v>
      </c>
      <c r="C46" s="88" t="e">
        <f>#REF!</f>
        <v>#REF!</v>
      </c>
      <c r="D46" t="e">
        <f>#REF!-#REF!</f>
        <v>#REF!</v>
      </c>
      <c r="E46" s="2239" t="e">
        <f>#REF!/E$5*1000/12</f>
        <v>#REF!</v>
      </c>
      <c r="G46" t="e">
        <f>#REF!-#REF!</f>
        <v>#REF!</v>
      </c>
      <c r="H46" s="88" t="e">
        <f>#REF!/H$5*1000/12</f>
        <v>#REF!</v>
      </c>
      <c r="I46" t="e">
        <f>#REF!-#REF!</f>
        <v>#REF!</v>
      </c>
      <c r="J46" t="e">
        <f>#REF!-#REF!</f>
        <v>#REF!</v>
      </c>
      <c r="K46" s="2239" t="e">
        <f>#REF!/K$5*1000/12</f>
        <v>#REF!</v>
      </c>
      <c r="L46" t="e">
        <f>#REF!-#REF!</f>
        <v>#REF!</v>
      </c>
      <c r="M46" t="e">
        <f>#REF!-#REF!</f>
        <v>#REF!</v>
      </c>
      <c r="N46" s="88" t="e">
        <f>#REF!/N$5*1000/12</f>
        <v>#REF!</v>
      </c>
      <c r="O46" t="e">
        <f>#REF!-#REF!</f>
        <v>#REF!</v>
      </c>
      <c r="P46" t="e">
        <f>#REF!-#REF!</f>
        <v>#REF!</v>
      </c>
      <c r="Q46" s="2239" t="e">
        <f>#REF!/Q$5*1000/12</f>
        <v>#REF!</v>
      </c>
    </row>
    <row r="47" spans="1:17" x14ac:dyDescent="0.25">
      <c r="A47" s="1849" t="e">
        <f>#REF!</f>
        <v>#REF!</v>
      </c>
      <c r="B47" t="e">
        <f>#REF!</f>
        <v>#REF!</v>
      </c>
      <c r="C47" s="88" t="e">
        <f>#REF!</f>
        <v>#REF!</v>
      </c>
      <c r="D47" t="e">
        <f>#REF!-#REF!</f>
        <v>#REF!</v>
      </c>
      <c r="E47" s="2239" t="e">
        <f>#REF!/E$5*1000/12</f>
        <v>#REF!</v>
      </c>
      <c r="G47" t="e">
        <f>#REF!-#REF!</f>
        <v>#REF!</v>
      </c>
      <c r="H47" s="88" t="e">
        <f>#REF!/H$5*1000/12</f>
        <v>#REF!</v>
      </c>
      <c r="I47" t="e">
        <f>#REF!-#REF!</f>
        <v>#REF!</v>
      </c>
      <c r="J47" t="e">
        <f>#REF!-#REF!</f>
        <v>#REF!</v>
      </c>
      <c r="K47" s="2239" t="e">
        <f>#REF!/K$5*1000/12</f>
        <v>#REF!</v>
      </c>
      <c r="L47" t="e">
        <f>#REF!-#REF!</f>
        <v>#REF!</v>
      </c>
      <c r="M47" t="e">
        <f>#REF!-#REF!</f>
        <v>#REF!</v>
      </c>
      <c r="N47" s="88" t="e">
        <f>#REF!/N$5*1000/12</f>
        <v>#REF!</v>
      </c>
      <c r="O47" t="e">
        <f>#REF!-#REF!</f>
        <v>#REF!</v>
      </c>
      <c r="P47" t="e">
        <f>#REF!-#REF!</f>
        <v>#REF!</v>
      </c>
      <c r="Q47" s="2239" t="e">
        <f>#REF!/Q$5*1000/12</f>
        <v>#REF!</v>
      </c>
    </row>
    <row r="48" spans="1:17" x14ac:dyDescent="0.25">
      <c r="A48" s="1849" t="e">
        <f>#REF!</f>
        <v>#REF!</v>
      </c>
      <c r="B48" t="e">
        <f>#REF!</f>
        <v>#REF!</v>
      </c>
      <c r="C48" s="88" t="e">
        <f>#REF!</f>
        <v>#REF!</v>
      </c>
      <c r="D48" t="e">
        <f>#REF!-#REF!</f>
        <v>#REF!</v>
      </c>
      <c r="E48" s="2239" t="e">
        <f>#REF!/E$5*1000/12</f>
        <v>#REF!</v>
      </c>
      <c r="G48" t="e">
        <f>#REF!-#REF!</f>
        <v>#REF!</v>
      </c>
      <c r="H48" s="88" t="e">
        <f>#REF!/H$5*1000/12</f>
        <v>#REF!</v>
      </c>
      <c r="I48" t="e">
        <f>#REF!-#REF!</f>
        <v>#REF!</v>
      </c>
      <c r="J48" t="e">
        <f>#REF!-#REF!</f>
        <v>#REF!</v>
      </c>
      <c r="K48" s="2239" t="e">
        <f>#REF!/K$5*1000/12</f>
        <v>#REF!</v>
      </c>
      <c r="L48" t="e">
        <f>#REF!-#REF!</f>
        <v>#REF!</v>
      </c>
      <c r="M48" t="e">
        <f>#REF!-#REF!</f>
        <v>#REF!</v>
      </c>
      <c r="N48" s="88" t="e">
        <f>#REF!/N$5*1000/12</f>
        <v>#REF!</v>
      </c>
      <c r="O48" t="e">
        <f>#REF!-#REF!</f>
        <v>#REF!</v>
      </c>
      <c r="P48" t="e">
        <f>#REF!-#REF!</f>
        <v>#REF!</v>
      </c>
      <c r="Q48" s="2239" t="e">
        <f>#REF!/Q$5*1000/12</f>
        <v>#REF!</v>
      </c>
    </row>
    <row r="49" spans="1:17" x14ac:dyDescent="0.25">
      <c r="A49" s="1849" t="e">
        <f>#REF!</f>
        <v>#REF!</v>
      </c>
      <c r="B49" t="e">
        <f>#REF!</f>
        <v>#REF!</v>
      </c>
      <c r="C49" s="88" t="e">
        <f>#REF!</f>
        <v>#REF!</v>
      </c>
      <c r="D49" t="e">
        <f>#REF!-#REF!</f>
        <v>#REF!</v>
      </c>
      <c r="E49" s="2239" t="e">
        <f>#REF!/E$5*1000/12</f>
        <v>#REF!</v>
      </c>
      <c r="G49" t="e">
        <f>#REF!-#REF!</f>
        <v>#REF!</v>
      </c>
      <c r="H49" s="88" t="e">
        <f>#REF!/H$5*1000/12</f>
        <v>#REF!</v>
      </c>
      <c r="I49" t="e">
        <f>#REF!-#REF!</f>
        <v>#REF!</v>
      </c>
      <c r="J49" t="e">
        <f>#REF!-#REF!</f>
        <v>#REF!</v>
      </c>
      <c r="K49" s="2239" t="e">
        <f>#REF!/K$5*1000/12</f>
        <v>#REF!</v>
      </c>
      <c r="L49" t="e">
        <f>#REF!-#REF!</f>
        <v>#REF!</v>
      </c>
      <c r="M49" t="e">
        <f>#REF!-#REF!</f>
        <v>#REF!</v>
      </c>
      <c r="N49" s="88" t="e">
        <f>#REF!/N$5*1000/12</f>
        <v>#REF!</v>
      </c>
      <c r="O49" t="e">
        <f>#REF!-#REF!</f>
        <v>#REF!</v>
      </c>
      <c r="P49" t="e">
        <f>#REF!-#REF!</f>
        <v>#REF!</v>
      </c>
      <c r="Q49" s="2239" t="e">
        <f>#REF!/Q$5*1000/12</f>
        <v>#REF!</v>
      </c>
    </row>
    <row r="50" spans="1:17" x14ac:dyDescent="0.25">
      <c r="A50" s="1849" t="e">
        <f>#REF!</f>
        <v>#REF!</v>
      </c>
      <c r="B50" t="e">
        <f>#REF!</f>
        <v>#REF!</v>
      </c>
      <c r="C50" s="88" t="e">
        <f>#REF!</f>
        <v>#REF!</v>
      </c>
      <c r="D50" t="e">
        <f>#REF!-#REF!</f>
        <v>#REF!</v>
      </c>
      <c r="E50" s="2239" t="e">
        <f>#REF!/E$5*1000/12</f>
        <v>#REF!</v>
      </c>
      <c r="G50" t="e">
        <f>#REF!-#REF!</f>
        <v>#REF!</v>
      </c>
      <c r="H50" s="88" t="e">
        <f>#REF!/H$5*1000/12</f>
        <v>#REF!</v>
      </c>
      <c r="I50" t="e">
        <f>#REF!-#REF!</f>
        <v>#REF!</v>
      </c>
      <c r="J50" t="e">
        <f>#REF!-#REF!</f>
        <v>#REF!</v>
      </c>
      <c r="K50" s="2239" t="e">
        <f>#REF!/K$5*1000/12</f>
        <v>#REF!</v>
      </c>
      <c r="L50" t="e">
        <f>#REF!-#REF!</f>
        <v>#REF!</v>
      </c>
      <c r="M50" t="e">
        <f>#REF!-#REF!</f>
        <v>#REF!</v>
      </c>
      <c r="N50" s="88" t="e">
        <f>#REF!/N$5*1000/12</f>
        <v>#REF!</v>
      </c>
      <c r="O50" t="e">
        <f>#REF!-#REF!</f>
        <v>#REF!</v>
      </c>
      <c r="P50" t="e">
        <f>#REF!-#REF!</f>
        <v>#REF!</v>
      </c>
      <c r="Q50" s="2239" t="e">
        <f>#REF!/Q$5*1000/12</f>
        <v>#REF!</v>
      </c>
    </row>
    <row r="51" spans="1:17" x14ac:dyDescent="0.25">
      <c r="A51" s="1849" t="e">
        <f>#REF!</f>
        <v>#REF!</v>
      </c>
      <c r="B51" t="e">
        <f>#REF!</f>
        <v>#REF!</v>
      </c>
      <c r="C51" s="88" t="e">
        <f>#REF!</f>
        <v>#REF!</v>
      </c>
      <c r="D51" t="e">
        <f>#REF!-#REF!</f>
        <v>#REF!</v>
      </c>
      <c r="E51" s="2239" t="e">
        <f>#REF!/E$5*1000/12</f>
        <v>#REF!</v>
      </c>
      <c r="G51" t="e">
        <f>#REF!-#REF!</f>
        <v>#REF!</v>
      </c>
      <c r="H51" s="88" t="e">
        <f>#REF!/H$5*1000/12</f>
        <v>#REF!</v>
      </c>
      <c r="I51" t="e">
        <f>#REF!-#REF!</f>
        <v>#REF!</v>
      </c>
      <c r="J51" t="e">
        <f>#REF!-#REF!</f>
        <v>#REF!</v>
      </c>
      <c r="K51" s="2239" t="e">
        <f>#REF!/K$5*1000/12</f>
        <v>#REF!</v>
      </c>
      <c r="L51" t="e">
        <f>#REF!-#REF!</f>
        <v>#REF!</v>
      </c>
      <c r="M51" t="e">
        <f>#REF!-#REF!</f>
        <v>#REF!</v>
      </c>
      <c r="N51" s="88" t="e">
        <f>#REF!/N$5*1000/12</f>
        <v>#REF!</v>
      </c>
      <c r="O51" t="e">
        <f>#REF!-#REF!</f>
        <v>#REF!</v>
      </c>
      <c r="P51" t="e">
        <f>#REF!-#REF!</f>
        <v>#REF!</v>
      </c>
      <c r="Q51" s="2239" t="e">
        <f>#REF!/Q$5*1000/12</f>
        <v>#REF!</v>
      </c>
    </row>
    <row r="52" spans="1:17" x14ac:dyDescent="0.25">
      <c r="A52" s="1849" t="e">
        <f>#REF!</f>
        <v>#REF!</v>
      </c>
      <c r="B52" t="e">
        <f>#REF!</f>
        <v>#REF!</v>
      </c>
      <c r="C52" s="88" t="e">
        <f>#REF!</f>
        <v>#REF!</v>
      </c>
      <c r="D52" t="e">
        <f>#REF!-#REF!</f>
        <v>#REF!</v>
      </c>
      <c r="E52" s="2239" t="e">
        <f>#REF!/E$5*1000/12</f>
        <v>#REF!</v>
      </c>
      <c r="G52" t="e">
        <f>#REF!-#REF!</f>
        <v>#REF!</v>
      </c>
      <c r="H52" s="88" t="e">
        <f>#REF!/H$5*1000/12</f>
        <v>#REF!</v>
      </c>
      <c r="I52" t="e">
        <f>#REF!-#REF!</f>
        <v>#REF!</v>
      </c>
      <c r="J52" t="e">
        <f>#REF!-#REF!</f>
        <v>#REF!</v>
      </c>
      <c r="K52" s="2239" t="e">
        <f>#REF!/K$5*1000/12</f>
        <v>#REF!</v>
      </c>
      <c r="L52" t="e">
        <f>#REF!-#REF!</f>
        <v>#REF!</v>
      </c>
      <c r="M52" t="e">
        <f>#REF!-#REF!</f>
        <v>#REF!</v>
      </c>
      <c r="N52" s="88" t="e">
        <f>#REF!/N$5*1000/12</f>
        <v>#REF!</v>
      </c>
      <c r="O52" t="e">
        <f>#REF!-#REF!</f>
        <v>#REF!</v>
      </c>
      <c r="P52" t="e">
        <f>#REF!-#REF!</f>
        <v>#REF!</v>
      </c>
      <c r="Q52" s="2239" t="e">
        <f>#REF!/Q$5*1000/12</f>
        <v>#REF!</v>
      </c>
    </row>
    <row r="53" spans="1:17" x14ac:dyDescent="0.25">
      <c r="A53" s="1849" t="e">
        <f>#REF!</f>
        <v>#REF!</v>
      </c>
      <c r="B53" t="e">
        <f>#REF!</f>
        <v>#REF!</v>
      </c>
      <c r="C53" s="88" t="e">
        <f>#REF!</f>
        <v>#REF!</v>
      </c>
      <c r="D53" t="e">
        <f>#REF!-#REF!</f>
        <v>#REF!</v>
      </c>
      <c r="E53" s="2239" t="e">
        <f>#REF!/E$5*1000/12</f>
        <v>#REF!</v>
      </c>
      <c r="H53" s="88" t="e">
        <f>#REF!/H$5*1000/12</f>
        <v>#REF!</v>
      </c>
      <c r="K53" s="2239" t="e">
        <f>#REF!/K$5*1000/12</f>
        <v>#REF!</v>
      </c>
      <c r="N53" s="88" t="e">
        <f>#REF!/N$5*1000/12</f>
        <v>#REF!</v>
      </c>
      <c r="Q53" s="2239" t="e">
        <f>#REF!/Q$5*1000/12</f>
        <v>#REF!</v>
      </c>
    </row>
    <row r="54" spans="1:17" x14ac:dyDescent="0.25">
      <c r="A54" s="1849" t="e">
        <f>#REF!</f>
        <v>#REF!</v>
      </c>
      <c r="B54" t="e">
        <f>#REF!</f>
        <v>#REF!</v>
      </c>
      <c r="C54" s="88" t="e">
        <f>#REF!</f>
        <v>#REF!</v>
      </c>
      <c r="D54" t="e">
        <f>#REF!-#REF!</f>
        <v>#REF!</v>
      </c>
      <c r="E54" s="2239" t="e">
        <f>#REF!/E$5*1000/12</f>
        <v>#REF!</v>
      </c>
      <c r="H54" s="88" t="e">
        <f>#REF!/H$5*1000/12</f>
        <v>#REF!</v>
      </c>
      <c r="K54" s="2239" t="e">
        <f>#REF!/K$5*1000/12</f>
        <v>#REF!</v>
      </c>
      <c r="N54" s="88" t="e">
        <f>#REF!/N$5*1000/12</f>
        <v>#REF!</v>
      </c>
      <c r="Q54" s="2239" t="e">
        <f>#REF!/Q$5*1000/12</f>
        <v>#REF!</v>
      </c>
    </row>
    <row r="55" spans="1:17" x14ac:dyDescent="0.25">
      <c r="A55" s="1849" t="e">
        <f>#REF!</f>
        <v>#REF!</v>
      </c>
      <c r="B55" t="e">
        <f>#REF!</f>
        <v>#REF!</v>
      </c>
      <c r="C55" s="88" t="e">
        <f>#REF!</f>
        <v>#REF!</v>
      </c>
      <c r="D55" t="e">
        <f>#REF!-#REF!</f>
        <v>#REF!</v>
      </c>
      <c r="E55" s="2239" t="e">
        <f>#REF!/E$5*1000/12</f>
        <v>#REF!</v>
      </c>
      <c r="H55" s="88" t="e">
        <f>#REF!/H$5*1000/12</f>
        <v>#REF!</v>
      </c>
      <c r="K55" s="2239" t="e">
        <f>#REF!/K$5*1000/12</f>
        <v>#REF!</v>
      </c>
      <c r="N55" s="88" t="e">
        <f>#REF!/N$5*1000/12</f>
        <v>#REF!</v>
      </c>
      <c r="Q55" s="2239" t="e">
        <f>#REF!/Q$5*1000/12</f>
        <v>#REF!</v>
      </c>
    </row>
    <row r="56" spans="1:17" x14ac:dyDescent="0.25">
      <c r="A56" s="1849" t="e">
        <f>#REF!</f>
        <v>#REF!</v>
      </c>
      <c r="B56" t="e">
        <f>#REF!</f>
        <v>#REF!</v>
      </c>
      <c r="C56" s="88" t="e">
        <f>#REF!</f>
        <v>#REF!</v>
      </c>
      <c r="D56" t="e">
        <f>#REF!-#REF!</f>
        <v>#REF!</v>
      </c>
      <c r="E56" s="2239" t="e">
        <f>#REF!/E$5*1000/12</f>
        <v>#REF!</v>
      </c>
      <c r="H56" s="88" t="e">
        <f>#REF!/H$5*1000/12</f>
        <v>#REF!</v>
      </c>
      <c r="K56" s="2239" t="e">
        <f>#REF!/K$5*1000/12</f>
        <v>#REF!</v>
      </c>
      <c r="N56" s="88" t="e">
        <f>#REF!/N$5*1000/12</f>
        <v>#REF!</v>
      </c>
      <c r="Q56" s="2239" t="e">
        <f>#REF!/Q$5*1000/12</f>
        <v>#REF!</v>
      </c>
    </row>
    <row r="57" spans="1:17" x14ac:dyDescent="0.25">
      <c r="A57" s="1849" t="e">
        <f>#REF!</f>
        <v>#REF!</v>
      </c>
      <c r="B57" t="e">
        <f>#REF!</f>
        <v>#REF!</v>
      </c>
      <c r="C57" s="88" t="e">
        <f>#REF!</f>
        <v>#REF!</v>
      </c>
      <c r="D57" t="e">
        <f>#REF!-#REF!</f>
        <v>#REF!</v>
      </c>
      <c r="E57" s="2239" t="e">
        <f>#REF!/E$5*1000/12</f>
        <v>#REF!</v>
      </c>
      <c r="H57" s="88" t="e">
        <f>#REF!/H$5*1000/12</f>
        <v>#REF!</v>
      </c>
      <c r="K57" s="2239" t="e">
        <f>#REF!/K$5*1000/12</f>
        <v>#REF!</v>
      </c>
      <c r="N57" s="88" t="e">
        <f>#REF!/N$5*1000/12</f>
        <v>#REF!</v>
      </c>
      <c r="Q57" s="2239" t="e">
        <f>#REF!/Q$5*1000/12</f>
        <v>#REF!</v>
      </c>
    </row>
    <row r="58" spans="1:17" x14ac:dyDescent="0.25">
      <c r="A58" s="1849" t="e">
        <f>#REF!</f>
        <v>#REF!</v>
      </c>
      <c r="B58" t="e">
        <f>#REF!</f>
        <v>#REF!</v>
      </c>
      <c r="C58" s="88" t="e">
        <f>#REF!</f>
        <v>#REF!</v>
      </c>
      <c r="D58" t="e">
        <f>#REF!-#REF!</f>
        <v>#REF!</v>
      </c>
      <c r="E58" s="2239" t="e">
        <f>#REF!/E$5*1000/12</f>
        <v>#REF!</v>
      </c>
      <c r="H58" s="88" t="e">
        <f>#REF!/H$5*1000/12</f>
        <v>#REF!</v>
      </c>
      <c r="K58" s="2239" t="e">
        <f>#REF!/K$5*1000/12</f>
        <v>#REF!</v>
      </c>
      <c r="N58" s="88" t="e">
        <f>#REF!/N$5*1000/12</f>
        <v>#REF!</v>
      </c>
      <c r="Q58" s="2239" t="e">
        <f>#REF!/Q$5*1000/12</f>
        <v>#REF!</v>
      </c>
    </row>
    <row r="59" spans="1:17" x14ac:dyDescent="0.25">
      <c r="A59" s="1849" t="e">
        <f>#REF!</f>
        <v>#REF!</v>
      </c>
      <c r="B59" t="e">
        <f>#REF!</f>
        <v>#REF!</v>
      </c>
      <c r="C59" s="88" t="e">
        <f>#REF!</f>
        <v>#REF!</v>
      </c>
      <c r="D59" t="e">
        <f>#REF!-#REF!</f>
        <v>#REF!</v>
      </c>
      <c r="E59" s="2239" t="e">
        <f>#REF!/E$5*1000/12</f>
        <v>#REF!</v>
      </c>
      <c r="H59" s="88" t="e">
        <f>#REF!/H$5*1000/12</f>
        <v>#REF!</v>
      </c>
      <c r="K59" s="2239" t="e">
        <f>#REF!/K$5*1000/12</f>
        <v>#REF!</v>
      </c>
      <c r="N59" s="88" t="e">
        <f>#REF!/N$5*1000/12</f>
        <v>#REF!</v>
      </c>
      <c r="Q59" s="2239" t="e">
        <f>#REF!/Q$5*1000/12</f>
        <v>#REF!</v>
      </c>
    </row>
    <row r="60" spans="1:17" x14ac:dyDescent="0.25">
      <c r="A60" s="1849" t="e">
        <f>#REF!</f>
        <v>#REF!</v>
      </c>
      <c r="B60" t="e">
        <f>#REF!</f>
        <v>#REF!</v>
      </c>
      <c r="C60" s="88" t="e">
        <f>#REF!</f>
        <v>#REF!</v>
      </c>
      <c r="D60" t="e">
        <f>#REF!-#REF!</f>
        <v>#REF!</v>
      </c>
      <c r="E60" s="2239" t="e">
        <f>#REF!/E$5*1000/12</f>
        <v>#REF!</v>
      </c>
      <c r="H60" s="88" t="e">
        <f>#REF!/H$5*1000/12</f>
        <v>#REF!</v>
      </c>
      <c r="K60" s="2239" t="e">
        <f>#REF!/K$5*1000/12</f>
        <v>#REF!</v>
      </c>
      <c r="N60" s="88" t="e">
        <f>#REF!/N$5*1000/12</f>
        <v>#REF!</v>
      </c>
      <c r="Q60" s="2239" t="e">
        <f>#REF!/Q$5*1000/12</f>
        <v>#REF!</v>
      </c>
    </row>
    <row r="61" spans="1:17" x14ac:dyDescent="0.25">
      <c r="A61" s="1849" t="e">
        <f>#REF!</f>
        <v>#REF!</v>
      </c>
      <c r="B61" t="e">
        <f>#REF!</f>
        <v>#REF!</v>
      </c>
      <c r="C61" s="88" t="e">
        <f>#REF!</f>
        <v>#REF!</v>
      </c>
      <c r="D61" t="e">
        <f>#REF!-#REF!</f>
        <v>#REF!</v>
      </c>
      <c r="E61" s="2239" t="e">
        <f>#REF!/E$5*1000/12</f>
        <v>#REF!</v>
      </c>
      <c r="H61" s="88" t="e">
        <f>#REF!/H$5*1000/12</f>
        <v>#REF!</v>
      </c>
      <c r="K61" s="2239" t="e">
        <f>#REF!/K$5*1000/12</f>
        <v>#REF!</v>
      </c>
      <c r="N61" s="88" t="e">
        <f>#REF!/N$5*1000/12</f>
        <v>#REF!</v>
      </c>
      <c r="Q61" s="2239" t="e">
        <f>#REF!/Q$5*1000/12</f>
        <v>#REF!</v>
      </c>
    </row>
    <row r="62" spans="1:17" x14ac:dyDescent="0.25">
      <c r="A62" s="1849" t="e">
        <f>#REF!</f>
        <v>#REF!</v>
      </c>
      <c r="B62" t="e">
        <f>#REF!</f>
        <v>#REF!</v>
      </c>
      <c r="C62" s="88" t="e">
        <f>#REF!</f>
        <v>#REF!</v>
      </c>
      <c r="D62" t="e">
        <f>#REF!-#REF!</f>
        <v>#REF!</v>
      </c>
      <c r="E62" s="2239" t="e">
        <f>#REF!/E$5*1000/12</f>
        <v>#REF!</v>
      </c>
      <c r="H62" s="88" t="e">
        <f>#REF!/H$5*1000/12</f>
        <v>#REF!</v>
      </c>
      <c r="K62" s="2239" t="e">
        <f>#REF!/K$5*1000/12</f>
        <v>#REF!</v>
      </c>
      <c r="N62" s="88" t="e">
        <f>#REF!/N$5*1000/12</f>
        <v>#REF!</v>
      </c>
      <c r="Q62" s="2239" t="e">
        <f>#REF!/Q$5*1000/12</f>
        <v>#REF!</v>
      </c>
    </row>
    <row r="63" spans="1:17" x14ac:dyDescent="0.25">
      <c r="A63" s="1849" t="e">
        <f>#REF!</f>
        <v>#REF!</v>
      </c>
      <c r="B63" t="e">
        <f>#REF!</f>
        <v>#REF!</v>
      </c>
      <c r="C63" s="88" t="e">
        <f>#REF!</f>
        <v>#REF!</v>
      </c>
      <c r="D63" t="e">
        <f>#REF!-#REF!</f>
        <v>#REF!</v>
      </c>
      <c r="E63" s="2239" t="e">
        <f>#REF!/E$5*1000/12</f>
        <v>#REF!</v>
      </c>
      <c r="H63" s="88" t="e">
        <f>#REF!/H$5*1000/12</f>
        <v>#REF!</v>
      </c>
      <c r="K63" s="2239" t="e">
        <f>#REF!/K$5*1000/12</f>
        <v>#REF!</v>
      </c>
      <c r="N63" s="88" t="e">
        <f>#REF!/N$5*1000/12</f>
        <v>#REF!</v>
      </c>
      <c r="Q63" s="2239" t="e">
        <f>#REF!/Q$5*1000/12</f>
        <v>#REF!</v>
      </c>
    </row>
    <row r="64" spans="1:17" x14ac:dyDescent="0.25">
      <c r="A64" s="1849" t="e">
        <f>#REF!</f>
        <v>#REF!</v>
      </c>
      <c r="B64" t="e">
        <f>#REF!</f>
        <v>#REF!</v>
      </c>
      <c r="C64" s="88" t="e">
        <f>#REF!</f>
        <v>#REF!</v>
      </c>
      <c r="D64" t="e">
        <f>#REF!-#REF!</f>
        <v>#REF!</v>
      </c>
      <c r="E64" s="2239" t="e">
        <f>#REF!/E$5*1000/12</f>
        <v>#REF!</v>
      </c>
      <c r="H64" s="88" t="e">
        <f>#REF!/H$5*1000/12</f>
        <v>#REF!</v>
      </c>
      <c r="K64" s="2239" t="e">
        <f>#REF!/K$5*1000/12</f>
        <v>#REF!</v>
      </c>
      <c r="N64" s="88" t="e">
        <f>#REF!/N$5*1000/12</f>
        <v>#REF!</v>
      </c>
      <c r="Q64" s="2239" t="e">
        <f>#REF!/Q$5*1000/12</f>
        <v>#REF!</v>
      </c>
    </row>
    <row r="65" spans="1:17" x14ac:dyDescent="0.25">
      <c r="A65" s="1849" t="e">
        <f>#REF!</f>
        <v>#REF!</v>
      </c>
      <c r="B65" t="e">
        <f>#REF!</f>
        <v>#REF!</v>
      </c>
      <c r="C65" t="e">
        <f>#REF!-#REF!</f>
        <v>#REF!</v>
      </c>
      <c r="D65" t="e">
        <f>#REF!-#REF!</f>
        <v>#REF!</v>
      </c>
      <c r="E65" s="2239"/>
      <c r="H65" s="88"/>
    </row>
    <row r="66" spans="1:17" x14ac:dyDescent="0.25">
      <c r="A66" s="1849" t="e">
        <f>#REF!</f>
        <v>#REF!</v>
      </c>
      <c r="B66" t="e">
        <f>#REF!</f>
        <v>#REF!</v>
      </c>
      <c r="C66" t="e">
        <f>#REF!-#REF!</f>
        <v>#REF!</v>
      </c>
      <c r="D66" t="e">
        <f>#REF!-#REF!</f>
        <v>#REF!</v>
      </c>
      <c r="E66" s="2239"/>
      <c r="H66" s="88"/>
    </row>
    <row r="67" spans="1:17" x14ac:dyDescent="0.25">
      <c r="A67" s="1849" t="e">
        <f>#REF!</f>
        <v>#REF!</v>
      </c>
      <c r="B67" t="e">
        <f>#REF!</f>
        <v>#REF!</v>
      </c>
      <c r="E67" s="2239"/>
    </row>
    <row r="68" spans="1:17" s="1764" customFormat="1" x14ac:dyDescent="0.25">
      <c r="A68" s="2116" t="e">
        <f>#REF!</f>
        <v>#REF!</v>
      </c>
      <c r="B68" s="1764" t="e">
        <f>#REF!</f>
        <v>#REF!</v>
      </c>
      <c r="C68" s="2125" t="e">
        <f>#REF!</f>
        <v>#REF!</v>
      </c>
      <c r="D68" s="2240"/>
      <c r="E68" s="2240"/>
      <c r="F68" s="2125"/>
      <c r="G68" s="2125" t="e">
        <f>#REF!</f>
        <v>#REF!</v>
      </c>
      <c r="H68" s="2125"/>
      <c r="I68" s="2125"/>
      <c r="J68" s="2125" t="e">
        <f>#REF!</f>
        <v>#REF!</v>
      </c>
      <c r="K68" s="2125"/>
      <c r="L68" s="2125"/>
      <c r="M68" s="2125" t="e">
        <f>#REF!</f>
        <v>#REF!</v>
      </c>
      <c r="N68" s="2125"/>
      <c r="O68" s="2125"/>
      <c r="P68" s="2125" t="e">
        <f>#REF!</f>
        <v>#REF!</v>
      </c>
      <c r="Q68" s="2125"/>
    </row>
    <row r="69" spans="1:17" s="1764" customFormat="1" x14ac:dyDescent="0.25">
      <c r="A69" s="2116" t="e">
        <f>#REF!</f>
        <v>#REF!</v>
      </c>
      <c r="B69" s="1764" t="e">
        <f>#REF!</f>
        <v>#REF!</v>
      </c>
      <c r="C69" s="2125" t="e">
        <f>#REF!</f>
        <v>#REF!</v>
      </c>
      <c r="E69" s="2240" t="e">
        <f>#REF!/12</f>
        <v>#REF!</v>
      </c>
      <c r="F69" s="2125"/>
      <c r="G69" s="2125"/>
      <c r="H69" s="2125" t="e">
        <f>#REF!/12</f>
        <v>#REF!</v>
      </c>
      <c r="I69" s="2125"/>
      <c r="J69" s="2125"/>
      <c r="K69" s="2125" t="e">
        <f>#REF!/12</f>
        <v>#REF!</v>
      </c>
      <c r="L69" s="2125"/>
      <c r="M69" s="2125"/>
      <c r="N69" s="2125" t="e">
        <f>#REF!/12</f>
        <v>#REF!</v>
      </c>
      <c r="O69" s="2125"/>
      <c r="P69" s="2125"/>
      <c r="Q69" s="2125" t="e">
        <f>#REF!/12</f>
        <v>#REF!</v>
      </c>
    </row>
    <row r="70" spans="1:17" x14ac:dyDescent="0.25">
      <c r="A70" s="1849" t="e">
        <f>#REF!</f>
        <v>#REF!</v>
      </c>
      <c r="B70" t="e">
        <f>#REF!</f>
        <v>#REF!</v>
      </c>
      <c r="C70" t="e">
        <f>#REF!-#REF!</f>
        <v>#REF!</v>
      </c>
      <c r="E70" s="2239"/>
    </row>
    <row r="71" spans="1:17" x14ac:dyDescent="0.25">
      <c r="A71" s="1849" t="e">
        <f>#REF!</f>
        <v>#REF!</v>
      </c>
      <c r="B71" t="e">
        <f>#REF!</f>
        <v>#REF!</v>
      </c>
      <c r="C71" t="e">
        <f>#REF!-#REF!</f>
        <v>#REF!</v>
      </c>
      <c r="E71" s="2239"/>
    </row>
    <row r="72" spans="1:17" x14ac:dyDescent="0.25">
      <c r="A72" s="1849" t="e">
        <f>#REF!</f>
        <v>#REF!</v>
      </c>
      <c r="B72" t="e">
        <f>#REF!</f>
        <v>#REF!</v>
      </c>
      <c r="C72" t="e">
        <f>#REF!-#REF!</f>
        <v>#REF!</v>
      </c>
      <c r="E72" s="2239" t="e">
        <f>#REF!</f>
        <v>#REF!</v>
      </c>
    </row>
    <row r="73" spans="1:17" x14ac:dyDescent="0.25">
      <c r="A73" s="1849" t="e">
        <f>#REF!</f>
        <v>#REF!</v>
      </c>
      <c r="B73" t="e">
        <f>#REF!</f>
        <v>#REF!</v>
      </c>
      <c r="C73" t="e">
        <f>#REF!-#REF!</f>
        <v>#REF!</v>
      </c>
    </row>
    <row r="74" spans="1:17" x14ac:dyDescent="0.25">
      <c r="A74" s="1849" t="e">
        <f>#REF!</f>
        <v>#REF!</v>
      </c>
      <c r="B74" t="e">
        <f>#REF!</f>
        <v>#REF!</v>
      </c>
      <c r="C74" t="e">
        <f>#REF!-#REF!</f>
        <v>#REF!</v>
      </c>
    </row>
    <row r="75" spans="1:17" x14ac:dyDescent="0.25">
      <c r="A75" s="1849" t="e">
        <f>#REF!</f>
        <v>#REF!</v>
      </c>
      <c r="B75" t="e">
        <f>#REF!</f>
        <v>#REF!</v>
      </c>
      <c r="C75" t="e">
        <f>#REF!-#REF!</f>
        <v>#REF!</v>
      </c>
    </row>
    <row r="76" spans="1:17" x14ac:dyDescent="0.25">
      <c r="A76" s="1849" t="e">
        <f>#REF!</f>
        <v>#REF!</v>
      </c>
      <c r="B76" t="e">
        <f>#REF!</f>
        <v>#REF!</v>
      </c>
      <c r="C76" t="e">
        <f>#REF!-#REF!</f>
        <v>#REF!</v>
      </c>
    </row>
    <row r="77" spans="1:17" x14ac:dyDescent="0.25">
      <c r="A77" s="1849" t="e">
        <f>#REF!</f>
        <v>#REF!</v>
      </c>
      <c r="B77" t="e">
        <f>#REF!</f>
        <v>#REF!</v>
      </c>
      <c r="C77" t="e">
        <f>#REF!-#REF!</f>
        <v>#REF!</v>
      </c>
    </row>
    <row r="78" spans="1:17" x14ac:dyDescent="0.25">
      <c r="A78" s="1849" t="e">
        <f>#REF!</f>
        <v>#REF!</v>
      </c>
      <c r="B78" t="e">
        <f>#REF!</f>
        <v>#REF!</v>
      </c>
      <c r="C78" t="e">
        <f>#REF!-#REF!</f>
        <v>#REF!</v>
      </c>
    </row>
    <row r="79" spans="1:17" x14ac:dyDescent="0.25">
      <c r="A79" s="1849" t="e">
        <f>#REF!</f>
        <v>#REF!</v>
      </c>
      <c r="B79" t="e">
        <f>#REF!</f>
        <v>#REF!</v>
      </c>
      <c r="C79" t="e">
        <f>#REF!-#REF!</f>
        <v>#REF!</v>
      </c>
    </row>
    <row r="80" spans="1:17" x14ac:dyDescent="0.25">
      <c r="A80" s="1849" t="e">
        <f>#REF!</f>
        <v>#REF!</v>
      </c>
      <c r="B80" t="e">
        <f>#REF!</f>
        <v>#REF!</v>
      </c>
      <c r="C80" t="e">
        <f>#REF!-#REF!</f>
        <v>#REF!</v>
      </c>
    </row>
    <row r="81" spans="1:3" x14ac:dyDescent="0.25">
      <c r="A81" s="1849" t="e">
        <f>#REF!</f>
        <v>#REF!</v>
      </c>
      <c r="B81" t="e">
        <f>#REF!</f>
        <v>#REF!</v>
      </c>
      <c r="C81" t="e">
        <f>#REF!-#REF!</f>
        <v>#REF!</v>
      </c>
    </row>
    <row r="82" spans="1:3" x14ac:dyDescent="0.25">
      <c r="A82" s="1849" t="e">
        <f>#REF!</f>
        <v>#REF!</v>
      </c>
      <c r="B82" t="e">
        <f>#REF!</f>
        <v>#REF!</v>
      </c>
      <c r="C82" t="e">
        <f>#REF!-#REF!</f>
        <v>#REF!</v>
      </c>
    </row>
    <row r="83" spans="1:3" x14ac:dyDescent="0.25">
      <c r="A83" s="1849" t="e">
        <f>#REF!</f>
        <v>#REF!</v>
      </c>
      <c r="B83" t="e">
        <f>#REF!</f>
        <v>#REF!</v>
      </c>
      <c r="C83" t="e">
        <f>#REF!-#REF!</f>
        <v>#REF!</v>
      </c>
    </row>
    <row r="84" spans="1:3" x14ac:dyDescent="0.25">
      <c r="A84" s="1849" t="e">
        <f>#REF!</f>
        <v>#REF!</v>
      </c>
      <c r="B84" t="e">
        <f>#REF!</f>
        <v>#REF!</v>
      </c>
      <c r="C84" t="e">
        <f>#REF!-#REF!</f>
        <v>#REF!</v>
      </c>
    </row>
    <row r="85" spans="1:3" x14ac:dyDescent="0.25">
      <c r="A85" s="1849" t="e">
        <f>#REF!</f>
        <v>#REF!</v>
      </c>
      <c r="B85" t="e">
        <f>#REF!</f>
        <v>#REF!</v>
      </c>
      <c r="C85" t="e">
        <f>#REF!-#REF!</f>
        <v>#REF!</v>
      </c>
    </row>
    <row r="86" spans="1:3" x14ac:dyDescent="0.25">
      <c r="A86" s="1849" t="e">
        <f>#REF!</f>
        <v>#REF!</v>
      </c>
      <c r="B86" t="e">
        <f>#REF!</f>
        <v>#REF!</v>
      </c>
      <c r="C86" t="e">
        <f>#REF!-#REF!</f>
        <v>#REF!</v>
      </c>
    </row>
    <row r="87" spans="1:3" x14ac:dyDescent="0.25">
      <c r="A87" s="1849" t="e">
        <f>#REF!</f>
        <v>#REF!</v>
      </c>
      <c r="B87" t="e">
        <f>#REF!</f>
        <v>#REF!</v>
      </c>
      <c r="C87" t="e">
        <f>#REF!-#REF!</f>
        <v>#REF!</v>
      </c>
    </row>
    <row r="88" spans="1:3" x14ac:dyDescent="0.25">
      <c r="A88" s="1849" t="e">
        <f>#REF!</f>
        <v>#REF!</v>
      </c>
      <c r="B88" t="e">
        <f>#REF!</f>
        <v>#REF!</v>
      </c>
      <c r="C88" t="e">
        <f>#REF!-#REF!</f>
        <v>#REF!</v>
      </c>
    </row>
    <row r="89" spans="1:3" x14ac:dyDescent="0.25">
      <c r="A89" s="1849" t="e">
        <f>#REF!</f>
        <v>#REF!</v>
      </c>
      <c r="B89" t="e">
        <f>#REF!</f>
        <v>#REF!</v>
      </c>
      <c r="C89" t="e">
        <f>#REF!-#REF!</f>
        <v>#REF!</v>
      </c>
    </row>
    <row r="90" spans="1:3" x14ac:dyDescent="0.25">
      <c r="A90" s="1849" t="e">
        <f>#REF!</f>
        <v>#REF!</v>
      </c>
      <c r="B90" t="e">
        <f>#REF!</f>
        <v>#REF!</v>
      </c>
      <c r="C90" t="e">
        <f>#REF!-#REF!</f>
        <v>#REF!</v>
      </c>
    </row>
    <row r="91" spans="1:3" x14ac:dyDescent="0.25">
      <c r="A91" s="1849" t="e">
        <f>#REF!</f>
        <v>#REF!</v>
      </c>
      <c r="B91" t="e">
        <f>#REF!</f>
        <v>#REF!</v>
      </c>
      <c r="C91" t="e">
        <f>#REF!-#REF!</f>
        <v>#REF!</v>
      </c>
    </row>
    <row r="92" spans="1:3" x14ac:dyDescent="0.25">
      <c r="A92" s="1849" t="e">
        <f>#REF!</f>
        <v>#REF!</v>
      </c>
      <c r="B92" t="e">
        <f>#REF!</f>
        <v>#REF!</v>
      </c>
      <c r="C92" t="e">
        <f>#REF!-#REF!</f>
        <v>#REF!</v>
      </c>
    </row>
    <row r="93" spans="1:3" x14ac:dyDescent="0.25">
      <c r="A93" s="1849" t="e">
        <f>#REF!</f>
        <v>#REF!</v>
      </c>
      <c r="B93" t="e">
        <f>#REF!</f>
        <v>#REF!</v>
      </c>
      <c r="C93" t="e">
        <f>#REF!-#REF!</f>
        <v>#REF!</v>
      </c>
    </row>
    <row r="94" spans="1:3" x14ac:dyDescent="0.25">
      <c r="A94" s="1849" t="e">
        <f>#REF!</f>
        <v>#REF!</v>
      </c>
      <c r="B94" t="e">
        <f>#REF!</f>
        <v>#REF!</v>
      </c>
      <c r="C94" t="e">
        <f>#REF!-#REF!</f>
        <v>#REF!</v>
      </c>
    </row>
    <row r="95" spans="1:3" x14ac:dyDescent="0.25">
      <c r="A95" s="1849" t="e">
        <f>#REF!</f>
        <v>#REF!</v>
      </c>
      <c r="B95" t="e">
        <f>#REF!</f>
        <v>#REF!</v>
      </c>
      <c r="C95" t="e">
        <f>#REF!-#REF!</f>
        <v>#REF!</v>
      </c>
    </row>
    <row r="96" spans="1:3" x14ac:dyDescent="0.25">
      <c r="A96" s="1849" t="e">
        <f>#REF!</f>
        <v>#REF!</v>
      </c>
      <c r="B96" t="e">
        <f>#REF!</f>
        <v>#REF!</v>
      </c>
      <c r="C96" t="e">
        <f>#REF!-#REF!</f>
        <v>#REF!</v>
      </c>
    </row>
    <row r="97" spans="1:3" x14ac:dyDescent="0.25">
      <c r="A97" s="1849" t="e">
        <f>#REF!</f>
        <v>#REF!</v>
      </c>
      <c r="B97" t="e">
        <f>#REF!</f>
        <v>#REF!</v>
      </c>
      <c r="C97" t="e">
        <f>#REF!-#REF!</f>
        <v>#REF!</v>
      </c>
    </row>
    <row r="98" spans="1:3" x14ac:dyDescent="0.25">
      <c r="A98" s="1849" t="e">
        <f>#REF!</f>
        <v>#REF!</v>
      </c>
      <c r="B98" t="e">
        <f>#REF!</f>
        <v>#REF!</v>
      </c>
      <c r="C98" t="e">
        <f>#REF!-#REF!</f>
        <v>#REF!</v>
      </c>
    </row>
    <row r="99" spans="1:3" x14ac:dyDescent="0.25">
      <c r="A99" s="1849" t="e">
        <f>#REF!</f>
        <v>#REF!</v>
      </c>
      <c r="B99" t="e">
        <f>#REF!</f>
        <v>#REF!</v>
      </c>
      <c r="C99" t="e">
        <f>#REF!-#REF!</f>
        <v>#REF!</v>
      </c>
    </row>
    <row r="100" spans="1:3" x14ac:dyDescent="0.25">
      <c r="A100" s="1849" t="e">
        <f>#REF!</f>
        <v>#REF!</v>
      </c>
      <c r="B100" t="e">
        <f>#REF!</f>
        <v>#REF!</v>
      </c>
      <c r="C100" t="e">
        <f>#REF!-#REF!</f>
        <v>#REF!</v>
      </c>
    </row>
    <row r="101" spans="1:3" x14ac:dyDescent="0.25">
      <c r="A101" s="1849" t="e">
        <f>#REF!</f>
        <v>#REF!</v>
      </c>
      <c r="B101" t="e">
        <f>#REF!</f>
        <v>#REF!</v>
      </c>
      <c r="C101" t="e">
        <f>#REF!-#REF!</f>
        <v>#REF!</v>
      </c>
    </row>
    <row r="102" spans="1:3" x14ac:dyDescent="0.25">
      <c r="A102" s="1849" t="e">
        <f>#REF!</f>
        <v>#REF!</v>
      </c>
      <c r="B102" t="e">
        <f>#REF!</f>
        <v>#REF!</v>
      </c>
      <c r="C102" t="e">
        <f>#REF!-#REF!</f>
        <v>#REF!</v>
      </c>
    </row>
    <row r="103" spans="1:3" x14ac:dyDescent="0.25">
      <c r="A103" s="1849" t="e">
        <f>#REF!</f>
        <v>#REF!</v>
      </c>
      <c r="B103" t="e">
        <f>#REF!</f>
        <v>#REF!</v>
      </c>
      <c r="C103" t="e">
        <f>#REF!-#REF!</f>
        <v>#REF!</v>
      </c>
    </row>
    <row r="104" spans="1:3" x14ac:dyDescent="0.25">
      <c r="A104" s="1849" t="e">
        <f>#REF!</f>
        <v>#REF!</v>
      </c>
      <c r="B104" t="e">
        <f>#REF!</f>
        <v>#REF!</v>
      </c>
      <c r="C104" t="e">
        <f>#REF!-#REF!</f>
        <v>#REF!</v>
      </c>
    </row>
    <row r="105" spans="1:3" x14ac:dyDescent="0.25">
      <c r="A105" s="1849" t="e">
        <f>#REF!</f>
        <v>#REF!</v>
      </c>
      <c r="B105" t="e">
        <f>#REF!</f>
        <v>#REF!</v>
      </c>
      <c r="C105" t="e">
        <f>#REF!-#REF!</f>
        <v>#REF!</v>
      </c>
    </row>
    <row r="106" spans="1:3" x14ac:dyDescent="0.25">
      <c r="A106" s="1849" t="e">
        <f>#REF!</f>
        <v>#REF!</v>
      </c>
      <c r="B106" t="e">
        <f>#REF!</f>
        <v>#REF!</v>
      </c>
      <c r="C106" t="e">
        <f>#REF!-#REF!</f>
        <v>#REF!</v>
      </c>
    </row>
    <row r="107" spans="1:3" x14ac:dyDescent="0.25">
      <c r="A107" s="1849" t="e">
        <f>#REF!</f>
        <v>#REF!</v>
      </c>
      <c r="B107" t="e">
        <f>#REF!</f>
        <v>#REF!</v>
      </c>
      <c r="C107" t="e">
        <f>#REF!-#REF!</f>
        <v>#REF!</v>
      </c>
    </row>
    <row r="108" spans="1:3" x14ac:dyDescent="0.25">
      <c r="A108" s="1849" t="e">
        <f>#REF!</f>
        <v>#REF!</v>
      </c>
      <c r="B108" t="e">
        <f>#REF!</f>
        <v>#REF!</v>
      </c>
      <c r="C108" t="e">
        <f>#REF!-#REF!</f>
        <v>#REF!</v>
      </c>
    </row>
    <row r="109" spans="1:3" x14ac:dyDescent="0.25">
      <c r="A109" s="1849" t="e">
        <f>#REF!</f>
        <v>#REF!</v>
      </c>
      <c r="B109" t="e">
        <f>#REF!</f>
        <v>#REF!</v>
      </c>
      <c r="C109" t="e">
        <f>#REF!-#REF!</f>
        <v>#REF!</v>
      </c>
    </row>
    <row r="110" spans="1:3" x14ac:dyDescent="0.25">
      <c r="A110" s="1849" t="e">
        <f>#REF!</f>
        <v>#REF!</v>
      </c>
      <c r="B110" t="e">
        <f>#REF!</f>
        <v>#REF!</v>
      </c>
      <c r="C110" t="e">
        <f>#REF!-#REF!</f>
        <v>#REF!</v>
      </c>
    </row>
    <row r="111" spans="1:3" x14ac:dyDescent="0.25">
      <c r="A111" s="1849" t="e">
        <f>#REF!</f>
        <v>#REF!</v>
      </c>
      <c r="B111" t="e">
        <f>#REF!</f>
        <v>#REF!</v>
      </c>
      <c r="C111" t="e">
        <f>#REF!-#REF!</f>
        <v>#REF!</v>
      </c>
    </row>
    <row r="112" spans="1:3" x14ac:dyDescent="0.25">
      <c r="A112" s="1849" t="e">
        <f>#REF!</f>
        <v>#REF!</v>
      </c>
      <c r="B112" t="e">
        <f>#REF!</f>
        <v>#REF!</v>
      </c>
      <c r="C112" t="e">
        <f>#REF!-#REF!</f>
        <v>#REF!</v>
      </c>
    </row>
    <row r="113" spans="1:3" x14ac:dyDescent="0.25">
      <c r="A113" s="1849" t="e">
        <f>#REF!</f>
        <v>#REF!</v>
      </c>
      <c r="B113" t="e">
        <f>#REF!</f>
        <v>#REF!</v>
      </c>
      <c r="C113" t="e">
        <f>#REF!-#REF!</f>
        <v>#REF!</v>
      </c>
    </row>
    <row r="114" spans="1:3" x14ac:dyDescent="0.25">
      <c r="A114" s="1849" t="e">
        <f>#REF!</f>
        <v>#REF!</v>
      </c>
      <c r="B114" t="e">
        <f>#REF!</f>
        <v>#REF!</v>
      </c>
      <c r="C114" t="e">
        <f>#REF!-#REF!</f>
        <v>#REF!</v>
      </c>
    </row>
    <row r="115" spans="1:3" x14ac:dyDescent="0.25">
      <c r="A115" s="1849" t="e">
        <f>#REF!</f>
        <v>#REF!</v>
      </c>
      <c r="B115" t="e">
        <f>#REF!</f>
        <v>#REF!</v>
      </c>
      <c r="C115" t="e">
        <f>#REF!-#REF!</f>
        <v>#REF!</v>
      </c>
    </row>
    <row r="116" spans="1:3" x14ac:dyDescent="0.25">
      <c r="A116" s="1849" t="e">
        <f>#REF!</f>
        <v>#REF!</v>
      </c>
      <c r="B116" t="e">
        <f>#REF!</f>
        <v>#REF!</v>
      </c>
      <c r="C116" t="e">
        <f>#REF!-#REF!</f>
        <v>#REF!</v>
      </c>
    </row>
    <row r="117" spans="1:3" x14ac:dyDescent="0.25">
      <c r="A117" s="1849" t="e">
        <f>#REF!</f>
        <v>#REF!</v>
      </c>
      <c r="B117" t="e">
        <f>#REF!</f>
        <v>#REF!</v>
      </c>
      <c r="C117" t="e">
        <f>#REF!-#REF!</f>
        <v>#REF!</v>
      </c>
    </row>
    <row r="118" spans="1:3" x14ac:dyDescent="0.25">
      <c r="A118" s="1849" t="e">
        <f>#REF!</f>
        <v>#REF!</v>
      </c>
      <c r="B118" t="e">
        <f>#REF!</f>
        <v>#REF!</v>
      </c>
      <c r="C118" t="e">
        <f>#REF!-#REF!</f>
        <v>#REF!</v>
      </c>
    </row>
    <row r="119" spans="1:3" x14ac:dyDescent="0.25">
      <c r="A119" s="1849" t="e">
        <f>#REF!</f>
        <v>#REF!</v>
      </c>
      <c r="B119" t="e">
        <f>#REF!</f>
        <v>#REF!</v>
      </c>
      <c r="C119" t="e">
        <f>#REF!-#REF!</f>
        <v>#REF!</v>
      </c>
    </row>
    <row r="120" spans="1:3" x14ac:dyDescent="0.25">
      <c r="A120" s="1849" t="e">
        <f>#REF!</f>
        <v>#REF!</v>
      </c>
      <c r="B120" t="e">
        <f>#REF!</f>
        <v>#REF!</v>
      </c>
      <c r="C120" t="e">
        <f>#REF!-#REF!</f>
        <v>#REF!</v>
      </c>
    </row>
    <row r="121" spans="1:3" x14ac:dyDescent="0.25">
      <c r="A121" s="1849" t="e">
        <f>#REF!</f>
        <v>#REF!</v>
      </c>
      <c r="B121" t="e">
        <f>#REF!</f>
        <v>#REF!</v>
      </c>
      <c r="C121" t="e">
        <f>#REF!-#REF!</f>
        <v>#REF!</v>
      </c>
    </row>
    <row r="122" spans="1:3" x14ac:dyDescent="0.25">
      <c r="A122" s="1849" t="e">
        <f>#REF!</f>
        <v>#REF!</v>
      </c>
      <c r="B122" t="e">
        <f>#REF!</f>
        <v>#REF!</v>
      </c>
      <c r="C122" t="e">
        <f>#REF!-#REF!</f>
        <v>#REF!</v>
      </c>
    </row>
    <row r="123" spans="1:3" x14ac:dyDescent="0.25">
      <c r="A123" s="1849" t="e">
        <f>#REF!</f>
        <v>#REF!</v>
      </c>
      <c r="B123" t="e">
        <f>#REF!</f>
        <v>#REF!</v>
      </c>
      <c r="C123" t="e">
        <f>#REF!-#REF!</f>
        <v>#REF!</v>
      </c>
    </row>
    <row r="124" spans="1:3" x14ac:dyDescent="0.25">
      <c r="A124" s="1849" t="e">
        <f>#REF!</f>
        <v>#REF!</v>
      </c>
      <c r="B124" t="e">
        <f>#REF!</f>
        <v>#REF!</v>
      </c>
      <c r="C124" t="e">
        <f>#REF!-#REF!</f>
        <v>#REF!</v>
      </c>
    </row>
    <row r="125" spans="1:3" x14ac:dyDescent="0.25">
      <c r="A125" s="1849" t="e">
        <f>#REF!</f>
        <v>#REF!</v>
      </c>
      <c r="B125" t="e">
        <f>#REF!</f>
        <v>#REF!</v>
      </c>
      <c r="C125" t="e">
        <f>#REF!-#REF!</f>
        <v>#REF!</v>
      </c>
    </row>
    <row r="126" spans="1:3" x14ac:dyDescent="0.25">
      <c r="A126" s="1849" t="e">
        <f>#REF!</f>
        <v>#REF!</v>
      </c>
      <c r="B126" t="e">
        <f>#REF!</f>
        <v>#REF!</v>
      </c>
      <c r="C126" t="e">
        <f>#REF!-#REF!</f>
        <v>#REF!</v>
      </c>
    </row>
    <row r="127" spans="1:3" x14ac:dyDescent="0.25">
      <c r="A127" s="1849" t="e">
        <f>#REF!</f>
        <v>#REF!</v>
      </c>
      <c r="B127" t="e">
        <f>#REF!</f>
        <v>#REF!</v>
      </c>
      <c r="C127" t="e">
        <f>#REF!-#REF!</f>
        <v>#REF!</v>
      </c>
    </row>
    <row r="128" spans="1:3" x14ac:dyDescent="0.25">
      <c r="A128" s="1849" t="e">
        <f>#REF!</f>
        <v>#REF!</v>
      </c>
      <c r="B128" t="e">
        <f>#REF!</f>
        <v>#REF!</v>
      </c>
      <c r="C128" t="e">
        <f>#REF!-#REF!</f>
        <v>#REF!</v>
      </c>
    </row>
    <row r="129" spans="1:3" x14ac:dyDescent="0.25">
      <c r="A129" s="1849" t="e">
        <f>#REF!</f>
        <v>#REF!</v>
      </c>
      <c r="B129" t="e">
        <f>#REF!</f>
        <v>#REF!</v>
      </c>
      <c r="C129" t="e">
        <f>#REF!-#REF!</f>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W58"/>
  <sheetViews>
    <sheetView workbookViewId="0">
      <selection activeCell="P51" sqref="P51"/>
    </sheetView>
  </sheetViews>
  <sheetFormatPr defaultRowHeight="15" x14ac:dyDescent="0.25"/>
  <cols>
    <col min="1" max="1" width="18.28515625" customWidth="1"/>
    <col min="2" max="5" width="9.85546875" customWidth="1"/>
    <col min="6" max="6" width="9.7109375" customWidth="1"/>
    <col min="7" max="7" width="10.85546875" customWidth="1"/>
    <col min="8" max="8" width="9.7109375" customWidth="1"/>
    <col min="9" max="9" width="9.85546875" customWidth="1"/>
    <col min="10" max="10" width="12.7109375" style="1877" customWidth="1"/>
    <col min="11" max="11" width="12.42578125" customWidth="1"/>
    <col min="12" max="12" width="9.42578125" bestFit="1" customWidth="1"/>
    <col min="13" max="13" width="10.28515625" bestFit="1" customWidth="1"/>
    <col min="15" max="16" width="9.42578125" bestFit="1" customWidth="1"/>
  </cols>
  <sheetData>
    <row r="1" spans="1:23" ht="15.75" thickBot="1" x14ac:dyDescent="0.3">
      <c r="G1" t="str">
        <f>'Вхідні дані'!F1</f>
        <v>станом на 01.08.2023 року</v>
      </c>
    </row>
    <row r="2" spans="1:23" x14ac:dyDescent="0.25">
      <c r="A2" s="3698" t="s">
        <v>2268</v>
      </c>
      <c r="B2" s="3689">
        <f>'Вхідні дані'!F8</f>
        <v>2021</v>
      </c>
      <c r="C2" s="3689"/>
      <c r="D2" s="3689">
        <f>'Вхідні дані'!F7</f>
        <v>2022</v>
      </c>
      <c r="E2" s="3689"/>
      <c r="F2" s="3700" t="str">
        <f>'Вхідні дані'!F9</f>
        <v xml:space="preserve">Ріш. № 297 від 25.10.2022 </v>
      </c>
      <c r="G2" s="3700"/>
      <c r="H2" s="3689" t="str">
        <f>'Вхідні дані'!F6</f>
        <v>2023-2024</v>
      </c>
      <c r="I2" s="3690"/>
    </row>
    <row r="3" spans="1:23" ht="27.6" customHeight="1" x14ac:dyDescent="0.25">
      <c r="A3" s="3699"/>
      <c r="B3" s="1369" t="s">
        <v>2280</v>
      </c>
      <c r="C3" s="1370" t="s">
        <v>2279</v>
      </c>
      <c r="D3" s="1369" t="s">
        <v>2280</v>
      </c>
      <c r="E3" s="1370" t="s">
        <v>2279</v>
      </c>
      <c r="F3" s="1369" t="s">
        <v>2280</v>
      </c>
      <c r="G3" s="1370" t="s">
        <v>2279</v>
      </c>
      <c r="H3" s="1369" t="s">
        <v>2280</v>
      </c>
      <c r="I3" s="1370" t="s">
        <v>2279</v>
      </c>
      <c r="J3" s="2031" t="s">
        <v>2722</v>
      </c>
    </row>
    <row r="4" spans="1:23" x14ac:dyDescent="0.25">
      <c r="A4" s="1348" t="s">
        <v>1839</v>
      </c>
      <c r="B4" s="1347">
        <f>Виробництво_Транспортування_1ст!C9</f>
        <v>37690.845695999997</v>
      </c>
      <c r="C4" s="1347">
        <v>0</v>
      </c>
      <c r="D4" s="1347">
        <f>Виробництво_Транспортування_1ст!D9</f>
        <v>41665.44953999998</v>
      </c>
      <c r="E4" s="1347">
        <v>0</v>
      </c>
      <c r="F4" s="1347">
        <f>Виробництво_Транспортування_1ст!E9</f>
        <v>67516.94</v>
      </c>
      <c r="G4" s="1347"/>
      <c r="H4" s="1347">
        <f>Виробництво_Транспортування_1ст!F9</f>
        <v>19934.384574720101</v>
      </c>
      <c r="I4" s="1349"/>
      <c r="J4" s="2032">
        <f>H4-I4</f>
        <v>19934.384574720101</v>
      </c>
    </row>
    <row r="5" spans="1:23" x14ac:dyDescent="0.25">
      <c r="A5" s="1348" t="s">
        <v>1840</v>
      </c>
      <c r="B5" s="1347">
        <f>Виробництво_Транспортування_1ст!C100</f>
        <v>8220.3460240000004</v>
      </c>
      <c r="C5" s="1347">
        <v>0</v>
      </c>
      <c r="D5" s="1347">
        <f>Виробництво_Транспортування_1ст!D100</f>
        <v>5219.7268000000004</v>
      </c>
      <c r="E5" s="1347">
        <v>0</v>
      </c>
      <c r="F5" s="1347">
        <f>Виробництво_Транспортування_1ст!E100</f>
        <v>17900.439999999999</v>
      </c>
      <c r="G5" s="1347"/>
      <c r="H5" s="1347">
        <f>Виробництво_Транспортування_1ст!F100</f>
        <v>8809.639891446468</v>
      </c>
      <c r="I5" s="1349"/>
      <c r="J5" s="2032">
        <f t="shared" ref="J5:J9" si="0">H5-I5</f>
        <v>8809.639891446468</v>
      </c>
    </row>
    <row r="6" spans="1:23" x14ac:dyDescent="0.25">
      <c r="A6" s="1348" t="s">
        <v>2138</v>
      </c>
      <c r="B6" s="1347">
        <f>Постачання_1ст!C9</f>
        <v>845.76552000000015</v>
      </c>
      <c r="C6" s="1347">
        <v>0</v>
      </c>
      <c r="D6" s="1347">
        <f>Постачання_1ст!D9</f>
        <v>865.52</v>
      </c>
      <c r="E6" s="1347">
        <v>0</v>
      </c>
      <c r="F6" s="1347">
        <f>Постачання_1ст!E9</f>
        <v>914.12</v>
      </c>
      <c r="G6" s="1347"/>
      <c r="H6" s="1347">
        <f>Постачання_1ст!F9</f>
        <v>452.39715326115993</v>
      </c>
      <c r="I6" s="1349"/>
      <c r="J6" s="2032">
        <f t="shared" si="0"/>
        <v>452.39715326115993</v>
      </c>
    </row>
    <row r="7" spans="1:23" x14ac:dyDescent="0.25">
      <c r="A7" s="1348" t="s">
        <v>1841</v>
      </c>
      <c r="B7" s="1347">
        <f>ЗВВ_1ст!C8</f>
        <v>5040.0499999999993</v>
      </c>
      <c r="C7" s="1347">
        <v>0</v>
      </c>
      <c r="D7" s="1347">
        <f>ЗВВ_1ст!D8</f>
        <v>2778.9912100000001</v>
      </c>
      <c r="E7" s="1347">
        <v>0</v>
      </c>
      <c r="F7" s="1347">
        <f>ЗВВ_1ст!E8</f>
        <v>3934.04</v>
      </c>
      <c r="G7" s="1347"/>
      <c r="H7" s="2371">
        <f>ЗВВ_1ст!F8</f>
        <v>3888.8889964600007</v>
      </c>
      <c r="I7" s="2372"/>
      <c r="J7" s="2032">
        <f t="shared" si="0"/>
        <v>3888.8889964600007</v>
      </c>
      <c r="L7" s="2373" t="s">
        <v>3136</v>
      </c>
    </row>
    <row r="8" spans="1:23" x14ac:dyDescent="0.25">
      <c r="A8" s="1348" t="s">
        <v>1842</v>
      </c>
      <c r="B8" s="1347">
        <f>Адміністративні_1ст!C8</f>
        <v>1348.19</v>
      </c>
      <c r="C8" s="1347">
        <v>0</v>
      </c>
      <c r="D8" s="1347">
        <f>Адміністративні_1ст!D8</f>
        <v>953.57299999999998</v>
      </c>
      <c r="E8" s="1347">
        <v>0</v>
      </c>
      <c r="F8" s="1347">
        <f>Адміністративні_1ст!E8</f>
        <v>1568.4800000000002</v>
      </c>
      <c r="G8" s="1347"/>
      <c r="H8" s="2371">
        <f>Адміністративні_1ст!F8</f>
        <v>1192.1143775500002</v>
      </c>
      <c r="I8" s="2372"/>
      <c r="J8" s="2032">
        <f t="shared" si="0"/>
        <v>1192.1143775500002</v>
      </c>
    </row>
    <row r="9" spans="1:23" ht="15.75" thickBot="1" x14ac:dyDescent="0.3">
      <c r="A9" s="1350" t="s">
        <v>1002</v>
      </c>
      <c r="B9" s="1351">
        <f>SUM(B4:B8)</f>
        <v>53145.197239999994</v>
      </c>
      <c r="C9" s="1351">
        <v>0</v>
      </c>
      <c r="D9" s="1351">
        <f t="shared" ref="D9:F9" si="1">SUM(D4:D8)</f>
        <v>51483.26054999997</v>
      </c>
      <c r="E9" s="1351">
        <v>0</v>
      </c>
      <c r="F9" s="1351">
        <f t="shared" si="1"/>
        <v>91834.01999999999</v>
      </c>
      <c r="G9" s="1351"/>
      <c r="H9" s="1351">
        <f>SUM(H4:H8)</f>
        <v>34277.424993437737</v>
      </c>
      <c r="I9" s="1352"/>
      <c r="J9" s="2033">
        <f t="shared" si="0"/>
        <v>34277.424993437737</v>
      </c>
    </row>
    <row r="10" spans="1:23" ht="15.75" thickBot="1" x14ac:dyDescent="0.3">
      <c r="H10" s="88">
        <f>H9-ЗВВ_1ст!L8-Адміністративні_1ст!L8</f>
        <v>34277.424993437737</v>
      </c>
    </row>
    <row r="11" spans="1:23" x14ac:dyDescent="0.25">
      <c r="A11" s="3701" t="s">
        <v>2384</v>
      </c>
      <c r="B11" s="3691" t="s">
        <v>3226</v>
      </c>
      <c r="C11" s="3691"/>
      <c r="D11" s="3703" t="s">
        <v>2209</v>
      </c>
      <c r="H11" s="88">
        <f>сведено!G8</f>
        <v>34277.424993437729</v>
      </c>
    </row>
    <row r="12" spans="1:23" ht="15.75" thickBot="1" x14ac:dyDescent="0.3">
      <c r="A12" s="3702"/>
      <c r="B12" s="1712" t="s">
        <v>2385</v>
      </c>
      <c r="C12" s="1712" t="s">
        <v>2384</v>
      </c>
      <c r="D12" s="3703"/>
      <c r="H12" s="88">
        <f>H11-H10</f>
        <v>0</v>
      </c>
      <c r="I12" t="s">
        <v>3044</v>
      </c>
    </row>
    <row r="13" spans="1:23" x14ac:dyDescent="0.25">
      <c r="A13" s="1709" t="s">
        <v>1839</v>
      </c>
      <c r="B13" s="1347">
        <f>Виробництво_Транспортування_1ст!F16+Виробництво_Транспортування_1ст!F36</f>
        <v>38.451324029999995</v>
      </c>
      <c r="C13" s="1331">
        <f>ВОДА!J88+ВОДА!K88</f>
        <v>50.780038368769837</v>
      </c>
      <c r="D13" s="1713">
        <f>B13-C13</f>
        <v>-12.328714338769842</v>
      </c>
    </row>
    <row r="14" spans="1:23" x14ac:dyDescent="0.25">
      <c r="A14" s="1710" t="s">
        <v>1840</v>
      </c>
      <c r="B14" s="1347">
        <f>Виробництво_Транспортування_1ст!F103+Виробництво_Транспортування_1ст!F123</f>
        <v>128.08198557</v>
      </c>
      <c r="C14" s="1331">
        <f>ВОДА!L107</f>
        <v>807.57414590587723</v>
      </c>
      <c r="D14" s="1713">
        <f t="shared" ref="D14:D20" si="2">B14-C14</f>
        <v>-679.4921603358772</v>
      </c>
    </row>
    <row r="15" spans="1:23" x14ac:dyDescent="0.25">
      <c r="A15" s="1710" t="s">
        <v>2138</v>
      </c>
      <c r="B15" s="1347">
        <f>Постачання_1ст!F29</f>
        <v>0.14000000000000001</v>
      </c>
      <c r="C15" s="1331">
        <f>ВОДА!N88+ВОДА!O88</f>
        <v>0.23719230000000002</v>
      </c>
      <c r="D15" s="1713">
        <f t="shared" si="2"/>
        <v>-9.7192300000000009E-2</v>
      </c>
      <c r="N15" s="2002">
        <f>N25*1.2</f>
        <v>0</v>
      </c>
      <c r="O15" s="2002">
        <f t="shared" ref="O15:W15" si="3">O25*1.2</f>
        <v>0</v>
      </c>
      <c r="P15" s="2002">
        <f t="shared" si="3"/>
        <v>0</v>
      </c>
      <c r="Q15" s="2002">
        <f t="shared" si="3"/>
        <v>0</v>
      </c>
      <c r="R15" s="2002">
        <f t="shared" si="3"/>
        <v>0</v>
      </c>
      <c r="S15" s="2002">
        <f t="shared" si="3"/>
        <v>0</v>
      </c>
      <c r="T15" s="2002">
        <f t="shared" si="3"/>
        <v>0</v>
      </c>
      <c r="U15" s="2002">
        <f t="shared" si="3"/>
        <v>0</v>
      </c>
      <c r="V15" s="2002">
        <f t="shared" si="3"/>
        <v>0</v>
      </c>
      <c r="W15" s="2002">
        <f t="shared" si="3"/>
        <v>0</v>
      </c>
    </row>
    <row r="16" spans="1:23" x14ac:dyDescent="0.25">
      <c r="A16" s="1710" t="s">
        <v>1370</v>
      </c>
      <c r="B16" s="35"/>
      <c r="C16" s="1331">
        <f>ВОДА!T88+ВОДА!U88</f>
        <v>2.1256748999999995</v>
      </c>
      <c r="D16" s="1713">
        <f t="shared" si="2"/>
        <v>-2.1256748999999995</v>
      </c>
      <c r="N16" s="2002">
        <f t="shared" ref="N16:S18" si="4">N26*1.2</f>
        <v>0</v>
      </c>
      <c r="O16" s="2002">
        <f t="shared" si="4"/>
        <v>0</v>
      </c>
      <c r="P16" s="2002">
        <f t="shared" si="4"/>
        <v>0</v>
      </c>
      <c r="Q16" s="2002">
        <f t="shared" si="4"/>
        <v>0</v>
      </c>
      <c r="R16" s="2002">
        <f t="shared" si="4"/>
        <v>0</v>
      </c>
      <c r="S16" s="2002">
        <f t="shared" si="4"/>
        <v>0</v>
      </c>
      <c r="T16" s="2002"/>
      <c r="U16" s="2002"/>
      <c r="V16" s="2002"/>
      <c r="W16" s="2002"/>
    </row>
    <row r="17" spans="1:23" x14ac:dyDescent="0.25">
      <c r="A17" s="1710" t="s">
        <v>961</v>
      </c>
      <c r="B17" s="35"/>
      <c r="C17" s="1331">
        <f>ВОДА!V88+ВОДА!W88</f>
        <v>1.4492762999999997</v>
      </c>
      <c r="D17" s="1713">
        <f t="shared" si="2"/>
        <v>-1.4492762999999997</v>
      </c>
      <c r="N17" s="2002">
        <f t="shared" si="4"/>
        <v>0</v>
      </c>
      <c r="O17" s="2002">
        <f t="shared" si="4"/>
        <v>0</v>
      </c>
      <c r="P17" s="2002">
        <f t="shared" si="4"/>
        <v>0</v>
      </c>
      <c r="Q17" s="2002">
        <f t="shared" si="4"/>
        <v>0</v>
      </c>
      <c r="R17" s="2002">
        <f t="shared" si="4"/>
        <v>0</v>
      </c>
      <c r="S17" s="2002">
        <f t="shared" si="4"/>
        <v>0</v>
      </c>
      <c r="T17" s="2002"/>
      <c r="U17" s="2002"/>
      <c r="V17" s="2002"/>
      <c r="W17" s="2002"/>
    </row>
    <row r="18" spans="1:23" x14ac:dyDescent="0.25">
      <c r="A18" s="1710" t="s">
        <v>1841</v>
      </c>
      <c r="B18" s="1347">
        <f>ЗВВ_1ст!F27</f>
        <v>3.8479999999999999</v>
      </c>
      <c r="C18" s="1331">
        <f>ВОДА!P88+ВОДА!Q88</f>
        <v>2.9988629999999996</v>
      </c>
      <c r="D18" s="1713">
        <f t="shared" si="2"/>
        <v>0.84913700000000025</v>
      </c>
      <c r="N18" s="2002">
        <f t="shared" si="4"/>
        <v>10925.853258111962</v>
      </c>
      <c r="O18" s="2002">
        <f t="shared" si="4"/>
        <v>10022.321747918011</v>
      </c>
      <c r="P18" s="2002">
        <f t="shared" si="4"/>
        <v>6841.6254670671487</v>
      </c>
      <c r="Q18" s="2002">
        <f t="shared" si="4"/>
        <v>3905.3794183008722</v>
      </c>
      <c r="R18" s="2002">
        <f t="shared" si="4"/>
        <v>3001.8479081069227</v>
      </c>
      <c r="S18" s="2002">
        <f t="shared" si="4"/>
        <v>178.84837274393905</v>
      </c>
      <c r="T18" s="2002"/>
      <c r="U18" s="2002"/>
      <c r="V18" s="2002"/>
      <c r="W18" s="2002"/>
    </row>
    <row r="19" spans="1:23" x14ac:dyDescent="0.25">
      <c r="A19" s="1710" t="s">
        <v>1842</v>
      </c>
      <c r="B19" s="1347">
        <f>Адміністративні_1ст!F27</f>
        <v>1.119</v>
      </c>
      <c r="C19" s="1331">
        <f>ВОДА!R88+ВОДА!S88</f>
        <v>1.7789422500000001</v>
      </c>
      <c r="D19" s="1713">
        <f t="shared" si="2"/>
        <v>-0.65994225000000006</v>
      </c>
    </row>
    <row r="20" spans="1:23" ht="15.75" thickBot="1" x14ac:dyDescent="0.3">
      <c r="A20" s="1711" t="s">
        <v>1002</v>
      </c>
      <c r="B20" s="1347">
        <f>SUM(B13:B19)</f>
        <v>171.64030959999999</v>
      </c>
      <c r="C20" s="1347">
        <f>SUM(C13:C19)</f>
        <v>866.94413302464704</v>
      </c>
      <c r="D20" s="1713">
        <f t="shared" si="2"/>
        <v>-695.30382342464702</v>
      </c>
    </row>
    <row r="21" spans="1:23" ht="15.75" thickBot="1" x14ac:dyDescent="0.3">
      <c r="N21" t="s">
        <v>3145</v>
      </c>
      <c r="O21" t="s">
        <v>3144</v>
      </c>
      <c r="P21" t="s">
        <v>2877</v>
      </c>
      <c r="Q21" t="s">
        <v>3146</v>
      </c>
      <c r="R21" t="s">
        <v>3147</v>
      </c>
      <c r="S21" t="s">
        <v>3148</v>
      </c>
      <c r="T21" t="s">
        <v>3149</v>
      </c>
      <c r="U21" t="s">
        <v>3150</v>
      </c>
      <c r="V21" t="s">
        <v>3151</v>
      </c>
      <c r="W21" t="s">
        <v>3152</v>
      </c>
    </row>
    <row r="22" spans="1:23" s="1835" customFormat="1" ht="33" customHeight="1" x14ac:dyDescent="0.25">
      <c r="A22" s="3693" t="s">
        <v>2153</v>
      </c>
      <c r="B22" s="3695" t="s">
        <v>1839</v>
      </c>
      <c r="C22" s="3695"/>
      <c r="D22" s="3696"/>
      <c r="E22" s="3697" t="s">
        <v>2728</v>
      </c>
      <c r="F22" s="3697"/>
      <c r="G22" s="3692" t="s">
        <v>2157</v>
      </c>
      <c r="H22" s="3692"/>
      <c r="I22" s="3692" t="s">
        <v>2138</v>
      </c>
      <c r="J22" s="3692"/>
      <c r="K22" s="2040"/>
      <c r="N22" s="1712" t="s">
        <v>3138</v>
      </c>
      <c r="O22" s="1712" t="s">
        <v>2124</v>
      </c>
      <c r="P22" s="1712" t="s">
        <v>2125</v>
      </c>
      <c r="Q22" s="1712" t="s">
        <v>2126</v>
      </c>
      <c r="R22" s="1712" t="s">
        <v>3139</v>
      </c>
      <c r="S22" s="1712" t="s">
        <v>3140</v>
      </c>
      <c r="T22" s="1712" t="s">
        <v>865</v>
      </c>
      <c r="U22" s="1712" t="s">
        <v>3141</v>
      </c>
      <c r="V22" s="1712" t="s">
        <v>3142</v>
      </c>
      <c r="W22" s="1712" t="s">
        <v>3143</v>
      </c>
    </row>
    <row r="23" spans="1:23" ht="45.75" thickBot="1" x14ac:dyDescent="0.3">
      <c r="A23" s="3694"/>
      <c r="B23" s="2119" t="s">
        <v>2280</v>
      </c>
      <c r="C23" s="1370" t="s">
        <v>2279</v>
      </c>
      <c r="D23" s="1370" t="s">
        <v>2722</v>
      </c>
      <c r="E23" s="1369" t="s">
        <v>2280</v>
      </c>
      <c r="F23" s="1370" t="s">
        <v>2279</v>
      </c>
      <c r="G23" s="1369" t="s">
        <v>2280</v>
      </c>
      <c r="H23" s="1370" t="s">
        <v>2279</v>
      </c>
      <c r="I23" s="1369" t="s">
        <v>2280</v>
      </c>
      <c r="J23" s="1370" t="s">
        <v>2279</v>
      </c>
      <c r="K23" s="1877"/>
      <c r="N23" s="35"/>
      <c r="O23" s="35"/>
      <c r="P23" s="35"/>
      <c r="Q23" s="35"/>
      <c r="R23" s="35"/>
      <c r="S23" s="35"/>
      <c r="T23" s="35"/>
      <c r="U23" s="35"/>
      <c r="V23" s="35"/>
      <c r="W23" s="35"/>
    </row>
    <row r="24" spans="1:23" x14ac:dyDescent="0.25">
      <c r="A24" s="2120" t="s">
        <v>2154</v>
      </c>
      <c r="B24" s="1347">
        <f>'Д 2_Т на В'!H52</f>
        <v>5701.3545558892911</v>
      </c>
      <c r="C24" s="1347">
        <v>0</v>
      </c>
      <c r="D24" s="1347">
        <f>B24-C24</f>
        <v>5701.3545558892911</v>
      </c>
      <c r="E24" s="1347">
        <f>'Д 3_Т на Т з ЦТП'!G46</f>
        <v>3254.4828485840608</v>
      </c>
      <c r="F24" s="1347">
        <v>0</v>
      </c>
      <c r="G24" s="1347">
        <f>'Д 3.1_Т на Т без ЦТП'!G46</f>
        <v>2501.5399234224351</v>
      </c>
      <c r="H24" s="1347">
        <v>0</v>
      </c>
      <c r="I24" s="1347">
        <f>'Д 4_Т на П'!G46</f>
        <v>149.04031061994922</v>
      </c>
      <c r="J24" s="1349">
        <v>0</v>
      </c>
      <c r="K24" s="1347"/>
      <c r="N24" s="1347"/>
      <c r="O24" s="35"/>
      <c r="P24" s="35"/>
      <c r="Q24" s="35"/>
      <c r="R24" s="35"/>
      <c r="S24" s="35"/>
      <c r="T24" s="35"/>
      <c r="U24" s="35"/>
      <c r="V24" s="35"/>
      <c r="W24" s="35"/>
    </row>
    <row r="25" spans="1:23" x14ac:dyDescent="0.25">
      <c r="A25" s="1348" t="s">
        <v>3</v>
      </c>
      <c r="B25" s="1347">
        <f>'Д 2_Т на В'!L52</f>
        <v>0</v>
      </c>
      <c r="C25" s="1347">
        <v>0</v>
      </c>
      <c r="D25" s="1347">
        <f t="shared" ref="D25:D28" si="5">B25-C25</f>
        <v>0</v>
      </c>
      <c r="E25" s="1347">
        <f>'Д 3_Т на Т з ЦТП'!H46</f>
        <v>0</v>
      </c>
      <c r="F25" s="1347">
        <v>0</v>
      </c>
      <c r="G25" s="1347">
        <f>'Д 3.1_Т на Т без ЦТП'!H46</f>
        <v>0</v>
      </c>
      <c r="H25" s="1347">
        <v>0</v>
      </c>
      <c r="I25" s="1347"/>
      <c r="J25" s="1349"/>
      <c r="K25" s="1347"/>
      <c r="M25" s="88"/>
      <c r="N25" s="1347">
        <f>'Додаток 1 до рішення'!D9</f>
        <v>0</v>
      </c>
      <c r="O25" s="1347">
        <f>'Додаток 2 до рішення'!D9</f>
        <v>0</v>
      </c>
      <c r="P25" s="1347">
        <f>'Додаток 3 до рішення'!D8</f>
        <v>0</v>
      </c>
      <c r="Q25" s="1347">
        <f>'Додаток 4 до рішення'!D8</f>
        <v>0</v>
      </c>
      <c r="R25" s="1347">
        <f>'Додаток 5 до рішення'!D8</f>
        <v>0</v>
      </c>
      <c r="S25" s="1347">
        <f>'Додаток 6 до рішення'!D8</f>
        <v>0</v>
      </c>
      <c r="T25" s="35"/>
      <c r="U25" s="35"/>
      <c r="V25" s="35"/>
      <c r="W25" s="35"/>
    </row>
    <row r="26" spans="1:23" x14ac:dyDescent="0.25">
      <c r="A26" s="1348" t="s">
        <v>2729</v>
      </c>
      <c r="B26" s="1347">
        <f>'Д 2_Т на В'!P52</f>
        <v>0</v>
      </c>
      <c r="C26" s="1347">
        <v>0</v>
      </c>
      <c r="D26" s="1347">
        <f t="shared" si="5"/>
        <v>0</v>
      </c>
      <c r="E26" s="1347">
        <f>'Д 3_Т на Т з ЦТП'!I46</f>
        <v>0</v>
      </c>
      <c r="F26" s="1347">
        <v>0</v>
      </c>
      <c r="G26" s="1347">
        <f>'Д 3.1_Т на Т без ЦТП'!I46</f>
        <v>0</v>
      </c>
      <c r="H26" s="1347">
        <v>0</v>
      </c>
      <c r="I26" s="1347"/>
      <c r="J26" s="1349"/>
      <c r="K26" s="1347"/>
      <c r="M26" s="88"/>
      <c r="N26" s="1347">
        <f>'Додаток 1 до рішення'!E9</f>
        <v>0</v>
      </c>
      <c r="O26" s="1347">
        <f>'Додаток 2 до рішення'!E9</f>
        <v>0</v>
      </c>
      <c r="P26" s="1347">
        <f>'Додаток 3 до рішення'!E8</f>
        <v>0</v>
      </c>
      <c r="Q26" s="1347">
        <f>'Додаток 4 до рішення'!E8</f>
        <v>0</v>
      </c>
      <c r="R26" s="1347">
        <f>'Додаток 5 до рішення'!E8</f>
        <v>0</v>
      </c>
      <c r="S26" s="1347">
        <f>'Додаток 6 до рішення'!E8</f>
        <v>0</v>
      </c>
      <c r="T26" s="35"/>
      <c r="U26" s="35"/>
      <c r="V26" s="35"/>
      <c r="W26" s="35"/>
    </row>
    <row r="27" spans="1:23" s="2043" customFormat="1" x14ac:dyDescent="0.25">
      <c r="A27" s="2045" t="s">
        <v>1099</v>
      </c>
      <c r="B27" s="2041">
        <f>'Д 2_Т на В'!T52</f>
        <v>0</v>
      </c>
      <c r="C27" s="2041">
        <v>0</v>
      </c>
      <c r="D27" s="1347">
        <f t="shared" si="5"/>
        <v>0</v>
      </c>
      <c r="E27" s="1347">
        <f>'Д 3_Т на Т з ЦТП'!J46</f>
        <v>0</v>
      </c>
      <c r="F27" s="2041">
        <v>0</v>
      </c>
      <c r="G27" s="2041">
        <f>'Д 3.1_Т на Т без ЦТП'!J46</f>
        <v>0</v>
      </c>
      <c r="H27" s="2041">
        <v>0</v>
      </c>
      <c r="I27" s="2041"/>
      <c r="J27" s="2042"/>
      <c r="K27" s="2041"/>
      <c r="L27"/>
      <c r="M27" s="88"/>
      <c r="N27" s="2041">
        <f>'Додаток 1 до рішення'!F9</f>
        <v>0</v>
      </c>
      <c r="O27" s="2041">
        <f>'Додаток 2 до рішення'!F9</f>
        <v>0</v>
      </c>
      <c r="P27" s="1347">
        <f>'Додаток 3 до рішення'!F8</f>
        <v>0</v>
      </c>
      <c r="Q27" s="1347">
        <f>'Додаток 4 до рішення'!F8</f>
        <v>0</v>
      </c>
      <c r="R27" s="1347">
        <f>'Додаток 5 до рішення'!F8</f>
        <v>0</v>
      </c>
      <c r="S27" s="1347">
        <f>'Додаток 6 до рішення'!F8</f>
        <v>0</v>
      </c>
      <c r="T27" s="2045"/>
      <c r="U27" s="2045"/>
      <c r="V27" s="2045"/>
      <c r="W27" s="2045"/>
    </row>
    <row r="28" spans="1:23" x14ac:dyDescent="0.25">
      <c r="A28" s="35" t="s">
        <v>2201</v>
      </c>
      <c r="B28" s="1347">
        <f>'Д 2_Т на В'!X52</f>
        <v>5701.3545558892911</v>
      </c>
      <c r="C28" s="1347">
        <v>0</v>
      </c>
      <c r="D28" s="1347">
        <f t="shared" si="5"/>
        <v>5701.3545558892911</v>
      </c>
      <c r="E28" s="1347">
        <f>'Д 3_Т на Т з ЦТП'!K46</f>
        <v>3254.4828485840608</v>
      </c>
      <c r="F28" s="1347">
        <v>0</v>
      </c>
      <c r="G28" s="1347">
        <f>'Д 3.1_Т на Т без ЦТП'!K46</f>
        <v>2501.5399234224351</v>
      </c>
      <c r="H28" s="1347">
        <v>0</v>
      </c>
      <c r="I28" s="1347"/>
      <c r="J28" s="1349"/>
      <c r="K28" s="1347"/>
      <c r="M28" s="88"/>
      <c r="N28" s="1347">
        <f>'Додаток 1 до рішення'!G9</f>
        <v>9104.877715093302</v>
      </c>
      <c r="O28" s="1347">
        <f>'Додаток 2 до рішення'!G9</f>
        <v>8351.9347899316763</v>
      </c>
      <c r="P28" s="1347">
        <f>'Додаток 3 до рішення'!G8</f>
        <v>5701.3545558892911</v>
      </c>
      <c r="Q28" s="1347">
        <f>'Додаток 4 до рішення'!G8</f>
        <v>3254.4828485840603</v>
      </c>
      <c r="R28" s="1347">
        <f>'Додаток 5 до рішення'!G8</f>
        <v>2501.5399234224355</v>
      </c>
      <c r="S28" s="1347">
        <f>'Додаток 6 до рішення'!G8</f>
        <v>149.04031061994922</v>
      </c>
      <c r="T28" s="35"/>
      <c r="U28" s="35"/>
      <c r="V28" s="35"/>
      <c r="W28" s="35"/>
    </row>
    <row r="29" spans="1:23" ht="15.75" thickBot="1" x14ac:dyDescent="0.3">
      <c r="B29" s="1351"/>
      <c r="C29" s="1351"/>
      <c r="D29" s="1351"/>
      <c r="E29" s="1351"/>
      <c r="F29" s="1351"/>
      <c r="G29" s="1351"/>
      <c r="H29" s="1351"/>
      <c r="I29" s="1351"/>
      <c r="J29" s="1352"/>
      <c r="K29" s="1877"/>
      <c r="N29" s="35"/>
      <c r="O29" s="35"/>
      <c r="P29" s="35"/>
      <c r="Q29" s="35"/>
      <c r="R29" s="35"/>
      <c r="S29" s="35"/>
      <c r="T29" s="35"/>
      <c r="U29" s="35"/>
      <c r="V29" s="35"/>
      <c r="W29" s="35"/>
    </row>
    <row r="30" spans="1:23" ht="15.75" thickBot="1" x14ac:dyDescent="0.3"/>
    <row r="31" spans="1:23" x14ac:dyDescent="0.25">
      <c r="A31" s="3693" t="s">
        <v>2783</v>
      </c>
      <c r="B31" s="3695" t="s">
        <v>1839</v>
      </c>
      <c r="C31" s="3695"/>
      <c r="D31" s="3696"/>
      <c r="E31" s="3697" t="s">
        <v>2728</v>
      </c>
      <c r="F31" s="3697"/>
      <c r="G31" s="3692" t="s">
        <v>2157</v>
      </c>
      <c r="H31" s="3692"/>
      <c r="I31" s="3692" t="s">
        <v>2138</v>
      </c>
      <c r="J31" s="3692"/>
      <c r="N31" s="88">
        <f>'Додаток 1 до рішення'!C45</f>
        <v>11334.332599746078</v>
      </c>
      <c r="O31" s="88">
        <f>'Додаток 2 до рішення'!C45</f>
        <v>25460.426485209726</v>
      </c>
      <c r="P31" s="88">
        <f>'Додаток 3 до рішення'!C40</f>
        <v>25609.31111514115</v>
      </c>
      <c r="Q31" s="88">
        <f>'Додаток 4 до рішення'!C8</f>
        <v>3671.6490210878978</v>
      </c>
      <c r="R31" s="88">
        <f>'Додаток 5 до рішення'!C8</f>
        <v>6932.6132390780294</v>
      </c>
      <c r="S31" s="88">
        <f>'Додаток 6 до рішення'!C8</f>
        <v>581.18570964872185</v>
      </c>
    </row>
    <row r="32" spans="1:23" ht="45.75" thickBot="1" x14ac:dyDescent="0.3">
      <c r="A32" s="3694"/>
      <c r="B32" s="2119" t="s">
        <v>2280</v>
      </c>
      <c r="C32" s="1370" t="s">
        <v>2279</v>
      </c>
      <c r="D32" s="1370" t="s">
        <v>2722</v>
      </c>
      <c r="E32" s="1369" t="s">
        <v>2280</v>
      </c>
      <c r="F32" s="1370" t="s">
        <v>2279</v>
      </c>
      <c r="G32" s="1369" t="s">
        <v>2280</v>
      </c>
      <c r="H32" s="1370" t="s">
        <v>2279</v>
      </c>
      <c r="I32" s="1369" t="s">
        <v>2280</v>
      </c>
      <c r="J32" s="1370" t="s">
        <v>2279</v>
      </c>
      <c r="O32" s="88">
        <f>N31+O31</f>
        <v>36794.759084955804</v>
      </c>
      <c r="P32" s="88">
        <f>SUM(P31:S31)</f>
        <v>36794.759084955804</v>
      </c>
    </row>
    <row r="33" spans="1:13" x14ac:dyDescent="0.25">
      <c r="A33" s="2120" t="s">
        <v>1831</v>
      </c>
      <c r="B33" s="1347">
        <f>'Д 2_Т на В'!H43</f>
        <v>23857.23572359997</v>
      </c>
      <c r="C33" s="1347">
        <v>0</v>
      </c>
      <c r="D33" s="2118">
        <f>B33-C33</f>
        <v>23857.23572359997</v>
      </c>
      <c r="E33" s="1347">
        <f>'Д 3_Т на Т з ЦТП'!G37</f>
        <v>3420.4510928304312</v>
      </c>
      <c r="F33" s="1347">
        <v>0</v>
      </c>
      <c r="G33" s="1347">
        <f>'Д 3.1_Т на Т без ЦТП'!G37</f>
        <v>6458.3146138377824</v>
      </c>
      <c r="H33" s="1347">
        <v>0</v>
      </c>
      <c r="I33" s="1347">
        <f>'Д 4_Т на П'!G37</f>
        <v>541.42356316955011</v>
      </c>
      <c r="J33" s="1349">
        <v>0</v>
      </c>
      <c r="L33" s="88">
        <f>B33+E33+G33+I33</f>
        <v>34277.424993437729</v>
      </c>
    </row>
    <row r="34" spans="1:13" x14ac:dyDescent="0.25">
      <c r="A34" s="1348" t="s">
        <v>3</v>
      </c>
      <c r="B34" s="1347">
        <f>'Д 2_Т на В'!L43</f>
        <v>0</v>
      </c>
      <c r="C34" s="1347">
        <v>0</v>
      </c>
      <c r="D34" s="2118">
        <f t="shared" ref="D34:D37" si="6">B34-C34</f>
        <v>0</v>
      </c>
      <c r="E34" s="1347">
        <f>'Д 3_Т на Т з ЦТП'!H37</f>
        <v>0</v>
      </c>
      <c r="F34" s="1347">
        <v>0</v>
      </c>
      <c r="G34" s="1347">
        <f>'Д 3.1_Т на Т без ЦТП'!H37</f>
        <v>0</v>
      </c>
      <c r="H34" s="1347">
        <v>0</v>
      </c>
      <c r="I34" s="1347"/>
      <c r="J34" s="1349"/>
    </row>
    <row r="35" spans="1:13" x14ac:dyDescent="0.25">
      <c r="A35" s="1348" t="s">
        <v>2729</v>
      </c>
      <c r="B35" s="1347">
        <f>'Д 2_Т на В'!P43</f>
        <v>0</v>
      </c>
      <c r="C35" s="1347">
        <v>0</v>
      </c>
      <c r="D35" s="2118">
        <f t="shared" si="6"/>
        <v>0</v>
      </c>
      <c r="E35" s="1347">
        <f>'Д 3_Т на Т з ЦТП'!I37</f>
        <v>0</v>
      </c>
      <c r="F35" s="1347">
        <v>0</v>
      </c>
      <c r="G35" s="1347">
        <f>'Д 3.1_Т на Т без ЦТП'!I37</f>
        <v>0</v>
      </c>
      <c r="H35" s="1347">
        <v>0</v>
      </c>
      <c r="I35" s="1347"/>
      <c r="J35" s="1349"/>
    </row>
    <row r="36" spans="1:13" x14ac:dyDescent="0.25">
      <c r="A36" s="2045" t="s">
        <v>1099</v>
      </c>
      <c r="B36" s="2041">
        <f>'Д 2_Т на В'!T43</f>
        <v>0</v>
      </c>
      <c r="C36" s="2041">
        <v>0</v>
      </c>
      <c r="D36" s="2118">
        <f t="shared" si="6"/>
        <v>0</v>
      </c>
      <c r="E36" s="1347">
        <f>'Д 3_Т на Т з ЦТП'!J37</f>
        <v>0</v>
      </c>
      <c r="F36" s="1347">
        <v>0</v>
      </c>
      <c r="G36" s="2041">
        <f>'Д 3.1_Т на Т без ЦТП'!J37</f>
        <v>0</v>
      </c>
      <c r="H36" s="1347">
        <v>0</v>
      </c>
      <c r="I36" s="2041"/>
      <c r="J36" s="2042"/>
    </row>
    <row r="37" spans="1:13" x14ac:dyDescent="0.25">
      <c r="A37" s="35" t="s">
        <v>2201</v>
      </c>
      <c r="B37" s="1347">
        <f>'Д 2_Т на В'!X43</f>
        <v>23857.23572359997</v>
      </c>
      <c r="C37" s="1347">
        <v>0</v>
      </c>
      <c r="D37" s="2118">
        <f t="shared" si="6"/>
        <v>23857.23572359997</v>
      </c>
      <c r="E37" s="1347">
        <f>'Д 3_Т на Т з ЦТП'!K37</f>
        <v>3420.4510928304312</v>
      </c>
      <c r="F37" s="1347">
        <v>0</v>
      </c>
      <c r="G37" s="1347">
        <f>'Д 3.1_Т на Т без ЦТП'!K37</f>
        <v>6458.3146138377824</v>
      </c>
      <c r="H37" s="1347">
        <v>0</v>
      </c>
      <c r="I37" s="1347"/>
      <c r="J37" s="1349"/>
    </row>
    <row r="38" spans="1:13" s="1877" customFormat="1" ht="15.75" thickBot="1" x14ac:dyDescent="0.3">
      <c r="B38" s="2117">
        <f>B33-B34-B35-B36-B37</f>
        <v>0</v>
      </c>
      <c r="C38" s="2117">
        <v>0</v>
      </c>
      <c r="D38" s="2117">
        <f t="shared" ref="D38:J38" si="7">D33-D34-D35-D36-D37</f>
        <v>0</v>
      </c>
      <c r="E38" s="2117">
        <f t="shared" si="7"/>
        <v>0</v>
      </c>
      <c r="F38" s="1347">
        <v>0</v>
      </c>
      <c r="G38" s="2117">
        <f t="shared" si="7"/>
        <v>0</v>
      </c>
      <c r="H38" s="1347">
        <v>0</v>
      </c>
      <c r="I38" s="2117">
        <f t="shared" si="7"/>
        <v>541.42356316955011</v>
      </c>
      <c r="J38" s="2117">
        <f t="shared" si="7"/>
        <v>0</v>
      </c>
    </row>
    <row r="39" spans="1:13" ht="15.75" thickBot="1" x14ac:dyDescent="0.3"/>
    <row r="40" spans="1:13" x14ac:dyDescent="0.25">
      <c r="A40" s="3693" t="s">
        <v>22</v>
      </c>
      <c r="B40" s="3695" t="s">
        <v>1839</v>
      </c>
      <c r="C40" s="3695"/>
      <c r="D40" s="3696"/>
      <c r="E40" s="3697" t="s">
        <v>2728</v>
      </c>
      <c r="F40" s="3697"/>
      <c r="G40" s="3692" t="s">
        <v>2157</v>
      </c>
      <c r="H40" s="3692"/>
      <c r="I40" s="3692" t="s">
        <v>2138</v>
      </c>
      <c r="J40" s="3692"/>
    </row>
    <row r="41" spans="1:13" ht="45.75" thickBot="1" x14ac:dyDescent="0.3">
      <c r="A41" s="3694"/>
      <c r="B41" s="2119" t="s">
        <v>2280</v>
      </c>
      <c r="C41" s="1370" t="s">
        <v>2279</v>
      </c>
      <c r="D41" s="1370" t="s">
        <v>2722</v>
      </c>
      <c r="E41" s="1369" t="s">
        <v>2280</v>
      </c>
      <c r="F41" s="1370" t="s">
        <v>2279</v>
      </c>
      <c r="G41" s="1369" t="s">
        <v>2280</v>
      </c>
      <c r="H41" s="1370" t="s">
        <v>2279</v>
      </c>
      <c r="I41" s="1369" t="s">
        <v>2280</v>
      </c>
      <c r="J41" s="1370" t="s">
        <v>2279</v>
      </c>
      <c r="K41" s="2123" t="s">
        <v>2785</v>
      </c>
      <c r="L41" s="2123" t="s">
        <v>2875</v>
      </c>
      <c r="M41" s="2123" t="s">
        <v>2875</v>
      </c>
    </row>
    <row r="42" spans="1:13" x14ac:dyDescent="0.25">
      <c r="A42" s="2120" t="s">
        <v>2154</v>
      </c>
      <c r="B42" s="1347">
        <f>'Д 2_Т на В'!H58</f>
        <v>4491.7941629656525</v>
      </c>
      <c r="C42" s="1347">
        <v>0</v>
      </c>
      <c r="D42" s="2118">
        <f>B42-C42</f>
        <v>4491.7941629656525</v>
      </c>
      <c r="E42" s="1347">
        <f>'Д 3_Т на Т з ЦТП'!G56</f>
        <v>1128.18201598</v>
      </c>
      <c r="F42" s="1347"/>
      <c r="G42" s="1347">
        <f>'Д 3.1_Т на Т без ЦТП'!G56</f>
        <v>2771.3382361666663</v>
      </c>
      <c r="H42" s="1347"/>
      <c r="I42" s="1347"/>
      <c r="J42" s="1349"/>
      <c r="K42" s="2124">
        <v>0</v>
      </c>
      <c r="L42" s="2187">
        <f>SUM(L43:L46)</f>
        <v>1</v>
      </c>
      <c r="M42" s="2187">
        <f>SUM(M43:M46)</f>
        <v>1</v>
      </c>
    </row>
    <row r="43" spans="1:13" x14ac:dyDescent="0.25">
      <c r="A43" s="1348" t="s">
        <v>3</v>
      </c>
      <c r="B43" s="1347">
        <f>'Д 2_Т на В'!L58</f>
        <v>0</v>
      </c>
      <c r="C43" s="1347">
        <v>0</v>
      </c>
      <c r="D43" s="2118">
        <f t="shared" ref="D43:D46" si="8">B43-C43</f>
        <v>0</v>
      </c>
      <c r="E43" s="1347">
        <f>'Д 3_Т на Т з ЦТП'!G57</f>
        <v>0</v>
      </c>
      <c r="F43" s="1347"/>
      <c r="G43" s="1347">
        <f>'Д 3.1_Т на Т без ЦТП'!G57</f>
        <v>0</v>
      </c>
      <c r="H43" s="1347"/>
      <c r="I43" s="1347"/>
      <c r="J43" s="1349"/>
      <c r="K43" s="2124">
        <v>0</v>
      </c>
      <c r="L43" s="2187">
        <f>E43/E$42</f>
        <v>0</v>
      </c>
      <c r="M43" s="2187">
        <f>G43/G$42</f>
        <v>0</v>
      </c>
    </row>
    <row r="44" spans="1:13" x14ac:dyDescent="0.25">
      <c r="A44" s="1348" t="s">
        <v>2729</v>
      </c>
      <c r="B44" s="1347">
        <f>'Д 2_Т на В'!P58</f>
        <v>0</v>
      </c>
      <c r="C44" s="1347">
        <v>0</v>
      </c>
      <c r="D44" s="2118">
        <f t="shared" si="8"/>
        <v>0</v>
      </c>
      <c r="E44" s="1347">
        <f>'Д 3_Т на Т з ЦТП'!G58</f>
        <v>0</v>
      </c>
      <c r="F44" s="1347"/>
      <c r="G44" s="1347">
        <f>'Д 3.1_Т на Т без ЦТП'!G58</f>
        <v>0</v>
      </c>
      <c r="H44" s="1347"/>
      <c r="I44" s="1347"/>
      <c r="J44" s="1349"/>
      <c r="K44" s="2124">
        <v>0</v>
      </c>
      <c r="L44" s="2187">
        <f t="shared" ref="L44:L46" si="9">E44/E$42</f>
        <v>0</v>
      </c>
      <c r="M44" s="2187">
        <f t="shared" ref="M44:M46" si="10">G44/G$42</f>
        <v>0</v>
      </c>
    </row>
    <row r="45" spans="1:13" x14ac:dyDescent="0.25">
      <c r="A45" s="2045" t="s">
        <v>1099</v>
      </c>
      <c r="B45" s="2041">
        <f>'Д 2_Т на В'!T58</f>
        <v>0</v>
      </c>
      <c r="C45" s="2041">
        <v>0</v>
      </c>
      <c r="D45" s="2118">
        <f t="shared" si="8"/>
        <v>0</v>
      </c>
      <c r="E45" s="1347">
        <f>'Д 3_Т на Т з ЦТП'!G59</f>
        <v>0</v>
      </c>
      <c r="F45" s="2041"/>
      <c r="G45" s="1347">
        <f>'Д 3.1_Т на Т без ЦТП'!G59</f>
        <v>0</v>
      </c>
      <c r="H45" s="2041"/>
      <c r="I45" s="2041"/>
      <c r="J45" s="2042"/>
      <c r="K45" s="2521">
        <f>B45/B42</f>
        <v>0</v>
      </c>
      <c r="L45" s="2187">
        <f t="shared" si="9"/>
        <v>0</v>
      </c>
      <c r="M45" s="2187">
        <f>G45/G$42</f>
        <v>0</v>
      </c>
    </row>
    <row r="46" spans="1:13" x14ac:dyDescent="0.25">
      <c r="A46" s="35" t="s">
        <v>2201</v>
      </c>
      <c r="B46" s="1347">
        <f>'Д 2_Т на В'!X58</f>
        <v>4491.7941629656525</v>
      </c>
      <c r="C46" s="1347">
        <v>0</v>
      </c>
      <c r="D46" s="2118">
        <f t="shared" si="8"/>
        <v>4491.7941629656525</v>
      </c>
      <c r="E46" s="1347">
        <f>'Д 3_Т на Т з ЦТП'!G60</f>
        <v>1128.18201598</v>
      </c>
      <c r="F46" s="1347"/>
      <c r="G46" s="1347">
        <f>'Д 3.1_Т на Т без ЦТП'!G60</f>
        <v>2771.3382361666663</v>
      </c>
      <c r="H46" s="1347"/>
      <c r="I46" s="1347"/>
      <c r="J46" s="1349"/>
      <c r="K46" s="2521">
        <f>B46/B42</f>
        <v>1</v>
      </c>
      <c r="L46" s="2187">
        <f t="shared" si="9"/>
        <v>1</v>
      </c>
      <c r="M46" s="2187">
        <f t="shared" si="10"/>
        <v>1</v>
      </c>
    </row>
    <row r="47" spans="1:13" ht="15.75" thickBot="1" x14ac:dyDescent="0.3">
      <c r="A47" s="1877"/>
      <c r="B47" s="2117">
        <f>B42-B43-B44-B45-B46</f>
        <v>0</v>
      </c>
      <c r="C47" s="2117">
        <f t="shared" ref="C47" si="11">C42-C43-C44-C45-C46</f>
        <v>0</v>
      </c>
      <c r="D47" s="2117">
        <f t="shared" ref="D47" si="12">D42-D43-D44-D45-D46</f>
        <v>0</v>
      </c>
      <c r="E47" s="2117">
        <f t="shared" ref="E47" si="13">E42-E43-E44-E45-E46</f>
        <v>0</v>
      </c>
      <c r="F47" s="2117">
        <f t="shared" ref="F47" si="14">F42-F43-F44-F45-F46</f>
        <v>0</v>
      </c>
      <c r="G47" s="2117">
        <f t="shared" ref="G47" si="15">G42-G43-G44-G45-G46</f>
        <v>0</v>
      </c>
      <c r="H47" s="2117">
        <f t="shared" ref="H47" si="16">H42-H43-H44-H45-H46</f>
        <v>0</v>
      </c>
      <c r="I47" s="2117">
        <f t="shared" ref="I47" si="17">I42-I43-I44-I45-I46</f>
        <v>0</v>
      </c>
      <c r="J47" s="2117">
        <f t="shared" ref="J47" si="18">J42-J43-J44-J45-J46</f>
        <v>0</v>
      </c>
    </row>
    <row r="48" spans="1:13" x14ac:dyDescent="0.25">
      <c r="A48" s="3704"/>
      <c r="B48" s="3704"/>
      <c r="C48" s="3704"/>
      <c r="D48" s="3704"/>
      <c r="E48" s="3704"/>
      <c r="F48" s="3704"/>
      <c r="G48" s="3704"/>
    </row>
    <row r="49" spans="1:7" ht="15" customHeight="1" x14ac:dyDescent="0.25">
      <c r="A49" s="3704"/>
      <c r="B49" s="2560"/>
      <c r="C49" s="2560"/>
      <c r="D49" s="2560"/>
      <c r="E49" s="2560"/>
      <c r="F49" s="2560"/>
      <c r="G49" s="2560"/>
    </row>
    <row r="50" spans="1:7" x14ac:dyDescent="0.25">
      <c r="A50" s="2561"/>
      <c r="B50" s="2562"/>
      <c r="C50" s="2562"/>
      <c r="D50" s="2563"/>
      <c r="E50" s="2562"/>
      <c r="F50" s="2562"/>
      <c r="G50" s="2563"/>
    </row>
    <row r="51" spans="1:7" x14ac:dyDescent="0.25">
      <c r="A51" s="2561"/>
      <c r="B51" s="2562"/>
      <c r="C51" s="2562"/>
      <c r="D51" s="2563"/>
      <c r="E51" s="2562"/>
      <c r="F51" s="2562"/>
      <c r="G51" s="2563"/>
    </row>
    <row r="52" spans="1:7" x14ac:dyDescent="0.25">
      <c r="A52" s="2561"/>
      <c r="B52" s="2562"/>
      <c r="C52" s="2562"/>
      <c r="D52" s="2563"/>
      <c r="E52" s="2562"/>
      <c r="F52" s="2562"/>
      <c r="G52" s="2563"/>
    </row>
    <row r="53" spans="1:7" x14ac:dyDescent="0.25">
      <c r="A53" s="2564"/>
      <c r="B53" s="2565"/>
      <c r="C53" s="2565"/>
      <c r="D53" s="2563"/>
      <c r="E53" s="2562"/>
      <c r="F53" s="2565"/>
      <c r="G53" s="2563"/>
    </row>
    <row r="54" spans="1:7" x14ac:dyDescent="0.25">
      <c r="A54" s="2561"/>
      <c r="B54" s="2562"/>
      <c r="C54" s="2562"/>
      <c r="D54" s="2563"/>
      <c r="E54" s="2562"/>
      <c r="F54" s="2562"/>
      <c r="G54" s="2563"/>
    </row>
    <row r="55" spans="1:7" x14ac:dyDescent="0.25">
      <c r="A55" s="2566"/>
      <c r="B55" s="2567"/>
      <c r="C55" s="2567"/>
      <c r="D55" s="2567"/>
      <c r="E55" s="2567"/>
      <c r="F55" s="2567"/>
      <c r="G55" s="2567"/>
    </row>
    <row r="58" spans="1:7" ht="15" customHeight="1" x14ac:dyDescent="0.25"/>
  </sheetData>
  <mergeCells count="25">
    <mergeCell ref="A48:A49"/>
    <mergeCell ref="B48:G48"/>
    <mergeCell ref="I31:J31"/>
    <mergeCell ref="I22:J22"/>
    <mergeCell ref="G40:H40"/>
    <mergeCell ref="I40:J40"/>
    <mergeCell ref="A22:A23"/>
    <mergeCell ref="B31:D31"/>
    <mergeCell ref="E31:F31"/>
    <mergeCell ref="H2:I2"/>
    <mergeCell ref="B11:C11"/>
    <mergeCell ref="G31:H31"/>
    <mergeCell ref="A40:A41"/>
    <mergeCell ref="B40:D40"/>
    <mergeCell ref="E40:F40"/>
    <mergeCell ref="A2:A3"/>
    <mergeCell ref="B2:C2"/>
    <mergeCell ref="D2:E2"/>
    <mergeCell ref="F2:G2"/>
    <mergeCell ref="A31:A32"/>
    <mergeCell ref="A11:A12"/>
    <mergeCell ref="D11:D12"/>
    <mergeCell ref="E22:F22"/>
    <mergeCell ref="G22:H22"/>
    <mergeCell ref="B22:D22"/>
  </mergeCells>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54"/>
  <sheetViews>
    <sheetView workbookViewId="0">
      <selection activeCell="B5" sqref="B5"/>
    </sheetView>
  </sheetViews>
  <sheetFormatPr defaultColWidth="8.85546875" defaultRowHeight="15.75" x14ac:dyDescent="0.25"/>
  <cols>
    <col min="1" max="1" width="19.28515625" style="58" customWidth="1"/>
    <col min="2" max="2" width="14" style="58" customWidth="1"/>
    <col min="3" max="3" width="10.28515625" style="58" customWidth="1"/>
    <col min="4" max="4" width="10.7109375" style="58" customWidth="1"/>
    <col min="5" max="5" width="2" style="58" customWidth="1"/>
    <col min="6" max="6" width="19.5703125" style="58" customWidth="1"/>
    <col min="7" max="7" width="12.85546875" style="58" customWidth="1"/>
    <col min="8" max="8" width="9.7109375" style="58" customWidth="1"/>
    <col min="9" max="9" width="10.28515625" style="58" customWidth="1"/>
    <col min="10" max="10" width="3.140625" style="58" customWidth="1"/>
    <col min="11" max="11" width="12.85546875" style="58" customWidth="1"/>
    <col min="12" max="12" width="8.85546875" style="58"/>
    <col min="13" max="13" width="10" style="58" customWidth="1"/>
    <col min="14" max="16384" width="8.85546875" style="58"/>
  </cols>
  <sheetData>
    <row r="1" spans="1:14" x14ac:dyDescent="0.25">
      <c r="A1" s="58" t="s">
        <v>3128</v>
      </c>
      <c r="F1" s="58" t="s">
        <v>3019</v>
      </c>
    </row>
    <row r="2" spans="1:14" s="53" customFormat="1" ht="47.25" x14ac:dyDescent="0.25">
      <c r="A2" s="1481" t="s">
        <v>1896</v>
      </c>
      <c r="B2" s="15" t="s">
        <v>3020</v>
      </c>
      <c r="C2" s="1481" t="s">
        <v>3021</v>
      </c>
      <c r="D2" s="1481" t="s">
        <v>3022</v>
      </c>
      <c r="F2" s="15" t="s">
        <v>1896</v>
      </c>
      <c r="G2" s="15" t="s">
        <v>3020</v>
      </c>
      <c r="H2" s="15" t="s">
        <v>3021</v>
      </c>
      <c r="I2" s="15" t="s">
        <v>3022</v>
      </c>
      <c r="K2" s="15" t="s">
        <v>3027</v>
      </c>
    </row>
    <row r="3" spans="1:14" s="57" customFormat="1" ht="31.5" x14ac:dyDescent="0.25">
      <c r="A3" s="1492" t="s">
        <v>3023</v>
      </c>
      <c r="B3" s="1716" t="e">
        <f>B4+B5</f>
        <v>#REF!</v>
      </c>
      <c r="C3" s="1753"/>
      <c r="D3" s="1753"/>
      <c r="E3" s="2273"/>
      <c r="F3" s="1492" t="s">
        <v>3023</v>
      </c>
      <c r="G3" s="1716">
        <f>SUM(G4:G5)</f>
        <v>158304.56</v>
      </c>
      <c r="H3" s="1753"/>
      <c r="I3" s="1753"/>
      <c r="J3" s="2273"/>
      <c r="K3" s="1716" t="e">
        <f>B3-G3</f>
        <v>#REF!</v>
      </c>
    </row>
    <row r="4" spans="1:14" x14ac:dyDescent="0.25">
      <c r="A4" s="1312" t="s">
        <v>2152</v>
      </c>
      <c r="B4" s="1717" t="e">
        <f>#REF!</f>
        <v>#REF!</v>
      </c>
      <c r="C4" s="1481"/>
      <c r="D4" s="1481"/>
      <c r="E4" s="53"/>
      <c r="F4" s="1312" t="s">
        <v>2152</v>
      </c>
      <c r="G4" s="1717">
        <v>50980.69</v>
      </c>
      <c r="H4" s="1481"/>
      <c r="I4" s="1481"/>
      <c r="J4" s="53"/>
      <c r="K4" s="1717" t="e">
        <f t="shared" ref="K4:K14" si="0">B4-G4</f>
        <v>#REF!</v>
      </c>
    </row>
    <row r="5" spans="1:14" x14ac:dyDescent="0.25">
      <c r="A5" s="1312" t="s">
        <v>2151</v>
      </c>
      <c r="B5" s="1717" t="e">
        <f>#REF!</f>
        <v>#REF!</v>
      </c>
      <c r="C5" s="1481"/>
      <c r="D5" s="1481"/>
      <c r="E5" s="53"/>
      <c r="F5" s="1312" t="s">
        <v>2151</v>
      </c>
      <c r="G5" s="1717">
        <v>107323.87</v>
      </c>
      <c r="H5" s="1481"/>
      <c r="I5" s="1481"/>
      <c r="J5" s="53"/>
      <c r="K5" s="1717" t="e">
        <f t="shared" si="0"/>
        <v>#REF!</v>
      </c>
    </row>
    <row r="6" spans="1:14" s="57" customFormat="1" ht="31.5" x14ac:dyDescent="0.25">
      <c r="A6" s="1492" t="s">
        <v>3024</v>
      </c>
      <c r="B6" s="1716" t="e">
        <f>B7+B8</f>
        <v>#REF!</v>
      </c>
      <c r="C6" s="1716" t="e">
        <f>C7+C8</f>
        <v>#REF!</v>
      </c>
      <c r="D6" s="1716" t="e">
        <f>D7+D8</f>
        <v>#REF!</v>
      </c>
      <c r="E6" s="2273"/>
      <c r="F6" s="1492" t="s">
        <v>3024</v>
      </c>
      <c r="G6" s="1716">
        <f>SUM(G7:G8)</f>
        <v>42774.494363161786</v>
      </c>
      <c r="H6" s="1716">
        <f t="shared" ref="H6:I6" si="1">SUM(H7:H8)</f>
        <v>11111.033266680221</v>
      </c>
      <c r="I6" s="1716">
        <f t="shared" si="1"/>
        <v>31663.461096481573</v>
      </c>
      <c r="J6" s="2273"/>
      <c r="K6" s="1716" t="e">
        <f t="shared" si="0"/>
        <v>#REF!</v>
      </c>
    </row>
    <row r="7" spans="1:14" x14ac:dyDescent="0.25">
      <c r="A7" s="1312" t="s">
        <v>2152</v>
      </c>
      <c r="B7" s="1717" t="e">
        <f>C7+D7</f>
        <v>#REF!</v>
      </c>
      <c r="C7" s="1717" t="e">
        <f>#REF!</f>
        <v>#REF!</v>
      </c>
      <c r="D7" s="1717" t="e">
        <f>#REF!</f>
        <v>#REF!</v>
      </c>
      <c r="E7" s="53"/>
      <c r="F7" s="1312" t="s">
        <v>2152</v>
      </c>
      <c r="G7" s="1717">
        <f>H7+I7</f>
        <v>35889.642464534649</v>
      </c>
      <c r="H7" s="2275">
        <v>9213.4263666406496</v>
      </c>
      <c r="I7" s="2276">
        <v>26676.216097894001</v>
      </c>
      <c r="J7" s="53"/>
      <c r="K7" s="1717" t="e">
        <f t="shared" si="0"/>
        <v>#REF!</v>
      </c>
    </row>
    <row r="8" spans="1:14" x14ac:dyDescent="0.25">
      <c r="A8" s="1312" t="s">
        <v>2151</v>
      </c>
      <c r="B8" s="1717" t="e">
        <f>C8+D8</f>
        <v>#REF!</v>
      </c>
      <c r="C8" s="1717" t="e">
        <f>#REF!</f>
        <v>#REF!</v>
      </c>
      <c r="D8" s="1717" t="e">
        <f>#REF!</f>
        <v>#REF!</v>
      </c>
      <c r="E8" s="53"/>
      <c r="F8" s="1312" t="s">
        <v>2151</v>
      </c>
      <c r="G8" s="1717">
        <f>H8+I8</f>
        <v>6884.8518986271401</v>
      </c>
      <c r="H8" s="2275">
        <v>1897.6069000395701</v>
      </c>
      <c r="I8" s="2276">
        <v>4987.2449985875701</v>
      </c>
      <c r="J8" s="53"/>
      <c r="K8" s="1717" t="e">
        <f t="shared" si="0"/>
        <v>#REF!</v>
      </c>
    </row>
    <row r="9" spans="1:14" s="57" customFormat="1" ht="31.5" x14ac:dyDescent="0.25">
      <c r="A9" s="1492" t="s">
        <v>3025</v>
      </c>
      <c r="B9" s="1716" t="e">
        <f>B10+B11</f>
        <v>#REF!</v>
      </c>
      <c r="C9" s="1753"/>
      <c r="D9" s="1753"/>
      <c r="E9" s="2273"/>
      <c r="F9" s="1492" t="s">
        <v>3025</v>
      </c>
      <c r="G9" s="1716">
        <f>SUM(G10:G11)</f>
        <v>1877.09</v>
      </c>
      <c r="H9" s="1753"/>
      <c r="I9" s="1753"/>
      <c r="J9" s="2273"/>
      <c r="K9" s="1716" t="e">
        <f t="shared" si="0"/>
        <v>#REF!</v>
      </c>
    </row>
    <row r="10" spans="1:14" x14ac:dyDescent="0.25">
      <c r="A10" s="1312" t="s">
        <v>2152</v>
      </c>
      <c r="B10" s="1717" t="e">
        <f>#REF!</f>
        <v>#REF!</v>
      </c>
      <c r="C10" s="1481"/>
      <c r="D10" s="1481"/>
      <c r="E10" s="53"/>
      <c r="F10" s="1312" t="s">
        <v>2152</v>
      </c>
      <c r="G10" s="1717">
        <v>1877.09</v>
      </c>
      <c r="H10" s="1481"/>
      <c r="I10" s="1481"/>
      <c r="J10" s="53"/>
      <c r="K10" s="1717" t="e">
        <f t="shared" si="0"/>
        <v>#REF!</v>
      </c>
    </row>
    <row r="11" spans="1:14" x14ac:dyDescent="0.25">
      <c r="A11" s="1312" t="s">
        <v>2151</v>
      </c>
      <c r="B11" s="1717">
        <v>0</v>
      </c>
      <c r="C11" s="1481"/>
      <c r="D11" s="1481"/>
      <c r="E11" s="53"/>
      <c r="F11" s="1312" t="s">
        <v>2151</v>
      </c>
      <c r="G11" s="1717">
        <v>0</v>
      </c>
      <c r="H11" s="1481"/>
      <c r="I11" s="1481"/>
      <c r="J11" s="53"/>
      <c r="K11" s="1717">
        <f t="shared" si="0"/>
        <v>0</v>
      </c>
    </row>
    <row r="12" spans="1:14" s="57" customFormat="1" ht="31.5" x14ac:dyDescent="0.25">
      <c r="A12" s="1492" t="s">
        <v>3026</v>
      </c>
      <c r="B12" s="1716" t="e">
        <f>B13+B14</f>
        <v>#REF!</v>
      </c>
      <c r="C12" s="1753"/>
      <c r="D12" s="1753"/>
      <c r="E12" s="2273"/>
      <c r="F12" s="1492" t="s">
        <v>3026</v>
      </c>
      <c r="G12" s="1716">
        <f>G13+G14</f>
        <v>202956.14436316176</v>
      </c>
      <c r="H12" s="1753"/>
      <c r="I12" s="1753"/>
      <c r="J12" s="2273"/>
      <c r="K12" s="1716" t="e">
        <f t="shared" si="0"/>
        <v>#REF!</v>
      </c>
    </row>
    <row r="13" spans="1:14" s="57" customFormat="1" x14ac:dyDescent="0.25">
      <c r="A13" s="1312" t="s">
        <v>2152</v>
      </c>
      <c r="B13" s="1716" t="e">
        <f>B4+B7+B10</f>
        <v>#REF!</v>
      </c>
      <c r="C13" s="1753"/>
      <c r="D13" s="1753"/>
      <c r="E13" s="2273"/>
      <c r="F13" s="1312" t="s">
        <v>2152</v>
      </c>
      <c r="G13" s="1716">
        <f>G4+G7+G10</f>
        <v>88747.42246453464</v>
      </c>
      <c r="H13" s="1753"/>
      <c r="I13" s="1753"/>
      <c r="J13" s="2273"/>
      <c r="K13" s="1716" t="e">
        <f t="shared" si="0"/>
        <v>#REF!</v>
      </c>
      <c r="M13" s="2279" t="e">
        <f>B13/B12</f>
        <v>#REF!</v>
      </c>
      <c r="N13" s="2279">
        <f>G13/G12</f>
        <v>0.43727388861769806</v>
      </c>
    </row>
    <row r="14" spans="1:14" s="57" customFormat="1" x14ac:dyDescent="0.25">
      <c r="A14" s="1312" t="s">
        <v>2151</v>
      </c>
      <c r="B14" s="1716" t="e">
        <f>B5+B8+B11</f>
        <v>#REF!</v>
      </c>
      <c r="C14" s="1753"/>
      <c r="D14" s="1753"/>
      <c r="E14" s="2273"/>
      <c r="F14" s="1312" t="s">
        <v>2151</v>
      </c>
      <c r="G14" s="1716">
        <f>G5+G8+G11</f>
        <v>114208.72189862713</v>
      </c>
      <c r="H14" s="1753"/>
      <c r="I14" s="1753"/>
      <c r="J14" s="2273"/>
      <c r="K14" s="1716" t="e">
        <f t="shared" si="0"/>
        <v>#REF!</v>
      </c>
      <c r="M14" s="2279" t="e">
        <f>B14/B12</f>
        <v>#REF!</v>
      </c>
      <c r="N14" s="2279">
        <f>G14/G12</f>
        <v>0.562726111382302</v>
      </c>
    </row>
    <row r="15" spans="1:14" x14ac:dyDescent="0.25">
      <c r="A15" s="53"/>
      <c r="B15" s="53"/>
      <c r="C15" s="53"/>
      <c r="D15" s="53"/>
      <c r="E15" s="53"/>
      <c r="F15" s="53"/>
      <c r="G15" s="53"/>
      <c r="H15" s="53"/>
      <c r="I15" s="53" t="s">
        <v>1976</v>
      </c>
      <c r="J15" s="53"/>
      <c r="K15" s="2274" t="e">
        <f>K12*1.2</f>
        <v>#REF!</v>
      </c>
    </row>
    <row r="16" spans="1:14" x14ac:dyDescent="0.25">
      <c r="A16" s="58" t="s">
        <v>3028</v>
      </c>
    </row>
    <row r="17" spans="1:13" x14ac:dyDescent="0.25">
      <c r="A17" s="58" t="s">
        <v>3029</v>
      </c>
      <c r="B17" s="2204">
        <f>сведено!G14</f>
        <v>36794.759084955804</v>
      </c>
      <c r="C17" s="2204" t="e">
        <f>B12-B17</f>
        <v>#REF!</v>
      </c>
    </row>
    <row r="18" spans="1:13" x14ac:dyDescent="0.25">
      <c r="A18" s="58" t="s">
        <v>3030</v>
      </c>
      <c r="B18" s="2277">
        <f>сведено!C14</f>
        <v>25609.31111514115</v>
      </c>
      <c r="C18" s="2277" t="e">
        <f>B3-B18</f>
        <v>#REF!</v>
      </c>
    </row>
    <row r="19" spans="1:13" x14ac:dyDescent="0.25">
      <c r="A19" s="58" t="s">
        <v>3031</v>
      </c>
      <c r="B19" s="2204">
        <f>сведено!D14</f>
        <v>3671.6490210878983</v>
      </c>
      <c r="C19" s="2204" t="e">
        <f>C6-B19</f>
        <v>#REF!</v>
      </c>
    </row>
    <row r="20" spans="1:13" x14ac:dyDescent="0.25">
      <c r="A20" s="58" t="s">
        <v>3032</v>
      </c>
      <c r="B20" s="2204">
        <f>сведено!E14</f>
        <v>6932.6132390780294</v>
      </c>
      <c r="C20" s="2204" t="e">
        <f>D6-B20</f>
        <v>#REF!</v>
      </c>
    </row>
    <row r="21" spans="1:13" x14ac:dyDescent="0.25">
      <c r="A21" s="58" t="s">
        <v>3033</v>
      </c>
      <c r="B21" s="2277">
        <f>сведено!F14</f>
        <v>581.18570964872185</v>
      </c>
      <c r="C21" s="2277" t="e">
        <f>B9-B21</f>
        <v>#REF!</v>
      </c>
      <c r="F21" s="2368" t="s">
        <v>3049</v>
      </c>
      <c r="G21" s="4048" t="s">
        <v>2414</v>
      </c>
      <c r="H21" s="4048"/>
      <c r="I21" s="4048"/>
      <c r="J21" s="4048"/>
      <c r="K21" s="4048"/>
    </row>
    <row r="22" spans="1:13" x14ac:dyDescent="0.25">
      <c r="A22" s="2366"/>
      <c r="B22" s="2367" t="s">
        <v>2877</v>
      </c>
      <c r="C22" s="2367" t="s">
        <v>2878</v>
      </c>
      <c r="D22" s="2366" t="s">
        <v>2879</v>
      </c>
      <c r="E22" s="2366"/>
      <c r="F22" s="2366" t="s">
        <v>3047</v>
      </c>
      <c r="G22" s="2283" t="s">
        <v>2877</v>
      </c>
      <c r="H22" s="2283" t="s">
        <v>3129</v>
      </c>
      <c r="I22" s="2284" t="s">
        <v>3130</v>
      </c>
      <c r="J22" s="2284"/>
      <c r="K22" s="2284" t="s">
        <v>3047</v>
      </c>
    </row>
    <row r="23" spans="1:13" x14ac:dyDescent="0.25">
      <c r="A23" s="2280" t="s">
        <v>3045</v>
      </c>
      <c r="B23" s="2281" t="e">
        <f>B5</f>
        <v>#REF!</v>
      </c>
      <c r="C23" s="2281" t="e">
        <f>B8</f>
        <v>#REF!</v>
      </c>
      <c r="D23" s="2281">
        <f>B11</f>
        <v>0</v>
      </c>
      <c r="E23" s="878"/>
      <c r="F23" s="2281" t="e">
        <f>SUM(B23:E23)</f>
        <v>#REF!</v>
      </c>
      <c r="G23" s="2285">
        <v>72619.58</v>
      </c>
      <c r="H23" s="2285">
        <v>6300.7</v>
      </c>
      <c r="I23" s="2285">
        <v>0</v>
      </c>
      <c r="J23" s="2286"/>
      <c r="K23" s="2285">
        <v>78920.28</v>
      </c>
      <c r="M23" s="2278" t="e">
        <f>F23-K23</f>
        <v>#REF!</v>
      </c>
    </row>
    <row r="24" spans="1:13" x14ac:dyDescent="0.25">
      <c r="A24" s="878" t="s">
        <v>3046</v>
      </c>
      <c r="B24" s="1482" t="e">
        <f>#REF!</f>
        <v>#REF!</v>
      </c>
      <c r="C24" s="1482"/>
      <c r="D24" s="878"/>
      <c r="E24" s="878"/>
      <c r="F24" s="2281" t="e">
        <f t="shared" ref="F24:F25" si="2">SUM(B24:E24)</f>
        <v>#REF!</v>
      </c>
      <c r="G24" s="2287">
        <v>70053.55</v>
      </c>
      <c r="H24" s="2287"/>
      <c r="I24" s="2286"/>
      <c r="J24" s="2286"/>
      <c r="K24" s="2285">
        <v>70053.55</v>
      </c>
      <c r="M24" s="2204" t="e">
        <f t="shared" ref="M24:M25" si="3">F24-K24</f>
        <v>#REF!</v>
      </c>
    </row>
    <row r="25" spans="1:13" x14ac:dyDescent="0.25">
      <c r="A25" s="878" t="s">
        <v>43</v>
      </c>
      <c r="B25" s="1482" t="e">
        <f>#REF!</f>
        <v>#REF!</v>
      </c>
      <c r="C25" s="1482" t="e">
        <f>#REF!+#REF!</f>
        <v>#REF!</v>
      </c>
      <c r="D25" s="878"/>
      <c r="E25" s="878"/>
      <c r="F25" s="2281" t="e">
        <f t="shared" si="2"/>
        <v>#REF!</v>
      </c>
      <c r="G25" s="2287">
        <v>2566.0300000000002</v>
      </c>
      <c r="H25" s="2287">
        <v>6300.7</v>
      </c>
      <c r="I25" s="2286"/>
      <c r="J25" s="2286"/>
      <c r="K25" s="2285">
        <v>8866.74</v>
      </c>
      <c r="M25" s="2204" t="e">
        <f t="shared" si="3"/>
        <v>#REF!</v>
      </c>
    </row>
    <row r="26" spans="1:13" x14ac:dyDescent="0.25">
      <c r="F26" s="58" t="s">
        <v>3047</v>
      </c>
      <c r="G26" s="2284"/>
      <c r="H26" s="2284"/>
      <c r="I26" s="2284"/>
      <c r="J26" s="2284"/>
      <c r="K26" s="2284" t="s">
        <v>3047</v>
      </c>
    </row>
    <row r="27" spans="1:13" x14ac:dyDescent="0.25">
      <c r="A27" s="2280" t="s">
        <v>3034</v>
      </c>
      <c r="B27" s="2281" t="e">
        <f>B4</f>
        <v>#REF!</v>
      </c>
      <c r="C27" s="2281" t="e">
        <f>B7</f>
        <v>#REF!</v>
      </c>
      <c r="D27" s="2281" t="e">
        <f>B10</f>
        <v>#REF!</v>
      </c>
      <c r="E27" s="878"/>
      <c r="F27" s="2281" t="e">
        <f>B13</f>
        <v>#REF!</v>
      </c>
      <c r="G27" s="2285">
        <v>35000.19</v>
      </c>
      <c r="H27" s="2285">
        <v>30114.53</v>
      </c>
      <c r="I27" s="2285">
        <v>667.99</v>
      </c>
      <c r="J27" s="2286"/>
      <c r="K27" s="2285">
        <v>65782.710000000006</v>
      </c>
      <c r="M27" s="2278" t="e">
        <f>F27-K27</f>
        <v>#REF!</v>
      </c>
    </row>
    <row r="28" spans="1:13" x14ac:dyDescent="0.25">
      <c r="A28" s="878" t="s">
        <v>3046</v>
      </c>
      <c r="B28" s="1482" t="e">
        <f>#REF!</f>
        <v>#REF!</v>
      </c>
      <c r="C28" s="2281"/>
      <c r="D28" s="2281"/>
      <c r="E28" s="878"/>
      <c r="F28" s="1482" t="e">
        <f>SUM(B28:D28)</f>
        <v>#REF!</v>
      </c>
      <c r="G28" s="2287">
        <v>9795.61</v>
      </c>
      <c r="H28" s="2285"/>
      <c r="I28" s="2285"/>
      <c r="J28" s="2286"/>
      <c r="K28" s="2287">
        <v>9795.61</v>
      </c>
      <c r="M28" s="2204" t="e">
        <f t="shared" ref="M28:M51" si="4">F28-K28</f>
        <v>#REF!</v>
      </c>
    </row>
    <row r="29" spans="1:13" x14ac:dyDescent="0.25">
      <c r="A29" s="878" t="s">
        <v>460</v>
      </c>
      <c r="B29" s="1755" t="e">
        <f>#REF!</f>
        <v>#REF!</v>
      </c>
      <c r="C29" s="1755" t="e">
        <f>#REF!+#REF!</f>
        <v>#REF!</v>
      </c>
      <c r="D29" s="1482" t="e">
        <f>#REF!</f>
        <v>#REF!</v>
      </c>
      <c r="E29" s="878"/>
      <c r="F29" s="1482" t="e">
        <f t="shared" ref="F29:F51" si="5">SUM(B29:D29)</f>
        <v>#REF!</v>
      </c>
      <c r="G29" s="2288">
        <v>2066.8000000000002</v>
      </c>
      <c r="H29" s="2288">
        <v>3668.31</v>
      </c>
      <c r="I29" s="2287">
        <v>7.13</v>
      </c>
      <c r="J29" s="2286"/>
      <c r="K29" s="2287">
        <v>5742.24</v>
      </c>
      <c r="M29" s="2204" t="e">
        <f t="shared" si="4"/>
        <v>#REF!</v>
      </c>
    </row>
    <row r="30" spans="1:13" x14ac:dyDescent="0.25">
      <c r="A30" s="878" t="s">
        <v>3035</v>
      </c>
      <c r="B30" s="1755" t="e">
        <f>#REF!</f>
        <v>#REF!</v>
      </c>
      <c r="C30" s="1755" t="e">
        <f>#REF!-#REF!+#REF!-#REF!</f>
        <v>#REF!</v>
      </c>
      <c r="D30" s="1482" t="e">
        <f>#REF!</f>
        <v>#REF!</v>
      </c>
      <c r="E30" s="878"/>
      <c r="F30" s="1482" t="e">
        <f t="shared" si="5"/>
        <v>#REF!</v>
      </c>
      <c r="G30" s="2288">
        <v>427.16</v>
      </c>
      <c r="H30" s="2288">
        <v>510.7</v>
      </c>
      <c r="I30" s="2287">
        <v>20.010000000000002</v>
      </c>
      <c r="J30" s="2286"/>
      <c r="K30" s="2287">
        <v>957.86</v>
      </c>
      <c r="M30" s="2204" t="e">
        <f t="shared" si="4"/>
        <v>#REF!</v>
      </c>
    </row>
    <row r="31" spans="1:13" x14ac:dyDescent="0.25">
      <c r="A31" s="878" t="s">
        <v>3041</v>
      </c>
      <c r="B31" s="1755" t="e">
        <f>#REF!</f>
        <v>#REF!</v>
      </c>
      <c r="C31" s="1755" t="e">
        <f>#REF!+#REF!</f>
        <v>#REF!</v>
      </c>
      <c r="D31" s="878"/>
      <c r="E31" s="878"/>
      <c r="F31" s="1482" t="e">
        <f t="shared" si="5"/>
        <v>#REF!</v>
      </c>
      <c r="G31" s="2288">
        <v>33.68</v>
      </c>
      <c r="H31" s="2288">
        <v>661.82</v>
      </c>
      <c r="I31" s="2286"/>
      <c r="J31" s="2286"/>
      <c r="K31" s="2287">
        <v>695.5</v>
      </c>
      <c r="M31" s="2204" t="e">
        <f t="shared" si="4"/>
        <v>#REF!</v>
      </c>
    </row>
    <row r="32" spans="1:13" x14ac:dyDescent="0.25">
      <c r="A32" s="878" t="s">
        <v>3036</v>
      </c>
      <c r="B32" s="1755" t="e">
        <f>#REF!</f>
        <v>#REF!</v>
      </c>
      <c r="C32" s="1755" t="e">
        <f>#REF!+#REF!</f>
        <v>#REF!</v>
      </c>
      <c r="D32" s="1482" t="e">
        <f>#REF!</f>
        <v>#REF!</v>
      </c>
      <c r="E32" s="878"/>
      <c r="F32" s="1482" t="e">
        <f t="shared" si="5"/>
        <v>#REF!</v>
      </c>
      <c r="G32" s="2288">
        <v>7498.07</v>
      </c>
      <c r="H32" s="2288">
        <v>9303.1200000000008</v>
      </c>
      <c r="I32" s="2287">
        <v>464.58</v>
      </c>
      <c r="J32" s="2286"/>
      <c r="K32" s="2287">
        <v>17265.77</v>
      </c>
      <c r="M32" s="2204" t="e">
        <f t="shared" si="4"/>
        <v>#REF!</v>
      </c>
    </row>
    <row r="33" spans="1:13" x14ac:dyDescent="0.25">
      <c r="A33" s="878" t="s">
        <v>3037</v>
      </c>
      <c r="B33" s="1755" t="e">
        <f>#REF!</f>
        <v>#REF!</v>
      </c>
      <c r="C33" s="1755" t="e">
        <f>#REF!+#REF!</f>
        <v>#REF!</v>
      </c>
      <c r="D33" s="1482" t="e">
        <f>#REF!</f>
        <v>#REF!</v>
      </c>
      <c r="E33" s="878"/>
      <c r="F33" s="1482" t="e">
        <f t="shared" si="5"/>
        <v>#REF!</v>
      </c>
      <c r="G33" s="2288">
        <v>1622.57</v>
      </c>
      <c r="H33" s="2288">
        <v>2002.08</v>
      </c>
      <c r="I33" s="2287">
        <v>102.21</v>
      </c>
      <c r="J33" s="2286"/>
      <c r="K33" s="2287">
        <v>3726.86</v>
      </c>
      <c r="M33" s="2204" t="e">
        <f t="shared" si="4"/>
        <v>#REF!</v>
      </c>
    </row>
    <row r="34" spans="1:13" x14ac:dyDescent="0.25">
      <c r="A34" s="878" t="s">
        <v>3038</v>
      </c>
      <c r="B34" s="1755" t="e">
        <f>#REF!+#REF!</f>
        <v>#REF!</v>
      </c>
      <c r="C34" s="1755" t="e">
        <f>#REF!+#REF!</f>
        <v>#REF!</v>
      </c>
      <c r="D34" s="878"/>
      <c r="E34" s="878"/>
      <c r="F34" s="1482" t="e">
        <f t="shared" si="5"/>
        <v>#REF!</v>
      </c>
      <c r="G34" s="2288">
        <v>1331.94</v>
      </c>
      <c r="H34" s="2288">
        <v>1376.46</v>
      </c>
      <c r="I34" s="2286"/>
      <c r="J34" s="2286"/>
      <c r="K34" s="2287">
        <v>2708.4</v>
      </c>
      <c r="M34" s="2204" t="e">
        <f t="shared" si="4"/>
        <v>#REF!</v>
      </c>
    </row>
    <row r="35" spans="1:13" x14ac:dyDescent="0.25">
      <c r="A35" s="878" t="s">
        <v>2774</v>
      </c>
      <c r="B35" s="878"/>
      <c r="C35" s="1755" t="e">
        <f>#REF!</f>
        <v>#REF!</v>
      </c>
      <c r="D35" s="878"/>
      <c r="E35" s="878"/>
      <c r="F35" s="1482" t="e">
        <f t="shared" si="5"/>
        <v>#REF!</v>
      </c>
      <c r="G35" s="2286"/>
      <c r="H35" s="2288">
        <v>9517.23</v>
      </c>
      <c r="I35" s="2286"/>
      <c r="J35" s="2286"/>
      <c r="K35" s="2287">
        <v>9517.23</v>
      </c>
      <c r="M35" s="2204" t="e">
        <f t="shared" si="4"/>
        <v>#REF!</v>
      </c>
    </row>
    <row r="36" spans="1:13" x14ac:dyDescent="0.25">
      <c r="A36" s="878" t="s">
        <v>58</v>
      </c>
      <c r="B36" s="1755" t="e">
        <f>#REF!-B34</f>
        <v>#REF!</v>
      </c>
      <c r="C36" s="1755" t="e">
        <f>#REF!+#REF!-C34</f>
        <v>#REF!</v>
      </c>
      <c r="D36" s="1482" t="e">
        <f>#REF!</f>
        <v>#REF!</v>
      </c>
      <c r="E36" s="878"/>
      <c r="F36" s="1482" t="e">
        <f t="shared" si="5"/>
        <v>#REF!</v>
      </c>
      <c r="G36" s="2288">
        <v>876.8</v>
      </c>
      <c r="H36" s="2288">
        <v>265.38</v>
      </c>
      <c r="I36" s="2287">
        <v>10.43</v>
      </c>
      <c r="J36" s="2286"/>
      <c r="K36" s="2287">
        <v>1152.6099999999999</v>
      </c>
      <c r="M36" s="2204" t="e">
        <f t="shared" si="4"/>
        <v>#REF!</v>
      </c>
    </row>
    <row r="37" spans="1:13" ht="31.5" x14ac:dyDescent="0.25">
      <c r="A37" s="808" t="s">
        <v>3039</v>
      </c>
      <c r="B37" s="1755" t="e">
        <f>#REF!</f>
        <v>#REF!</v>
      </c>
      <c r="C37" s="1755" t="e">
        <f>#REF!+#REF!</f>
        <v>#REF!</v>
      </c>
      <c r="D37" s="1482" t="e">
        <f>#REF!</f>
        <v>#REF!</v>
      </c>
      <c r="E37" s="878"/>
      <c r="F37" s="1482" t="e">
        <f t="shared" si="5"/>
        <v>#REF!</v>
      </c>
      <c r="G37" s="2288">
        <v>3236.1</v>
      </c>
      <c r="H37" s="2288">
        <v>809.71</v>
      </c>
      <c r="I37" s="2287">
        <v>20.309999999999999</v>
      </c>
      <c r="J37" s="2286"/>
      <c r="K37" s="2287">
        <v>4066.13</v>
      </c>
      <c r="M37" s="2204" t="e">
        <f t="shared" si="4"/>
        <v>#REF!</v>
      </c>
    </row>
    <row r="38" spans="1:13" x14ac:dyDescent="0.25">
      <c r="A38" s="878" t="s">
        <v>3036</v>
      </c>
      <c r="B38" s="1755" t="e">
        <f>#REF!</f>
        <v>#REF!</v>
      </c>
      <c r="C38" s="1755" t="e">
        <f>#REF!+#REF!</f>
        <v>#REF!</v>
      </c>
      <c r="D38" s="1482" t="e">
        <f>#REF!</f>
        <v>#REF!</v>
      </c>
      <c r="E38" s="878"/>
      <c r="F38" s="1482" t="e">
        <f t="shared" si="5"/>
        <v>#REF!</v>
      </c>
      <c r="G38" s="2288">
        <v>2341.5300000000002</v>
      </c>
      <c r="H38" s="2288">
        <v>585.88</v>
      </c>
      <c r="I38" s="2287">
        <v>14.7</v>
      </c>
      <c r="J38" s="2286"/>
      <c r="K38" s="2287">
        <v>2942.11</v>
      </c>
      <c r="M38" s="2204" t="e">
        <f t="shared" si="4"/>
        <v>#REF!</v>
      </c>
    </row>
    <row r="39" spans="1:13" x14ac:dyDescent="0.25">
      <c r="A39" s="878" t="s">
        <v>3037</v>
      </c>
      <c r="B39" s="1755" t="e">
        <f>#REF!</f>
        <v>#REF!</v>
      </c>
      <c r="C39" s="1755" t="e">
        <f>#REF!+#REF!</f>
        <v>#REF!</v>
      </c>
      <c r="D39" s="1482" t="e">
        <f>#REF!</f>
        <v>#REF!</v>
      </c>
      <c r="E39" s="878"/>
      <c r="F39" s="1482" t="e">
        <f t="shared" si="5"/>
        <v>#REF!</v>
      </c>
      <c r="G39" s="2288">
        <v>497.79</v>
      </c>
      <c r="H39" s="2288">
        <v>124.55</v>
      </c>
      <c r="I39" s="2287">
        <v>3.12</v>
      </c>
      <c r="J39" s="2286"/>
      <c r="K39" s="2287">
        <v>625.47</v>
      </c>
      <c r="M39" s="2204" t="e">
        <f t="shared" si="4"/>
        <v>#REF!</v>
      </c>
    </row>
    <row r="40" spans="1:13" x14ac:dyDescent="0.25">
      <c r="A40" s="878" t="s">
        <v>58</v>
      </c>
      <c r="B40" s="1755" t="e">
        <f>#REF!</f>
        <v>#REF!</v>
      </c>
      <c r="C40" s="1755" t="e">
        <f>#REF!+#REF!</f>
        <v>#REF!</v>
      </c>
      <c r="D40" s="1482" t="e">
        <f>#REF!</f>
        <v>#REF!</v>
      </c>
      <c r="E40" s="878"/>
      <c r="F40" s="1482" t="e">
        <f t="shared" si="5"/>
        <v>#REF!</v>
      </c>
      <c r="G40" s="2288">
        <v>396.78</v>
      </c>
      <c r="H40" s="2288">
        <v>99.28</v>
      </c>
      <c r="I40" s="2287">
        <v>2.4900000000000002</v>
      </c>
      <c r="J40" s="2286"/>
      <c r="K40" s="2287">
        <v>498.55</v>
      </c>
      <c r="M40" s="2204" t="e">
        <f t="shared" si="4"/>
        <v>#REF!</v>
      </c>
    </row>
    <row r="41" spans="1:13" ht="31.5" x14ac:dyDescent="0.25">
      <c r="A41" s="808" t="s">
        <v>3040</v>
      </c>
      <c r="B41" s="1755" t="e">
        <f>#REF!</f>
        <v>#REF!</v>
      </c>
      <c r="C41" s="1755" t="e">
        <f>#REF!+#REF!</f>
        <v>#REF!</v>
      </c>
      <c r="D41" s="1482" t="e">
        <f>#REF!</f>
        <v>#REF!</v>
      </c>
      <c r="E41" s="878"/>
      <c r="F41" s="1482" t="e">
        <f t="shared" si="5"/>
        <v>#REF!</v>
      </c>
      <c r="G41" s="2288">
        <v>3932.44</v>
      </c>
      <c r="H41" s="2288">
        <v>983.95</v>
      </c>
      <c r="I41" s="2287">
        <v>24.69</v>
      </c>
      <c r="J41" s="2286"/>
      <c r="K41" s="2287">
        <v>4941.08</v>
      </c>
      <c r="M41" s="2204" t="e">
        <f t="shared" si="4"/>
        <v>#REF!</v>
      </c>
    </row>
    <row r="42" spans="1:13" x14ac:dyDescent="0.25">
      <c r="A42" s="878" t="s">
        <v>3036</v>
      </c>
      <c r="B42" s="1755" t="e">
        <f>#REF!</f>
        <v>#REF!</v>
      </c>
      <c r="C42" s="1755" t="e">
        <f>#REF!+#REF!</f>
        <v>#REF!</v>
      </c>
      <c r="D42" s="1482" t="e">
        <f>#REF!</f>
        <v>#REF!</v>
      </c>
      <c r="E42" s="878"/>
      <c r="F42" s="1482" t="e">
        <f t="shared" si="5"/>
        <v>#REF!</v>
      </c>
      <c r="G42" s="2288">
        <v>2859.01</v>
      </c>
      <c r="H42" s="2288">
        <v>715.36</v>
      </c>
      <c r="I42" s="2287">
        <v>17.95</v>
      </c>
      <c r="J42" s="2286"/>
      <c r="K42" s="2287">
        <v>3592.32</v>
      </c>
      <c r="M42" s="2204" t="e">
        <f t="shared" si="4"/>
        <v>#REF!</v>
      </c>
    </row>
    <row r="43" spans="1:13" x14ac:dyDescent="0.25">
      <c r="A43" s="878" t="s">
        <v>3037</v>
      </c>
      <c r="B43" s="1755" t="e">
        <f>#REF!</f>
        <v>#REF!</v>
      </c>
      <c r="C43" s="1755" t="e">
        <f>#REF!+#REF!</f>
        <v>#REF!</v>
      </c>
      <c r="D43" s="1482" t="e">
        <f>#REF!</f>
        <v>#REF!</v>
      </c>
      <c r="E43" s="878"/>
      <c r="F43" s="1482" t="e">
        <f t="shared" si="5"/>
        <v>#REF!</v>
      </c>
      <c r="G43" s="2288">
        <v>628.98</v>
      </c>
      <c r="H43" s="2288">
        <v>157.38</v>
      </c>
      <c r="I43" s="2287">
        <v>3.95</v>
      </c>
      <c r="J43" s="2286"/>
      <c r="K43" s="2287">
        <v>790.31</v>
      </c>
      <c r="M43" s="2204" t="e">
        <f t="shared" si="4"/>
        <v>#REF!</v>
      </c>
    </row>
    <row r="44" spans="1:13" x14ac:dyDescent="0.25">
      <c r="A44" s="878" t="s">
        <v>58</v>
      </c>
      <c r="B44" s="1755" t="e">
        <f>#REF!</f>
        <v>#REF!</v>
      </c>
      <c r="C44" s="1755" t="e">
        <f>#REF!+#REF!</f>
        <v>#REF!</v>
      </c>
      <c r="D44" s="1482" t="e">
        <f>#REF!</f>
        <v>#REF!</v>
      </c>
      <c r="E44" s="878"/>
      <c r="F44" s="1482" t="e">
        <f t="shared" si="5"/>
        <v>#REF!</v>
      </c>
      <c r="G44" s="2288">
        <v>444.45</v>
      </c>
      <c r="H44" s="2288">
        <v>111.21</v>
      </c>
      <c r="I44" s="2287">
        <v>2.79</v>
      </c>
      <c r="J44" s="2286"/>
      <c r="K44" s="2287">
        <v>558.44000000000005</v>
      </c>
      <c r="M44" s="2204" t="e">
        <f t="shared" si="4"/>
        <v>#REF!</v>
      </c>
    </row>
    <row r="45" spans="1:13" x14ac:dyDescent="0.25">
      <c r="A45" s="878" t="s">
        <v>3044</v>
      </c>
      <c r="B45" s="1755" t="e">
        <f>#REF!</f>
        <v>#REF!</v>
      </c>
      <c r="C45" s="1755" t="e">
        <f>#REF!+#REF!</f>
        <v>#REF!</v>
      </c>
      <c r="D45" s="1482" t="e">
        <f>#REF!</f>
        <v>#REF!</v>
      </c>
      <c r="E45" s="878"/>
      <c r="F45" s="1482" t="e">
        <f t="shared" si="5"/>
        <v>#REF!</v>
      </c>
      <c r="G45" s="2288">
        <v>78.430000000000007</v>
      </c>
      <c r="H45" s="2288">
        <v>0</v>
      </c>
      <c r="I45" s="2287">
        <v>0</v>
      </c>
      <c r="J45" s="2286"/>
      <c r="K45" s="2287">
        <v>78.430000000000007</v>
      </c>
      <c r="M45" s="2204" t="e">
        <f t="shared" si="4"/>
        <v>#REF!</v>
      </c>
    </row>
    <row r="46" spans="1:13" x14ac:dyDescent="0.25">
      <c r="A46" s="878" t="s">
        <v>3043</v>
      </c>
      <c r="B46" s="1755" t="e">
        <f>#REF!</f>
        <v>#REF!</v>
      </c>
      <c r="C46" s="1755" t="e">
        <f>#REF!+#REF!</f>
        <v>#REF!</v>
      </c>
      <c r="D46" s="1482" t="e">
        <f>#REF!</f>
        <v>#REF!</v>
      </c>
      <c r="E46" s="878"/>
      <c r="F46" s="1482" t="e">
        <f t="shared" si="5"/>
        <v>#REF!</v>
      </c>
      <c r="G46" s="2288">
        <v>0</v>
      </c>
      <c r="H46" s="2288">
        <v>0</v>
      </c>
      <c r="I46" s="2287">
        <v>0</v>
      </c>
      <c r="J46" s="2286"/>
      <c r="K46" s="2287">
        <v>0</v>
      </c>
      <c r="M46" s="2204" t="e">
        <f t="shared" si="4"/>
        <v>#REF!</v>
      </c>
    </row>
    <row r="47" spans="1:13" x14ac:dyDescent="0.25">
      <c r="A47" s="878" t="s">
        <v>2205</v>
      </c>
      <c r="B47" s="1755" t="e">
        <f>#REF!</f>
        <v>#REF!</v>
      </c>
      <c r="C47" s="1755" t="e">
        <f>#REF!+#REF!</f>
        <v>#REF!</v>
      </c>
      <c r="D47" s="1482" t="e">
        <f>#REF!</f>
        <v>#REF!</v>
      </c>
      <c r="E47" s="878"/>
      <c r="F47" s="1482" t="e">
        <f t="shared" si="5"/>
        <v>#REF!</v>
      </c>
      <c r="G47" s="2288">
        <v>4100.59</v>
      </c>
      <c r="H47" s="2288">
        <v>1015.77</v>
      </c>
      <c r="I47" s="2287">
        <v>18.63</v>
      </c>
      <c r="J47" s="2286"/>
      <c r="K47" s="2287">
        <v>5134.99</v>
      </c>
      <c r="M47" s="2204" t="e">
        <f t="shared" si="4"/>
        <v>#REF!</v>
      </c>
    </row>
    <row r="48" spans="1:13" x14ac:dyDescent="0.25">
      <c r="A48" s="152" t="s">
        <v>65</v>
      </c>
      <c r="B48" s="1755" t="e">
        <f>#REF!</f>
        <v>#REF!</v>
      </c>
      <c r="C48" s="1755" t="e">
        <f>#REF!+#REF!</f>
        <v>#REF!</v>
      </c>
      <c r="D48" s="1482" t="e">
        <f>#REF!</f>
        <v>#REF!</v>
      </c>
      <c r="E48" s="878"/>
      <c r="F48" s="1482" t="e">
        <f t="shared" si="5"/>
        <v>#REF!</v>
      </c>
      <c r="G48" s="2288">
        <v>738.11</v>
      </c>
      <c r="H48" s="2288">
        <v>182.84</v>
      </c>
      <c r="I48" s="2287">
        <v>3.35</v>
      </c>
      <c r="J48" s="2286"/>
      <c r="K48" s="2287">
        <v>924.3</v>
      </c>
      <c r="M48" s="2204" t="e">
        <f t="shared" si="4"/>
        <v>#REF!</v>
      </c>
    </row>
    <row r="49" spans="1:13" x14ac:dyDescent="0.25">
      <c r="A49" s="152" t="s">
        <v>85</v>
      </c>
      <c r="B49" s="1755" t="e">
        <f>#REF!</f>
        <v>#REF!</v>
      </c>
      <c r="C49" s="1755" t="e">
        <f>#REF!+#REF!</f>
        <v>#REF!</v>
      </c>
      <c r="D49" s="1482" t="e">
        <f>#REF!</f>
        <v>#REF!</v>
      </c>
      <c r="E49" s="878"/>
      <c r="F49" s="1482" t="e">
        <f t="shared" si="5"/>
        <v>#REF!</v>
      </c>
      <c r="G49" s="2288">
        <v>504.37</v>
      </c>
      <c r="H49" s="2288">
        <v>124.94</v>
      </c>
      <c r="I49" s="2287">
        <v>2.29</v>
      </c>
      <c r="J49" s="2286"/>
      <c r="K49" s="2287">
        <v>631.6</v>
      </c>
      <c r="M49" s="2204" t="e">
        <f t="shared" si="4"/>
        <v>#REF!</v>
      </c>
    </row>
    <row r="50" spans="1:13" ht="38.25" x14ac:dyDescent="0.25">
      <c r="A50" s="152" t="s">
        <v>71</v>
      </c>
      <c r="B50" s="1755" t="e">
        <f>#REF!</f>
        <v>#REF!</v>
      </c>
      <c r="C50" s="1755" t="e">
        <f>#REF!+#REF!</f>
        <v>#REF!</v>
      </c>
      <c r="D50" s="1482" t="e">
        <f>#REF!</f>
        <v>#REF!</v>
      </c>
      <c r="E50" s="878"/>
      <c r="F50" s="1482" t="e">
        <f t="shared" si="5"/>
        <v>#REF!</v>
      </c>
      <c r="G50" s="2288">
        <v>787.73</v>
      </c>
      <c r="H50" s="2288">
        <v>0</v>
      </c>
      <c r="I50" s="2287">
        <v>0</v>
      </c>
      <c r="J50" s="2286"/>
      <c r="K50" s="2287">
        <v>787.73</v>
      </c>
      <c r="M50" s="2204" t="e">
        <f t="shared" si="4"/>
        <v>#REF!</v>
      </c>
    </row>
    <row r="51" spans="1:13" ht="25.5" x14ac:dyDescent="0.25">
      <c r="A51" s="152" t="s">
        <v>87</v>
      </c>
      <c r="B51" s="1755" t="e">
        <f>#REF!</f>
        <v>#REF!</v>
      </c>
      <c r="C51" s="1755" t="e">
        <f>#REF!+#REF!</f>
        <v>#REF!</v>
      </c>
      <c r="D51" s="1482" t="e">
        <f>#REF!</f>
        <v>#REF!</v>
      </c>
      <c r="E51" s="878"/>
      <c r="F51" s="1482" t="e">
        <f t="shared" si="5"/>
        <v>#REF!</v>
      </c>
      <c r="G51" s="2288">
        <v>2070.38</v>
      </c>
      <c r="H51" s="2288">
        <v>707.99</v>
      </c>
      <c r="I51" s="2287">
        <v>12.99</v>
      </c>
      <c r="J51" s="2286"/>
      <c r="K51" s="2287">
        <v>2791.36</v>
      </c>
      <c r="M51" s="2204" t="e">
        <f t="shared" si="4"/>
        <v>#REF!</v>
      </c>
    </row>
    <row r="52" spans="1:13" s="1841" customFormat="1" x14ac:dyDescent="0.25">
      <c r="A52" s="1841" t="s">
        <v>3042</v>
      </c>
      <c r="B52" s="2282" t="e">
        <f>B28+B29+B30+B31+B32+B33+B34+B35+B36+B37+B41+B47+B46+B45</f>
        <v>#REF!</v>
      </c>
      <c r="C52" s="2282" t="e">
        <f t="shared" ref="C52:F52" si="6">C28+C29+C30+C31+C32+C33+C34+C35+C36+C37+C41+C47+C46+C45</f>
        <v>#REF!</v>
      </c>
      <c r="D52" s="2282" t="e">
        <f t="shared" si="6"/>
        <v>#REF!</v>
      </c>
      <c r="E52" s="2282"/>
      <c r="F52" s="2282" t="e">
        <f t="shared" si="6"/>
        <v>#REF!</v>
      </c>
      <c r="G52" s="2289">
        <v>35000.19</v>
      </c>
      <c r="H52" s="2289">
        <v>30114.53</v>
      </c>
      <c r="I52" s="2289">
        <v>667.99</v>
      </c>
      <c r="J52" s="2289"/>
      <c r="K52" s="2289">
        <v>65782.710000000006</v>
      </c>
      <c r="M52" s="58"/>
    </row>
    <row r="53" spans="1:13" x14ac:dyDescent="0.25">
      <c r="B53" s="2204" t="e">
        <f>B27-B52</f>
        <v>#REF!</v>
      </c>
      <c r="C53" s="2204" t="e">
        <f t="shared" ref="C53:F53" si="7">C27-C52</f>
        <v>#REF!</v>
      </c>
      <c r="D53" s="2204" t="e">
        <f t="shared" si="7"/>
        <v>#REF!</v>
      </c>
      <c r="E53" s="2204"/>
      <c r="F53" s="2204" t="e">
        <f t="shared" si="7"/>
        <v>#REF!</v>
      </c>
      <c r="G53" s="2283">
        <v>0</v>
      </c>
      <c r="H53" s="2283">
        <v>0</v>
      </c>
      <c r="I53" s="2283">
        <v>0</v>
      </c>
      <c r="J53" s="2283"/>
      <c r="K53" s="2283">
        <v>0</v>
      </c>
    </row>
    <row r="54" spans="1:13" x14ac:dyDescent="0.25">
      <c r="A54" s="58" t="s">
        <v>3048</v>
      </c>
      <c r="B54" s="1497" t="e">
        <f>B28+B29+B30+B31+B32+B33+B34+B35+B36+B37</f>
        <v>#REF!</v>
      </c>
      <c r="C54" s="1497" t="e">
        <f t="shared" ref="C54:F54" si="8">C28+C29+C30+C31+C32+C33+C34+C35+C36+C37</f>
        <v>#REF!</v>
      </c>
      <c r="D54" s="1497" t="e">
        <f t="shared" si="8"/>
        <v>#REF!</v>
      </c>
      <c r="E54" s="1497"/>
      <c r="F54" s="1497" t="e">
        <f t="shared" si="8"/>
        <v>#REF!</v>
      </c>
      <c r="G54" s="2290">
        <v>26888.73</v>
      </c>
      <c r="H54" s="2290">
        <v>28114.81</v>
      </c>
      <c r="I54" s="2290">
        <v>624.66999999999996</v>
      </c>
      <c r="J54" s="2290"/>
      <c r="K54" s="2290">
        <v>55628.21</v>
      </c>
    </row>
  </sheetData>
  <mergeCells count="1">
    <mergeCell ref="G21:K21"/>
  </mergeCells>
  <pageMargins left="0.7" right="0.7" top="0.75" bottom="0.75" header="0.3" footer="0.3"/>
  <pageSetup paperSize="9" orientation="landscape"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00FF"/>
  </sheetPr>
  <dimension ref="A1:L143"/>
  <sheetViews>
    <sheetView topLeftCell="A34" workbookViewId="0">
      <selection activeCell="C48" sqref="C48"/>
    </sheetView>
  </sheetViews>
  <sheetFormatPr defaultColWidth="9.140625" defaultRowHeight="15" x14ac:dyDescent="0.25"/>
  <cols>
    <col min="1" max="1" width="7.85546875" style="1734" customWidth="1"/>
    <col min="2" max="2" width="56.42578125" style="18" customWidth="1"/>
    <col min="3" max="3" width="14.7109375" style="18" customWidth="1"/>
    <col min="4" max="4" width="14.42578125" style="1734" customWidth="1"/>
    <col min="5" max="8" width="14.42578125" style="18" customWidth="1"/>
    <col min="9" max="16384" width="9.140625" style="18"/>
  </cols>
  <sheetData>
    <row r="1" spans="1:12" ht="85.9" customHeight="1" x14ac:dyDescent="0.25">
      <c r="F1" s="4059" t="s">
        <v>2787</v>
      </c>
      <c r="G1" s="4059"/>
    </row>
    <row r="2" spans="1:12" ht="45.75" customHeight="1" x14ac:dyDescent="0.25">
      <c r="A2" s="18"/>
      <c r="B2" s="4060" t="s">
        <v>3106</v>
      </c>
      <c r="C2" s="4060"/>
      <c r="D2" s="4060"/>
      <c r="E2" s="4060"/>
      <c r="F2" s="4060"/>
      <c r="G2" s="1819"/>
    </row>
    <row r="3" spans="1:12" ht="15.75" thickBot="1" x14ac:dyDescent="0.3">
      <c r="G3" s="18" t="s">
        <v>1666</v>
      </c>
    </row>
    <row r="4" spans="1:12" ht="30" customHeight="1" thickBot="1" x14ac:dyDescent="0.3">
      <c r="A4" s="4061" t="s">
        <v>7</v>
      </c>
      <c r="B4" s="4061" t="s">
        <v>620</v>
      </c>
      <c r="C4" s="4061" t="s">
        <v>2788</v>
      </c>
      <c r="D4" s="4064" t="s">
        <v>2789</v>
      </c>
      <c r="E4" s="4065"/>
      <c r="F4" s="4065"/>
      <c r="G4" s="4066"/>
      <c r="H4" s="110"/>
      <c r="I4" s="110"/>
    </row>
    <row r="5" spans="1:12" ht="75" customHeight="1" thickBot="1" x14ac:dyDescent="0.3">
      <c r="A5" s="4062"/>
      <c r="B5" s="4063"/>
      <c r="C5" s="4063"/>
      <c r="D5" s="2127" t="s">
        <v>2790</v>
      </c>
      <c r="E5" s="2127" t="s">
        <v>2791</v>
      </c>
      <c r="F5" s="2127" t="s">
        <v>2792</v>
      </c>
      <c r="G5" s="2127" t="s">
        <v>2793</v>
      </c>
      <c r="H5" s="110"/>
      <c r="I5" s="110"/>
    </row>
    <row r="6" spans="1:12" ht="15.75" thickBot="1" x14ac:dyDescent="0.3">
      <c r="A6" s="2128">
        <v>1</v>
      </c>
      <c r="B6" s="2129">
        <v>2</v>
      </c>
      <c r="C6" s="2114">
        <v>3</v>
      </c>
      <c r="D6" s="2128">
        <v>4</v>
      </c>
      <c r="E6" s="2114">
        <v>5</v>
      </c>
      <c r="F6" s="2129">
        <v>6</v>
      </c>
      <c r="G6" s="2115">
        <v>7</v>
      </c>
    </row>
    <row r="7" spans="1:12" ht="15.75" thickBot="1" x14ac:dyDescent="0.3">
      <c r="A7" s="2156" t="s">
        <v>3081</v>
      </c>
      <c r="B7" s="4049" t="s">
        <v>2794</v>
      </c>
      <c r="C7" s="4050"/>
      <c r="D7" s="4050"/>
      <c r="E7" s="4050"/>
      <c r="F7" s="4050"/>
      <c r="G7" s="4051"/>
    </row>
    <row r="8" spans="1:12" ht="35.25" customHeight="1" x14ac:dyDescent="0.25">
      <c r="A8" s="2131" t="s">
        <v>2795</v>
      </c>
      <c r="B8" s="2132" t="s">
        <v>2796</v>
      </c>
      <c r="C8" s="2131" t="s">
        <v>234</v>
      </c>
      <c r="D8" s="2131">
        <f>SUM(D9:D11)</f>
        <v>0</v>
      </c>
      <c r="E8" s="2133">
        <f t="shared" ref="E8:G8" si="0">SUM(E9:E11)</f>
        <v>0</v>
      </c>
      <c r="F8" s="2131">
        <f t="shared" si="0"/>
        <v>0</v>
      </c>
      <c r="G8" s="2134">
        <f t="shared" si="0"/>
        <v>9104.877715093302</v>
      </c>
      <c r="H8" s="828"/>
      <c r="I8" s="828"/>
      <c r="J8" s="828"/>
      <c r="K8" s="828"/>
      <c r="L8" s="828"/>
    </row>
    <row r="9" spans="1:12" ht="35.25" customHeight="1" x14ac:dyDescent="0.25">
      <c r="A9" s="2135" t="s">
        <v>1689</v>
      </c>
      <c r="B9" s="2136" t="s">
        <v>2797</v>
      </c>
      <c r="C9" s="2135" t="s">
        <v>234</v>
      </c>
      <c r="D9" s="2135">
        <f>'Додаток 3 до рішення'!D8</f>
        <v>0</v>
      </c>
      <c r="E9" s="2135">
        <f>IF(E10=0,0,'Додаток 3 до рішення'!E8)</f>
        <v>0</v>
      </c>
      <c r="F9" s="2135">
        <f>'Додаток 3 до рішення'!F8</f>
        <v>0</v>
      </c>
      <c r="G9" s="2135">
        <f>'Додаток 3 до рішення'!G8</f>
        <v>5701.3545558892911</v>
      </c>
      <c r="H9" s="828"/>
      <c r="I9" s="828"/>
      <c r="J9" s="828"/>
      <c r="K9" s="828"/>
      <c r="L9" s="828"/>
    </row>
    <row r="10" spans="1:12" ht="50.25" customHeight="1" x14ac:dyDescent="0.25">
      <c r="A10" s="2135" t="s">
        <v>1691</v>
      </c>
      <c r="B10" s="2137" t="s">
        <v>2798</v>
      </c>
      <c r="C10" s="2135" t="s">
        <v>234</v>
      </c>
      <c r="D10" s="2135">
        <f>'Додаток 4 до рішення'!D8</f>
        <v>0</v>
      </c>
      <c r="E10" s="2135">
        <f>'Додаток 4 до рішення'!E8</f>
        <v>0</v>
      </c>
      <c r="F10" s="2135">
        <f>'Додаток 4 до рішення'!F8</f>
        <v>0</v>
      </c>
      <c r="G10" s="2135">
        <f>'Додаток 4 до рішення'!G8</f>
        <v>3254.4828485840603</v>
      </c>
      <c r="H10" s="828"/>
      <c r="I10" s="828"/>
      <c r="J10" s="828"/>
      <c r="K10" s="828"/>
      <c r="L10" s="828"/>
    </row>
    <row r="11" spans="1:12" ht="35.25" customHeight="1" thickBot="1" x14ac:dyDescent="0.3">
      <c r="A11" s="2138" t="s">
        <v>1694</v>
      </c>
      <c r="B11" s="2139" t="s">
        <v>2799</v>
      </c>
      <c r="C11" s="2138" t="s">
        <v>234</v>
      </c>
      <c r="D11" s="2138">
        <f>'Додаток 6 до рішення'!D8</f>
        <v>0</v>
      </c>
      <c r="E11" s="2138">
        <f>IF(E10=0,0,'Додаток 6 до рішення'!E8)</f>
        <v>0</v>
      </c>
      <c r="F11" s="2138">
        <f>'Додаток 6 до рішення'!F8</f>
        <v>0</v>
      </c>
      <c r="G11" s="2138">
        <f>'Додаток 6 до рішення'!G8</f>
        <v>149.04031061994922</v>
      </c>
      <c r="H11" s="828"/>
      <c r="I11" s="828"/>
      <c r="J11" s="828"/>
      <c r="K11" s="828"/>
      <c r="L11" s="828"/>
    </row>
    <row r="12" spans="1:12" ht="18.75" customHeight="1" thickBot="1" x14ac:dyDescent="0.3">
      <c r="A12" s="2140" t="s">
        <v>2800</v>
      </c>
      <c r="B12" s="4049" t="s">
        <v>3083</v>
      </c>
      <c r="C12" s="4052"/>
      <c r="D12" s="4052"/>
      <c r="E12" s="4052"/>
      <c r="F12" s="4052"/>
      <c r="G12" s="4053"/>
      <c r="H12" s="2096"/>
    </row>
    <row r="13" spans="1:12" s="23" customFormat="1" ht="14.25" x14ac:dyDescent="0.2">
      <c r="A13" s="2141" t="s">
        <v>1687</v>
      </c>
      <c r="B13" s="2142" t="s">
        <v>2802</v>
      </c>
      <c r="C13" s="2135">
        <f>C14+C19+C20+C24</f>
        <v>9130.1492231436732</v>
      </c>
      <c r="D13" s="2135">
        <f t="shared" ref="D13:G13" si="1">D14+D19+D20+D24</f>
        <v>0</v>
      </c>
      <c r="E13" s="2135">
        <f t="shared" si="1"/>
        <v>0</v>
      </c>
      <c r="F13" s="2135">
        <f t="shared" si="1"/>
        <v>0</v>
      </c>
      <c r="G13" s="2135">
        <f t="shared" si="1"/>
        <v>7249.3975837799208</v>
      </c>
      <c r="H13" s="2096"/>
    </row>
    <row r="14" spans="1:12" x14ac:dyDescent="0.25">
      <c r="A14" s="2143" t="s">
        <v>1689</v>
      </c>
      <c r="B14" s="91" t="s">
        <v>2803</v>
      </c>
      <c r="C14" s="2144">
        <f>SUM(C15:C18)</f>
        <v>3699.8217719659278</v>
      </c>
      <c r="D14" s="2144">
        <f t="shared" ref="D14:G14" si="2">SUM(D15:D18)</f>
        <v>0</v>
      </c>
      <c r="E14" s="2144">
        <f t="shared" si="2"/>
        <v>0</v>
      </c>
      <c r="F14" s="2144">
        <f t="shared" si="2"/>
        <v>0</v>
      </c>
      <c r="G14" s="2144">
        <f t="shared" si="2"/>
        <v>2849.2322555683481</v>
      </c>
      <c r="H14" s="2096"/>
      <c r="I14" s="828"/>
    </row>
    <row r="15" spans="1:12" x14ac:dyDescent="0.25">
      <c r="A15" s="2143" t="s">
        <v>2804</v>
      </c>
      <c r="B15" s="91" t="s">
        <v>2805</v>
      </c>
      <c r="C15" s="2144">
        <f>'Додаток 3 до рішення'!I12</f>
        <v>3313.8510790037099</v>
      </c>
      <c r="D15" s="2144">
        <f>'Додаток 3 до рішення'!D12</f>
        <v>0</v>
      </c>
      <c r="E15" s="2144">
        <f>IF(E10=0,0,'Додаток 3 до рішення'!E12)</f>
        <v>0</v>
      </c>
      <c r="F15" s="2144">
        <f>'Додаток 3 до рішення'!F12</f>
        <v>0</v>
      </c>
      <c r="G15" s="2144">
        <f>'Додаток 3 до рішення'!G12</f>
        <v>2520.9609284603375</v>
      </c>
      <c r="H15" s="2096"/>
    </row>
    <row r="16" spans="1:12" x14ac:dyDescent="0.25">
      <c r="A16" s="2143" t="s">
        <v>2806</v>
      </c>
      <c r="B16" s="91" t="s">
        <v>2807</v>
      </c>
      <c r="C16" s="2144">
        <f>'Додаток 3 до рішення'!I13+'Додаток 4 до рішення'!C12</f>
        <v>281.44664100082019</v>
      </c>
      <c r="D16" s="2144">
        <f>'Додаток 3 до рішення'!D13+'Додаток 4 до рішення'!D12</f>
        <v>0</v>
      </c>
      <c r="E16" s="2144">
        <f>IF(E10=0,0,'Додаток 3 до рішення'!E13+'Додаток 4 до рішення'!E12)</f>
        <v>0</v>
      </c>
      <c r="F16" s="2144">
        <f>'Додаток 3 до рішення'!F13+'Додаток 4 до рішення'!F12</f>
        <v>0</v>
      </c>
      <c r="G16" s="2144">
        <f>'Додаток 3 до рішення'!G13+'Додаток 4 до рішення'!G12</f>
        <v>242.27867571532622</v>
      </c>
      <c r="H16" s="2096"/>
    </row>
    <row r="17" spans="1:8" x14ac:dyDescent="0.25">
      <c r="A17" s="2143" t="s">
        <v>2808</v>
      </c>
      <c r="B17" s="91" t="s">
        <v>2809</v>
      </c>
      <c r="C17" s="2144">
        <f>'Додаток 3 до рішення'!I14+'Додаток 4 до рішення'!C13</f>
        <v>46.760103246133433</v>
      </c>
      <c r="D17" s="2144">
        <f>'Додаток 3 до рішення'!D14+'Додаток 4 до рішення'!D13</f>
        <v>0</v>
      </c>
      <c r="E17" s="2144">
        <f>IF(E10=0,0,'Додаток 3 до рішення'!E14+'Додаток 4 до рішення'!E13)</f>
        <v>0</v>
      </c>
      <c r="F17" s="2144">
        <f>'Додаток 3 до рішення'!F14+'Додаток 4 до рішення'!F13</f>
        <v>0</v>
      </c>
      <c r="G17" s="2144">
        <f>'Додаток 3 до рішення'!G14+'Додаток 4 до рішення'!G13</f>
        <v>40.136726956737604</v>
      </c>
      <c r="H17" s="2096"/>
    </row>
    <row r="18" spans="1:8" x14ac:dyDescent="0.25">
      <c r="A18" s="2143" t="s">
        <v>2810</v>
      </c>
      <c r="B18" s="91" t="s">
        <v>2173</v>
      </c>
      <c r="C18" s="2144">
        <f>'Додаток 3 до рішення'!I15+'Додаток 4 до рішення'!C14+'Додаток 6 до рішення'!I11</f>
        <v>57.76394871526432</v>
      </c>
      <c r="D18" s="2144">
        <f>'Додаток 3 до рішення'!D15+'Додаток 4 до рішення'!D14+'Додаток 6 до рішення'!D11</f>
        <v>0</v>
      </c>
      <c r="E18" s="2144">
        <f>IF(E10=0,0,'Додаток 3 до рішення'!E15+'Додаток 4 до рішення'!E14+'Додаток 6 до рішення'!E11)</f>
        <v>0</v>
      </c>
      <c r="F18" s="2144">
        <f>'Додаток 3 до рішення'!F15+'Додаток 4 до рішення'!F14+'Додаток 6 до рішення'!F11</f>
        <v>0</v>
      </c>
      <c r="G18" s="2144">
        <f>'Додаток 3 до рішення'!G15+'Додаток 4 до рішення'!G14+'Додаток 6 до рішення'!G11</f>
        <v>45.855924435946719</v>
      </c>
      <c r="H18" s="2096"/>
    </row>
    <row r="19" spans="1:8" x14ac:dyDescent="0.25">
      <c r="A19" s="2145" t="s">
        <v>1691</v>
      </c>
      <c r="B19" s="178" t="s">
        <v>2811</v>
      </c>
      <c r="C19" s="2135">
        <f>'Додаток 3 до рішення'!I16+'Додаток 4 до рішення'!C15+'Додаток 6 до рішення'!I12</f>
        <v>1992.0546616507556</v>
      </c>
      <c r="D19" s="2135">
        <f>'Додаток 3 до рішення'!D16+'Додаток 4 до рішення'!D15+'Додаток 6 до рішення'!D12</f>
        <v>0</v>
      </c>
      <c r="E19" s="2135">
        <f>IF(E10=0,0,'Додаток 3 до рішення'!E16+'Додаток 4 до рішення'!E15+'Додаток 6 до рішення'!E12)</f>
        <v>0</v>
      </c>
      <c r="F19" s="2135">
        <f>'Додаток 3 до рішення'!F16+'Додаток 4 до рішення'!F15+'Додаток 6 до рішення'!F12</f>
        <v>0</v>
      </c>
      <c r="G19" s="2135">
        <f>'Додаток 3 до рішення'!G16+'Додаток 4 до рішення'!G15+'Додаток 6 до рішення'!G12</f>
        <v>1656.5903579954852</v>
      </c>
      <c r="H19" s="2096"/>
    </row>
    <row r="20" spans="1:8" x14ac:dyDescent="0.25">
      <c r="A20" s="2145" t="s">
        <v>1694</v>
      </c>
      <c r="B20" s="178" t="s">
        <v>2812</v>
      </c>
      <c r="C20" s="2135">
        <f>C21+C22+C23</f>
        <v>2243.1239058449032</v>
      </c>
      <c r="D20" s="2135">
        <f t="shared" ref="D20:G20" si="3">D21+D22+D23</f>
        <v>0</v>
      </c>
      <c r="E20" s="2135">
        <f t="shared" si="3"/>
        <v>0</v>
      </c>
      <c r="F20" s="2135">
        <f t="shared" si="3"/>
        <v>0</v>
      </c>
      <c r="G20" s="2135">
        <f t="shared" si="3"/>
        <v>1794.6190202235227</v>
      </c>
      <c r="H20" s="2096"/>
    </row>
    <row r="21" spans="1:8" x14ac:dyDescent="0.25">
      <c r="A21" s="2143" t="s">
        <v>2813</v>
      </c>
      <c r="B21" s="91" t="s">
        <v>2814</v>
      </c>
      <c r="C21" s="2144">
        <f>'Додаток 3 до рішення'!I18+'Додаток 4 до рішення'!C17+'Додаток 6 до рішення'!I14</f>
        <v>438.25202556316623</v>
      </c>
      <c r="D21" s="2144">
        <f>'Додаток 3 до рішення'!D18+'Додаток 4 до рішення'!D17+'Додаток 6 до рішення'!D14</f>
        <v>0</v>
      </c>
      <c r="E21" s="2144">
        <f>IF(E10=0,0,'Додаток 3 до рішення'!E18+'Додаток 4 до рішення'!E17+'Додаток 6 до рішення'!E14)</f>
        <v>0</v>
      </c>
      <c r="F21" s="2144">
        <f>'Додаток 3 до рішення'!F18+'Додаток 4 до рішення'!F17+'Додаток 6 до рішення'!F14</f>
        <v>0</v>
      </c>
      <c r="G21" s="2144">
        <f>'Додаток 3 до рішення'!G18+'Додаток 4 до рішення'!G17+'Додаток 6 до рішення'!G14</f>
        <v>364.44987875900676</v>
      </c>
      <c r="H21" s="2096"/>
    </row>
    <row r="22" spans="1:8" x14ac:dyDescent="0.25">
      <c r="A22" s="2143" t="s">
        <v>2815</v>
      </c>
      <c r="B22" s="91" t="s">
        <v>2816</v>
      </c>
      <c r="C22" s="2144">
        <f>'Додаток 3 до рішення'!I19+'Додаток 4 до рішення'!C18+'Додаток 6 до рішення'!I15</f>
        <v>579.1042088362567</v>
      </c>
      <c r="D22" s="2144">
        <f>'Додаток 3 до рішення'!D19+'Додаток 4 до рішення'!D18+'Додаток 6 до рішення'!D15</f>
        <v>0</v>
      </c>
      <c r="E22" s="2144">
        <f>IF(E10=0,0,'Додаток 3 до рішення'!E19+'Додаток 4 до рішення'!E18+'Додаток 6 до рішення'!E15)</f>
        <v>0</v>
      </c>
      <c r="F22" s="2144">
        <f>'Додаток 3 до рішення'!F19+'Додаток 4 до рішення'!F18+'Додаток 6 до рішення'!F15</f>
        <v>0</v>
      </c>
      <c r="G22" s="2144">
        <f>'Додаток 3 до рішення'!G19+'Додаток 4 до рішення'!G18+'Додаток 6 до рішення'!G15</f>
        <v>443.28213340370218</v>
      </c>
      <c r="H22" s="2096"/>
    </row>
    <row r="23" spans="1:8" x14ac:dyDescent="0.25">
      <c r="A23" s="2143" t="s">
        <v>2817</v>
      </c>
      <c r="B23" s="91" t="s">
        <v>82</v>
      </c>
      <c r="C23" s="2144">
        <f>'Додаток 3 до рішення'!I20+'Додаток 4 до рішення'!C19+'Додаток 6 до рішення'!I16</f>
        <v>1225.7676714454803</v>
      </c>
      <c r="D23" s="2144">
        <f>'Додаток 3 до рішення'!D20+'Додаток 4 до рішення'!D19+'Додаток 6 до рішення'!D16</f>
        <v>0</v>
      </c>
      <c r="E23" s="2144">
        <f>IF(E10=0,0,'Додаток 3 до рішення'!E20+'Додаток 4 до рішення'!E19+'Додаток 6 до рішення'!E16)</f>
        <v>0</v>
      </c>
      <c r="F23" s="2144">
        <f>'Додаток 3 до рішення'!F20+'Додаток 4 до рішення'!F19+'Додаток 6 до рішення'!F16</f>
        <v>0</v>
      </c>
      <c r="G23" s="2144">
        <f>'Додаток 3 до рішення'!G20+'Додаток 4 до рішення'!G19+'Додаток 6 до рішення'!G16</f>
        <v>986.88700806081374</v>
      </c>
      <c r="H23" s="2096"/>
    </row>
    <row r="24" spans="1:8" s="23" customFormat="1" ht="14.25" x14ac:dyDescent="0.2">
      <c r="A24" s="2145" t="s">
        <v>1696</v>
      </c>
      <c r="B24" s="178" t="s">
        <v>2818</v>
      </c>
      <c r="C24" s="2135">
        <f>C25+C26+C27+C28</f>
        <v>1195.1488836820856</v>
      </c>
      <c r="D24" s="2135">
        <f t="shared" ref="D24:G24" si="4">D25+D26+D27+D28</f>
        <v>0</v>
      </c>
      <c r="E24" s="2135">
        <f t="shared" si="4"/>
        <v>0</v>
      </c>
      <c r="F24" s="2135">
        <f t="shared" si="4"/>
        <v>0</v>
      </c>
      <c r="G24" s="2135">
        <f t="shared" si="4"/>
        <v>948.9559499925648</v>
      </c>
      <c r="H24" s="2096"/>
    </row>
    <row r="25" spans="1:8" x14ac:dyDescent="0.25">
      <c r="A25" s="2146" t="s">
        <v>2819</v>
      </c>
      <c r="B25" s="91" t="s">
        <v>2820</v>
      </c>
      <c r="C25" s="2144">
        <f>'Додаток 3 до рішення'!I22+'Додаток 4 до рішення'!C21+'Додаток 6 до рішення'!I18</f>
        <v>865.52550276269415</v>
      </c>
      <c r="D25" s="2144">
        <f>'Додаток 3 до рішення'!D22+'Додаток 4 до рішення'!D21+'Додаток 6 до рішення'!D18</f>
        <v>0</v>
      </c>
      <c r="E25" s="2144">
        <f>IF(E10=0,0,'Додаток 3 до рішення'!E22+'Додаток 4 до рішення'!E21+'Додаток 6 до рішення'!E18)</f>
        <v>0</v>
      </c>
      <c r="F25" s="2144">
        <f>'Додаток 3 до рішення'!F22+'Додаток 4 до рішення'!F21+'Додаток 6 до рішення'!F18</f>
        <v>0</v>
      </c>
      <c r="G25" s="2144">
        <f>'Додаток 3 до рішення'!G22+'Додаток 4 до рішення'!G21+'Додаток 6 до рішення'!G18</f>
        <v>687.23285184898009</v>
      </c>
      <c r="H25" s="2096"/>
    </row>
    <row r="26" spans="1:8" x14ac:dyDescent="0.25">
      <c r="A26" s="2146" t="s">
        <v>2821</v>
      </c>
      <c r="B26" s="91" t="s">
        <v>2175</v>
      </c>
      <c r="C26" s="2144">
        <f>'Додаток 3 до рішення'!I23+'Додаток 4 до рішення'!C22+'Додаток 6 до рішення'!I19</f>
        <v>190.41561060779273</v>
      </c>
      <c r="D26" s="2144">
        <f>'Додаток 3 до рішення'!D23+'Додаток 4 до рішення'!D22+'Додаток 6 до рішення'!D19</f>
        <v>0</v>
      </c>
      <c r="E26" s="2144">
        <f>IF(E10=0,0,'Додаток 3 до рішення'!E23+'Додаток 4 до рішення'!E22+'Додаток 6 до рішення'!E19)</f>
        <v>0</v>
      </c>
      <c r="F26" s="2144">
        <f>'Додаток 3 до рішення'!F23+'Додаток 4 до рішення'!F22+'Додаток 6 до рішення'!F19</f>
        <v>0</v>
      </c>
      <c r="G26" s="2144">
        <f>'Додаток 3 до рішення'!G23+'Додаток 4 до рішення'!G22+'Додаток 6 до рішення'!G19</f>
        <v>151.19122740677565</v>
      </c>
      <c r="H26" s="2096"/>
    </row>
    <row r="27" spans="1:8" x14ac:dyDescent="0.25">
      <c r="A27" s="2146" t="s">
        <v>2822</v>
      </c>
      <c r="B27" s="91" t="s">
        <v>2816</v>
      </c>
      <c r="C27" s="2144">
        <f>'Додаток 3 до рішення'!I24+'Додаток 4 до рішення'!C23+'Додаток 6 до рішення'!I20</f>
        <v>7.4652070449808088</v>
      </c>
      <c r="D27" s="2144">
        <f>'Додаток 3 до рішення'!D24+'Додаток 4 до рішення'!D23+'Додаток 6 до рішення'!D20</f>
        <v>0</v>
      </c>
      <c r="E27" s="2144">
        <f>IF(E10=0,0,'Додаток 3 до рішення'!E24+'Додаток 4 до рішення'!E23+'Додаток 6 до рішення'!E20)</f>
        <v>0</v>
      </c>
      <c r="F27" s="2144">
        <f>'Додаток 3 до рішення'!F24+'Додаток 4 до рішення'!F23+'Додаток 6 до рішення'!F20</f>
        <v>0</v>
      </c>
      <c r="G27" s="2144">
        <f>'Додаток 3 до рішення'!G24+'Додаток 4 до рішення'!G23+'Додаток 6 до рішення'!G20</f>
        <v>5.9274227169385583</v>
      </c>
      <c r="H27" s="2096"/>
    </row>
    <row r="28" spans="1:8" x14ac:dyDescent="0.25">
      <c r="A28" s="2146" t="s">
        <v>2823</v>
      </c>
      <c r="B28" s="91" t="s">
        <v>58</v>
      </c>
      <c r="C28" s="2144">
        <f>'Додаток 3 до рішення'!I25+'Додаток 4 до рішення'!C24+'Додаток 6 до рішення'!I21</f>
        <v>131.74256326661796</v>
      </c>
      <c r="D28" s="2144">
        <f>'Додаток 3 до рішення'!D25+'Додаток 4 до рішення'!D24+'Додаток 6 до рішення'!D21</f>
        <v>0</v>
      </c>
      <c r="E28" s="2144">
        <f>IF(E10=0,0,'Додаток 3 до рішення'!E25+'Додаток 4 до рішення'!E24+'Додаток 6 до рішення'!E21)</f>
        <v>0</v>
      </c>
      <c r="F28" s="2144">
        <f>'Додаток 3 до рішення'!F25+'Додаток 4 до рішення'!F24+'Додаток 6 до рішення'!F21</f>
        <v>0</v>
      </c>
      <c r="G28" s="2144">
        <f>'Додаток 3 до рішення'!G25+'Додаток 4 до рішення'!G24+'Додаток 6 до рішення'!G21</f>
        <v>104.60444801987056</v>
      </c>
      <c r="H28" s="2096"/>
    </row>
    <row r="29" spans="1:8" s="23" customFormat="1" ht="14.25" x14ac:dyDescent="0.2">
      <c r="A29" s="2141" t="s">
        <v>1709</v>
      </c>
      <c r="B29" s="178" t="s">
        <v>2824</v>
      </c>
      <c r="C29" s="2135">
        <f>C30+C31+C32+C33</f>
        <v>366.36534723597924</v>
      </c>
      <c r="D29" s="2135">
        <f t="shared" ref="D29:G29" si="5">D30+D31+D32+D33</f>
        <v>0</v>
      </c>
      <c r="E29" s="2135">
        <f t="shared" si="5"/>
        <v>0</v>
      </c>
      <c r="F29" s="2135">
        <f t="shared" si="5"/>
        <v>0</v>
      </c>
      <c r="G29" s="2135">
        <f t="shared" si="5"/>
        <v>290.8864572343229</v>
      </c>
      <c r="H29" s="2096"/>
    </row>
    <row r="30" spans="1:8" x14ac:dyDescent="0.25">
      <c r="A30" s="2146" t="s">
        <v>2825</v>
      </c>
      <c r="B30" s="91" t="s">
        <v>55</v>
      </c>
      <c r="C30" s="2144">
        <f>'Додаток 3 до рішення'!I27+'Додаток 4 до рішення'!C26+'Додаток 6 до рішення'!I23</f>
        <v>202.74870783368098</v>
      </c>
      <c r="D30" s="2144">
        <f>'Додаток 3 до рішення'!D27+'Додаток 4 до рішення'!D26+'Додаток 6 до рішення'!D23</f>
        <v>0</v>
      </c>
      <c r="E30" s="2144">
        <f>IF(E10=0,0,'Додаток 3 до рішення'!E27+'Додаток 4 до рішення'!E26+'Додаток 6 до рішення'!E23)</f>
        <v>0</v>
      </c>
      <c r="F30" s="2144">
        <f>'Додаток 3 до рішення'!F27+'Додаток 4 до рішення'!F26+'Додаток 6 до рішення'!F23</f>
        <v>0</v>
      </c>
      <c r="G30" s="2144">
        <f>'Додаток 3 до рішення'!G27+'Додаток 4 до рішення'!G26+'Додаток 6 до рішення'!G23</f>
        <v>160.9837864378199</v>
      </c>
      <c r="H30" s="2096"/>
    </row>
    <row r="31" spans="1:8" x14ac:dyDescent="0.25">
      <c r="A31" s="2146" t="s">
        <v>2826</v>
      </c>
      <c r="B31" s="91" t="s">
        <v>2827</v>
      </c>
      <c r="C31" s="2144">
        <f>'Додаток 3 до рішення'!I28+'Додаток 4 до рішення'!C27+'Додаток 6 до рішення'!I24</f>
        <v>44.604715723409825</v>
      </c>
      <c r="D31" s="2144">
        <f>'Додаток 3 до рішення'!D28+'Додаток 4 до рішення'!D27+'Додаток 6 до рішення'!D24</f>
        <v>0</v>
      </c>
      <c r="E31" s="2144">
        <f>IF(E10=0,0,'Додаток 3 до рішення'!E28+'Додаток 4 до рішення'!E27+'Додаток 6 до рішення'!E24)</f>
        <v>0</v>
      </c>
      <c r="F31" s="2144">
        <f>'Додаток 3 до рішення'!F28+'Додаток 4 до рішення'!F27+'Додаток 6 до рішення'!F24</f>
        <v>0</v>
      </c>
      <c r="G31" s="2144">
        <f>'Додаток 3 до рішення'!G28+'Додаток 4 до рішення'!G27+'Додаток 6 до рішення'!G24</f>
        <v>35.416433016320369</v>
      </c>
      <c r="H31" s="2096"/>
    </row>
    <row r="32" spans="1:8" x14ac:dyDescent="0.25">
      <c r="A32" s="2146" t="s">
        <v>2828</v>
      </c>
      <c r="B32" s="91" t="s">
        <v>2816</v>
      </c>
      <c r="C32" s="2144">
        <f>'Додаток 3 до рішення'!I29+'Додаток 4 до рішення'!C28+'Додаток 6 до рішення'!I25</f>
        <v>6.5622891618902157</v>
      </c>
      <c r="D32" s="2144">
        <f>'Додаток 3 до рішення'!D29+'Додаток 4 до рішення'!D28+'Додаток 6 до рішення'!D25</f>
        <v>0</v>
      </c>
      <c r="E32" s="2144">
        <f>IF(E10=0,0,'Додаток 3 до рішення'!E29+'Додаток 4 до рішення'!E28+'Додаток 6 до рішення'!E25)</f>
        <v>0</v>
      </c>
      <c r="F32" s="2144">
        <f>'Додаток 3 до рішення'!F29+'Додаток 4 до рішення'!F28+'Додаток 6 до рішення'!F25</f>
        <v>0</v>
      </c>
      <c r="G32" s="2144">
        <f>'Додаток 3 до рішення'!G29+'Додаток 4 до рішення'!G28+'Додаток 6 до рішення'!G25</f>
        <v>5.2105000730636464</v>
      </c>
      <c r="H32" s="2096"/>
    </row>
    <row r="33" spans="1:8" x14ac:dyDescent="0.25">
      <c r="A33" s="2146" t="s">
        <v>2829</v>
      </c>
      <c r="B33" s="91" t="s">
        <v>2830</v>
      </c>
      <c r="C33" s="2144">
        <f>'Додаток 3 до рішення'!I30+'Додаток 4 до рішення'!C29+'Додаток 6 до рішення'!I26</f>
        <v>112.44963451699823</v>
      </c>
      <c r="D33" s="2144">
        <f>'Додаток 3 до рішення'!D30+'Додаток 4 до рішення'!D29+'Додаток 6 до рішення'!D26</f>
        <v>0</v>
      </c>
      <c r="E33" s="2144">
        <f>IF(E10=0,0,'Додаток 3 до рішення'!E30+'Додаток 4 до рішення'!E29+'Додаток 6 до рішення'!E26)</f>
        <v>0</v>
      </c>
      <c r="F33" s="2144">
        <f>'Додаток 3 до рішення'!F30+'Додаток 4 до рішення'!F29+'Додаток 6 до рішення'!F26</f>
        <v>0</v>
      </c>
      <c r="G33" s="2144">
        <f>'Додаток 3 до рішення'!G30+'Додаток 4 до рішення'!G29+'Додаток 6 до рішення'!G26</f>
        <v>89.275737707118992</v>
      </c>
      <c r="H33" s="2096"/>
    </row>
    <row r="34" spans="1:8" s="23" customFormat="1" ht="14.25" x14ac:dyDescent="0.2">
      <c r="A34" s="2141" t="s">
        <v>1711</v>
      </c>
      <c r="B34" s="178" t="s">
        <v>2831</v>
      </c>
      <c r="C34" s="2141">
        <v>0</v>
      </c>
      <c r="D34" s="2141">
        <v>0</v>
      </c>
      <c r="E34" s="2141">
        <v>0</v>
      </c>
      <c r="F34" s="2141">
        <v>0</v>
      </c>
      <c r="G34" s="2141">
        <v>0</v>
      </c>
      <c r="H34" s="2096"/>
    </row>
    <row r="35" spans="1:8" s="23" customFormat="1" ht="42.75" x14ac:dyDescent="0.2">
      <c r="A35" s="2141" t="s">
        <v>1714</v>
      </c>
      <c r="B35" s="2147" t="s">
        <v>2832</v>
      </c>
      <c r="C35" s="2135">
        <f>'Додаток 4 до рішення'!C32</f>
        <v>1062.3733038807425</v>
      </c>
      <c r="D35" s="2135">
        <f>'Додаток 4 до рішення'!D32</f>
        <v>0</v>
      </c>
      <c r="E35" s="2135">
        <f>IF(E10=0,0,'Додаток 4 до рішення'!E32)</f>
        <v>0</v>
      </c>
      <c r="F35" s="2135">
        <f>'Додаток 4 до рішення'!F32</f>
        <v>0</v>
      </c>
      <c r="G35" s="2135">
        <f>'Додаток 4 до рішення'!G32</f>
        <v>941.66835566680038</v>
      </c>
      <c r="H35" s="2096"/>
    </row>
    <row r="36" spans="1:8" s="23" customFormat="1" ht="14.25" x14ac:dyDescent="0.2">
      <c r="A36" s="2141" t="s">
        <v>1786</v>
      </c>
      <c r="B36" s="178" t="s">
        <v>2833</v>
      </c>
      <c r="C36" s="2135">
        <f>'Додаток 3 до рішення'!I32+'Додаток 4 до рішення'!C33+'Додаток 6 до рішення'!I28</f>
        <v>0</v>
      </c>
      <c r="D36" s="2135">
        <f>'Додаток 3 до рішення'!D32+'Додаток 4 до рішення'!D33+'Додаток 6 до рішення'!D28</f>
        <v>0</v>
      </c>
      <c r="E36" s="2135">
        <f>IF(E10=0,0,'Додаток 3 до рішення'!E32+'Додаток 4 до рішення'!E33+'Додаток 6 до рішення'!E28)</f>
        <v>0</v>
      </c>
      <c r="F36" s="2135">
        <f>'Додаток 3 до рішення'!F32+'Додаток 4 до рішення'!F33+'Додаток 6 до рішення'!F28</f>
        <v>0</v>
      </c>
      <c r="G36" s="2135">
        <f>'Додаток 3 до рішення'!G32+'Додаток 4 до рішення'!G33+'Додаток 6 до рішення'!G28</f>
        <v>0</v>
      </c>
      <c r="H36" s="2096"/>
    </row>
    <row r="37" spans="1:8" s="23" customFormat="1" ht="14.25" x14ac:dyDescent="0.2">
      <c r="A37" s="2141" t="s">
        <v>1792</v>
      </c>
      <c r="B37" s="178" t="s">
        <v>2834</v>
      </c>
      <c r="C37" s="2141">
        <v>0</v>
      </c>
      <c r="D37" s="2141">
        <v>0</v>
      </c>
      <c r="E37" s="2141">
        <v>0</v>
      </c>
      <c r="F37" s="2141">
        <v>0</v>
      </c>
      <c r="G37" s="2141">
        <v>0</v>
      </c>
      <c r="H37" s="2096"/>
    </row>
    <row r="38" spans="1:8" s="2175" customFormat="1" ht="14.25" x14ac:dyDescent="0.2">
      <c r="A38" s="2171" t="s">
        <v>1798</v>
      </c>
      <c r="B38" s="2172" t="s">
        <v>2835</v>
      </c>
      <c r="C38" s="2173">
        <f>'Додаток 3 до рішення'!I34</f>
        <v>0</v>
      </c>
      <c r="D38" s="2173">
        <f>'Додаток 3 до рішення'!D34</f>
        <v>0</v>
      </c>
      <c r="E38" s="2173">
        <f>IF(E10=0,0,'Додаток 3 до рішення'!E34)</f>
        <v>0</v>
      </c>
      <c r="F38" s="2173">
        <f>'Додаток 3 до рішення'!F34</f>
        <v>0</v>
      </c>
      <c r="G38" s="2173">
        <f>'Додаток 3 до рішення'!G34</f>
        <v>0</v>
      </c>
      <c r="H38" s="2174"/>
    </row>
    <row r="39" spans="1:8" s="23" customFormat="1" ht="14.25" x14ac:dyDescent="0.2">
      <c r="A39" s="2141" t="s">
        <v>1800</v>
      </c>
      <c r="B39" s="178" t="s">
        <v>2836</v>
      </c>
      <c r="C39" s="2135">
        <f>SUM(C40:C43)</f>
        <v>775.44472548568353</v>
      </c>
      <c r="D39" s="2135">
        <f t="shared" ref="D39:G39" si="6">SUM(D40:D43)</f>
        <v>0</v>
      </c>
      <c r="E39" s="2135">
        <f t="shared" si="6"/>
        <v>0</v>
      </c>
      <c r="F39" s="2135">
        <f t="shared" si="6"/>
        <v>0</v>
      </c>
      <c r="G39" s="2135">
        <f t="shared" si="6"/>
        <v>622.91531841225606</v>
      </c>
      <c r="H39" s="2096"/>
    </row>
    <row r="40" spans="1:8" x14ac:dyDescent="0.25">
      <c r="A40" s="2146" t="s">
        <v>1102</v>
      </c>
      <c r="B40" s="91" t="s">
        <v>65</v>
      </c>
      <c r="C40" s="2144">
        <f>'Додаток 3 до рішення'!I36+'Додаток 4 до рішення'!C37+'Додаток 6 до рішення'!I32</f>
        <v>76.023992694674845</v>
      </c>
      <c r="D40" s="2144">
        <f>'Додаток 3 до рішення'!D36+'Додаток 4 до рішення'!D37+'Додаток 6 до рішення'!D32</f>
        <v>0</v>
      </c>
      <c r="E40" s="2144">
        <f>IF(E10=0,0,'Додаток 3 до рішення'!E36+'Додаток 4 до рішення'!E37+'Додаток 6 до рішення'!E32)</f>
        <v>0</v>
      </c>
      <c r="F40" s="2144">
        <f>'Додаток 3 до рішення'!F36+'Додаток 4 до рішення'!F37+'Додаток 6 до рішення'!F32</f>
        <v>0</v>
      </c>
      <c r="G40" s="2144">
        <f>'Додаток 3 до рішення'!G36+'Додаток 4 до рішення'!G37+'Додаток 6 до рішення'!G32</f>
        <v>61.070129256103534</v>
      </c>
      <c r="H40" s="2096"/>
    </row>
    <row r="41" spans="1:8" x14ac:dyDescent="0.25">
      <c r="A41" s="2146" t="s">
        <v>2837</v>
      </c>
      <c r="B41" s="91" t="s">
        <v>85</v>
      </c>
      <c r="C41" s="2144">
        <f>'Додаток 3 до рішення'!I37+'Додаток 4 до рішення'!C38+'Додаток 6 до рішення'!I33</f>
        <v>277.06521782059281</v>
      </c>
      <c r="D41" s="2144">
        <f>'Додаток 3 до рішення'!D37+'Додаток 4 до рішення'!D38+'Додаток 6 до рішення'!D33</f>
        <v>0</v>
      </c>
      <c r="E41" s="2144">
        <f>IF(E10=0,0,'Додаток 3 до рішення'!E37+'Додаток 4 до рішення'!E38+'Додаток 6 до рішення'!E33)</f>
        <v>0</v>
      </c>
      <c r="F41" s="2144">
        <f>'Додаток 3 до рішення'!F37+'Додаток 4 до рішення'!F38+'Додаток 6 до рішення'!F33</f>
        <v>0</v>
      </c>
      <c r="G41" s="2144">
        <f>'Додаток 3 до рішення'!G37+'Додаток 4 до рішення'!G38+'Додаток 6 до рішення'!G33</f>
        <v>222.56669328891064</v>
      </c>
      <c r="H41" s="2096"/>
    </row>
    <row r="42" spans="1:8" x14ac:dyDescent="0.25">
      <c r="A42" s="2146" t="s">
        <v>2838</v>
      </c>
      <c r="B42" s="91" t="s">
        <v>71</v>
      </c>
      <c r="C42" s="2144">
        <f>'Додаток 3 до рішення'!I38+'Додаток 4 до рішення'!C39+'Додаток 6 до рішення'!I34</f>
        <v>0</v>
      </c>
      <c r="D42" s="2144">
        <f>'Додаток 3 до рішення'!D38+'Додаток 4 до рішення'!D39+'Додаток 6 до рішення'!D34</f>
        <v>0</v>
      </c>
      <c r="E42" s="2144">
        <f>IF(E10=0,0,'Додаток 3 до рішення'!E38+'Додаток 4 до рішення'!E39+'Додаток 6 до рішення'!E34)</f>
        <v>0</v>
      </c>
      <c r="F42" s="2144">
        <f>'Додаток 3 до рішення'!F38+'Додаток 4 до рішення'!F39+'Додаток 6 до рішення'!F34</f>
        <v>0</v>
      </c>
      <c r="G42" s="2144">
        <f>'Додаток 3 до рішення'!G38+'Додаток 4 до рішення'!G39+'Додаток 6 до рішення'!G34</f>
        <v>0</v>
      </c>
      <c r="H42" s="2096"/>
    </row>
    <row r="43" spans="1:8" ht="15.75" thickBot="1" x14ac:dyDescent="0.3">
      <c r="A43" s="2148" t="s">
        <v>2839</v>
      </c>
      <c r="B43" s="2149" t="s">
        <v>2394</v>
      </c>
      <c r="C43" s="2150">
        <f>'Додаток 3 до рішення'!I39+'Додаток 4 до рішення'!C40+'Додаток 6 до рішення'!I35</f>
        <v>422.35551497041587</v>
      </c>
      <c r="D43" s="2150">
        <f>'Додаток 3 до рішення'!D39+'Додаток 4 до рішення'!D40+'Додаток 6 до рішення'!D35</f>
        <v>0</v>
      </c>
      <c r="E43" s="2150">
        <f>IF(E10=0,0,'Додаток 3 до рішення'!E39+'Додаток 4 до рішення'!E40+'Додаток 6 до рішення'!E35)</f>
        <v>0</v>
      </c>
      <c r="F43" s="2150">
        <f>'Додаток 3 до рішення'!F39+'Додаток 4 до рішення'!F40+'Додаток 6 до рішення'!F35</f>
        <v>0</v>
      </c>
      <c r="G43" s="2150">
        <f>'Додаток 3 до рішення'!G39+'Додаток 4 до рішення'!G40+'Додаток 6 до рішення'!G35</f>
        <v>339.27849586724182</v>
      </c>
      <c r="H43" s="2096"/>
    </row>
    <row r="44" spans="1:8" ht="15.75" thickBot="1" x14ac:dyDescent="0.3">
      <c r="A44" s="2140" t="s">
        <v>1802</v>
      </c>
      <c r="B44" s="2151" t="s">
        <v>2840</v>
      </c>
      <c r="C44" s="2152">
        <f>C13+C29+C34+C35+C36+C37+C38+C39</f>
        <v>11334.332599746078</v>
      </c>
      <c r="D44" s="2152">
        <f t="shared" ref="D44:G44" si="7">D13+D29+D34+D35+D36+D37+D38+D39</f>
        <v>0</v>
      </c>
      <c r="E44" s="2152">
        <f t="shared" si="7"/>
        <v>0</v>
      </c>
      <c r="F44" s="2152">
        <f t="shared" si="7"/>
        <v>0</v>
      </c>
      <c r="G44" s="2152">
        <f t="shared" si="7"/>
        <v>9104.8677150932999</v>
      </c>
      <c r="H44" s="2096"/>
    </row>
    <row r="45" spans="1:8" s="23" customFormat="1" ht="32.25" thickBot="1" x14ac:dyDescent="0.25">
      <c r="A45" s="2140" t="s">
        <v>1806</v>
      </c>
      <c r="B45" s="1176" t="s">
        <v>2841</v>
      </c>
      <c r="C45" s="2152">
        <f>'Додаток 3 до рішення'!I8</f>
        <v>1.3145190159799998</v>
      </c>
      <c r="D45" s="2152">
        <f>'Додаток 3 до рішення'!J8</f>
        <v>0</v>
      </c>
      <c r="E45" s="2152">
        <f>'Додаток 3 до рішення'!K8</f>
        <v>0</v>
      </c>
      <c r="F45" s="2152">
        <f>'Додаток 3 до рішення'!L8</f>
        <v>0</v>
      </c>
      <c r="G45" s="2152">
        <f>'Додаток 3 до рішення'!M8</f>
        <v>1.3145190159799998</v>
      </c>
      <c r="H45" s="2096"/>
    </row>
    <row r="46" spans="1:8" s="23" customFormat="1" ht="32.25" thickBot="1" x14ac:dyDescent="0.3">
      <c r="A46" s="2140" t="s">
        <v>1808</v>
      </c>
      <c r="B46" s="63" t="s">
        <v>2842</v>
      </c>
      <c r="C46" s="2152">
        <f>'Додаток 6 до рішення'!I8</f>
        <v>1.12818201598</v>
      </c>
      <c r="D46" s="2152">
        <f>'Додаток 6 до рішення'!J8</f>
        <v>0</v>
      </c>
      <c r="E46" s="2152">
        <f>'Додаток 6 до рішення'!K8</f>
        <v>0</v>
      </c>
      <c r="F46" s="2152">
        <f>'Додаток 6 до рішення'!L8</f>
        <v>0</v>
      </c>
      <c r="G46" s="2152">
        <f>'Додаток 6 до рішення'!M8</f>
        <v>1.12818201598</v>
      </c>
      <c r="H46" s="2096"/>
    </row>
    <row r="47" spans="1:8" x14ac:dyDescent="0.25">
      <c r="B47" s="828"/>
      <c r="C47" s="2315">
        <f>C13+C29+C35+C36+C38+C39</f>
        <v>11334.332599746078</v>
      </c>
      <c r="D47" s="2153"/>
      <c r="E47" s="2153"/>
      <c r="F47" s="2153"/>
      <c r="G47" s="2153"/>
    </row>
    <row r="48" spans="1:8" x14ac:dyDescent="0.25">
      <c r="C48" s="2316">
        <f>'Додаток 3 до рішення'!I40+'Додаток 4 до рішення'!C44+'Додаток 6 до рішення'!I38</f>
        <v>11334.332599746078</v>
      </c>
      <c r="D48" s="2155"/>
      <c r="E48" s="2153"/>
      <c r="F48" s="2153"/>
      <c r="G48" s="2153"/>
    </row>
    <row r="49" spans="1:7" ht="15.75" thickBot="1" x14ac:dyDescent="0.3">
      <c r="C49" s="2315">
        <f>C47-C48</f>
        <v>0</v>
      </c>
      <c r="D49" s="2153"/>
      <c r="E49" s="2153"/>
      <c r="F49" s="2153"/>
      <c r="G49" s="2153"/>
    </row>
    <row r="50" spans="1:7" ht="15.75" thickBot="1" x14ac:dyDescent="0.3">
      <c r="A50" s="2140" t="s">
        <v>3082</v>
      </c>
      <c r="B50" s="4049" t="s">
        <v>3078</v>
      </c>
      <c r="C50" s="4054"/>
      <c r="D50" s="4054"/>
      <c r="E50" s="4054"/>
      <c r="F50" s="4054"/>
      <c r="G50" s="4055"/>
    </row>
    <row r="51" spans="1:7" ht="29.25" x14ac:dyDescent="0.25">
      <c r="A51" s="2141" t="s">
        <v>1687</v>
      </c>
      <c r="B51" s="2335" t="s">
        <v>2846</v>
      </c>
      <c r="C51" s="2131">
        <f>C52+C57+C58+C62</f>
        <v>22936.849155960776</v>
      </c>
      <c r="D51" s="2339">
        <f>D52+D57+D58+D62</f>
        <v>0</v>
      </c>
      <c r="E51" s="2131">
        <f>E52+E57+E58+E62</f>
        <v>0</v>
      </c>
      <c r="F51" s="2339">
        <f>F52+F57+F58+F62</f>
        <v>0</v>
      </c>
      <c r="G51" s="2131">
        <f>G52+G57+G58+G62</f>
        <v>5106.3891896633559</v>
      </c>
    </row>
    <row r="52" spans="1:7" x14ac:dyDescent="0.25">
      <c r="A52" s="2143" t="s">
        <v>1689</v>
      </c>
      <c r="B52" s="2336" t="s">
        <v>2803</v>
      </c>
      <c r="C52" s="2144">
        <f>SUM(C53:C56)</f>
        <v>11700.190826664102</v>
      </c>
      <c r="D52" s="2340">
        <f>SUM(D53:D56)</f>
        <v>0</v>
      </c>
      <c r="E52" s="2144">
        <f t="shared" ref="E52:G52" si="8">SUM(E53:E56)</f>
        <v>0</v>
      </c>
      <c r="F52" s="2340">
        <f t="shared" si="8"/>
        <v>0</v>
      </c>
      <c r="G52" s="2144">
        <f t="shared" si="8"/>
        <v>2604.7922950545872</v>
      </c>
    </row>
    <row r="53" spans="1:7" x14ac:dyDescent="0.25">
      <c r="A53" s="2143" t="s">
        <v>2804</v>
      </c>
      <c r="B53" s="2336" t="s">
        <v>2805</v>
      </c>
      <c r="C53" s="2144">
        <f>'Додаток 3 до рішення'!C12</f>
        <v>11323.637583522617</v>
      </c>
      <c r="D53" s="2340">
        <f>'Додаток 3 до рішення'!D12</f>
        <v>0</v>
      </c>
      <c r="E53" s="2144">
        <f>'Додаток 3 до рішення'!E12</f>
        <v>0</v>
      </c>
      <c r="F53" s="2340">
        <f>'Додаток 3 до рішення'!F12</f>
        <v>0</v>
      </c>
      <c r="G53" s="2144">
        <f>'Додаток 3 до рішення'!G12</f>
        <v>2520.9609284603375</v>
      </c>
    </row>
    <row r="54" spans="1:7" x14ac:dyDescent="0.25">
      <c r="A54" s="2143" t="s">
        <v>2806</v>
      </c>
      <c r="B54" s="2336" t="s">
        <v>2807</v>
      </c>
      <c r="C54" s="2144">
        <f>'Додаток 3 до рішення'!C13</f>
        <v>195.55061826148037</v>
      </c>
      <c r="D54" s="2340">
        <f>'Додаток 3 до рішення'!D13</f>
        <v>0</v>
      </c>
      <c r="E54" s="2144">
        <f>'Додаток 3 до рішення'!E13</f>
        <v>0</v>
      </c>
      <c r="F54" s="2340">
        <f>'Додаток 3 до рішення'!F13</f>
        <v>0</v>
      </c>
      <c r="G54" s="2144">
        <f>'Додаток 3 до рішення'!G13</f>
        <v>43.535080007399642</v>
      </c>
    </row>
    <row r="55" spans="1:7" ht="30" x14ac:dyDescent="0.25">
      <c r="A55" s="2143" t="s">
        <v>2808</v>
      </c>
      <c r="B55" s="2336" t="s">
        <v>2809</v>
      </c>
      <c r="C55" s="2144">
        <f>'Додаток 3 до рішення'!C14</f>
        <v>35.642039999999994</v>
      </c>
      <c r="D55" s="2340">
        <f>'Додаток 3 до рішення'!D14</f>
        <v>0</v>
      </c>
      <c r="E55" s="2144">
        <f>'Додаток 3 до рішення'!E14</f>
        <v>0</v>
      </c>
      <c r="F55" s="2340">
        <f>'Додаток 3 до рішення'!F14</f>
        <v>0</v>
      </c>
      <c r="G55" s="2144">
        <f>'Додаток 3 до рішення'!G14</f>
        <v>7.9349228185620539</v>
      </c>
    </row>
    <row r="56" spans="1:7" x14ac:dyDescent="0.25">
      <c r="A56" s="2143" t="s">
        <v>2810</v>
      </c>
      <c r="B56" s="2336" t="s">
        <v>2173</v>
      </c>
      <c r="C56" s="2144">
        <f>'Додаток 3 до рішення'!C15</f>
        <v>145.36058488000273</v>
      </c>
      <c r="D56" s="2340">
        <f>'Додаток 3 до рішення'!D15</f>
        <v>0</v>
      </c>
      <c r="E56" s="2144">
        <f>'Додаток 3 до рішення'!E15</f>
        <v>0</v>
      </c>
      <c r="F56" s="2340">
        <f>'Додаток 3 до рішення'!F15</f>
        <v>0</v>
      </c>
      <c r="G56" s="2144">
        <f>'Додаток 3 до рішення'!G15</f>
        <v>32.361363768287681</v>
      </c>
    </row>
    <row r="57" spans="1:7" x14ac:dyDescent="0.25">
      <c r="A57" s="2143" t="s">
        <v>1691</v>
      </c>
      <c r="B57" s="2336" t="s">
        <v>2811</v>
      </c>
      <c r="C57" s="2144">
        <f>'Додаток 3 до рішення'!C16</f>
        <v>2967.8816200000001</v>
      </c>
      <c r="D57" s="2340">
        <f>'Додаток 3 до рішення'!D16</f>
        <v>0</v>
      </c>
      <c r="E57" s="2144">
        <f>'Додаток 3 до рішення'!E16</f>
        <v>0</v>
      </c>
      <c r="F57" s="2340">
        <f>'Додаток 3 до рішення'!F16</f>
        <v>0</v>
      </c>
      <c r="G57" s="2144">
        <f>'Додаток 3 до рішення'!G16</f>
        <v>660.73411031829028</v>
      </c>
    </row>
    <row r="58" spans="1:7" x14ac:dyDescent="0.25">
      <c r="A58" s="2143" t="s">
        <v>1694</v>
      </c>
      <c r="B58" s="2336" t="s">
        <v>2812</v>
      </c>
      <c r="C58" s="2144">
        <f>'Додаток 3 до рішення'!C17</f>
        <v>5266.3121280560008</v>
      </c>
      <c r="D58" s="2340">
        <f>'Додаток 3 до рішення'!D17</f>
        <v>0</v>
      </c>
      <c r="E58" s="2144">
        <f>'Додаток 3 до рішення'!E17</f>
        <v>0</v>
      </c>
      <c r="F58" s="2340">
        <f>'Додаток 3 до рішення'!F17</f>
        <v>0</v>
      </c>
      <c r="G58" s="2144">
        <f>'Додаток 3 до рішення'!G17</f>
        <v>1172.4295319398568</v>
      </c>
    </row>
    <row r="59" spans="1:7" x14ac:dyDescent="0.25">
      <c r="A59" s="2143" t="s">
        <v>2813</v>
      </c>
      <c r="B59" s="2336" t="s">
        <v>2814</v>
      </c>
      <c r="C59" s="2144">
        <f>'Додаток 3 до рішення'!C18</f>
        <v>652.93395640000006</v>
      </c>
      <c r="D59" s="2340">
        <f>'Додаток 3 до рішення'!D18</f>
        <v>0</v>
      </c>
      <c r="E59" s="2144">
        <f>'Додаток 3 до рішення'!E18</f>
        <v>0</v>
      </c>
      <c r="F59" s="2340">
        <f>'Додаток 3 до рішення'!F18</f>
        <v>0</v>
      </c>
      <c r="G59" s="2144">
        <f>'Додаток 3 до рішення'!G18</f>
        <v>145.36150427002389</v>
      </c>
    </row>
    <row r="60" spans="1:7" x14ac:dyDescent="0.25">
      <c r="A60" s="2143" t="s">
        <v>2815</v>
      </c>
      <c r="B60" s="2336" t="s">
        <v>2816</v>
      </c>
      <c r="C60" s="2144">
        <f>'Додаток 3 до рішення'!C19</f>
        <v>1904.3854900000008</v>
      </c>
      <c r="D60" s="2340">
        <f>'Додаток 3 до рішення'!D19</f>
        <v>0</v>
      </c>
      <c r="E60" s="2144">
        <f>'Додаток 3 до рішення'!E19</f>
        <v>0</v>
      </c>
      <c r="F60" s="2340">
        <f>'Додаток 3 до рішення'!F19</f>
        <v>0</v>
      </c>
      <c r="G60" s="2144">
        <f>'Додаток 3 до рішення'!G19</f>
        <v>423.96989285516446</v>
      </c>
    </row>
    <row r="61" spans="1:7" x14ac:dyDescent="0.25">
      <c r="A61" s="2143" t="s">
        <v>2817</v>
      </c>
      <c r="B61" s="2336" t="s">
        <v>82</v>
      </c>
      <c r="C61" s="2144">
        <f>'Додаток 3 до рішення'!C20</f>
        <v>2708.9926816560001</v>
      </c>
      <c r="D61" s="2340">
        <f>'Додаток 3 до рішення'!D20</f>
        <v>0</v>
      </c>
      <c r="E61" s="2144">
        <f>'Додаток 3 до рішення'!E20</f>
        <v>0</v>
      </c>
      <c r="F61" s="2340">
        <f>'Додаток 3 до рішення'!F20</f>
        <v>0</v>
      </c>
      <c r="G61" s="2144">
        <f>'Додаток 3 до рішення'!G20</f>
        <v>603.09813481466847</v>
      </c>
    </row>
    <row r="62" spans="1:7" x14ac:dyDescent="0.25">
      <c r="A62" s="2145" t="s">
        <v>1696</v>
      </c>
      <c r="B62" s="2335" t="s">
        <v>2818</v>
      </c>
      <c r="C62" s="2135">
        <f>C63+C64+C65+C66</f>
        <v>3002.4645812406711</v>
      </c>
      <c r="D62" s="2341">
        <f t="shared" ref="D62:G62" si="9">D63+D64+D65+D66</f>
        <v>0</v>
      </c>
      <c r="E62" s="181">
        <f t="shared" si="9"/>
        <v>0</v>
      </c>
      <c r="F62" s="2341">
        <f t="shared" si="9"/>
        <v>0</v>
      </c>
      <c r="G62" s="181">
        <f t="shared" si="9"/>
        <v>668.4332523506223</v>
      </c>
    </row>
    <row r="63" spans="1:7" x14ac:dyDescent="0.25">
      <c r="A63" s="2146" t="s">
        <v>2819</v>
      </c>
      <c r="B63" s="2336" t="s">
        <v>2820</v>
      </c>
      <c r="C63" s="2144">
        <f>'Додаток 3 до рішення'!C22</f>
        <v>2174.381536632704</v>
      </c>
      <c r="D63" s="2340">
        <f>'Додаток 3 до рішення'!D22</f>
        <v>0</v>
      </c>
      <c r="E63" s="2144">
        <f>'Додаток 3 до рішення'!E22</f>
        <v>0</v>
      </c>
      <c r="F63" s="2340">
        <f>'Додаток 3 до рішення'!F22</f>
        <v>0</v>
      </c>
      <c r="G63" s="2144">
        <f>'Додаток 3 до рішення'!G22</f>
        <v>484.07862376246891</v>
      </c>
    </row>
    <row r="64" spans="1:7" x14ac:dyDescent="0.25">
      <c r="A64" s="2146" t="s">
        <v>2821</v>
      </c>
      <c r="B64" s="2336" t="s">
        <v>2175</v>
      </c>
      <c r="C64" s="2144">
        <f>'Додаток 3 до рішення'!C23</f>
        <v>478.36393805919488</v>
      </c>
      <c r="D64" s="2340">
        <f>'Додаток 3 до рішення'!D23</f>
        <v>0</v>
      </c>
      <c r="E64" s="2144">
        <f>'Додаток 3 до рішення'!E23</f>
        <v>0</v>
      </c>
      <c r="F64" s="2340">
        <f>'Додаток 3 до рішення'!F23</f>
        <v>0</v>
      </c>
      <c r="G64" s="2144">
        <f>'Додаток 3 до рішення'!G23</f>
        <v>106.49729722774316</v>
      </c>
    </row>
    <row r="65" spans="1:7" x14ac:dyDescent="0.25">
      <c r="A65" s="2146" t="s">
        <v>2822</v>
      </c>
      <c r="B65" s="2336" t="s">
        <v>2816</v>
      </c>
      <c r="C65" s="2144">
        <f>'Додаток 3 до рішення'!C24</f>
        <v>18.754165317988477</v>
      </c>
      <c r="D65" s="2340">
        <f>'Додаток 3 до рішення'!D24</f>
        <v>0</v>
      </c>
      <c r="E65" s="2144">
        <f>'Додаток 3 до рішення'!E24</f>
        <v>0</v>
      </c>
      <c r="F65" s="2340">
        <f>'Додаток 3 до рішення'!F24</f>
        <v>0</v>
      </c>
      <c r="G65" s="2144">
        <f>'Додаток 3 до рішення'!G24</f>
        <v>4.1752058615273384</v>
      </c>
    </row>
    <row r="66" spans="1:7" x14ac:dyDescent="0.25">
      <c r="A66" s="2146" t="s">
        <v>2823</v>
      </c>
      <c r="B66" s="2336" t="s">
        <v>58</v>
      </c>
      <c r="C66" s="2144">
        <f>'Додаток 3 до рішення'!C25</f>
        <v>330.96494123078412</v>
      </c>
      <c r="D66" s="2340">
        <f>'Додаток 3 до рішення'!D25</f>
        <v>0</v>
      </c>
      <c r="E66" s="2144">
        <f>'Додаток 3 до рішення'!E25</f>
        <v>0</v>
      </c>
      <c r="F66" s="2340">
        <f>'Додаток 3 до рішення'!F25</f>
        <v>0</v>
      </c>
      <c r="G66" s="2144">
        <f>'Додаток 3 до рішення'!G25</f>
        <v>73.682125498882741</v>
      </c>
    </row>
    <row r="67" spans="1:7" x14ac:dyDescent="0.25">
      <c r="A67" s="2141" t="s">
        <v>1709</v>
      </c>
      <c r="B67" s="2335" t="s">
        <v>2824</v>
      </c>
      <c r="C67" s="2135">
        <f>C68+C69+C70+C71</f>
        <v>920.38656763919266</v>
      </c>
      <c r="D67" s="2341">
        <f t="shared" ref="D67:E67" si="10">D68+D69+D70+D71</f>
        <v>0</v>
      </c>
      <c r="E67" s="181">
        <f t="shared" si="10"/>
        <v>0</v>
      </c>
      <c r="F67" s="2341">
        <f>F68+F69+F70+F71</f>
        <v>0</v>
      </c>
      <c r="G67" s="181">
        <f t="shared" ref="G67" si="11">G68+G69+G70+G71</f>
        <v>204.90399476175435</v>
      </c>
    </row>
    <row r="68" spans="1:7" x14ac:dyDescent="0.25">
      <c r="A68" s="2146" t="s">
        <v>2825</v>
      </c>
      <c r="B68" s="2336" t="s">
        <v>55</v>
      </c>
      <c r="C68" s="2144">
        <f>'Додаток 3 до рішення'!C27</f>
        <v>509.34726415631161</v>
      </c>
      <c r="D68" s="2340">
        <f>'Додаток 3 до рішення'!D27</f>
        <v>0</v>
      </c>
      <c r="E68" s="2144">
        <f>'Додаток 3 до рішення'!E27</f>
        <v>0</v>
      </c>
      <c r="F68" s="2340">
        <f>'Додаток 3 до рішення'!F27</f>
        <v>0</v>
      </c>
      <c r="G68" s="2144">
        <f>'Додаток 3 до рішення'!G27</f>
        <v>113.39505900689387</v>
      </c>
    </row>
    <row r="69" spans="1:7" x14ac:dyDescent="0.25">
      <c r="A69" s="2146" t="s">
        <v>2826</v>
      </c>
      <c r="B69" s="2336" t="s">
        <v>2827</v>
      </c>
      <c r="C69" s="2144">
        <f>'Додаток 3 до рішення'!C28</f>
        <v>112.05639811438856</v>
      </c>
      <c r="D69" s="2340">
        <f>'Додаток 3 до рішення'!D28</f>
        <v>0</v>
      </c>
      <c r="E69" s="2144">
        <f>'Додаток 3 до рішення'!E28</f>
        <v>0</v>
      </c>
      <c r="F69" s="2340">
        <f>'Додаток 3 до рішення'!F28</f>
        <v>0</v>
      </c>
      <c r="G69" s="2144">
        <f>'Додаток 3 до рішення'!G28</f>
        <v>24.94691298151665</v>
      </c>
    </row>
    <row r="70" spans="1:7" x14ac:dyDescent="0.25">
      <c r="A70" s="2146" t="s">
        <v>2828</v>
      </c>
      <c r="B70" s="2336" t="s">
        <v>2816</v>
      </c>
      <c r="C70" s="2144">
        <f>'Додаток 3 до рішення'!C29</f>
        <v>16.485846281956608</v>
      </c>
      <c r="D70" s="2340">
        <f>'Додаток 3 до рішення'!D29</f>
        <v>0</v>
      </c>
      <c r="E70" s="2144">
        <f>'Додаток 3 до рішення'!E29</f>
        <v>0</v>
      </c>
      <c r="F70" s="2340">
        <f>'Додаток 3 до рішення'!F29</f>
        <v>0</v>
      </c>
      <c r="G70" s="2144">
        <f>'Додаток 3 до рішення'!G29</f>
        <v>3.6702141023915553</v>
      </c>
    </row>
    <row r="71" spans="1:7" x14ac:dyDescent="0.25">
      <c r="A71" s="2146" t="s">
        <v>2829</v>
      </c>
      <c r="B71" s="2336" t="s">
        <v>2830</v>
      </c>
      <c r="C71" s="2144">
        <f>'Додаток 3 до рішення'!C30</f>
        <v>282.49705908653596</v>
      </c>
      <c r="D71" s="2340">
        <f>'Додаток 3 до рішення'!D30</f>
        <v>0</v>
      </c>
      <c r="E71" s="2144">
        <f>'Додаток 3 до рішення'!E30</f>
        <v>0</v>
      </c>
      <c r="F71" s="2340">
        <f>'Додаток 3 до рішення'!F30</f>
        <v>0</v>
      </c>
      <c r="G71" s="2144">
        <f>'Додаток 3 до рішення'!G30</f>
        <v>62.891808670952258</v>
      </c>
    </row>
    <row r="72" spans="1:7" x14ac:dyDescent="0.25">
      <c r="A72" s="2141" t="s">
        <v>1711</v>
      </c>
      <c r="B72" s="2335" t="s">
        <v>2831</v>
      </c>
      <c r="C72" s="2135">
        <f>'Додаток 3 до рішення'!C31</f>
        <v>0</v>
      </c>
      <c r="D72" s="2339">
        <v>0</v>
      </c>
      <c r="E72" s="2135">
        <v>0</v>
      </c>
      <c r="F72" s="2339">
        <v>0</v>
      </c>
      <c r="G72" s="2135">
        <v>0</v>
      </c>
    </row>
    <row r="73" spans="1:7" x14ac:dyDescent="0.25">
      <c r="A73" s="2141" t="s">
        <v>1714</v>
      </c>
      <c r="B73" s="2335" t="s">
        <v>2833</v>
      </c>
      <c r="C73" s="2135">
        <f>'Додаток 3 до рішення'!C32</f>
        <v>0</v>
      </c>
      <c r="D73" s="2339">
        <f t="shared" ref="D73:D75" si="12">C73/$C$40</f>
        <v>0</v>
      </c>
      <c r="E73" s="2135">
        <f t="shared" ref="E73:E75" si="13">C73/$C$40</f>
        <v>0</v>
      </c>
      <c r="F73" s="2339">
        <f t="shared" ref="F73:F75" si="14">C73/$C$40</f>
        <v>0</v>
      </c>
      <c r="G73" s="2135">
        <f t="shared" ref="G73:G75" si="15">C73/$C$40</f>
        <v>0</v>
      </c>
    </row>
    <row r="74" spans="1:7" x14ac:dyDescent="0.25">
      <c r="A74" s="2141" t="s">
        <v>1786</v>
      </c>
      <c r="B74" s="2335" t="s">
        <v>2834</v>
      </c>
      <c r="C74" s="2135">
        <f>'Додаток 3 до рішення'!C33</f>
        <v>0</v>
      </c>
      <c r="D74" s="2339">
        <f t="shared" si="12"/>
        <v>0</v>
      </c>
      <c r="E74" s="2135">
        <f t="shared" si="13"/>
        <v>0</v>
      </c>
      <c r="F74" s="2339">
        <f t="shared" si="14"/>
        <v>0</v>
      </c>
      <c r="G74" s="2135">
        <f t="shared" si="15"/>
        <v>0</v>
      </c>
    </row>
    <row r="75" spans="1:7" x14ac:dyDescent="0.25">
      <c r="A75" s="2141" t="s">
        <v>1792</v>
      </c>
      <c r="B75" s="2335" t="s">
        <v>2835</v>
      </c>
      <c r="C75" s="2135">
        <f>'Додаток 3 до рішення'!C34</f>
        <v>0</v>
      </c>
      <c r="D75" s="2342">
        <f t="shared" si="12"/>
        <v>0</v>
      </c>
      <c r="E75" s="2159">
        <f t="shared" si="13"/>
        <v>0</v>
      </c>
      <c r="F75" s="2342">
        <f t="shared" si="14"/>
        <v>0</v>
      </c>
      <c r="G75" s="2159">
        <f t="shared" si="15"/>
        <v>0</v>
      </c>
    </row>
    <row r="76" spans="1:7" x14ac:dyDescent="0.25">
      <c r="A76" s="2141" t="s">
        <v>1798</v>
      </c>
      <c r="B76" s="2335" t="s">
        <v>2836</v>
      </c>
      <c r="C76" s="2135">
        <f>SUM(C77:C80)</f>
        <v>1752.0753915411819</v>
      </c>
      <c r="D76" s="2339">
        <f t="shared" ref="D76:G76" si="16">SUM(D77:D80)</f>
        <v>0</v>
      </c>
      <c r="E76" s="2135">
        <f t="shared" si="16"/>
        <v>0</v>
      </c>
      <c r="F76" s="2339">
        <f t="shared" si="16"/>
        <v>0</v>
      </c>
      <c r="G76" s="2135">
        <f t="shared" si="16"/>
        <v>390.06137146418018</v>
      </c>
    </row>
    <row r="77" spans="1:7" x14ac:dyDescent="0.25">
      <c r="A77" s="2146" t="s">
        <v>1101</v>
      </c>
      <c r="B77" s="2336" t="s">
        <v>65</v>
      </c>
      <c r="C77" s="2144">
        <f>'Додаток 3 до рішення'!C36</f>
        <v>171.77209720991979</v>
      </c>
      <c r="D77" s="2340">
        <f>'Додаток 3 до рішення'!D36</f>
        <v>0</v>
      </c>
      <c r="E77" s="2144">
        <f>'Додаток 3 до рішення'!E36</f>
        <v>0</v>
      </c>
      <c r="F77" s="2340">
        <f>'Додаток 3 до рішення'!F36</f>
        <v>0</v>
      </c>
      <c r="G77" s="2144">
        <f>'Додаток 3 до рішення'!G36</f>
        <v>38.241310927860809</v>
      </c>
    </row>
    <row r="78" spans="1:7" x14ac:dyDescent="0.25">
      <c r="A78" s="2146" t="s">
        <v>2847</v>
      </c>
      <c r="B78" s="2336" t="s">
        <v>85</v>
      </c>
      <c r="C78" s="2144">
        <f>'Додаток 3 до рішення'!C37</f>
        <v>626.01386538726319</v>
      </c>
      <c r="D78" s="2340">
        <f>'Додаток 3 до рішення'!D37</f>
        <v>0</v>
      </c>
      <c r="E78" s="2144">
        <f>'Додаток 3 до рішення'!E37</f>
        <v>0</v>
      </c>
      <c r="F78" s="2340">
        <f>'Додаток 3 до рішення'!F37</f>
        <v>0</v>
      </c>
      <c r="G78" s="2144">
        <f>'Додаток 3 до рішення'!G37</f>
        <v>139.36833315931494</v>
      </c>
    </row>
    <row r="79" spans="1:7" x14ac:dyDescent="0.25">
      <c r="A79" s="2146" t="s">
        <v>2848</v>
      </c>
      <c r="B79" s="2336" t="s">
        <v>71</v>
      </c>
      <c r="C79" s="2144">
        <f>'Додаток 3 до рішення'!C38</f>
        <v>0</v>
      </c>
      <c r="D79" s="2340">
        <f>'Додаток 3 до рішення'!D38</f>
        <v>0</v>
      </c>
      <c r="E79" s="2144">
        <f>'Додаток 3 до рішення'!E38</f>
        <v>0</v>
      </c>
      <c r="F79" s="2340">
        <f>'Додаток 3 до рішення'!F38</f>
        <v>0</v>
      </c>
      <c r="G79" s="2144">
        <f>'Додаток 3 до рішення'!G38</f>
        <v>0</v>
      </c>
    </row>
    <row r="80" spans="1:7" x14ac:dyDescent="0.25">
      <c r="A80" s="2146" t="s">
        <v>2849</v>
      </c>
      <c r="B80" s="2336" t="s">
        <v>2394</v>
      </c>
      <c r="C80" s="2144">
        <f>'Додаток 3 до рішення'!C39</f>
        <v>954.28942894399881</v>
      </c>
      <c r="D80" s="2340">
        <f>'Додаток 3 до рішення'!D39</f>
        <v>0</v>
      </c>
      <c r="E80" s="2144">
        <f>'Додаток 3 до рішення'!E39</f>
        <v>0</v>
      </c>
      <c r="F80" s="2340">
        <f>'Додаток 3 до рішення'!F39</f>
        <v>0</v>
      </c>
      <c r="G80" s="2144">
        <f>'Додаток 3 до рішення'!G39</f>
        <v>212.45172737700446</v>
      </c>
    </row>
    <row r="81" spans="1:7" ht="30" thickBot="1" x14ac:dyDescent="0.3">
      <c r="A81" s="2160" t="s">
        <v>1800</v>
      </c>
      <c r="B81" s="2337" t="s">
        <v>2850</v>
      </c>
      <c r="C81" s="2138">
        <f>'Додаток 3 до рішення'!C40</f>
        <v>25609.31111514115</v>
      </c>
      <c r="D81" s="2163">
        <f>'Додаток 3 до рішення'!D40</f>
        <v>0</v>
      </c>
      <c r="E81" s="2138">
        <f>'Додаток 3 до рішення'!E40</f>
        <v>0</v>
      </c>
      <c r="F81" s="2163">
        <f>'Додаток 3 до рішення'!F40</f>
        <v>0</v>
      </c>
      <c r="G81" s="2138">
        <f>'Додаток 3 до рішення'!G40</f>
        <v>5701.3545558892911</v>
      </c>
    </row>
    <row r="82" spans="1:7" ht="32.25" thickBot="1" x14ac:dyDescent="0.3">
      <c r="A82" s="2162" t="s">
        <v>1802</v>
      </c>
      <c r="B82" s="2338" t="s">
        <v>3112</v>
      </c>
      <c r="C82" s="2138">
        <f>'Додаток 3 до рішення'!C41</f>
        <v>4.4917941629656521</v>
      </c>
      <c r="D82" s="2163">
        <f>'Додаток 3 до рішення'!D41</f>
        <v>0</v>
      </c>
      <c r="E82" s="2138">
        <f>'Додаток 3 до рішення'!E41</f>
        <v>0</v>
      </c>
      <c r="F82" s="2163">
        <f>'Додаток 3 до рішення'!F41</f>
        <v>0</v>
      </c>
      <c r="G82" s="2138">
        <f>'Додаток 3 до рішення'!G41</f>
        <v>4.4917941629656521</v>
      </c>
    </row>
    <row r="83" spans="1:7" ht="15.75" thickBot="1" x14ac:dyDescent="0.3">
      <c r="A83" s="2140" t="s">
        <v>2800</v>
      </c>
      <c r="B83" s="4056" t="s">
        <v>2854</v>
      </c>
      <c r="C83" s="4057"/>
      <c r="D83" s="4057"/>
      <c r="E83" s="4057"/>
      <c r="F83" s="4057"/>
      <c r="G83" s="4058"/>
    </row>
    <row r="84" spans="1:7" x14ac:dyDescent="0.25">
      <c r="A84" s="2141" t="s">
        <v>1687</v>
      </c>
      <c r="B84" s="178" t="s">
        <v>2802</v>
      </c>
      <c r="C84" s="2135">
        <f>C85+C89+C90+C94</f>
        <v>2267.1056768599933</v>
      </c>
      <c r="D84" s="181">
        <f>D85+D89+D90+D94</f>
        <v>0</v>
      </c>
      <c r="E84" s="181">
        <f t="shared" ref="E84:G84" si="17">E85+E89+E90+E94</f>
        <v>0</v>
      </c>
      <c r="F84" s="181">
        <f t="shared" si="17"/>
        <v>0</v>
      </c>
      <c r="G84" s="181">
        <f t="shared" si="17"/>
        <v>2009.5211984837949</v>
      </c>
    </row>
    <row r="85" spans="1:7" x14ac:dyDescent="0.25">
      <c r="A85" s="2143" t="s">
        <v>1689</v>
      </c>
      <c r="B85" s="91" t="s">
        <v>2851</v>
      </c>
      <c r="C85" s="2144">
        <f>SUM(C86:C88)</f>
        <v>275.33852594066832</v>
      </c>
      <c r="D85" s="2144">
        <f t="shared" ref="D85:G85" si="18">SUM(D86:D88)</f>
        <v>0</v>
      </c>
      <c r="E85" s="2144">
        <f t="shared" si="18"/>
        <v>0</v>
      </c>
      <c r="F85" s="2144">
        <f t="shared" si="18"/>
        <v>0</v>
      </c>
      <c r="G85" s="2144">
        <f t="shared" si="18"/>
        <v>244.05505675561972</v>
      </c>
    </row>
    <row r="86" spans="1:7" x14ac:dyDescent="0.25">
      <c r="A86" s="2143" t="s">
        <v>2804</v>
      </c>
      <c r="B86" s="91" t="s">
        <v>2807</v>
      </c>
      <c r="C86" s="2144">
        <f>'Додаток 4 до рішення'!C12</f>
        <v>224.21895046888267</v>
      </c>
      <c r="D86" s="2144">
        <f>'Додаток 4 до рішення'!D12</f>
        <v>0</v>
      </c>
      <c r="E86" s="2144">
        <f>'Додаток 4 до рішення'!E12</f>
        <v>0</v>
      </c>
      <c r="F86" s="2144">
        <f>'Додаток 4 до рішення'!F12</f>
        <v>0</v>
      </c>
      <c r="G86" s="2144">
        <f>'Додаток 4 до рішення'!G12</f>
        <v>198.74359570792657</v>
      </c>
    </row>
    <row r="87" spans="1:7" x14ac:dyDescent="0.25">
      <c r="A87" s="2143" t="s">
        <v>2806</v>
      </c>
      <c r="B87" s="91" t="s">
        <v>2809</v>
      </c>
      <c r="C87" s="2144">
        <f>'Додаток 4 до рішення'!C13</f>
        <v>36.329496310799996</v>
      </c>
      <c r="D87" s="2144">
        <f>'Додаток 4 до рішення'!D13</f>
        <v>0</v>
      </c>
      <c r="E87" s="2144">
        <f>'Додаток 4 до рішення'!E13</f>
        <v>0</v>
      </c>
      <c r="F87" s="2144">
        <f>'Додаток 4 до рішення'!F13</f>
        <v>0</v>
      </c>
      <c r="G87" s="2144">
        <f>'Додаток 4 до рішення'!G13</f>
        <v>32.201804138175547</v>
      </c>
    </row>
    <row r="88" spans="1:7" x14ac:dyDescent="0.25">
      <c r="A88" s="2143" t="s">
        <v>2808</v>
      </c>
      <c r="B88" s="91" t="s">
        <v>2173</v>
      </c>
      <c r="C88" s="2144">
        <f>'Додаток 4 до рішення'!C14</f>
        <v>14.79007916098567</v>
      </c>
      <c r="D88" s="2144">
        <f>'Додаток 4 до рішення'!D14</f>
        <v>0</v>
      </c>
      <c r="E88" s="2144">
        <f>'Додаток 4 до рішення'!E14</f>
        <v>0</v>
      </c>
      <c r="F88" s="2144">
        <f>'Додаток 4 до рішення'!F14</f>
        <v>0</v>
      </c>
      <c r="G88" s="2144">
        <f>'Додаток 4 до рішення'!G14</f>
        <v>13.109656909517572</v>
      </c>
    </row>
    <row r="89" spans="1:7" x14ac:dyDescent="0.25">
      <c r="A89" s="2143" t="s">
        <v>1691</v>
      </c>
      <c r="B89" s="91" t="s">
        <v>2811</v>
      </c>
      <c r="C89" s="2144">
        <f>'Додаток 4 до рішення'!C15</f>
        <v>1037.5551852318399</v>
      </c>
      <c r="D89" s="2144">
        <f>'Додаток 4 до рішення'!D15</f>
        <v>0</v>
      </c>
      <c r="E89" s="2144">
        <f>'Додаток 4 до рішення'!E15</f>
        <v>0</v>
      </c>
      <c r="F89" s="2144">
        <f>'Додаток 4 до рішення'!F15</f>
        <v>0</v>
      </c>
      <c r="G89" s="2144">
        <f>'Додаток 4 до рішення'!G15</f>
        <v>919.67002711930604</v>
      </c>
    </row>
    <row r="90" spans="1:7" x14ac:dyDescent="0.25">
      <c r="A90" s="2143" t="s">
        <v>1694</v>
      </c>
      <c r="B90" s="91" t="s">
        <v>2812</v>
      </c>
      <c r="C90" s="2144">
        <f>'Додаток 4 до рішення'!C16</f>
        <v>657.444765867765</v>
      </c>
      <c r="D90" s="2144">
        <f>'Додаток 4 до рішення'!D16</f>
        <v>0</v>
      </c>
      <c r="E90" s="2144">
        <f>'Додаток 4 до рішення'!E16</f>
        <v>0</v>
      </c>
      <c r="F90" s="2144">
        <f>'Додаток 4 до рішення'!F16</f>
        <v>0</v>
      </c>
      <c r="G90" s="2144">
        <f>'Додаток 4 до рішення'!G16</f>
        <v>582.7470714436738</v>
      </c>
    </row>
    <row r="91" spans="1:7" x14ac:dyDescent="0.25">
      <c r="A91" s="2143" t="s">
        <v>2813</v>
      </c>
      <c r="B91" s="91" t="s">
        <v>2814</v>
      </c>
      <c r="C91" s="2144">
        <f>'Додаток 4 до рішення'!C17</f>
        <v>228.26214075100478</v>
      </c>
      <c r="D91" s="2144">
        <f>'Додаток 4 до рішення'!D17</f>
        <v>0</v>
      </c>
      <c r="E91" s="2144">
        <f>'Додаток 4 до рішення'!E17</f>
        <v>0</v>
      </c>
      <c r="F91" s="2144">
        <f>'Додаток 4 до рішення'!F17</f>
        <v>0</v>
      </c>
      <c r="G91" s="2144">
        <f>'Додаток 4 до рішення'!G17</f>
        <v>202.32740596624731</v>
      </c>
    </row>
    <row r="92" spans="1:7" x14ac:dyDescent="0.25">
      <c r="A92" s="2143" t="s">
        <v>2815</v>
      </c>
      <c r="B92" s="91" t="s">
        <v>2816</v>
      </c>
      <c r="C92" s="2144">
        <f>'Додаток 4 до рішення'!C18</f>
        <v>21.787722475140004</v>
      </c>
      <c r="D92" s="2144">
        <f>'Додаток 4 до рішення'!D18</f>
        <v>0</v>
      </c>
      <c r="E92" s="2144">
        <f>'Додаток 4 до рішення'!E18</f>
        <v>0</v>
      </c>
      <c r="F92" s="2144">
        <f>'Додаток 4 до рішення'!F18</f>
        <v>0</v>
      </c>
      <c r="G92" s="2144">
        <f>'Додаток 4 до рішення'!G18</f>
        <v>19.312240548537737</v>
      </c>
    </row>
    <row r="93" spans="1:7" x14ac:dyDescent="0.25">
      <c r="A93" s="2143" t="s">
        <v>2817</v>
      </c>
      <c r="B93" s="91" t="s">
        <v>82</v>
      </c>
      <c r="C93" s="2144">
        <f>'Додаток 4 до рішення'!C19</f>
        <v>407.39490264162021</v>
      </c>
      <c r="D93" s="2144">
        <f>'Додаток 4 до рішення'!D19</f>
        <v>0</v>
      </c>
      <c r="E93" s="2144">
        <f>'Додаток 4 до рішення'!E19</f>
        <v>0</v>
      </c>
      <c r="F93" s="2144">
        <f>'Додаток 4 до рішення'!F19</f>
        <v>0</v>
      </c>
      <c r="G93" s="2144">
        <f>'Додаток 4 до рішення'!G19</f>
        <v>361.10742492888875</v>
      </c>
    </row>
    <row r="94" spans="1:7" x14ac:dyDescent="0.25">
      <c r="A94" s="2145" t="s">
        <v>1696</v>
      </c>
      <c r="B94" s="178" t="s">
        <v>2818</v>
      </c>
      <c r="C94" s="2135">
        <f>C95+C96+C97+C98</f>
        <v>296.76719981972008</v>
      </c>
      <c r="D94" s="2135">
        <f t="shared" ref="D94:G94" si="19">D95+D96+D97+D98</f>
        <v>0</v>
      </c>
      <c r="E94" s="2135">
        <f t="shared" si="19"/>
        <v>0</v>
      </c>
      <c r="F94" s="2135">
        <f t="shared" si="19"/>
        <v>0</v>
      </c>
      <c r="G94" s="2135">
        <f t="shared" si="19"/>
        <v>263.04904316519531</v>
      </c>
    </row>
    <row r="95" spans="1:7" x14ac:dyDescent="0.25">
      <c r="A95" s="2146" t="s">
        <v>2819</v>
      </c>
      <c r="B95" s="91" t="s">
        <v>2820</v>
      </c>
      <c r="C95" s="2144">
        <f>'Додаток 4 до рішення'!C21</f>
        <v>214.91847863848719</v>
      </c>
      <c r="D95" s="2144">
        <f>'Додаток 4 до рішення'!D21</f>
        <v>0</v>
      </c>
      <c r="E95" s="2144">
        <f>'Додаток 4 до рішення'!E21</f>
        <v>0</v>
      </c>
      <c r="F95" s="2144">
        <f>'Додаток 4 до рішення'!F21</f>
        <v>0</v>
      </c>
      <c r="G95" s="2144">
        <f>'Додаток 4 до рішення'!G21</f>
        <v>190.49982679594245</v>
      </c>
    </row>
    <row r="96" spans="1:7" x14ac:dyDescent="0.25">
      <c r="A96" s="2146" t="s">
        <v>2821</v>
      </c>
      <c r="B96" s="91" t="s">
        <v>2175</v>
      </c>
      <c r="C96" s="2144">
        <f>'Додаток 4 до рішення'!C22</f>
        <v>47.282065300467181</v>
      </c>
      <c r="D96" s="2144">
        <f>'Додаток 4 до рішення'!D22</f>
        <v>0</v>
      </c>
      <c r="E96" s="2144">
        <f>'Додаток 4 до рішення'!E22</f>
        <v>0</v>
      </c>
      <c r="F96" s="2144">
        <f>'Додаток 4 до рішення'!F22</f>
        <v>0</v>
      </c>
      <c r="G96" s="2144">
        <f>'Додаток 4 до рішення'!G22</f>
        <v>41.909961895107344</v>
      </c>
    </row>
    <row r="97" spans="1:7" x14ac:dyDescent="0.25">
      <c r="A97" s="2146" t="s">
        <v>2822</v>
      </c>
      <c r="B97" s="91" t="s">
        <v>2816</v>
      </c>
      <c r="C97" s="2144">
        <f>'Додаток 4 до рішення'!C23</f>
        <v>1.8536841903646162</v>
      </c>
      <c r="D97" s="2144">
        <f>'Додаток 4 до рішення'!D23</f>
        <v>0</v>
      </c>
      <c r="E97" s="2144">
        <f>'Додаток 4 до рішення'!E23</f>
        <v>0</v>
      </c>
      <c r="F97" s="2144">
        <f>'Додаток 4 до рішення'!F23</f>
        <v>0</v>
      </c>
      <c r="G97" s="2144">
        <f>'Додаток 4 до рішення'!G23</f>
        <v>1.6430719193430909</v>
      </c>
    </row>
    <row r="98" spans="1:7" x14ac:dyDescent="0.25">
      <c r="A98" s="2146" t="s">
        <v>2823</v>
      </c>
      <c r="B98" s="91" t="s">
        <v>58</v>
      </c>
      <c r="C98" s="2144">
        <f>'Додаток 4 до рішення'!C24</f>
        <v>32.712971690401091</v>
      </c>
      <c r="D98" s="2144">
        <f>'Додаток 4 до рішення'!D24</f>
        <v>0</v>
      </c>
      <c r="E98" s="2144">
        <f>'Додаток 4 до рішення'!E24</f>
        <v>0</v>
      </c>
      <c r="F98" s="2144">
        <f>'Додаток 4 до рішення'!F24</f>
        <v>0</v>
      </c>
      <c r="G98" s="2144">
        <f>'Додаток 4 до рішення'!G24</f>
        <v>28.996182554802409</v>
      </c>
    </row>
    <row r="99" spans="1:7" x14ac:dyDescent="0.25">
      <c r="A99" s="2141" t="s">
        <v>1709</v>
      </c>
      <c r="B99" s="178" t="s">
        <v>2824</v>
      </c>
      <c r="C99" s="2135">
        <f>C100+C101+C102+C103</f>
        <v>90.972112089695372</v>
      </c>
      <c r="D99" s="2135">
        <f t="shared" ref="D99:G99" si="20">D100+D101+D102+D103</f>
        <v>0</v>
      </c>
      <c r="E99" s="2135">
        <f t="shared" si="20"/>
        <v>0</v>
      </c>
      <c r="F99" s="2135">
        <f t="shared" si="20"/>
        <v>0</v>
      </c>
      <c r="G99" s="2135">
        <f t="shared" si="20"/>
        <v>80.636023975858237</v>
      </c>
    </row>
    <row r="100" spans="1:7" x14ac:dyDescent="0.25">
      <c r="A100" s="2146" t="s">
        <v>2825</v>
      </c>
      <c r="B100" s="91" t="s">
        <v>55</v>
      </c>
      <c r="C100" s="2144">
        <f>'Додаток 4 до рішення'!C26</f>
        <v>50.344494407671881</v>
      </c>
      <c r="D100" s="2144">
        <f>'Додаток 4 до рішення'!D26</f>
        <v>0</v>
      </c>
      <c r="E100" s="2144">
        <f>'Додаток 4 до рішення'!E26</f>
        <v>0</v>
      </c>
      <c r="F100" s="2144">
        <f>'Додаток 4 до рішення'!F26</f>
        <v>0</v>
      </c>
      <c r="G100" s="2144">
        <f>'Додаток 4 до рішення'!G26</f>
        <v>44.624443303095845</v>
      </c>
    </row>
    <row r="101" spans="1:7" x14ac:dyDescent="0.25">
      <c r="A101" s="2146" t="s">
        <v>2826</v>
      </c>
      <c r="B101" s="91" t="s">
        <v>2827</v>
      </c>
      <c r="C101" s="2144">
        <f>'Додаток 4 до рішення'!C27</f>
        <v>11.075788769687813</v>
      </c>
      <c r="D101" s="2144">
        <f>'Додаток 4 до рішення'!D27</f>
        <v>0</v>
      </c>
      <c r="E101" s="2144">
        <f>'Додаток 4 до рішення'!E27</f>
        <v>0</v>
      </c>
      <c r="F101" s="2144">
        <f>'Додаток 4 до рішення'!F27</f>
        <v>0</v>
      </c>
      <c r="G101" s="2144">
        <f>'Додаток 4 до рішення'!G27</f>
        <v>9.817377526681085</v>
      </c>
    </row>
    <row r="102" spans="1:7" x14ac:dyDescent="0.25">
      <c r="A102" s="2146" t="s">
        <v>2828</v>
      </c>
      <c r="B102" s="91" t="s">
        <v>2816</v>
      </c>
      <c r="C102" s="2144">
        <f>'Додаток 4 до рішення'!C28</f>
        <v>1.6294808166339654</v>
      </c>
      <c r="D102" s="2144">
        <f>'Додаток 4 до рішення'!D28</f>
        <v>0</v>
      </c>
      <c r="E102" s="2144">
        <f>'Додаток 4 до рішення'!E28</f>
        <v>0</v>
      </c>
      <c r="F102" s="2144">
        <f>'Додаток 4 до рішення'!F28</f>
        <v>0</v>
      </c>
      <c r="G102" s="2144">
        <f>'Додаток 4 до рішення'!G28</f>
        <v>1.4443421305723527</v>
      </c>
    </row>
    <row r="103" spans="1:7" x14ac:dyDescent="0.25">
      <c r="A103" s="2146" t="s">
        <v>2829</v>
      </c>
      <c r="B103" s="91" t="s">
        <v>2830</v>
      </c>
      <c r="C103" s="2144">
        <f>'Додаток 4 до рішення'!C29</f>
        <v>27.922348095701707</v>
      </c>
      <c r="D103" s="2144">
        <f>'Додаток 4 до рішення'!D29</f>
        <v>0</v>
      </c>
      <c r="E103" s="2144">
        <f>'Додаток 4 до рішення'!E29</f>
        <v>0</v>
      </c>
      <c r="F103" s="2144">
        <f>'Додаток 4 до рішення'!F29</f>
        <v>0</v>
      </c>
      <c r="G103" s="2144">
        <f>'Додаток 4 до рішення'!G29</f>
        <v>24.749861015508959</v>
      </c>
    </row>
    <row r="104" spans="1:7" x14ac:dyDescent="0.25">
      <c r="A104" s="2141" t="s">
        <v>1711</v>
      </c>
      <c r="B104" s="178" t="s">
        <v>2831</v>
      </c>
      <c r="C104" s="2141">
        <f>'Додаток 4 до рішення'!C30</f>
        <v>0</v>
      </c>
      <c r="D104" s="2141">
        <f>'Додаток 4 до рішення'!D30</f>
        <v>0</v>
      </c>
      <c r="E104" s="2141">
        <f>'Додаток 4 до рішення'!E30</f>
        <v>0</v>
      </c>
      <c r="F104" s="2141">
        <f>'Додаток 4 до рішення'!F30</f>
        <v>0</v>
      </c>
      <c r="G104" s="2141">
        <f>'Додаток 4 до рішення'!G30</f>
        <v>0</v>
      </c>
    </row>
    <row r="105" spans="1:7" ht="29.25" x14ac:dyDescent="0.25">
      <c r="A105" s="2141" t="s">
        <v>1714</v>
      </c>
      <c r="B105" s="2142" t="s">
        <v>2852</v>
      </c>
      <c r="C105" s="2135">
        <f>C84+C99+C104</f>
        <v>2358.0777889496885</v>
      </c>
      <c r="D105" s="2135">
        <f t="shared" ref="D105:G105" si="21">D84+D99+D104</f>
        <v>0</v>
      </c>
      <c r="E105" s="2135">
        <f t="shared" si="21"/>
        <v>0</v>
      </c>
      <c r="F105" s="2135">
        <f t="shared" si="21"/>
        <v>0</v>
      </c>
      <c r="G105" s="2135">
        <f t="shared" si="21"/>
        <v>2090.157222459653</v>
      </c>
    </row>
    <row r="106" spans="1:7" ht="43.5" x14ac:dyDescent="0.25">
      <c r="A106" s="2141">
        <v>5</v>
      </c>
      <c r="B106" s="2142" t="s">
        <v>2832</v>
      </c>
      <c r="C106" s="2135">
        <f>'Додаток 4 до рішення'!C32</f>
        <v>1062.3733038807425</v>
      </c>
      <c r="D106" s="2135">
        <f>'Додаток 4 до рішення'!D32</f>
        <v>0</v>
      </c>
      <c r="E106" s="2135">
        <f>'Додаток 4 до рішення'!E32</f>
        <v>0</v>
      </c>
      <c r="F106" s="2135">
        <f>'Додаток 4 до рішення'!F32</f>
        <v>0</v>
      </c>
      <c r="G106" s="2135">
        <f>'Додаток 4 до рішення'!G32</f>
        <v>941.66835566680038</v>
      </c>
    </row>
    <row r="107" spans="1:7" x14ac:dyDescent="0.25">
      <c r="A107" s="2141">
        <v>6</v>
      </c>
      <c r="B107" s="178" t="s">
        <v>2833</v>
      </c>
      <c r="C107" s="2135">
        <f>'Додаток 4 до рішення'!C33</f>
        <v>0</v>
      </c>
      <c r="D107" s="2135">
        <f>'Додаток 4 до рішення'!D33</f>
        <v>0</v>
      </c>
      <c r="E107" s="2135">
        <f>'Додаток 4 до рішення'!E33</f>
        <v>0</v>
      </c>
      <c r="F107" s="2135">
        <f>'Додаток 4 до рішення'!F33</f>
        <v>0</v>
      </c>
      <c r="G107" s="2135">
        <f>'Додаток 4 до рішення'!G33</f>
        <v>0</v>
      </c>
    </row>
    <row r="108" spans="1:7" x14ac:dyDescent="0.25">
      <c r="A108" s="2141">
        <v>7</v>
      </c>
      <c r="B108" s="178" t="s">
        <v>2834</v>
      </c>
      <c r="C108" s="2135">
        <f>'Додаток 4 до рішення'!C34</f>
        <v>0</v>
      </c>
      <c r="D108" s="2135">
        <f>'Додаток 4 до рішення'!D34</f>
        <v>0</v>
      </c>
      <c r="E108" s="2135">
        <f>'Додаток 4 до рішення'!E34</f>
        <v>0</v>
      </c>
      <c r="F108" s="2135">
        <f>'Додаток 4 до рішення'!F34</f>
        <v>0</v>
      </c>
      <c r="G108" s="2135">
        <f>'Додаток 4 до рішення'!G34</f>
        <v>0</v>
      </c>
    </row>
    <row r="109" spans="1:7" x14ac:dyDescent="0.25">
      <c r="A109" s="2141">
        <v>8</v>
      </c>
      <c r="B109" s="178" t="s">
        <v>2835</v>
      </c>
      <c r="C109" s="2135">
        <f>'Додаток 4 до рішення'!C35</f>
        <v>0</v>
      </c>
      <c r="D109" s="2135">
        <f>'Додаток 4 до рішення'!D35</f>
        <v>0</v>
      </c>
      <c r="E109" s="2135">
        <f>'Додаток 4 до рішення'!E35</f>
        <v>0</v>
      </c>
      <c r="F109" s="2135">
        <f>'Додаток 4 до рішення'!F35</f>
        <v>0</v>
      </c>
      <c r="G109" s="2135">
        <f>'Додаток 4 до рішення'!G35</f>
        <v>0</v>
      </c>
    </row>
    <row r="110" spans="1:7" x14ac:dyDescent="0.25">
      <c r="A110" s="2141">
        <v>9</v>
      </c>
      <c r="B110" s="178" t="s">
        <v>2836</v>
      </c>
      <c r="C110" s="2135">
        <f>SUM(C111:C114)</f>
        <v>251.19792825746691</v>
      </c>
      <c r="D110" s="2135">
        <f t="shared" ref="D110:G110" si="22">SUM(D111:D114)</f>
        <v>0</v>
      </c>
      <c r="E110" s="2135">
        <f t="shared" si="22"/>
        <v>0</v>
      </c>
      <c r="F110" s="2135">
        <f t="shared" si="22"/>
        <v>0</v>
      </c>
      <c r="G110" s="2135">
        <f t="shared" si="22"/>
        <v>222.65727045760678</v>
      </c>
    </row>
    <row r="111" spans="1:7" x14ac:dyDescent="0.25">
      <c r="A111" s="2146" t="s">
        <v>1103</v>
      </c>
      <c r="B111" s="91" t="s">
        <v>65</v>
      </c>
      <c r="C111" s="2144">
        <f>'Додаток 4 до рішення'!C37</f>
        <v>24.627247868379108</v>
      </c>
      <c r="D111" s="2144">
        <f>'Додаток 4 до рішення'!D37</f>
        <v>0</v>
      </c>
      <c r="E111" s="2144">
        <f>'Додаток 4 до рішення'!E37</f>
        <v>0</v>
      </c>
      <c r="F111" s="2144">
        <f>'Додаток 4 до рішення'!F37</f>
        <v>0</v>
      </c>
      <c r="G111" s="2144">
        <f>'Додаток 4 до рішення'!G37</f>
        <v>21.829144162510467</v>
      </c>
    </row>
    <row r="112" spans="1:7" x14ac:dyDescent="0.25">
      <c r="A112" s="2146" t="s">
        <v>1104</v>
      </c>
      <c r="B112" s="91" t="s">
        <v>85</v>
      </c>
      <c r="C112" s="2144">
        <f>'Додаток 4 до рішення'!C38</f>
        <v>89.752636675870534</v>
      </c>
      <c r="D112" s="2144">
        <f>'Додаток 4 до рішення'!D38</f>
        <v>0</v>
      </c>
      <c r="E112" s="2144">
        <f>'Додаток 4 до рішення'!E38</f>
        <v>0</v>
      </c>
      <c r="F112" s="2144">
        <f>'Додаток 4 до рішення'!F38</f>
        <v>0</v>
      </c>
      <c r="G112" s="2144">
        <f>'Додаток 4 до рішення'!G38</f>
        <v>79.555103170038151</v>
      </c>
    </row>
    <row r="113" spans="1:7" x14ac:dyDescent="0.25">
      <c r="A113" s="2146" t="s">
        <v>1105</v>
      </c>
      <c r="B113" s="91" t="s">
        <v>71</v>
      </c>
      <c r="C113" s="2144">
        <f>'Додаток 4 до рішення'!C39</f>
        <v>0</v>
      </c>
      <c r="D113" s="2144">
        <f>'Додаток 4 до рішення'!D39</f>
        <v>0</v>
      </c>
      <c r="E113" s="2144">
        <f>'Додаток 4 до рішення'!E39</f>
        <v>0</v>
      </c>
      <c r="F113" s="2144">
        <f>'Додаток 4 до рішення'!F39</f>
        <v>0</v>
      </c>
      <c r="G113" s="2144">
        <f>'Додаток 4 до рішення'!G39</f>
        <v>0</v>
      </c>
    </row>
    <row r="114" spans="1:7" x14ac:dyDescent="0.25">
      <c r="A114" s="2146" t="s">
        <v>1970</v>
      </c>
      <c r="B114" s="91" t="s">
        <v>2394</v>
      </c>
      <c r="C114" s="2144">
        <f>'Додаток 4 до рішення'!C40</f>
        <v>136.81804371321726</v>
      </c>
      <c r="D114" s="2144">
        <f>'Додаток 4 до рішення'!D40</f>
        <v>0</v>
      </c>
      <c r="E114" s="2144">
        <f>'Додаток 4 до рішення'!E40</f>
        <v>0</v>
      </c>
      <c r="F114" s="2144">
        <f>'Додаток 4 до рішення'!F40</f>
        <v>0</v>
      </c>
      <c r="G114" s="2144">
        <f>'Додаток 4 до рішення'!G40</f>
        <v>121.27302312505815</v>
      </c>
    </row>
    <row r="115" spans="1:7" ht="30" thickBot="1" x14ac:dyDescent="0.3">
      <c r="A115" s="2162" t="s">
        <v>1806</v>
      </c>
      <c r="B115" s="2164" t="s">
        <v>3111</v>
      </c>
      <c r="C115" s="2135">
        <f>'Додаток 4 до рішення'!C41</f>
        <v>1.12818201598</v>
      </c>
      <c r="D115" s="2135">
        <f>'Додаток 4 до рішення'!D41</f>
        <v>0</v>
      </c>
      <c r="E115" s="2135">
        <f>'Додаток 4 до рішення'!E41</f>
        <v>0</v>
      </c>
      <c r="F115" s="2135">
        <f>'Додаток 4 до рішення'!F41</f>
        <v>0</v>
      </c>
      <c r="G115" s="2135">
        <f>'Додаток 4 до рішення'!G41</f>
        <v>1.12818201598</v>
      </c>
    </row>
    <row r="116" spans="1:7" ht="15.75" thickBot="1" x14ac:dyDescent="0.3">
      <c r="A116" s="2140" t="s">
        <v>2800</v>
      </c>
      <c r="B116" s="4049" t="s">
        <v>2856</v>
      </c>
      <c r="C116" s="4054"/>
      <c r="D116" s="4054"/>
      <c r="E116" s="4054"/>
      <c r="F116" s="4054"/>
      <c r="G116" s="4055"/>
    </row>
    <row r="117" spans="1:7" x14ac:dyDescent="0.25">
      <c r="A117" s="2141" t="s">
        <v>1687</v>
      </c>
      <c r="B117" s="178" t="s">
        <v>2802</v>
      </c>
      <c r="C117" s="2135">
        <f>C118+C119+C120+C124</f>
        <v>520.53602277225002</v>
      </c>
      <c r="D117" s="181">
        <f>D118+D119+D120+D124</f>
        <v>0</v>
      </c>
      <c r="E117" s="181">
        <f t="shared" ref="E117:G117" si="23">E118+E119+E120+E124</f>
        <v>0</v>
      </c>
      <c r="F117" s="181">
        <f t="shared" si="23"/>
        <v>0</v>
      </c>
      <c r="G117" s="181">
        <f t="shared" si="23"/>
        <v>133.48719563276984</v>
      </c>
    </row>
    <row r="118" spans="1:7" x14ac:dyDescent="0.25">
      <c r="A118" s="2143" t="s">
        <v>1689</v>
      </c>
      <c r="B118" s="91" t="s">
        <v>2851</v>
      </c>
      <c r="C118" s="2144">
        <f>'Додаток 6 до рішення'!C11</f>
        <v>1.5009399999999997</v>
      </c>
      <c r="D118" s="2144">
        <f>'Додаток 6 до рішення'!D11</f>
        <v>0</v>
      </c>
      <c r="E118" s="2144">
        <f>'Додаток 6 до рішення'!E11</f>
        <v>0</v>
      </c>
      <c r="F118" s="2144">
        <f>'Додаток 6 до рішення'!F11</f>
        <v>0</v>
      </c>
      <c r="G118" s="2144">
        <f>'Додаток 6 до рішення'!G11</f>
        <v>0.38490375814146366</v>
      </c>
    </row>
    <row r="119" spans="1:7" x14ac:dyDescent="0.25">
      <c r="A119" s="2143" t="s">
        <v>1691</v>
      </c>
      <c r="B119" s="91" t="s">
        <v>2811</v>
      </c>
      <c r="C119" s="2144">
        <f>'Додаток 6 до рішення'!C12</f>
        <v>297.08970999999997</v>
      </c>
      <c r="D119" s="2144">
        <f>'Додаток 6 до рішення'!D12</f>
        <v>0</v>
      </c>
      <c r="E119" s="2144">
        <f>'Додаток 6 до рішення'!E12</f>
        <v>0</v>
      </c>
      <c r="F119" s="2144">
        <f>'Додаток 6 до рішення'!F12</f>
        <v>0</v>
      </c>
      <c r="G119" s="2144">
        <f>'Додаток 6 до рішення'!G12</f>
        <v>76.186220557888774</v>
      </c>
    </row>
    <row r="120" spans="1:7" x14ac:dyDescent="0.25">
      <c r="A120" s="2143" t="s">
        <v>1694</v>
      </c>
      <c r="B120" s="91" t="s">
        <v>2812</v>
      </c>
      <c r="C120" s="2144">
        <f>'Додаток 6 до рішення'!C13</f>
        <v>153.80650326115997</v>
      </c>
      <c r="D120" s="2144">
        <f>'Додаток 6 до рішення'!D13</f>
        <v>0</v>
      </c>
      <c r="E120" s="2144">
        <f>'Додаток 6 до рішення'!E13</f>
        <v>0</v>
      </c>
      <c r="F120" s="2144">
        <f>'Додаток 6 до рішення'!F13</f>
        <v>0</v>
      </c>
      <c r="G120" s="2144">
        <f>'Додаток 6 до рішення'!G13</f>
        <v>39.44241683999212</v>
      </c>
    </row>
    <row r="121" spans="1:7" x14ac:dyDescent="0.25">
      <c r="A121" s="2143" t="s">
        <v>2813</v>
      </c>
      <c r="B121" s="91" t="s">
        <v>2814</v>
      </c>
      <c r="C121" s="2144">
        <f>'Додаток 6 до рішення'!C14</f>
        <v>65.3597362</v>
      </c>
      <c r="D121" s="2144">
        <f>'Додаток 6 до рішення'!D14</f>
        <v>0</v>
      </c>
      <c r="E121" s="2144">
        <f>'Додаток 6 до рішення'!E14</f>
        <v>0</v>
      </c>
      <c r="F121" s="2144">
        <f>'Додаток 6 до рішення'!F14</f>
        <v>0</v>
      </c>
      <c r="G121" s="2144">
        <f>'Додаток 6 до рішення'!G14</f>
        <v>16.760968522735535</v>
      </c>
    </row>
    <row r="122" spans="1:7" x14ac:dyDescent="0.25">
      <c r="A122" s="2143" t="s">
        <v>2815</v>
      </c>
      <c r="B122" s="91" t="s">
        <v>2816</v>
      </c>
      <c r="C122" s="2144">
        <f>'Додаток 6 до рішення'!C15</f>
        <v>0</v>
      </c>
      <c r="D122" s="2144">
        <f>'Додаток 6 до рішення'!D15</f>
        <v>0</v>
      </c>
      <c r="E122" s="2144">
        <f>'Додаток 6 до рішення'!E15</f>
        <v>0</v>
      </c>
      <c r="F122" s="2144">
        <f>'Додаток 6 до рішення'!F15</f>
        <v>0</v>
      </c>
      <c r="G122" s="2144">
        <f>'Додаток 6 до рішення'!G15</f>
        <v>0</v>
      </c>
    </row>
    <row r="123" spans="1:7" x14ac:dyDescent="0.25">
      <c r="A123" s="2143" t="s">
        <v>2817</v>
      </c>
      <c r="B123" s="91" t="s">
        <v>82</v>
      </c>
      <c r="C123" s="2144">
        <f>'Додаток 6 до рішення'!C16</f>
        <v>88.446767061159974</v>
      </c>
      <c r="D123" s="2144">
        <f>'Додаток 6 до рішення'!D16</f>
        <v>0</v>
      </c>
      <c r="E123" s="2144">
        <f>'Додаток 6 до рішення'!E16</f>
        <v>0</v>
      </c>
      <c r="F123" s="2144">
        <f>'Додаток 6 до рішення'!F16</f>
        <v>0</v>
      </c>
      <c r="G123" s="2144">
        <f>'Додаток 6 до рішення'!G16</f>
        <v>22.681448317256585</v>
      </c>
    </row>
    <row r="124" spans="1:7" x14ac:dyDescent="0.25">
      <c r="A124" s="2145" t="s">
        <v>1696</v>
      </c>
      <c r="B124" s="178" t="s">
        <v>2818</v>
      </c>
      <c r="C124" s="2135">
        <f>C125+C126+C127+C128</f>
        <v>68.138869511090107</v>
      </c>
      <c r="D124" s="181">
        <f t="shared" ref="D124:G124" si="24">D125+D126+D127+D128</f>
        <v>0</v>
      </c>
      <c r="E124" s="181">
        <f t="shared" si="24"/>
        <v>0</v>
      </c>
      <c r="F124" s="181">
        <f t="shared" si="24"/>
        <v>0</v>
      </c>
      <c r="G124" s="181">
        <f t="shared" si="24"/>
        <v>17.473654476747491</v>
      </c>
    </row>
    <row r="125" spans="1:7" x14ac:dyDescent="0.25">
      <c r="A125" s="2146" t="s">
        <v>2819</v>
      </c>
      <c r="B125" s="91" t="s">
        <v>2820</v>
      </c>
      <c r="C125" s="2144">
        <f>'Додаток 6 до рішення'!C18</f>
        <v>49.346094111364039</v>
      </c>
      <c r="D125" s="2144">
        <f>'Додаток 6 до рішення'!D18</f>
        <v>0</v>
      </c>
      <c r="E125" s="2144">
        <f>'Додаток 6 до рішення'!E18</f>
        <v>0</v>
      </c>
      <c r="F125" s="2144">
        <f>'Додаток 6 до рішення'!F18</f>
        <v>0</v>
      </c>
      <c r="G125" s="2144">
        <f>'Додаток 6 до рішення'!G18</f>
        <v>12.654401290568824</v>
      </c>
    </row>
    <row r="126" spans="1:7" x14ac:dyDescent="0.25">
      <c r="A126" s="2146" t="s">
        <v>2821</v>
      </c>
      <c r="B126" s="91" t="s">
        <v>2175</v>
      </c>
      <c r="C126" s="2144">
        <f>'Додаток 6 до рішення'!C19</f>
        <v>10.856140704500088</v>
      </c>
      <c r="D126" s="2144">
        <f>'Додаток 6 до рішення'!D19</f>
        <v>0</v>
      </c>
      <c r="E126" s="2144">
        <f>'Додаток 6 до рішення'!E19</f>
        <v>0</v>
      </c>
      <c r="F126" s="2144">
        <f>'Додаток 6 до рішення'!F19</f>
        <v>0</v>
      </c>
      <c r="G126" s="2144">
        <f>'Додаток 6 до рішення'!G19</f>
        <v>2.7839682839251414</v>
      </c>
    </row>
    <row r="127" spans="1:7" x14ac:dyDescent="0.25">
      <c r="A127" s="2146" t="s">
        <v>2822</v>
      </c>
      <c r="B127" s="91" t="s">
        <v>2816</v>
      </c>
      <c r="C127" s="2144">
        <f>'Додаток 6 до рішення'!C20</f>
        <v>0.42561288861691837</v>
      </c>
      <c r="D127" s="2144">
        <f>'Додаток 6 до рішення'!D20</f>
        <v>0</v>
      </c>
      <c r="E127" s="2144">
        <f>'Додаток 6 до рішення'!E20</f>
        <v>0</v>
      </c>
      <c r="F127" s="2144">
        <f>'Додаток 6 до рішення'!F20</f>
        <v>0</v>
      </c>
      <c r="G127" s="2144">
        <f>'Додаток 6 до рішення'!G20</f>
        <v>0.10914493606812803</v>
      </c>
    </row>
    <row r="128" spans="1:7" x14ac:dyDescent="0.25">
      <c r="A128" s="2146" t="s">
        <v>2823</v>
      </c>
      <c r="B128" s="91" t="s">
        <v>58</v>
      </c>
      <c r="C128" s="2144">
        <f>'Додаток 6 до рішення'!C21</f>
        <v>7.5110218066090546</v>
      </c>
      <c r="D128" s="2144">
        <f>'Додаток 6 до рішення'!D21</f>
        <v>0</v>
      </c>
      <c r="E128" s="2144">
        <f>'Додаток 6 до рішення'!E21</f>
        <v>0</v>
      </c>
      <c r="F128" s="2144">
        <f>'Додаток 6 до рішення'!F21</f>
        <v>0</v>
      </c>
      <c r="G128" s="2144">
        <f>'Додаток 6 до рішення'!G21</f>
        <v>1.9261399661853982</v>
      </c>
    </row>
    <row r="129" spans="1:7" x14ac:dyDescent="0.25">
      <c r="A129" s="2141" t="s">
        <v>1709</v>
      </c>
      <c r="B129" s="178" t="s">
        <v>2824</v>
      </c>
      <c r="C129" s="2135">
        <f>C130+C131+C132+C133</f>
        <v>20.887540397300036</v>
      </c>
      <c r="D129" s="181">
        <f t="shared" ref="D129:E129" si="25">D130+D131+D132+D133</f>
        <v>0</v>
      </c>
      <c r="E129" s="181">
        <f t="shared" si="25"/>
        <v>0</v>
      </c>
      <c r="F129" s="181">
        <f>F130+F131+F132+F133</f>
        <v>0</v>
      </c>
      <c r="G129" s="181">
        <f t="shared" ref="G129" si="26">G130+G131+G132+G133</f>
        <v>5.3464384967103449</v>
      </c>
    </row>
    <row r="130" spans="1:7" x14ac:dyDescent="0.25">
      <c r="A130" s="2146" t="s">
        <v>2825</v>
      </c>
      <c r="B130" s="91" t="s">
        <v>55</v>
      </c>
      <c r="C130" s="2144">
        <f>'Додаток 6 до рішення'!C23</f>
        <v>11.559285989590718</v>
      </c>
      <c r="D130" s="2144">
        <f>'Додаток 6 до рішення'!D23</f>
        <v>0</v>
      </c>
      <c r="E130" s="2144">
        <f>'Додаток 6 до рішення'!E23</f>
        <v>0</v>
      </c>
      <c r="F130" s="2144">
        <f>'Додаток 6 до рішення'!F23</f>
        <v>0</v>
      </c>
      <c r="G130" s="2144">
        <f>'Додаток 6 до рішення'!G23</f>
        <v>2.9642841278301835</v>
      </c>
    </row>
    <row r="131" spans="1:7" x14ac:dyDescent="0.25">
      <c r="A131" s="2146" t="s">
        <v>2826</v>
      </c>
      <c r="B131" s="91" t="s">
        <v>2827</v>
      </c>
      <c r="C131" s="2144">
        <f>'Додаток 6 до рішення'!C24</f>
        <v>2.5430429177099581</v>
      </c>
      <c r="D131" s="2144">
        <f>'Додаток 6 до рішення'!D24</f>
        <v>0</v>
      </c>
      <c r="E131" s="2144">
        <f>'Додаток 6 до рішення'!E24</f>
        <v>0</v>
      </c>
      <c r="F131" s="2144">
        <f>'Додаток 6 до рішення'!F24</f>
        <v>0</v>
      </c>
      <c r="G131" s="2144">
        <f>'Додаток 6 до рішення'!G24</f>
        <v>0.65214250812264041</v>
      </c>
    </row>
    <row r="132" spans="1:7" x14ac:dyDescent="0.25">
      <c r="A132" s="2146" t="s">
        <v>2828</v>
      </c>
      <c r="B132" s="91" t="s">
        <v>2816</v>
      </c>
      <c r="C132" s="2144">
        <f>'Додаток 6 до рішення'!C25</f>
        <v>0.37413494753765009</v>
      </c>
      <c r="D132" s="2144">
        <f>'Додаток 6 до рішення'!D25</f>
        <v>0</v>
      </c>
      <c r="E132" s="2144">
        <f>'Додаток 6 до рішення'!E25</f>
        <v>0</v>
      </c>
      <c r="F132" s="2144">
        <f>'Додаток 6 до рішення'!F25</f>
        <v>0</v>
      </c>
      <c r="G132" s="2144">
        <f>'Додаток 6 до рішення'!G25</f>
        <v>9.5943840099738095E-2</v>
      </c>
    </row>
    <row r="133" spans="1:7" x14ac:dyDescent="0.25">
      <c r="A133" s="2146" t="s">
        <v>2829</v>
      </c>
      <c r="B133" s="91" t="s">
        <v>2830</v>
      </c>
      <c r="C133" s="2144">
        <f>'Додаток 6 до рішення'!C26</f>
        <v>6.4110765424617089</v>
      </c>
      <c r="D133" s="2144">
        <f>'Додаток 6 до рішення'!D26</f>
        <v>0</v>
      </c>
      <c r="E133" s="2144">
        <f>'Додаток 6 до рішення'!E26</f>
        <v>0</v>
      </c>
      <c r="F133" s="2144">
        <f>'Додаток 6 до рішення'!F26</f>
        <v>0</v>
      </c>
      <c r="G133" s="2144">
        <f>'Додаток 6 до рішення'!G26</f>
        <v>1.6340680206577831</v>
      </c>
    </row>
    <row r="134" spans="1:7" x14ac:dyDescent="0.25">
      <c r="A134" s="2141" t="s">
        <v>1711</v>
      </c>
      <c r="B134" s="178" t="s">
        <v>2831</v>
      </c>
      <c r="C134" s="2135">
        <f>'Додаток 6 до рішення'!C27</f>
        <v>0</v>
      </c>
      <c r="D134" s="2135">
        <f>'Додаток 6 до рішення'!D27</f>
        <v>0</v>
      </c>
      <c r="E134" s="2135">
        <f>'Додаток 6 до рішення'!E27</f>
        <v>0</v>
      </c>
      <c r="F134" s="2135">
        <f>'Додаток 6 до рішення'!F27</f>
        <v>0</v>
      </c>
      <c r="G134" s="2135">
        <f>'Додаток 6 до рішення'!G27</f>
        <v>0</v>
      </c>
    </row>
    <row r="135" spans="1:7" x14ac:dyDescent="0.25">
      <c r="A135" s="2141" t="s">
        <v>1714</v>
      </c>
      <c r="B135" s="178" t="s">
        <v>2833</v>
      </c>
      <c r="C135" s="2135">
        <f>'Додаток 6 до рішення'!C28</f>
        <v>0</v>
      </c>
      <c r="D135" s="2135">
        <f>'Додаток 6 до рішення'!D28</f>
        <v>0</v>
      </c>
      <c r="E135" s="2135">
        <f>'Додаток 6 до рішення'!E28</f>
        <v>0</v>
      </c>
      <c r="F135" s="2135">
        <f>'Додаток 6 до рішення'!F28</f>
        <v>0</v>
      </c>
      <c r="G135" s="2135">
        <f>'Додаток 6 до рішення'!G28</f>
        <v>0</v>
      </c>
    </row>
    <row r="136" spans="1:7" x14ac:dyDescent="0.25">
      <c r="A136" s="2141" t="s">
        <v>1786</v>
      </c>
      <c r="B136" s="178" t="s">
        <v>2834</v>
      </c>
      <c r="C136" s="2135">
        <f>'Додаток 6 до рішення'!C29</f>
        <v>0</v>
      </c>
      <c r="D136" s="2135">
        <f>'Додаток 6 до рішення'!D29</f>
        <v>0</v>
      </c>
      <c r="E136" s="2135">
        <f>'Додаток 6 до рішення'!E29</f>
        <v>0</v>
      </c>
      <c r="F136" s="2135">
        <f>'Додаток 6 до рішення'!F29</f>
        <v>0</v>
      </c>
      <c r="G136" s="2135">
        <f>'Додаток 6 до рішення'!G29</f>
        <v>0</v>
      </c>
    </row>
    <row r="137" spans="1:7" x14ac:dyDescent="0.25">
      <c r="A137" s="2141" t="s">
        <v>1792</v>
      </c>
      <c r="B137" s="178" t="s">
        <v>2835</v>
      </c>
      <c r="C137" s="2135">
        <f>'Додаток 6 до рішення'!C30</f>
        <v>0</v>
      </c>
      <c r="D137" s="2135">
        <f>'Додаток 6 до рішення'!D30</f>
        <v>0</v>
      </c>
      <c r="E137" s="2135">
        <f>'Додаток 6 до рішення'!E30</f>
        <v>0</v>
      </c>
      <c r="F137" s="2135">
        <f>'Додаток 6 до рішення'!F30</f>
        <v>0</v>
      </c>
      <c r="G137" s="2135">
        <f>'Додаток 6 до рішення'!G30</f>
        <v>0</v>
      </c>
    </row>
    <row r="138" spans="1:7" x14ac:dyDescent="0.25">
      <c r="A138" s="2141" t="s">
        <v>1798</v>
      </c>
      <c r="B138" s="178" t="s">
        <v>2836</v>
      </c>
      <c r="C138" s="2135">
        <f>SUM(C139:C142)</f>
        <v>39.762146479171761</v>
      </c>
      <c r="D138" s="2135">
        <f t="shared" ref="D138:G138" si="27">SUM(D139:D142)</f>
        <v>0</v>
      </c>
      <c r="E138" s="2135">
        <f t="shared" si="27"/>
        <v>0</v>
      </c>
      <c r="F138" s="2135">
        <f t="shared" si="27"/>
        <v>0</v>
      </c>
      <c r="G138" s="2135">
        <f t="shared" si="27"/>
        <v>10.196676490469027</v>
      </c>
    </row>
    <row r="139" spans="1:7" x14ac:dyDescent="0.25">
      <c r="A139" s="2146" t="s">
        <v>1101</v>
      </c>
      <c r="B139" s="91" t="s">
        <v>65</v>
      </c>
      <c r="C139" s="2144">
        <f>'Додаток 6 до рішення'!C32</f>
        <v>3.8982496548207606</v>
      </c>
      <c r="D139" s="2144">
        <f>'Додаток 6 до рішення'!D32</f>
        <v>0</v>
      </c>
      <c r="E139" s="2144">
        <f>'Додаток 6 до рішення'!E32</f>
        <v>0</v>
      </c>
      <c r="F139" s="2144">
        <f>'Додаток 6 до рішення'!F32</f>
        <v>0</v>
      </c>
      <c r="G139" s="2144">
        <f>'Додаток 6 до рішення'!G32</f>
        <v>0.99967416573225742</v>
      </c>
    </row>
    <row r="140" spans="1:7" x14ac:dyDescent="0.25">
      <c r="A140" s="2146" t="s">
        <v>2847</v>
      </c>
      <c r="B140" s="91" t="s">
        <v>85</v>
      </c>
      <c r="C140" s="2144">
        <f>'Додаток 6 до рішення'!C33</f>
        <v>14.206954297568997</v>
      </c>
      <c r="D140" s="2144">
        <f>'Додаток 6 до рішення'!D33</f>
        <v>0</v>
      </c>
      <c r="E140" s="2144">
        <f>'Додаток 6 до рішення'!E33</f>
        <v>0</v>
      </c>
      <c r="F140" s="2144">
        <f>'Додаток 6 до рішення'!F33</f>
        <v>0</v>
      </c>
      <c r="G140" s="2144">
        <f>'Додаток 6 до рішення'!G33</f>
        <v>3.643256959557561</v>
      </c>
    </row>
    <row r="141" spans="1:7" x14ac:dyDescent="0.25">
      <c r="A141" s="2146" t="s">
        <v>2848</v>
      </c>
      <c r="B141" s="91" t="s">
        <v>71</v>
      </c>
      <c r="C141" s="2144">
        <f>'Додаток 6 до рішення'!C34</f>
        <v>0</v>
      </c>
      <c r="D141" s="2144">
        <f>'Додаток 6 до рішення'!D34</f>
        <v>0</v>
      </c>
      <c r="E141" s="2144">
        <f>'Додаток 6 до рішення'!E34</f>
        <v>0</v>
      </c>
      <c r="F141" s="2144">
        <f>'Додаток 6 до рішення'!F34</f>
        <v>0</v>
      </c>
      <c r="G141" s="2144">
        <f>'Додаток 6 до рішення'!G34</f>
        <v>0</v>
      </c>
    </row>
    <row r="142" spans="1:7" ht="15.75" thickBot="1" x14ac:dyDescent="0.3">
      <c r="A142" s="2146" t="s">
        <v>2849</v>
      </c>
      <c r="B142" s="91" t="s">
        <v>2394</v>
      </c>
      <c r="C142" s="2150">
        <f>'Додаток 6 до рішення'!C35</f>
        <v>21.656942526782004</v>
      </c>
      <c r="D142" s="2144">
        <f>'Додаток 6 до рішення'!D35</f>
        <v>0</v>
      </c>
      <c r="E142" s="2144">
        <f>'Додаток 6 до рішення'!E35</f>
        <v>0</v>
      </c>
      <c r="F142" s="2144">
        <f>'Додаток 6 до рішення'!F35</f>
        <v>0</v>
      </c>
      <c r="G142" s="2144">
        <f>'Додаток 6 до рішення'!G35</f>
        <v>5.5537453651792079</v>
      </c>
    </row>
    <row r="143" spans="1:7" ht="30" thickBot="1" x14ac:dyDescent="0.3">
      <c r="A143" s="2162" t="s">
        <v>1800</v>
      </c>
      <c r="B143" s="2164" t="s">
        <v>3111</v>
      </c>
      <c r="C143" s="2152">
        <f>'Додаток 6 до рішення'!C36</f>
        <v>3.8995202521466661</v>
      </c>
      <c r="D143" s="2152">
        <f>'Додаток 6 до рішення'!D36</f>
        <v>0</v>
      </c>
      <c r="E143" s="2152">
        <f>'Додаток 6 до рішення'!E36</f>
        <v>0</v>
      </c>
      <c r="F143" s="2152">
        <f>'Додаток 6 до рішення'!F36</f>
        <v>0</v>
      </c>
      <c r="G143" s="2152">
        <f>'Додаток 6 до рішення'!G36</f>
        <v>3.8995202521466661</v>
      </c>
    </row>
  </sheetData>
  <mergeCells count="11">
    <mergeCell ref="F1:G1"/>
    <mergeCell ref="B2:F2"/>
    <mergeCell ref="A4:A5"/>
    <mergeCell ref="B4:B5"/>
    <mergeCell ref="C4:C5"/>
    <mergeCell ref="D4:G4"/>
    <mergeCell ref="B7:G7"/>
    <mergeCell ref="B12:G12"/>
    <mergeCell ref="B50:G50"/>
    <mergeCell ref="B83:G83"/>
    <mergeCell ref="B116:G116"/>
  </mergeCells>
  <pageMargins left="0.7" right="0.7" top="0.75" bottom="0.75" header="0.3" footer="0.3"/>
  <pageSetup paperSize="9" orientation="portrait" horizontalDpi="0"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00FF"/>
  </sheetPr>
  <dimension ref="A1:L50"/>
  <sheetViews>
    <sheetView topLeftCell="A31" workbookViewId="0">
      <selection activeCell="D48" sqref="D48"/>
    </sheetView>
  </sheetViews>
  <sheetFormatPr defaultColWidth="9.140625" defaultRowHeight="15" x14ac:dyDescent="0.25"/>
  <cols>
    <col min="1" max="1" width="7.85546875" style="1734" customWidth="1"/>
    <col min="2" max="2" width="56.42578125" style="18" customWidth="1"/>
    <col min="3" max="3" width="14.7109375" style="18" customWidth="1"/>
    <col min="4" max="4" width="14.42578125" style="1734" customWidth="1"/>
    <col min="5" max="8" width="14.42578125" style="18" customWidth="1"/>
    <col min="9" max="16384" width="9.140625" style="18"/>
  </cols>
  <sheetData>
    <row r="1" spans="1:12" ht="96.75" customHeight="1" x14ac:dyDescent="0.25">
      <c r="F1" s="4067" t="s">
        <v>2843</v>
      </c>
      <c r="G1" s="4067"/>
    </row>
    <row r="2" spans="1:12" ht="45.75" customHeight="1" x14ac:dyDescent="0.25">
      <c r="A2" s="18"/>
      <c r="B2" s="4060" t="s">
        <v>3107</v>
      </c>
      <c r="C2" s="4060"/>
      <c r="D2" s="4060"/>
      <c r="E2" s="4060"/>
      <c r="F2" s="4060"/>
      <c r="G2" s="1819"/>
    </row>
    <row r="3" spans="1:12" ht="15.75" thickBot="1" x14ac:dyDescent="0.3">
      <c r="G3" s="18" t="s">
        <v>1666</v>
      </c>
    </row>
    <row r="4" spans="1:12" ht="30" customHeight="1" thickBot="1" x14ac:dyDescent="0.3">
      <c r="A4" s="4061" t="s">
        <v>7</v>
      </c>
      <c r="B4" s="4061" t="s">
        <v>620</v>
      </c>
      <c r="C4" s="4061" t="s">
        <v>2788</v>
      </c>
      <c r="D4" s="4064" t="s">
        <v>2789</v>
      </c>
      <c r="E4" s="4065"/>
      <c r="F4" s="4065"/>
      <c r="G4" s="4066"/>
      <c r="H4" s="110"/>
      <c r="I4" s="110"/>
    </row>
    <row r="5" spans="1:12" ht="75" customHeight="1" thickBot="1" x14ac:dyDescent="0.3">
      <c r="A5" s="4062"/>
      <c r="B5" s="4063"/>
      <c r="C5" s="4063"/>
      <c r="D5" s="2127" t="s">
        <v>2790</v>
      </c>
      <c r="E5" s="2127" t="s">
        <v>2791</v>
      </c>
      <c r="F5" s="2127" t="s">
        <v>2792</v>
      </c>
      <c r="G5" s="2127" t="s">
        <v>2793</v>
      </c>
      <c r="H5" s="110"/>
      <c r="I5" s="110"/>
    </row>
    <row r="6" spans="1:12" ht="15.75" thickBot="1" x14ac:dyDescent="0.3">
      <c r="A6" s="2128">
        <v>1</v>
      </c>
      <c r="B6" s="2129">
        <v>2</v>
      </c>
      <c r="C6" s="2114">
        <v>3</v>
      </c>
      <c r="D6" s="2128">
        <v>4</v>
      </c>
      <c r="E6" s="2114">
        <v>5</v>
      </c>
      <c r="F6" s="2129">
        <v>6</v>
      </c>
      <c r="G6" s="2115">
        <v>7</v>
      </c>
    </row>
    <row r="7" spans="1:12" ht="15.75" thickBot="1" x14ac:dyDescent="0.3">
      <c r="A7" s="2130"/>
      <c r="B7" s="4049" t="s">
        <v>2794</v>
      </c>
      <c r="C7" s="4050"/>
      <c r="D7" s="4050"/>
      <c r="E7" s="4050"/>
      <c r="F7" s="4050"/>
      <c r="G7" s="4051"/>
    </row>
    <row r="8" spans="1:12" ht="35.25" customHeight="1" x14ac:dyDescent="0.25">
      <c r="A8" s="2131" t="s">
        <v>2795</v>
      </c>
      <c r="B8" s="2131" t="s">
        <v>2796</v>
      </c>
      <c r="C8" s="2131" t="s">
        <v>234</v>
      </c>
      <c r="D8" s="2131">
        <f>SUM(D9:D11)</f>
        <v>0</v>
      </c>
      <c r="E8" s="2133">
        <f t="shared" ref="E8:G8" si="0">SUM(E9:E11)</f>
        <v>0</v>
      </c>
      <c r="F8" s="2131">
        <f t="shared" si="0"/>
        <v>0</v>
      </c>
      <c r="G8" s="2134">
        <f t="shared" si="0"/>
        <v>8351.9347899316763</v>
      </c>
      <c r="H8" s="828"/>
      <c r="I8" s="828"/>
      <c r="J8" s="828"/>
      <c r="K8" s="828"/>
      <c r="L8" s="828"/>
    </row>
    <row r="9" spans="1:12" ht="35.25" customHeight="1" x14ac:dyDescent="0.25">
      <c r="A9" s="2135" t="s">
        <v>1689</v>
      </c>
      <c r="B9" s="2136" t="s">
        <v>2797</v>
      </c>
      <c r="C9" s="2135" t="s">
        <v>234</v>
      </c>
      <c r="D9" s="2135">
        <f>'Додаток 3 до рішення'!D8</f>
        <v>0</v>
      </c>
      <c r="E9" s="2135">
        <f>'Додаток 3 до рішення'!E8</f>
        <v>0</v>
      </c>
      <c r="F9" s="2135">
        <f>'Додаток 3 до рішення'!F8</f>
        <v>0</v>
      </c>
      <c r="G9" s="2135">
        <f>'Додаток 3 до рішення'!G8</f>
        <v>5701.3545558892911</v>
      </c>
      <c r="H9" s="828"/>
      <c r="I9" s="828"/>
      <c r="J9" s="828"/>
      <c r="K9" s="828"/>
      <c r="L9" s="828"/>
    </row>
    <row r="10" spans="1:12" ht="50.25" customHeight="1" x14ac:dyDescent="0.25">
      <c r="A10" s="2135" t="s">
        <v>1691</v>
      </c>
      <c r="B10" s="2137" t="s">
        <v>2844</v>
      </c>
      <c r="C10" s="2135" t="s">
        <v>234</v>
      </c>
      <c r="D10" s="2135">
        <f>'Додаток 5 до рішення'!D8</f>
        <v>0</v>
      </c>
      <c r="E10" s="2135">
        <f>'Додаток 5 до рішення'!E8</f>
        <v>0</v>
      </c>
      <c r="F10" s="2135">
        <f>'Додаток 5 до рішення'!F8</f>
        <v>0</v>
      </c>
      <c r="G10" s="2135">
        <f>'Додаток 5 до рішення'!G8</f>
        <v>2501.5399234224355</v>
      </c>
      <c r="H10" s="828"/>
      <c r="I10" s="828"/>
      <c r="J10" s="828"/>
      <c r="K10" s="828"/>
      <c r="L10" s="828"/>
    </row>
    <row r="11" spans="1:12" ht="35.25" customHeight="1" thickBot="1" x14ac:dyDescent="0.3">
      <c r="A11" s="2138" t="s">
        <v>1694</v>
      </c>
      <c r="B11" s="2139" t="s">
        <v>2799</v>
      </c>
      <c r="C11" s="2138" t="s">
        <v>234</v>
      </c>
      <c r="D11" s="2138">
        <f>'Додаток 6 до рішення'!D8</f>
        <v>0</v>
      </c>
      <c r="E11" s="2138">
        <f>'Додаток 6 до рішення'!E8</f>
        <v>0</v>
      </c>
      <c r="F11" s="2138">
        <f>'Додаток 6 до рішення'!F8</f>
        <v>0</v>
      </c>
      <c r="G11" s="2138">
        <f>'Додаток 6 до рішення'!G8</f>
        <v>149.04031061994922</v>
      </c>
      <c r="H11" s="828"/>
      <c r="I11" s="828"/>
      <c r="J11" s="828"/>
      <c r="K11" s="828"/>
      <c r="L11" s="828"/>
    </row>
    <row r="12" spans="1:12" ht="18.75" customHeight="1" thickBot="1" x14ac:dyDescent="0.3">
      <c r="A12" s="2140" t="s">
        <v>2800</v>
      </c>
      <c r="B12" s="4049" t="s">
        <v>2801</v>
      </c>
      <c r="C12" s="4052"/>
      <c r="D12" s="4052"/>
      <c r="E12" s="4052"/>
      <c r="F12" s="4052"/>
      <c r="G12" s="4053"/>
      <c r="H12" s="2096"/>
    </row>
    <row r="13" spans="1:12" s="23" customFormat="1" ht="14.25" x14ac:dyDescent="0.2">
      <c r="A13" s="2141" t="s">
        <v>1687</v>
      </c>
      <c r="B13" s="2142" t="s">
        <v>2802</v>
      </c>
      <c r="C13" s="2135">
        <f>C14+C19+C20+C24</f>
        <v>20578.397832961869</v>
      </c>
      <c r="D13" s="2135">
        <f>D14+D19+D20+D24</f>
        <v>0</v>
      </c>
      <c r="E13" s="2135">
        <f>E14+E19+E20+E24</f>
        <v>0</v>
      </c>
      <c r="F13" s="2135">
        <f>F14+F19+F20+F24</f>
        <v>0</v>
      </c>
      <c r="G13" s="2135">
        <f>G14+G19+G20+G24</f>
        <v>6677.4692956524223</v>
      </c>
      <c r="H13" s="2096"/>
    </row>
    <row r="14" spans="1:12" x14ac:dyDescent="0.25">
      <c r="A14" s="2143" t="s">
        <v>1689</v>
      </c>
      <c r="B14" s="91" t="s">
        <v>2803</v>
      </c>
      <c r="C14" s="2144">
        <f>SUM(C15:C18)</f>
        <v>8945.2996211134487</v>
      </c>
      <c r="D14" s="2144">
        <f t="shared" ref="D14:G14" si="1">SUM(D15:D18)</f>
        <v>0</v>
      </c>
      <c r="E14" s="2144">
        <f t="shared" si="1"/>
        <v>0</v>
      </c>
      <c r="F14" s="2144">
        <f t="shared" si="1"/>
        <v>0</v>
      </c>
      <c r="G14" s="2144">
        <f t="shared" si="1"/>
        <v>2846.2488557313422</v>
      </c>
      <c r="H14" s="2096"/>
      <c r="I14" s="828"/>
    </row>
    <row r="15" spans="1:12" x14ac:dyDescent="0.25">
      <c r="A15" s="2143" t="s">
        <v>2804</v>
      </c>
      <c r="B15" s="91" t="s">
        <v>2805</v>
      </c>
      <c r="C15" s="2144">
        <f>'Додаток 3 до рішення'!N12</f>
        <v>8009.7865045189083</v>
      </c>
      <c r="D15" s="2144">
        <f>'Додаток 3 до рішення'!D12</f>
        <v>0</v>
      </c>
      <c r="E15" s="2144">
        <f>'Додаток 3 до рішення'!E12</f>
        <v>0</v>
      </c>
      <c r="F15" s="2144">
        <f>'Додаток 3 до рішення'!F12</f>
        <v>0</v>
      </c>
      <c r="G15" s="2144">
        <f>'Додаток 3 до рішення'!G12</f>
        <v>2520.9609284603375</v>
      </c>
      <c r="H15" s="2096"/>
    </row>
    <row r="16" spans="1:12" x14ac:dyDescent="0.25">
      <c r="A16" s="2143" t="s">
        <v>2806</v>
      </c>
      <c r="B16" s="91" t="s">
        <v>2807</v>
      </c>
      <c r="C16" s="2144">
        <f>'Додаток 3 до рішення'!N13+'Додаток 5 до рішення'!C12</f>
        <v>680.84062592593568</v>
      </c>
      <c r="D16" s="2144">
        <f>'Додаток 3 до рішення'!D13+'Додаток 5 до рішення'!D12</f>
        <v>0</v>
      </c>
      <c r="E16" s="2144">
        <f>'Додаток 3 до рішення'!E13+'Додаток 5 до рішення'!E12</f>
        <v>0</v>
      </c>
      <c r="F16" s="2144">
        <f>'Додаток 3 до рішення'!F13+'Додаток 5 до рішення'!F12</f>
        <v>0</v>
      </c>
      <c r="G16" s="2144">
        <f>'Додаток 3 до рішення'!G13+'Додаток 5 до рішення'!G12</f>
        <v>239.29526947702101</v>
      </c>
      <c r="H16" s="2096"/>
    </row>
    <row r="17" spans="1:8" x14ac:dyDescent="0.25">
      <c r="A17" s="2143" t="s">
        <v>2808</v>
      </c>
      <c r="B17" s="91" t="s">
        <v>2809</v>
      </c>
      <c r="C17" s="2144">
        <f>'Додаток 3 до рішення'!N14+'Додаток 5 до рішення'!C13</f>
        <v>114.45353675386656</v>
      </c>
      <c r="D17" s="2144">
        <f>'Додаток 3 до рішення'!D14+'Додаток 5 до рішення'!D13</f>
        <v>0</v>
      </c>
      <c r="E17" s="2144">
        <f>'Додаток 3 до рішення'!E14+'Додаток 5 до рішення'!E13</f>
        <v>0</v>
      </c>
      <c r="F17" s="2144">
        <f>'Додаток 3 до рішення'!F14+'Додаток 5 до рішення'!F13</f>
        <v>0</v>
      </c>
      <c r="G17" s="2144">
        <f>'Додаток 3 до рішення'!G14+'Додаток 5 до рішення'!G13</f>
        <v>40.136731505992529</v>
      </c>
      <c r="H17" s="2096"/>
    </row>
    <row r="18" spans="1:8" x14ac:dyDescent="0.25">
      <c r="A18" s="2143" t="s">
        <v>2810</v>
      </c>
      <c r="B18" s="91" t="s">
        <v>2173</v>
      </c>
      <c r="C18" s="2144">
        <f>'Додаток 3 до рішення'!N15+'Додаток 5 до рішення'!C14+'Додаток 6 до рішення'!N11</f>
        <v>140.21895391473839</v>
      </c>
      <c r="D18" s="2144">
        <f>'Додаток 3 до рішення'!D15+'Додаток 5 до рішення'!D14+'Додаток 6 до рішення'!D11</f>
        <v>0</v>
      </c>
      <c r="E18" s="2144">
        <f>'Додаток 3 до рішення'!E15+'Додаток 5 до рішення'!E14+'Додаток 6 до рішення'!E11</f>
        <v>0</v>
      </c>
      <c r="F18" s="2144">
        <f>'Додаток 3 до рішення'!F15+'Додаток 5 до рішення'!F14+'Додаток 6 до рішення'!F11</f>
        <v>0</v>
      </c>
      <c r="G18" s="2144">
        <f>'Додаток 3 до рішення'!G15+'Додаток 5 до рішення'!G14+'Додаток 6 до рішення'!G11</f>
        <v>45.85592628799121</v>
      </c>
      <c r="H18" s="2096"/>
    </row>
    <row r="19" spans="1:8" x14ac:dyDescent="0.25">
      <c r="A19" s="2145" t="s">
        <v>1691</v>
      </c>
      <c r="B19" s="178" t="s">
        <v>2811</v>
      </c>
      <c r="C19" s="2135">
        <f>'Додаток 3 до рішення'!N16+'Додаток 5 до рішення'!C15+'Додаток 6 до рішення'!N12</f>
        <v>3778.8390933492446</v>
      </c>
      <c r="D19" s="2135">
        <f>'Додаток 3 до рішення'!D16+'Додаток 5 до рішення'!D15+'Додаток 6 до рішення'!D12</f>
        <v>0</v>
      </c>
      <c r="E19" s="2135">
        <f>'Додаток 3 до рішення'!E16+'Додаток 5 до рішення'!E15+'Додаток 6 до рішення'!E12</f>
        <v>0</v>
      </c>
      <c r="F19" s="2135">
        <f>'Додаток 3 до рішення'!F16+'Додаток 5 до рішення'!F15+'Додаток 6 до рішення'!F12</f>
        <v>0</v>
      </c>
      <c r="G19" s="2135">
        <f>'Додаток 3 до рішення'!G16+'Додаток 5 до рішення'!G15+'Додаток 6 до рішення'!G12</f>
        <v>1266.7608319761878</v>
      </c>
      <c r="H19" s="2096"/>
    </row>
    <row r="20" spans="1:8" x14ac:dyDescent="0.25">
      <c r="A20" s="2145" t="s">
        <v>1694</v>
      </c>
      <c r="B20" s="178" t="s">
        <v>2812</v>
      </c>
      <c r="C20" s="2135">
        <f>C21+C22+C23</f>
        <v>5160.5190057212585</v>
      </c>
      <c r="D20" s="2135">
        <f t="shared" ref="D20:G20" si="2">D21+D22+D23</f>
        <v>0</v>
      </c>
      <c r="E20" s="2135">
        <f t="shared" si="2"/>
        <v>0</v>
      </c>
      <c r="F20" s="2135">
        <f t="shared" si="2"/>
        <v>0</v>
      </c>
      <c r="G20" s="2135">
        <f t="shared" si="2"/>
        <v>1690.3698445168475</v>
      </c>
      <c r="H20" s="2096"/>
    </row>
    <row r="21" spans="1:8" x14ac:dyDescent="0.25">
      <c r="A21" s="2143" t="s">
        <v>2813</v>
      </c>
      <c r="B21" s="91" t="s">
        <v>2814</v>
      </c>
      <c r="C21" s="2144">
        <f>'Додаток 3 до рішення'!N18+'Додаток 5 до рішення'!C17+'Додаток 6 до рішення'!N14</f>
        <v>831.34460053683381</v>
      </c>
      <c r="D21" s="2144">
        <f>'Додаток 3 до рішення'!D18+'Додаток 5 до рішення'!D17+'Додаток 6 до рішення'!D14</f>
        <v>0</v>
      </c>
      <c r="E21" s="2144">
        <f>'Додаток 3 до рішення'!E18+'Додаток 5 до рішення'!E17+'Додаток 6 до рішення'!E14</f>
        <v>0</v>
      </c>
      <c r="F21" s="2144">
        <f>'Додаток 3 до рішення'!F18+'Додаток 5 до рішення'!F17+'Додаток 6 до рішення'!F14</f>
        <v>0</v>
      </c>
      <c r="G21" s="2144">
        <f>'Додаток 3 до рішення'!G18+'Додаток 5 до рішення'!G17+'Додаток 6 до рішення'!G14</f>
        <v>278.6873830347613</v>
      </c>
      <c r="H21" s="2096"/>
    </row>
    <row r="22" spans="1:8" x14ac:dyDescent="0.25">
      <c r="A22" s="2143" t="s">
        <v>2815</v>
      </c>
      <c r="B22" s="91" t="s">
        <v>2816</v>
      </c>
      <c r="C22" s="2144">
        <f>'Додаток 3 до рішення'!N19+'Додаток 5 до рішення'!C18+'Додаток 6 до рішення'!N15</f>
        <v>1390.2416611637443</v>
      </c>
      <c r="D22" s="2144">
        <f>'Додаток 3 до рішення'!D19+'Додаток 5 до рішення'!D18+'Додаток 6 до рішення'!D15</f>
        <v>0</v>
      </c>
      <c r="E22" s="2144">
        <f>'Додаток 3 до рішення'!E19+'Додаток 5 до рішення'!E18+'Додаток 6 до рішення'!E15</f>
        <v>0</v>
      </c>
      <c r="F22" s="2144">
        <f>'Додаток 3 до рішення'!F19+'Додаток 5 до рішення'!F18+'Додаток 6 до рішення'!F15</f>
        <v>0</v>
      </c>
      <c r="G22" s="2144">
        <f>'Додаток 3 до рішення'!G19+'Додаток 5 до рішення'!G18+'Додаток 6 до рішення'!G15</f>
        <v>439.54816365641341</v>
      </c>
      <c r="H22" s="2096"/>
    </row>
    <row r="23" spans="1:8" x14ac:dyDescent="0.25">
      <c r="A23" s="2143" t="s">
        <v>2817</v>
      </c>
      <c r="B23" s="91" t="s">
        <v>82</v>
      </c>
      <c r="C23" s="2144">
        <f>'Додаток 3 до рішення'!N20+'Додаток 5 до рішення'!C19+'Додаток 6 до рішення'!N16</f>
        <v>2938.9327440206803</v>
      </c>
      <c r="D23" s="2144">
        <f>'Додаток 3 до рішення'!D20+'Додаток 5 до рішення'!D19+'Додаток 6 до рішення'!D16</f>
        <v>0</v>
      </c>
      <c r="E23" s="2144">
        <f>'Додаток 3 до рішення'!E20+'Додаток 5 до рішення'!E19+'Додаток 6 до рішення'!E16</f>
        <v>0</v>
      </c>
      <c r="F23" s="2144">
        <f>'Додаток 3 до рішення'!F20+'Додаток 5 до рішення'!F19+'Додаток 6 до рішення'!F16</f>
        <v>0</v>
      </c>
      <c r="G23" s="2144">
        <f>'Додаток 3 до рішення'!G20+'Додаток 5 до рішення'!G19+'Додаток 6 до рішення'!G16</f>
        <v>972.13429782567277</v>
      </c>
      <c r="H23" s="2096"/>
    </row>
    <row r="24" spans="1:8" s="23" customFormat="1" ht="14.25" x14ac:dyDescent="0.2">
      <c r="A24" s="2145" t="s">
        <v>1696</v>
      </c>
      <c r="B24" s="178" t="s">
        <v>2818</v>
      </c>
      <c r="C24" s="2135">
        <f>C25+C26+C27+C28</f>
        <v>2693.7401127779144</v>
      </c>
      <c r="D24" s="181">
        <f t="shared" ref="D24:G24" si="3">D25+D26+D27+D28</f>
        <v>0</v>
      </c>
      <c r="E24" s="181">
        <f t="shared" si="3"/>
        <v>0</v>
      </c>
      <c r="F24" s="181">
        <f t="shared" si="3"/>
        <v>0</v>
      </c>
      <c r="G24" s="181">
        <f t="shared" si="3"/>
        <v>874.08976342804431</v>
      </c>
      <c r="H24" s="2096"/>
    </row>
    <row r="25" spans="1:8" x14ac:dyDescent="0.25">
      <c r="A25" s="2146" t="s">
        <v>2819</v>
      </c>
      <c r="B25" s="91" t="s">
        <v>2820</v>
      </c>
      <c r="C25" s="2144">
        <f>'Додаток 3 до рішення'!N22+'Додаток 5 до рішення'!C21+'Додаток 6 до рішення'!N18</f>
        <v>1950.8036172373061</v>
      </c>
      <c r="D25" s="2144">
        <f>'Додаток 3 до рішення'!D22+'Додаток 5 до рішення'!D21+'Додаток 6 до рішення'!D18</f>
        <v>0</v>
      </c>
      <c r="E25" s="2144">
        <f>'Додаток 3 до рішення'!E22+'Додаток 5 до рішення'!E21+'Додаток 6 до рішення'!E18</f>
        <v>0</v>
      </c>
      <c r="F25" s="2144">
        <f>'Додаток 3 до рішення'!F22+'Додаток 5 до рішення'!F21+'Додаток 6 до рішення'!F18</f>
        <v>0</v>
      </c>
      <c r="G25" s="2144">
        <f>'Додаток 3 до рішення'!G22+'Додаток 5 до рішення'!G21+'Додаток 6 до рішення'!G18</f>
        <v>633.01484215085202</v>
      </c>
      <c r="H25" s="2096"/>
    </row>
    <row r="26" spans="1:8" x14ac:dyDescent="0.25">
      <c r="A26" s="2146" t="s">
        <v>2821</v>
      </c>
      <c r="B26" s="91" t="s">
        <v>2175</v>
      </c>
      <c r="C26" s="2144">
        <f>'Додаток 3 до рішення'!N23+'Додаток 5 до рішення'!C22+'Додаток 6 до рішення'!N19</f>
        <v>429.17679579220737</v>
      </c>
      <c r="D26" s="2144">
        <f>'Додаток 3 до рішення'!D23+'Додаток 5 до рішення'!D22+'Додаток 6 до рішення'!D19</f>
        <v>0</v>
      </c>
      <c r="E26" s="2144">
        <f>'Додаток 3 до рішення'!E23+'Додаток 5 до рішення'!E22+'Додаток 6 до рішення'!E19</f>
        <v>0</v>
      </c>
      <c r="F26" s="2144">
        <f>'Додаток 3 до рішення'!F23+'Додаток 5 до рішення'!F22+'Додаток 6 до рішення'!F19</f>
        <v>0</v>
      </c>
      <c r="G26" s="2144">
        <f>'Додаток 3 до рішення'!G23+'Додаток 5 до рішення'!G22+'Додаток 6 до рішення'!G19</f>
        <v>139.26326527318744</v>
      </c>
      <c r="H26" s="2096"/>
    </row>
    <row r="27" spans="1:8" x14ac:dyDescent="0.25">
      <c r="A27" s="2146" t="s">
        <v>2822</v>
      </c>
      <c r="B27" s="91" t="s">
        <v>2816</v>
      </c>
      <c r="C27" s="2144">
        <f>'Додаток 3 до рішення'!N24+'Додаток 5 до рішення'!C23+'Додаток 6 до рішення'!N20</f>
        <v>16.825792955019189</v>
      </c>
      <c r="D27" s="2144">
        <f>'Додаток 3 до рішення'!D24+'Додаток 5 до рішення'!D23+'Додаток 6 до рішення'!D20</f>
        <v>0</v>
      </c>
      <c r="E27" s="2144">
        <f>'Додаток 3 до рішення'!E24+'Додаток 5 до рішення'!E23+'Додаток 6 до рішення'!E20</f>
        <v>0</v>
      </c>
      <c r="F27" s="2144">
        <f>'Додаток 3 до рішення'!F24+'Додаток 5 до рішення'!F23+'Додаток 6 до рішення'!F20</f>
        <v>0</v>
      </c>
      <c r="G27" s="2144">
        <f>'Додаток 3 до рішення'!G24+'Додаток 5 до рішення'!G23+'Додаток 6 до рішення'!G20</f>
        <v>5.4597892772867205</v>
      </c>
      <c r="H27" s="2096"/>
    </row>
    <row r="28" spans="1:8" x14ac:dyDescent="0.25">
      <c r="A28" s="2146" t="s">
        <v>2823</v>
      </c>
      <c r="B28" s="91" t="s">
        <v>58</v>
      </c>
      <c r="C28" s="2144">
        <f>'Додаток 3 до рішення'!N25+'Додаток 5 до рішення'!C24+'Додаток 6 до рішення'!N21</f>
        <v>296.93390679338199</v>
      </c>
      <c r="D28" s="2144">
        <f>'Додаток 3 до рішення'!D25+'Додаток 5 до рішення'!D24+'Додаток 6 до рішення'!D21</f>
        <v>0</v>
      </c>
      <c r="E28" s="2144">
        <f>'Додаток 3 до рішення'!E25+'Додаток 5 до рішення'!E24+'Додаток 6 до рішення'!E21</f>
        <v>0</v>
      </c>
      <c r="F28" s="2144">
        <f>'Додаток 3 до рішення'!F25+'Додаток 5 до рішення'!F24+'Додаток 6 до рішення'!F21</f>
        <v>0</v>
      </c>
      <c r="G28" s="2144">
        <f>'Додаток 3 до рішення'!G25+'Додаток 5 до рішення'!G24+'Додаток 6 до рішення'!G21</f>
        <v>96.351866726718114</v>
      </c>
      <c r="H28" s="2096"/>
    </row>
    <row r="29" spans="1:8" s="23" customFormat="1" ht="14.25" x14ac:dyDescent="0.2">
      <c r="A29" s="2141" t="s">
        <v>1709</v>
      </c>
      <c r="B29" s="178" t="s">
        <v>2824</v>
      </c>
      <c r="C29" s="2135">
        <f>C30+C31+C32+C33</f>
        <v>825.74903031402073</v>
      </c>
      <c r="D29" s="181">
        <f t="shared" ref="D29:E29" si="4">D30+D31+D32+D33</f>
        <v>0</v>
      </c>
      <c r="E29" s="181">
        <f t="shared" si="4"/>
        <v>0</v>
      </c>
      <c r="F29" s="181">
        <f>F30+F31+F32+F33</f>
        <v>0</v>
      </c>
      <c r="G29" s="181">
        <f t="shared" ref="G29" si="5">G30+G31+G32+G33</f>
        <v>267.93670025304942</v>
      </c>
      <c r="H29" s="2096"/>
    </row>
    <row r="30" spans="1:8" x14ac:dyDescent="0.25">
      <c r="A30" s="2146" t="s">
        <v>2825</v>
      </c>
      <c r="B30" s="91" t="s">
        <v>55</v>
      </c>
      <c r="C30" s="2144">
        <f>'Додаток 3 до рішення'!N27+'Додаток 5 до рішення'!C26+'Додаток 6 до рішення'!N23</f>
        <v>456.97430216631903</v>
      </c>
      <c r="D30" s="2144">
        <f>'Додаток 3 до рішення'!D27+'Додаток 5 до рішення'!D26+'Додаток 6 до рішення'!D23</f>
        <v>0</v>
      </c>
      <c r="E30" s="2144">
        <f>'Додаток 3 до рішення'!E27+'Додаток 5 до рішення'!E26+'Додаток 6 до рішення'!E23</f>
        <v>0</v>
      </c>
      <c r="F30" s="2144">
        <f>'Додаток 3 до рішення'!F27+'Додаток 5 до рішення'!F26+'Додаток 6 до рішення'!F23</f>
        <v>0</v>
      </c>
      <c r="G30" s="2144">
        <f>'Додаток 3 до рішення'!G27+'Додаток 5 до рішення'!G26+'Додаток 6 до рішення'!G23</f>
        <v>148.28325783118521</v>
      </c>
      <c r="H30" s="2096"/>
    </row>
    <row r="31" spans="1:8" x14ac:dyDescent="0.25">
      <c r="A31" s="2146" t="s">
        <v>2826</v>
      </c>
      <c r="B31" s="91" t="s">
        <v>2827</v>
      </c>
      <c r="C31" s="2144">
        <f>'Додаток 3 до рішення'!N28+'Додаток 5 до рішення'!C27+'Додаток 6 до рішення'!N24</f>
        <v>100.53434647659019</v>
      </c>
      <c r="D31" s="2144">
        <f>'Додаток 3 до рішення'!D28+'Додаток 5 до рішення'!D27+'Додаток 6 до рішення'!D24</f>
        <v>0</v>
      </c>
      <c r="E31" s="2144">
        <f>'Додаток 3 до рішення'!E28+'Додаток 5 до рішення'!E27+'Додаток 6 до рішення'!E24</f>
        <v>0</v>
      </c>
      <c r="F31" s="2144">
        <f>'Додаток 3 до рішення'!F28+'Додаток 5 до рішення'!F27+'Додаток 6 до рішення'!F24</f>
        <v>0</v>
      </c>
      <c r="G31" s="2144">
        <f>'Додаток 3 до рішення'!G28+'Додаток 5 до рішення'!G27+'Додаток 6 до рішення'!G24</f>
        <v>32.622316722860745</v>
      </c>
      <c r="H31" s="2096"/>
    </row>
    <row r="32" spans="1:8" x14ac:dyDescent="0.25">
      <c r="A32" s="2146" t="s">
        <v>2828</v>
      </c>
      <c r="B32" s="91" t="s">
        <v>2816</v>
      </c>
      <c r="C32" s="2144">
        <f>'Додаток 3 до рішення'!N29+'Додаток 5 до рішення'!C28+'Додаток 6 до рішення'!N25</f>
        <v>14.790710838109787</v>
      </c>
      <c r="D32" s="2144">
        <f>'Додаток 3 до рішення'!D29+'Додаток 5 до рішення'!D28+'Додаток 6 до рішення'!D25</f>
        <v>0</v>
      </c>
      <c r="E32" s="2144">
        <f>'Додаток 3 до рішення'!E29+'Додаток 5 до рішення'!E28+'Додаток 6 до рішення'!E25</f>
        <v>0</v>
      </c>
      <c r="F32" s="2144">
        <f>'Додаток 3 до рішення'!F29+'Додаток 5 до рішення'!F28+'Додаток 6 до рішення'!F25</f>
        <v>0</v>
      </c>
      <c r="G32" s="2144">
        <f>'Додаток 3 до рішення'!G29+'Додаток 5 до рішення'!G28+'Додаток 6 до рішення'!G25</f>
        <v>4.7994269662798308</v>
      </c>
      <c r="H32" s="2096"/>
    </row>
    <row r="33" spans="1:8" x14ac:dyDescent="0.25">
      <c r="A33" s="2146" t="s">
        <v>2829</v>
      </c>
      <c r="B33" s="91" t="s">
        <v>2830</v>
      </c>
      <c r="C33" s="2144">
        <f>'Додаток 3 до рішення'!N30+'Додаток 5 до рішення'!C29+'Додаток 6 до рішення'!N26</f>
        <v>253.44967083300173</v>
      </c>
      <c r="D33" s="2144">
        <f>'Додаток 3 до рішення'!D30+'Додаток 5 до рішення'!D29+'Додаток 6 до рішення'!D26</f>
        <v>0</v>
      </c>
      <c r="E33" s="2144">
        <f>'Додаток 3 до рішення'!E30+'Додаток 5 до рішення'!E29+'Додаток 6 до рішення'!E26</f>
        <v>0</v>
      </c>
      <c r="F33" s="2144">
        <f>'Додаток 3 до рішення'!F30+'Додаток 5 до рішення'!F29+'Додаток 6 до рішення'!F26</f>
        <v>0</v>
      </c>
      <c r="G33" s="2144">
        <f>'Додаток 3 до рішення'!G30+'Додаток 5 до рішення'!G29+'Додаток 6 до рішення'!G26</f>
        <v>82.231698732723615</v>
      </c>
      <c r="H33" s="2096"/>
    </row>
    <row r="34" spans="1:8" s="23" customFormat="1" ht="14.25" x14ac:dyDescent="0.2">
      <c r="A34" s="2141" t="s">
        <v>1711</v>
      </c>
      <c r="B34" s="178" t="s">
        <v>2831</v>
      </c>
      <c r="C34" s="2141">
        <v>0</v>
      </c>
      <c r="D34" s="2141">
        <v>0</v>
      </c>
      <c r="E34" s="2141">
        <v>0</v>
      </c>
      <c r="F34" s="2141">
        <v>0</v>
      </c>
      <c r="G34" s="2141">
        <v>0</v>
      </c>
      <c r="H34" s="2096"/>
    </row>
    <row r="35" spans="1:8" s="23" customFormat="1" ht="42.75" x14ac:dyDescent="0.2">
      <c r="A35" s="2141" t="s">
        <v>1714</v>
      </c>
      <c r="B35" s="2147" t="s">
        <v>2832</v>
      </c>
      <c r="C35" s="2135">
        <f>'Додаток 5 до рішення'!C32</f>
        <v>2314.3902559014505</v>
      </c>
      <c r="D35" s="2135">
        <f>'Додаток 5 до рішення'!D32</f>
        <v>0</v>
      </c>
      <c r="E35" s="2135">
        <f>'Додаток 5 до рішення'!E32</f>
        <v>0</v>
      </c>
      <c r="F35" s="2135">
        <f>'Додаток 5 до рішення'!F32</f>
        <v>0</v>
      </c>
      <c r="G35" s="2135">
        <f>'Додаток 5 до рішення'!G32</f>
        <v>835.11648838026019</v>
      </c>
      <c r="H35" s="2096"/>
    </row>
    <row r="36" spans="1:8" s="23" customFormat="1" ht="14.25" x14ac:dyDescent="0.2">
      <c r="A36" s="2141" t="s">
        <v>1786</v>
      </c>
      <c r="B36" s="178" t="s">
        <v>2833</v>
      </c>
      <c r="C36" s="2135">
        <f>'Додаток 3 до рішення'!N32+'Додаток 5 до рішення'!C33+'Додаток 6 до рішення'!N28</f>
        <v>0</v>
      </c>
      <c r="D36" s="2135">
        <f>'Додаток 3 до рішення'!D32+'Додаток 5 до рішення'!D33+'Додаток 6 до рішення'!D28</f>
        <v>0</v>
      </c>
      <c r="E36" s="2135">
        <f>'Додаток 3 до рішення'!E32+'Додаток 5 до рішення'!E33+'Додаток 6 до рішення'!E28</f>
        <v>0</v>
      </c>
      <c r="F36" s="2135">
        <f>'Додаток 3 до рішення'!F32+'Додаток 5 до рішення'!F33+'Додаток 6 до рішення'!F28</f>
        <v>0</v>
      </c>
      <c r="G36" s="2135">
        <f>'Додаток 3 до рішення'!G32+'Додаток 5 до рішення'!G33+'Додаток 6 до рішення'!G28</f>
        <v>0</v>
      </c>
      <c r="H36" s="2096"/>
    </row>
    <row r="37" spans="1:8" s="23" customFormat="1" ht="14.25" x14ac:dyDescent="0.2">
      <c r="A37" s="2141" t="s">
        <v>1792</v>
      </c>
      <c r="B37" s="178" t="s">
        <v>2834</v>
      </c>
      <c r="C37" s="2141">
        <v>0</v>
      </c>
      <c r="D37" s="2141">
        <v>0</v>
      </c>
      <c r="E37" s="2141">
        <v>0</v>
      </c>
      <c r="F37" s="2141">
        <v>0</v>
      </c>
      <c r="G37" s="2141">
        <v>0</v>
      </c>
      <c r="H37" s="2096"/>
    </row>
    <row r="38" spans="1:8" s="2175" customFormat="1" ht="14.25" x14ac:dyDescent="0.2">
      <c r="A38" s="2171" t="s">
        <v>1798</v>
      </c>
      <c r="B38" s="2172" t="s">
        <v>2835</v>
      </c>
      <c r="C38" s="2173">
        <f>'Додаток 3 до рішення'!N34</f>
        <v>0</v>
      </c>
      <c r="D38" s="2173">
        <f>'Додаток 3 до рішення'!D34</f>
        <v>0</v>
      </c>
      <c r="E38" s="2173">
        <f>'Додаток 3 до рішення'!E34</f>
        <v>0</v>
      </c>
      <c r="F38" s="2173">
        <f>'Додаток 3 до рішення'!F34</f>
        <v>0</v>
      </c>
      <c r="G38" s="2173">
        <f>'Додаток 3 до рішення'!G34</f>
        <v>0</v>
      </c>
      <c r="H38" s="2174"/>
    </row>
    <row r="39" spans="1:8" s="23" customFormat="1" ht="14.25" x14ac:dyDescent="0.2">
      <c r="A39" s="2141" t="s">
        <v>1800</v>
      </c>
      <c r="B39" s="178" t="s">
        <v>2836</v>
      </c>
      <c r="C39" s="2135">
        <f>SUM(C40:C43)</f>
        <v>1741.8893660323838</v>
      </c>
      <c r="D39" s="2135">
        <f t="shared" ref="D39:G39" si="6">SUM(D40:D43)</f>
        <v>0</v>
      </c>
      <c r="E39" s="2135">
        <f t="shared" si="6"/>
        <v>0</v>
      </c>
      <c r="F39" s="2135">
        <f t="shared" si="6"/>
        <v>0</v>
      </c>
      <c r="G39" s="2135">
        <f t="shared" si="6"/>
        <v>571.40230564594412</v>
      </c>
      <c r="H39" s="2096"/>
    </row>
    <row r="40" spans="1:8" x14ac:dyDescent="0.25">
      <c r="A40" s="2146" t="s">
        <v>1102</v>
      </c>
      <c r="B40" s="91" t="s">
        <v>65</v>
      </c>
      <c r="C40" s="2144">
        <f>'Додаток 3 до рішення'!N36+'Додаток 5 до рішення'!C37+'Додаток 6 до рішення'!N32</f>
        <v>170.77346725807686</v>
      </c>
      <c r="D40" s="2144">
        <f>'Додаток 3 до рішення'!D36+'Додаток 5 до рішення'!D37+'Додаток 6 до рішення'!D32</f>
        <v>0</v>
      </c>
      <c r="E40" s="2144">
        <f>'Додаток 3 до рішення'!E36+'Додаток 5 до рішення'!E37+'Додаток 6 до рішення'!E32</f>
        <v>0</v>
      </c>
      <c r="F40" s="2144">
        <f>'Додаток 3 до рішення'!F36+'Додаток 5 до рішення'!F37+'Додаток 6 до рішення'!F32</f>
        <v>0</v>
      </c>
      <c r="G40" s="2144">
        <f>'Додаток 3 до рішення'!G36+'Додаток 5 до рішення'!G37+'Додаток 6 до рішення'!G32</f>
        <v>56.019833886857278</v>
      </c>
      <c r="H40" s="2096"/>
    </row>
    <row r="41" spans="1:8" x14ac:dyDescent="0.25">
      <c r="A41" s="2146" t="s">
        <v>2837</v>
      </c>
      <c r="B41" s="91" t="s">
        <v>85</v>
      </c>
      <c r="C41" s="2144">
        <f>'Додаток 3 до рішення'!N37+'Додаток 5 до рішення'!C38+'Додаток 6 до рішення'!N33</f>
        <v>622.37441400721332</v>
      </c>
      <c r="D41" s="2144">
        <f>'Додаток 3 до рішення'!D37+'Додаток 5 до рішення'!D38+'Додаток 6 до рішення'!D33</f>
        <v>0</v>
      </c>
      <c r="E41" s="2144">
        <f>'Додаток 3 до рішення'!E37+'Додаток 5 до рішення'!E38+'Додаток 6 до рішення'!E33</f>
        <v>0</v>
      </c>
      <c r="F41" s="2144">
        <f>'Додаток 3 до рішення'!F37+'Додаток 5 до рішення'!F38+'Додаток 6 до рішення'!F33</f>
        <v>0</v>
      </c>
      <c r="G41" s="2144">
        <f>'Додаток 3 до рішення'!G37+'Додаток 5 до рішення'!G38+'Додаток 6 до рішення'!G33</f>
        <v>204.16117238765764</v>
      </c>
      <c r="H41" s="2096"/>
    </row>
    <row r="42" spans="1:8" x14ac:dyDescent="0.25">
      <c r="A42" s="2146" t="s">
        <v>2838</v>
      </c>
      <c r="B42" s="91" t="s">
        <v>71</v>
      </c>
      <c r="C42" s="2144">
        <f>'Додаток 3 до рішення'!N38+'Додаток 5 до рішення'!C39+'Додаток 6 до рішення'!N34</f>
        <v>0</v>
      </c>
      <c r="D42" s="2144">
        <f>'Додаток 3 до рішення'!D38+'Додаток 5 до рішення'!D39+'Додаток 6 до рішення'!D34</f>
        <v>0</v>
      </c>
      <c r="E42" s="2144">
        <f>'Додаток 3 до рішення'!E38+'Додаток 5 до рішення'!E39+'Додаток 6 до рішення'!E34</f>
        <v>0</v>
      </c>
      <c r="F42" s="2144">
        <f>'Додаток 3 до рішення'!F38+'Додаток 5 до рішення'!F39+'Додаток 6 до рішення'!F34</f>
        <v>0</v>
      </c>
      <c r="G42" s="2144">
        <f>'Додаток 3 до рішення'!G38+'Додаток 5 до рішення'!G39+'Додаток 6 до рішення'!G34</f>
        <v>0</v>
      </c>
      <c r="H42" s="2096"/>
    </row>
    <row r="43" spans="1:8" ht="15.75" thickBot="1" x14ac:dyDescent="0.3">
      <c r="A43" s="2148" t="s">
        <v>2839</v>
      </c>
      <c r="B43" s="2149" t="s">
        <v>2394</v>
      </c>
      <c r="C43" s="2150">
        <f>'Додаток 3 до рішення'!N39+'Додаток 5 до рішення'!C40+'Додаток 6 до рішення'!N35</f>
        <v>948.74148476709365</v>
      </c>
      <c r="D43" s="2150">
        <f>'Додаток 3 до рішення'!D39+'Додаток 5 до рішення'!D40+'Додаток 6 до рішення'!D35</f>
        <v>0</v>
      </c>
      <c r="E43" s="2150">
        <f>'Додаток 3 до рішення'!E39+'Додаток 5 до рішення'!E40+'Додаток 6 до рішення'!E35</f>
        <v>0</v>
      </c>
      <c r="F43" s="2150">
        <f>'Додаток 3 до рішення'!F39+'Додаток 5 до рішення'!F40+'Додаток 6 до рішення'!F35</f>
        <v>0</v>
      </c>
      <c r="G43" s="2150">
        <f>'Додаток 3 до рішення'!G39+'Додаток 5 до рішення'!G40+'Додаток 6 до рішення'!G35</f>
        <v>311.22129937142927</v>
      </c>
      <c r="H43" s="2096"/>
    </row>
    <row r="44" spans="1:8" ht="15.75" thickBot="1" x14ac:dyDescent="0.3">
      <c r="A44" s="2140" t="s">
        <v>1802</v>
      </c>
      <c r="B44" s="2151" t="s">
        <v>2840</v>
      </c>
      <c r="C44" s="2152">
        <f>C13+C29+C34+C35+C36+C37+C38+C39</f>
        <v>25460.426485209726</v>
      </c>
      <c r="D44" s="2152">
        <f t="shared" ref="D44:G44" si="7">D13+D29+D34+D35+D36+D37+D38+D39</f>
        <v>0</v>
      </c>
      <c r="E44" s="2152">
        <f t="shared" si="7"/>
        <v>0</v>
      </c>
      <c r="F44" s="2152">
        <f t="shared" si="7"/>
        <v>0</v>
      </c>
      <c r="G44" s="2152">
        <f t="shared" si="7"/>
        <v>8351.9247899316761</v>
      </c>
      <c r="H44" s="2096"/>
    </row>
    <row r="45" spans="1:8" ht="32.25" thickBot="1" x14ac:dyDescent="0.3">
      <c r="A45" s="2140" t="s">
        <v>1806</v>
      </c>
      <c r="B45" s="1176" t="s">
        <v>2841</v>
      </c>
      <c r="C45" s="2152">
        <f>'Додаток 3 до рішення'!N8</f>
        <v>3.1772751469856528</v>
      </c>
      <c r="D45" s="2152">
        <f>'Додаток 3 до рішення'!O8</f>
        <v>0</v>
      </c>
      <c r="E45" s="2152">
        <f>'Додаток 3 до рішення'!P8</f>
        <v>0</v>
      </c>
      <c r="F45" s="2152">
        <f>'Додаток 3 до рішення'!Q8</f>
        <v>0</v>
      </c>
      <c r="G45" s="2152">
        <f>'Додаток 3 до рішення'!R8</f>
        <v>3.1772751469856528</v>
      </c>
      <c r="H45" s="2096"/>
    </row>
    <row r="46" spans="1:8" s="23" customFormat="1" ht="29.25" thickBot="1" x14ac:dyDescent="0.25">
      <c r="A46" s="2140" t="s">
        <v>1808</v>
      </c>
      <c r="B46" s="2151" t="s">
        <v>2842</v>
      </c>
      <c r="C46" s="2152">
        <f>'Додаток 6 до рішення'!N8</f>
        <v>2.7713382361666663</v>
      </c>
      <c r="D46" s="2152">
        <f>'Додаток 6 до рішення'!O8</f>
        <v>0</v>
      </c>
      <c r="E46" s="2152">
        <f>'Додаток 6 до рішення'!P8</f>
        <v>0</v>
      </c>
      <c r="F46" s="2152">
        <f>'Додаток 6 до рішення'!Q8</f>
        <v>0</v>
      </c>
      <c r="G46" s="2152">
        <f>'Додаток 6 до рішення'!R8</f>
        <v>2.7713382361666663</v>
      </c>
      <c r="H46" s="2096"/>
    </row>
    <row r="48" spans="1:8" x14ac:dyDescent="0.25">
      <c r="B48" s="828"/>
      <c r="C48" s="2153">
        <f>C13+C29+C35+C36+C38+C39</f>
        <v>25460.426485209726</v>
      </c>
      <c r="D48" s="2153">
        <f>'Рішення 1Д'!C47</f>
        <v>11334.332599746078</v>
      </c>
      <c r="E48" s="2153">
        <f>C48+D48</f>
        <v>36794.759084955804</v>
      </c>
      <c r="F48" s="2153"/>
      <c r="G48" s="2153"/>
    </row>
    <row r="49" spans="3:7" x14ac:dyDescent="0.25">
      <c r="C49" s="2154">
        <f>'Додаток 6 до рішення'!N38+'Додаток 5 до рішення'!C44+'Додаток 3 до рішення'!N40</f>
        <v>18527.813246131693</v>
      </c>
      <c r="D49" s="2153">
        <f>'Рішення 1Д'!C48</f>
        <v>11334.332599746078</v>
      </c>
      <c r="E49" s="2153">
        <f>C49+D49</f>
        <v>29862.145845877771</v>
      </c>
      <c r="F49" s="2153"/>
      <c r="G49" s="2153"/>
    </row>
    <row r="50" spans="3:7" x14ac:dyDescent="0.25">
      <c r="C50" s="2153">
        <f>C48-C49</f>
        <v>6932.6132390780331</v>
      </c>
      <c r="D50" s="2153">
        <f>'Рішення 1Д'!C49</f>
        <v>0</v>
      </c>
      <c r="E50" s="2153">
        <f>C50+D50</f>
        <v>6932.6132390780331</v>
      </c>
      <c r="F50" s="2153"/>
      <c r="G50" s="2153"/>
    </row>
  </sheetData>
  <mergeCells count="8">
    <mergeCell ref="B7:G7"/>
    <mergeCell ref="B12:G12"/>
    <mergeCell ref="F1:G1"/>
    <mergeCell ref="B2:F2"/>
    <mergeCell ref="A4:A5"/>
    <mergeCell ref="B4:B5"/>
    <mergeCell ref="C4:C5"/>
    <mergeCell ref="D4:G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00FF"/>
  </sheetPr>
  <dimension ref="A1:N141"/>
  <sheetViews>
    <sheetView topLeftCell="A115" workbookViewId="0">
      <selection activeCell="B137" sqref="B137"/>
    </sheetView>
  </sheetViews>
  <sheetFormatPr defaultColWidth="8.85546875" defaultRowHeight="15" x14ac:dyDescent="0.25"/>
  <cols>
    <col min="1" max="1" width="5.28515625" style="2264" customWidth="1"/>
    <col min="2" max="2" width="42.85546875" style="2235" customWidth="1"/>
    <col min="3" max="3" width="12.140625" style="2235" customWidth="1"/>
    <col min="4" max="4" width="13.28515625" style="18" customWidth="1"/>
    <col min="5" max="5" width="12.28515625" style="18" hidden="1" customWidth="1"/>
    <col min="6" max="6" width="11.85546875" style="18" customWidth="1"/>
    <col min="7" max="7" width="12" style="18" customWidth="1"/>
    <col min="8" max="8" width="8.85546875" style="18"/>
    <col min="9" max="9" width="8.85546875" style="1209"/>
    <col min="10" max="16384" width="8.85546875" style="18"/>
  </cols>
  <sheetData>
    <row r="1" spans="1:14" s="58" customFormat="1" ht="15.75" x14ac:dyDescent="0.25">
      <c r="A1" s="2263"/>
      <c r="B1" s="2244"/>
      <c r="C1" s="2244"/>
      <c r="D1" s="4076" t="s">
        <v>2922</v>
      </c>
      <c r="E1" s="4076"/>
      <c r="F1" s="4076"/>
      <c r="G1" s="4076"/>
      <c r="I1" s="1841"/>
      <c r="L1" s="4076"/>
      <c r="M1" s="4076"/>
      <c r="N1" s="4076"/>
    </row>
    <row r="2" spans="1:14" s="58" customFormat="1" ht="12.6" customHeight="1" x14ac:dyDescent="0.25">
      <c r="A2" s="2263"/>
      <c r="B2" s="2244"/>
      <c r="C2" s="2244"/>
      <c r="D2" s="4077" t="s">
        <v>2859</v>
      </c>
      <c r="E2" s="4077"/>
      <c r="F2" s="4077"/>
      <c r="G2" s="4077"/>
      <c r="I2" s="1841"/>
      <c r="L2" s="4077"/>
      <c r="M2" s="4077"/>
      <c r="N2" s="4077"/>
    </row>
    <row r="3" spans="1:14" s="58" customFormat="1" ht="27" customHeight="1" x14ac:dyDescent="0.25">
      <c r="A3" s="2263"/>
      <c r="B3" s="2244"/>
      <c r="C3" s="2244"/>
      <c r="D3" s="4078" t="s">
        <v>2874</v>
      </c>
      <c r="E3" s="4078"/>
      <c r="F3" s="4078"/>
      <c r="G3" s="4078"/>
      <c r="I3" s="1841"/>
      <c r="L3" s="4078"/>
      <c r="M3" s="4078"/>
      <c r="N3" s="4078"/>
    </row>
    <row r="4" spans="1:14" s="58" customFormat="1" ht="15.75" x14ac:dyDescent="0.25">
      <c r="A4" s="2263"/>
      <c r="B4" s="2244"/>
      <c r="C4" s="2244"/>
      <c r="D4" s="4077" t="s">
        <v>2870</v>
      </c>
      <c r="E4" s="4077"/>
      <c r="F4" s="4077"/>
      <c r="G4" s="4077"/>
      <c r="I4" s="1841"/>
      <c r="L4" s="4077"/>
      <c r="M4" s="4077"/>
      <c r="N4" s="4077"/>
    </row>
    <row r="5" spans="1:14" s="58" customFormat="1" ht="6" customHeight="1" x14ac:dyDescent="0.25">
      <c r="A5" s="2264"/>
      <c r="B5" s="2243"/>
      <c r="C5" s="2243"/>
      <c r="I5" s="1841"/>
    </row>
    <row r="6" spans="1:14" s="58" customFormat="1" ht="15.75" x14ac:dyDescent="0.25">
      <c r="A6" s="4083" t="s">
        <v>3018</v>
      </c>
      <c r="B6" s="4083"/>
      <c r="C6" s="4083"/>
      <c r="D6" s="4083"/>
      <c r="E6" s="4083"/>
      <c r="F6" s="4083"/>
      <c r="G6" s="4083"/>
      <c r="I6" s="1841"/>
    </row>
    <row r="7" spans="1:14" s="58" customFormat="1" ht="63.6" customHeight="1" x14ac:dyDescent="0.25">
      <c r="A7" s="4082" t="s">
        <v>2959</v>
      </c>
      <c r="B7" s="4082"/>
      <c r="C7" s="4082"/>
      <c r="D7" s="4082"/>
      <c r="E7" s="4082"/>
      <c r="F7" s="4082"/>
      <c r="G7" s="4082"/>
      <c r="I7" s="1841"/>
    </row>
    <row r="8" spans="1:14" s="58" customFormat="1" ht="14.45" customHeight="1" x14ac:dyDescent="0.25">
      <c r="A8" s="2265"/>
      <c r="B8" s="2259"/>
      <c r="C8" s="2259"/>
      <c r="D8" s="2241"/>
      <c r="E8" s="2241"/>
      <c r="F8" s="2241"/>
      <c r="G8" s="2260" t="s">
        <v>1666</v>
      </c>
      <c r="I8" s="1841"/>
    </row>
    <row r="9" spans="1:14" s="53" customFormat="1" ht="15.75" x14ac:dyDescent="0.25">
      <c r="A9" s="4086" t="s">
        <v>2915</v>
      </c>
      <c r="B9" s="4084" t="s">
        <v>111</v>
      </c>
      <c r="C9" s="4084" t="s">
        <v>2155</v>
      </c>
      <c r="D9" s="4079" t="s">
        <v>2916</v>
      </c>
      <c r="E9" s="4080"/>
      <c r="F9" s="4080"/>
      <c r="G9" s="4081"/>
      <c r="I9" s="2254"/>
    </row>
    <row r="10" spans="1:14" s="53" customFormat="1" ht="38.25" x14ac:dyDescent="0.25">
      <c r="A10" s="4087"/>
      <c r="B10" s="4085"/>
      <c r="C10" s="4085"/>
      <c r="D10" s="1792" t="s">
        <v>2790</v>
      </c>
      <c r="E10" s="1792" t="s">
        <v>2791</v>
      </c>
      <c r="F10" s="1792" t="s">
        <v>2917</v>
      </c>
      <c r="G10" s="1792" t="s">
        <v>2857</v>
      </c>
      <c r="I10" s="2254"/>
    </row>
    <row r="11" spans="1:14" s="53" customFormat="1" ht="15.75" x14ac:dyDescent="0.25">
      <c r="A11" s="2246">
        <v>1</v>
      </c>
      <c r="B11" s="2258">
        <v>2</v>
      </c>
      <c r="C11" s="2258"/>
      <c r="D11" s="2035">
        <v>3</v>
      </c>
      <c r="E11" s="2035">
        <v>4</v>
      </c>
      <c r="F11" s="2035">
        <v>4</v>
      </c>
      <c r="G11" s="2035">
        <v>5</v>
      </c>
      <c r="I11" s="2254"/>
    </row>
    <row r="12" spans="1:14" s="58" customFormat="1" ht="15.75" x14ac:dyDescent="0.25">
      <c r="A12" s="4068" t="s">
        <v>2918</v>
      </c>
      <c r="B12" s="4068"/>
      <c r="C12" s="4068"/>
      <c r="D12" s="4068"/>
      <c r="E12" s="4068"/>
      <c r="F12" s="4068"/>
      <c r="G12" s="4068"/>
      <c r="I12" s="1841"/>
    </row>
    <row r="13" spans="1:14" s="58" customFormat="1" ht="38.25" x14ac:dyDescent="0.25">
      <c r="A13" s="2246">
        <v>1</v>
      </c>
      <c r="B13" s="2248" t="s">
        <v>2919</v>
      </c>
      <c r="C13" s="2321" t="s">
        <v>2187</v>
      </c>
      <c r="D13" s="2252" t="e">
        <f>#REF!</f>
        <v>#REF!</v>
      </c>
      <c r="E13" s="2252" t="e">
        <f>#REF!</f>
        <v>#REF!</v>
      </c>
      <c r="F13" s="2252" t="e">
        <f>#REF!</f>
        <v>#REF!</v>
      </c>
      <c r="G13" s="2252" t="e">
        <f>#REF!</f>
        <v>#REF!</v>
      </c>
      <c r="I13" s="1841"/>
    </row>
    <row r="14" spans="1:14" s="58" customFormat="1" ht="42" customHeight="1" x14ac:dyDescent="0.25">
      <c r="A14" s="2246">
        <v>2</v>
      </c>
      <c r="B14" s="2248" t="s">
        <v>2920</v>
      </c>
      <c r="C14" s="2321" t="s">
        <v>3084</v>
      </c>
      <c r="D14" s="2252" t="e">
        <f>#REF!/12</f>
        <v>#REF!</v>
      </c>
      <c r="E14" s="2252" t="e">
        <f>#REF!/12</f>
        <v>#REF!</v>
      </c>
      <c r="F14" s="2252" t="e">
        <f>#REF!/12</f>
        <v>#REF!</v>
      </c>
      <c r="G14" s="2252" t="e">
        <f>#REF!/12</f>
        <v>#REF!</v>
      </c>
      <c r="I14" s="1841"/>
    </row>
    <row r="15" spans="1:14" s="58" customFormat="1" ht="15.75" x14ac:dyDescent="0.25">
      <c r="A15" s="4069" t="s">
        <v>2921</v>
      </c>
      <c r="B15" s="4070"/>
      <c r="C15" s="4070"/>
      <c r="D15" s="4070"/>
      <c r="E15" s="4070"/>
      <c r="F15" s="4070"/>
      <c r="G15" s="4071"/>
      <c r="I15" s="1841"/>
    </row>
    <row r="16" spans="1:14" s="58" customFormat="1" ht="27" customHeight="1" x14ac:dyDescent="0.25">
      <c r="A16" s="2246">
        <v>3</v>
      </c>
      <c r="B16" s="2248" t="s">
        <v>2923</v>
      </c>
      <c r="C16" s="1792" t="s">
        <v>2108</v>
      </c>
      <c r="D16" s="2253" t="e">
        <f>#REF!</f>
        <v>#REF!</v>
      </c>
      <c r="E16" s="2253" t="e">
        <f>#REF!</f>
        <v>#REF!</v>
      </c>
      <c r="F16" s="2253" t="e">
        <f>#REF!</f>
        <v>#REF!</v>
      </c>
      <c r="G16" s="2253" t="e">
        <f>#REF!</f>
        <v>#REF!</v>
      </c>
      <c r="I16" s="2255" t="e">
        <f>#REF!-'Рішення 3Д'!D16-'Рішення 3Д'!E16-'Рішення 3Д'!F16-'Рішення 3Д'!G16</f>
        <v>#REF!</v>
      </c>
    </row>
    <row r="17" spans="1:9" s="58" customFormat="1" ht="29.45" customHeight="1" x14ac:dyDescent="0.25">
      <c r="A17" s="2247" t="s">
        <v>2924</v>
      </c>
      <c r="B17" s="2250" t="s">
        <v>2927</v>
      </c>
      <c r="C17" s="1098" t="s">
        <v>2108</v>
      </c>
      <c r="D17" s="2253" t="e">
        <f>#REF!</f>
        <v>#REF!</v>
      </c>
      <c r="E17" s="2253" t="e">
        <f>#REF!</f>
        <v>#REF!</v>
      </c>
      <c r="F17" s="2253" t="e">
        <f>#REF!</f>
        <v>#REF!</v>
      </c>
      <c r="G17" s="2253" t="e">
        <f>#REF!</f>
        <v>#REF!</v>
      </c>
      <c r="I17" s="1841"/>
    </row>
    <row r="18" spans="1:9" s="58" customFormat="1" ht="15.75" x14ac:dyDescent="0.25">
      <c r="A18" s="2246" t="s">
        <v>2925</v>
      </c>
      <c r="B18" s="2250" t="s">
        <v>632</v>
      </c>
      <c r="C18" s="1098" t="s">
        <v>2108</v>
      </c>
      <c r="D18" s="2253" t="e">
        <f>#REF!</f>
        <v>#REF!</v>
      </c>
      <c r="E18" s="2253" t="e">
        <f>#REF!</f>
        <v>#REF!</v>
      </c>
      <c r="F18" s="2253" t="e">
        <f>#REF!</f>
        <v>#REF!</v>
      </c>
      <c r="G18" s="2253" t="e">
        <f>#REF!</f>
        <v>#REF!</v>
      </c>
      <c r="I18" s="1841"/>
    </row>
    <row r="19" spans="1:9" s="58" customFormat="1" ht="15.75" x14ac:dyDescent="0.25">
      <c r="A19" s="2246" t="s">
        <v>2926</v>
      </c>
      <c r="B19" s="2250" t="s">
        <v>631</v>
      </c>
      <c r="C19" s="1098" t="s">
        <v>2108</v>
      </c>
      <c r="D19" s="2253" t="e">
        <f>#REF!</f>
        <v>#REF!</v>
      </c>
      <c r="E19" s="2253" t="e">
        <f>#REF!</f>
        <v>#REF!</v>
      </c>
      <c r="F19" s="2253" t="e">
        <f>#REF!</f>
        <v>#REF!</v>
      </c>
      <c r="G19" s="2253" t="e">
        <f>#REF!</f>
        <v>#REF!</v>
      </c>
      <c r="I19" s="1841"/>
    </row>
    <row r="20" spans="1:9" s="58" customFormat="1" ht="15.75" x14ac:dyDescent="0.25">
      <c r="A20" s="2246">
        <v>4</v>
      </c>
      <c r="B20" s="2250" t="s">
        <v>2115</v>
      </c>
      <c r="C20" s="2321" t="s">
        <v>31</v>
      </c>
      <c r="D20" s="2253" t="e">
        <f>#REF!</f>
        <v>#REF!</v>
      </c>
      <c r="E20" s="2253" t="e">
        <f>#REF!</f>
        <v>#REF!</v>
      </c>
      <c r="F20" s="2253" t="e">
        <f>#REF!</f>
        <v>#REF!</v>
      </c>
      <c r="G20" s="2253" t="e">
        <f>#REF!</f>
        <v>#REF!</v>
      </c>
      <c r="I20" s="1841"/>
    </row>
    <row r="21" spans="1:9" s="58" customFormat="1" ht="15.75" x14ac:dyDescent="0.25">
      <c r="A21" s="2246" t="s">
        <v>1716</v>
      </c>
      <c r="B21" s="2250" t="s">
        <v>632</v>
      </c>
      <c r="C21" s="2321" t="s">
        <v>31</v>
      </c>
      <c r="D21" s="2253" t="e">
        <f>#REF!</f>
        <v>#REF!</v>
      </c>
      <c r="E21" s="2253" t="e">
        <f>#REF!</f>
        <v>#REF!</v>
      </c>
      <c r="F21" s="2253" t="e">
        <f>#REF!</f>
        <v>#REF!</v>
      </c>
      <c r="G21" s="2253" t="e">
        <f>#REF!</f>
        <v>#REF!</v>
      </c>
      <c r="I21" s="1841"/>
    </row>
    <row r="22" spans="1:9" s="58" customFormat="1" ht="15.75" x14ac:dyDescent="0.25">
      <c r="A22" s="2246" t="s">
        <v>1719</v>
      </c>
      <c r="B22" s="2250" t="s">
        <v>631</v>
      </c>
      <c r="C22" s="2321" t="s">
        <v>31</v>
      </c>
      <c r="D22" s="2253" t="e">
        <f>#REF!</f>
        <v>#REF!</v>
      </c>
      <c r="E22" s="2253" t="e">
        <f>#REF!</f>
        <v>#REF!</v>
      </c>
      <c r="F22" s="2253" t="e">
        <f>#REF!</f>
        <v>#REF!</v>
      </c>
      <c r="G22" s="2253" t="e">
        <f>#REF!</f>
        <v>#REF!</v>
      </c>
      <c r="I22" s="1841"/>
    </row>
    <row r="23" spans="1:9" s="58" customFormat="1" ht="15.75" x14ac:dyDescent="0.25">
      <c r="A23" s="4073" t="s">
        <v>3087</v>
      </c>
      <c r="B23" s="4073"/>
      <c r="C23" s="4073"/>
      <c r="D23" s="4073"/>
      <c r="E23" s="4073"/>
      <c r="F23" s="4073"/>
      <c r="G23" s="4073"/>
      <c r="I23" s="1841"/>
    </row>
    <row r="24" spans="1:9" s="58" customFormat="1" ht="15.75" x14ac:dyDescent="0.25">
      <c r="A24" s="2246">
        <v>5</v>
      </c>
      <c r="B24" s="244" t="s">
        <v>3014</v>
      </c>
      <c r="C24" s="2321" t="s">
        <v>2187</v>
      </c>
      <c r="D24" s="2251" t="e">
        <f>#REF!/D$16</f>
        <v>#REF!</v>
      </c>
      <c r="E24" s="2251" t="e">
        <f>#REF!/E$16</f>
        <v>#REF!</v>
      </c>
      <c r="F24" s="2251" t="e">
        <f>#REF!/F$16</f>
        <v>#REF!</v>
      </c>
      <c r="G24" s="2251" t="e">
        <f>#REF!/G$16</f>
        <v>#REF!</v>
      </c>
      <c r="I24" s="1841"/>
    </row>
    <row r="25" spans="1:9" s="58" customFormat="1" ht="16.149999999999999" customHeight="1" x14ac:dyDescent="0.25">
      <c r="A25" s="2246" t="s">
        <v>1788</v>
      </c>
      <c r="B25" s="244" t="s">
        <v>226</v>
      </c>
      <c r="C25" s="2321" t="s">
        <v>2187</v>
      </c>
      <c r="D25" s="2251" t="e">
        <f>#REF!/D$16</f>
        <v>#REF!</v>
      </c>
      <c r="E25" s="2251" t="e">
        <f>#REF!/E$16</f>
        <v>#REF!</v>
      </c>
      <c r="F25" s="2251" t="e">
        <f>#REF!/F$16</f>
        <v>#REF!</v>
      </c>
      <c r="G25" s="2251" t="e">
        <f>#REF!/G$16</f>
        <v>#REF!</v>
      </c>
      <c r="I25" s="1841"/>
    </row>
    <row r="26" spans="1:9" s="58" customFormat="1" ht="14.45" customHeight="1" x14ac:dyDescent="0.25">
      <c r="A26" s="2261" t="s">
        <v>2931</v>
      </c>
      <c r="B26" s="152" t="s">
        <v>454</v>
      </c>
      <c r="C26" s="2321" t="s">
        <v>2187</v>
      </c>
      <c r="D26" s="2251" t="e">
        <f>#REF!/D$16</f>
        <v>#REF!</v>
      </c>
      <c r="E26" s="2251" t="e">
        <f>#REF!/E$16</f>
        <v>#REF!</v>
      </c>
      <c r="F26" s="2251" t="e">
        <f>#REF!/F$16</f>
        <v>#REF!</v>
      </c>
      <c r="G26" s="2251" t="e">
        <f>#REF!/G$16</f>
        <v>#REF!</v>
      </c>
      <c r="I26" s="1841"/>
    </row>
    <row r="27" spans="1:9" s="58" customFormat="1" ht="13.15" customHeight="1" x14ac:dyDescent="0.25">
      <c r="A27" s="2246"/>
      <c r="B27" s="2245" t="s">
        <v>440</v>
      </c>
      <c r="C27" s="2321" t="s">
        <v>2187</v>
      </c>
      <c r="D27" s="2251" t="e">
        <f>#REF!/D$16</f>
        <v>#REF!</v>
      </c>
      <c r="E27" s="2251" t="e">
        <f>#REF!/E$16</f>
        <v>#REF!</v>
      </c>
      <c r="F27" s="2251" t="e">
        <f>#REF!/F$16</f>
        <v>#REF!</v>
      </c>
      <c r="G27" s="2251" t="e">
        <f>#REF!/G$16</f>
        <v>#REF!</v>
      </c>
      <c r="I27" s="1841"/>
    </row>
    <row r="28" spans="1:9" s="58" customFormat="1" ht="15.75" x14ac:dyDescent="0.25">
      <c r="A28" s="2246"/>
      <c r="B28" s="2245" t="s">
        <v>1850</v>
      </c>
      <c r="C28" s="2321" t="s">
        <v>2187</v>
      </c>
      <c r="D28" s="2251" t="e">
        <f>#REF!/D$16</f>
        <v>#REF!</v>
      </c>
      <c r="E28" s="2251" t="e">
        <f>#REF!/E$16</f>
        <v>#REF!</v>
      </c>
      <c r="F28" s="2251" t="e">
        <f>#REF!/F$16</f>
        <v>#REF!</v>
      </c>
      <c r="G28" s="2251" t="e">
        <f>#REF!/G$16</f>
        <v>#REF!</v>
      </c>
      <c r="I28" s="1841"/>
    </row>
    <row r="29" spans="1:9" s="58" customFormat="1" ht="15.75" x14ac:dyDescent="0.25">
      <c r="A29" s="2246" t="s">
        <v>1790</v>
      </c>
      <c r="B29" s="152" t="s">
        <v>43</v>
      </c>
      <c r="C29" s="2321" t="s">
        <v>2187</v>
      </c>
      <c r="D29" s="2251" t="e">
        <f>#REF!/D$16</f>
        <v>#REF!</v>
      </c>
      <c r="E29" s="2251" t="e">
        <f>#REF!/E$16</f>
        <v>#REF!</v>
      </c>
      <c r="F29" s="2251" t="e">
        <f>#REF!/F$16</f>
        <v>#REF!</v>
      </c>
      <c r="G29" s="2251" t="e">
        <f>#REF!/G$16</f>
        <v>#REF!</v>
      </c>
      <c r="I29" s="1841"/>
    </row>
    <row r="30" spans="1:9" s="58" customFormat="1" ht="15.75" x14ac:dyDescent="0.25">
      <c r="A30" s="4073" t="s">
        <v>3088</v>
      </c>
      <c r="B30" s="4073"/>
      <c r="C30" s="4073"/>
      <c r="D30" s="4073"/>
      <c r="E30" s="4073"/>
      <c r="F30" s="4073"/>
      <c r="G30" s="4073"/>
      <c r="I30" s="1841"/>
    </row>
    <row r="31" spans="1:9" s="58" customFormat="1" ht="25.5" x14ac:dyDescent="0.25">
      <c r="A31" s="2246">
        <v>6</v>
      </c>
      <c r="B31" s="152" t="s">
        <v>3015</v>
      </c>
      <c r="C31" s="2321" t="s">
        <v>3084</v>
      </c>
      <c r="D31" s="2256" t="e">
        <f>#REF!/D$20*1000/12</f>
        <v>#REF!</v>
      </c>
      <c r="E31" s="2256" t="e">
        <f>#REF!/E$20*1000/12</f>
        <v>#REF!</v>
      </c>
      <c r="F31" s="2256" t="e">
        <f>#REF!/F$20*1000/12</f>
        <v>#REF!</v>
      </c>
      <c r="G31" s="2256" t="e">
        <f>#REF!/G$20*1000/12</f>
        <v>#REF!</v>
      </c>
      <c r="I31" s="1841"/>
    </row>
    <row r="32" spans="1:9" s="58" customFormat="1" ht="15.75" x14ac:dyDescent="0.25">
      <c r="A32" s="2246" t="s">
        <v>1794</v>
      </c>
      <c r="B32" s="244" t="s">
        <v>225</v>
      </c>
      <c r="C32" s="2320" t="s">
        <v>3086</v>
      </c>
      <c r="D32" s="2256" t="e">
        <f>#REF!/D$20*1000/12</f>
        <v>#REF!</v>
      </c>
      <c r="E32" s="2256" t="e">
        <f>#REF!/E$20*1000/12</f>
        <v>#REF!</v>
      </c>
      <c r="F32" s="2256" t="e">
        <f>#REF!/F$20*1000/12</f>
        <v>#REF!</v>
      </c>
      <c r="G32" s="2256" t="e">
        <f>#REF!/G$20*1000/12</f>
        <v>#REF!</v>
      </c>
      <c r="I32" s="1841"/>
    </row>
    <row r="33" spans="1:9" s="58" customFormat="1" ht="14.45" customHeight="1" x14ac:dyDescent="0.25">
      <c r="A33" s="2246" t="s">
        <v>2932</v>
      </c>
      <c r="B33" s="244" t="s">
        <v>226</v>
      </c>
      <c r="C33" s="2320" t="s">
        <v>3086</v>
      </c>
      <c r="D33" s="2256" t="e">
        <f>#REF!/D$20*1000/12</f>
        <v>#REF!</v>
      </c>
      <c r="E33" s="2256" t="e">
        <f>#REF!/E$20*1000/12</f>
        <v>#REF!</v>
      </c>
      <c r="F33" s="2256" t="e">
        <f>#REF!/F$20*1000/12</f>
        <v>#REF!</v>
      </c>
      <c r="G33" s="2256" t="e">
        <f>#REF!/G$20*1000/12</f>
        <v>#REF!</v>
      </c>
      <c r="I33" s="1841"/>
    </row>
    <row r="34" spans="1:9" s="58" customFormat="1" ht="15.75" x14ac:dyDescent="0.25">
      <c r="A34" s="2246"/>
      <c r="B34" s="152" t="s">
        <v>454</v>
      </c>
      <c r="C34" s="2320" t="s">
        <v>3086</v>
      </c>
      <c r="D34" s="2256" t="e">
        <f>#REF!/D$20*1000/12</f>
        <v>#REF!</v>
      </c>
      <c r="E34" s="2256" t="e">
        <f>#REF!/E$20*1000/12</f>
        <v>#REF!</v>
      </c>
      <c r="F34" s="2256" t="e">
        <f>#REF!/F$20*1000/12</f>
        <v>#REF!</v>
      </c>
      <c r="G34" s="2256" t="e">
        <f>#REF!/G$20*1000/12</f>
        <v>#REF!</v>
      </c>
      <c r="I34" s="1841"/>
    </row>
    <row r="35" spans="1:9" s="58" customFormat="1" ht="15.75" x14ac:dyDescent="0.25">
      <c r="A35" s="2246"/>
      <c r="B35" s="152" t="s">
        <v>1851</v>
      </c>
      <c r="C35" s="2320" t="s">
        <v>3086</v>
      </c>
      <c r="D35" s="2256" t="e">
        <f>#REF!/D$20*1000/12</f>
        <v>#REF!</v>
      </c>
      <c r="E35" s="2256" t="e">
        <f>#REF!/E$20*1000/12</f>
        <v>#REF!</v>
      </c>
      <c r="F35" s="2256" t="e">
        <f>#REF!/F$20*1000/12</f>
        <v>#REF!</v>
      </c>
      <c r="G35" s="2256" t="e">
        <f>#REF!/G$20*1000/12</f>
        <v>#REF!</v>
      </c>
      <c r="I35" s="1841"/>
    </row>
    <row r="36" spans="1:9" s="58" customFormat="1" ht="25.5" x14ac:dyDescent="0.25">
      <c r="A36" s="2246" t="s">
        <v>2933</v>
      </c>
      <c r="B36" s="244" t="s">
        <v>1623</v>
      </c>
      <c r="C36" s="2320" t="s">
        <v>3086</v>
      </c>
      <c r="D36" s="2256" t="e">
        <f>#REF!/D$20*1000/12</f>
        <v>#REF!</v>
      </c>
      <c r="E36" s="2256" t="e">
        <f>#REF!/E$20*1000/12</f>
        <v>#REF!</v>
      </c>
      <c r="F36" s="2256" t="e">
        <f>#REF!/F$20*1000/12</f>
        <v>#REF!</v>
      </c>
      <c r="G36" s="2256" t="e">
        <f>#REF!/G$20*1000/12</f>
        <v>#REF!</v>
      </c>
      <c r="I36" s="1841"/>
    </row>
    <row r="37" spans="1:9" s="58" customFormat="1" ht="15.75" x14ac:dyDescent="0.25">
      <c r="A37" s="2246" t="s">
        <v>2934</v>
      </c>
      <c r="B37" s="244" t="s">
        <v>598</v>
      </c>
      <c r="C37" s="2320" t="s">
        <v>3086</v>
      </c>
      <c r="D37" s="2256" t="e">
        <f>#REF!/D$20*1000/12</f>
        <v>#REF!</v>
      </c>
      <c r="E37" s="2256" t="e">
        <f>#REF!/E$20*1000/12</f>
        <v>#REF!</v>
      </c>
      <c r="F37" s="2256" t="e">
        <f>#REF!/F$20*1000/12</f>
        <v>#REF!</v>
      </c>
      <c r="G37" s="2256" t="e">
        <f>#REF!/G$20*1000/12</f>
        <v>#REF!</v>
      </c>
      <c r="I37" s="1841"/>
    </row>
    <row r="38" spans="1:9" s="58" customFormat="1" ht="15.75" x14ac:dyDescent="0.25">
      <c r="A38" s="2246" t="s">
        <v>1796</v>
      </c>
      <c r="B38" s="244" t="s">
        <v>47</v>
      </c>
      <c r="C38" s="2320" t="s">
        <v>3086</v>
      </c>
      <c r="D38" s="2256" t="e">
        <f>#REF!/D$20*1000/12</f>
        <v>#REF!</v>
      </c>
      <c r="E38" s="2256" t="e">
        <f>#REF!/E$20*1000/12</f>
        <v>#REF!</v>
      </c>
      <c r="F38" s="2256" t="e">
        <f>#REF!/F$20*1000/12</f>
        <v>#REF!</v>
      </c>
      <c r="G38" s="2256" t="e">
        <f>#REF!/G$20*1000/12</f>
        <v>#REF!</v>
      </c>
      <c r="I38" s="1841"/>
    </row>
    <row r="39" spans="1:9" s="58" customFormat="1" ht="15.75" x14ac:dyDescent="0.25">
      <c r="A39" s="2246" t="s">
        <v>2550</v>
      </c>
      <c r="B39" s="244" t="s">
        <v>227</v>
      </c>
      <c r="C39" s="2320" t="s">
        <v>3086</v>
      </c>
      <c r="D39" s="2256" t="e">
        <f>#REF!/D$20*1000/12</f>
        <v>#REF!</v>
      </c>
      <c r="E39" s="2256" t="e">
        <f>#REF!/E$20*1000/12</f>
        <v>#REF!</v>
      </c>
      <c r="F39" s="2256" t="e">
        <f>#REF!/F$20*1000/12</f>
        <v>#REF!</v>
      </c>
      <c r="G39" s="2256" t="e">
        <f>#REF!/G$20*1000/12</f>
        <v>#REF!</v>
      </c>
      <c r="I39" s="1841"/>
    </row>
    <row r="40" spans="1:9" s="58" customFormat="1" ht="25.5" x14ac:dyDescent="0.25">
      <c r="A40" s="2246" t="s">
        <v>2935</v>
      </c>
      <c r="B40" s="152" t="s">
        <v>452</v>
      </c>
      <c r="C40" s="2320" t="s">
        <v>3086</v>
      </c>
      <c r="D40" s="2256" t="e">
        <f>#REF!/D$20*1000/12</f>
        <v>#REF!</v>
      </c>
      <c r="E40" s="2256" t="e">
        <f>#REF!/E$20*1000/12</f>
        <v>#REF!</v>
      </c>
      <c r="F40" s="2256" t="e">
        <f>#REF!/F$20*1000/12</f>
        <v>#REF!</v>
      </c>
      <c r="G40" s="2256" t="e">
        <f>#REF!/G$20*1000/12</f>
        <v>#REF!</v>
      </c>
      <c r="I40" s="1841"/>
    </row>
    <row r="41" spans="1:9" s="58" customFormat="1" ht="15.75" x14ac:dyDescent="0.25">
      <c r="A41" s="2246" t="s">
        <v>2936</v>
      </c>
      <c r="B41" s="152" t="s">
        <v>453</v>
      </c>
      <c r="C41" s="2320" t="s">
        <v>3086</v>
      </c>
      <c r="D41" s="2256" t="e">
        <f>#REF!/D$20*1000/12</f>
        <v>#REF!</v>
      </c>
      <c r="E41" s="2256" t="e">
        <f>#REF!/E$20*1000/12</f>
        <v>#REF!</v>
      </c>
      <c r="F41" s="2256" t="e">
        <f>#REF!/F$20*1000/12</f>
        <v>#REF!</v>
      </c>
      <c r="G41" s="2256" t="e">
        <f>#REF!/G$20*1000/12</f>
        <v>#REF!</v>
      </c>
      <c r="I41" s="1841"/>
    </row>
    <row r="42" spans="1:9" s="58" customFormat="1" ht="15.75" x14ac:dyDescent="0.25">
      <c r="A42" s="2246" t="s">
        <v>2937</v>
      </c>
      <c r="B42" s="152" t="s">
        <v>52</v>
      </c>
      <c r="C42" s="2320" t="s">
        <v>3086</v>
      </c>
      <c r="D42" s="2256" t="e">
        <f>#REF!/D$20*1000/12</f>
        <v>#REF!</v>
      </c>
      <c r="E42" s="2256" t="e">
        <f>#REF!/E$20*1000/12</f>
        <v>#REF!</v>
      </c>
      <c r="F42" s="2256" t="e">
        <f>#REF!/F$20*1000/12</f>
        <v>#REF!</v>
      </c>
      <c r="G42" s="2256" t="e">
        <f>#REF!/G$20*1000/12</f>
        <v>#REF!</v>
      </c>
      <c r="I42" s="1841"/>
    </row>
    <row r="43" spans="1:9" s="58" customFormat="1" ht="15.75" x14ac:dyDescent="0.25">
      <c r="A43" s="2246" t="s">
        <v>2938</v>
      </c>
      <c r="B43" s="152" t="s">
        <v>228</v>
      </c>
      <c r="C43" s="2320" t="s">
        <v>3086</v>
      </c>
      <c r="D43" s="2256" t="e">
        <f>#REF!/D$20*1000/12</f>
        <v>#REF!</v>
      </c>
      <c r="E43" s="2256" t="e">
        <f>#REF!/E$20*1000/12</f>
        <v>#REF!</v>
      </c>
      <c r="F43" s="2256" t="e">
        <f>#REF!/F$20*1000/12</f>
        <v>#REF!</v>
      </c>
      <c r="G43" s="2256" t="e">
        <f>#REF!/G$20*1000/12</f>
        <v>#REF!</v>
      </c>
      <c r="I43" s="1841"/>
    </row>
    <row r="44" spans="1:9" s="58" customFormat="1" ht="15.75" x14ac:dyDescent="0.25">
      <c r="A44" s="2246" t="s">
        <v>2939</v>
      </c>
      <c r="B44" s="152" t="s">
        <v>55</v>
      </c>
      <c r="C44" s="2320" t="s">
        <v>3086</v>
      </c>
      <c r="D44" s="2256" t="e">
        <f>#REF!/D$20*1000/12</f>
        <v>#REF!</v>
      </c>
      <c r="E44" s="2256" t="e">
        <f>#REF!/E$20*1000/12</f>
        <v>#REF!</v>
      </c>
      <c r="F44" s="2256" t="e">
        <f>#REF!/F$20*1000/12</f>
        <v>#REF!</v>
      </c>
      <c r="G44" s="2256" t="e">
        <f>#REF!/G$20*1000/12</f>
        <v>#REF!</v>
      </c>
      <c r="I44" s="1841"/>
    </row>
    <row r="45" spans="1:9" s="58" customFormat="1" ht="25.5" x14ac:dyDescent="0.25">
      <c r="A45" s="2246" t="s">
        <v>2940</v>
      </c>
      <c r="B45" s="152" t="s">
        <v>452</v>
      </c>
      <c r="C45" s="2320" t="s">
        <v>3086</v>
      </c>
      <c r="D45" s="2256" t="e">
        <f>#REF!/D$20*1000/12</f>
        <v>#REF!</v>
      </c>
      <c r="E45" s="2256" t="e">
        <f>#REF!/E$20*1000/12</f>
        <v>#REF!</v>
      </c>
      <c r="F45" s="2256" t="e">
        <f>#REF!/F$20*1000/12</f>
        <v>#REF!</v>
      </c>
      <c r="G45" s="2256" t="e">
        <f>#REF!/G$20*1000/12</f>
        <v>#REF!</v>
      </c>
      <c r="I45" s="1841"/>
    </row>
    <row r="46" spans="1:9" s="58" customFormat="1" ht="15.75" x14ac:dyDescent="0.25">
      <c r="A46" s="2246" t="s">
        <v>2941</v>
      </c>
      <c r="B46" s="152" t="s">
        <v>58</v>
      </c>
      <c r="C46" s="2320" t="s">
        <v>3086</v>
      </c>
      <c r="D46" s="2256" t="e">
        <f>#REF!/D$20*1000/12</f>
        <v>#REF!</v>
      </c>
      <c r="E46" s="2256" t="e">
        <f>#REF!/E$20*1000/12</f>
        <v>#REF!</v>
      </c>
      <c r="F46" s="2256" t="e">
        <f>#REF!/F$20*1000/12</f>
        <v>#REF!</v>
      </c>
      <c r="G46" s="2256" t="e">
        <f>#REF!/G$20*1000/12</f>
        <v>#REF!</v>
      </c>
      <c r="I46" s="1841"/>
    </row>
    <row r="47" spans="1:9" s="58" customFormat="1" ht="15.75" x14ac:dyDescent="0.25">
      <c r="A47" s="2246">
        <v>7</v>
      </c>
      <c r="B47" s="152" t="s">
        <v>229</v>
      </c>
      <c r="C47" s="2320" t="s">
        <v>3086</v>
      </c>
      <c r="D47" s="2256" t="e">
        <f>#REF!/D$20*1000/12</f>
        <v>#REF!</v>
      </c>
      <c r="E47" s="2256" t="e">
        <f>#REF!/E$20*1000/12</f>
        <v>#REF!</v>
      </c>
      <c r="F47" s="2256" t="e">
        <f>#REF!/F$20*1000/12</f>
        <v>#REF!</v>
      </c>
      <c r="G47" s="2256" t="e">
        <f>#REF!/G$20*1000/12</f>
        <v>#REF!</v>
      </c>
      <c r="I47" s="1841"/>
    </row>
    <row r="48" spans="1:9" s="58" customFormat="1" ht="15.75" x14ac:dyDescent="0.25">
      <c r="A48" s="2246" t="s">
        <v>1101</v>
      </c>
      <c r="B48" s="152" t="s">
        <v>55</v>
      </c>
      <c r="C48" s="2320" t="s">
        <v>3086</v>
      </c>
      <c r="D48" s="2256" t="e">
        <f>#REF!/D$20*1000/12</f>
        <v>#REF!</v>
      </c>
      <c r="E48" s="2256" t="e">
        <f>#REF!/E$20*1000/12</f>
        <v>#REF!</v>
      </c>
      <c r="F48" s="2256" t="e">
        <f>#REF!/F$20*1000/12</f>
        <v>#REF!</v>
      </c>
      <c r="G48" s="2256" t="e">
        <f>#REF!/G$20*1000/12</f>
        <v>#REF!</v>
      </c>
      <c r="I48" s="1841"/>
    </row>
    <row r="49" spans="1:9" s="58" customFormat="1" ht="25.5" x14ac:dyDescent="0.25">
      <c r="A49" s="2246" t="s">
        <v>2847</v>
      </c>
      <c r="B49" s="152" t="s">
        <v>452</v>
      </c>
      <c r="C49" s="2320" t="s">
        <v>3086</v>
      </c>
      <c r="D49" s="2256" t="e">
        <f>#REF!/D$20*1000/12</f>
        <v>#REF!</v>
      </c>
      <c r="E49" s="2256" t="e">
        <f>#REF!/E$20*1000/12</f>
        <v>#REF!</v>
      </c>
      <c r="F49" s="2256" t="e">
        <f>#REF!/F$20*1000/12</f>
        <v>#REF!</v>
      </c>
      <c r="G49" s="2256" t="e">
        <f>#REF!/G$20*1000/12</f>
        <v>#REF!</v>
      </c>
      <c r="I49" s="1841"/>
    </row>
    <row r="50" spans="1:9" s="58" customFormat="1" ht="15.75" x14ac:dyDescent="0.25">
      <c r="A50" s="2246" t="s">
        <v>2848</v>
      </c>
      <c r="B50" s="152" t="s">
        <v>58</v>
      </c>
      <c r="C50" s="2320" t="s">
        <v>3086</v>
      </c>
      <c r="D50" s="2256" t="e">
        <f>#REF!/D$20*1000/12</f>
        <v>#REF!</v>
      </c>
      <c r="E50" s="2256" t="e">
        <f>#REF!/E$20*1000/12</f>
        <v>#REF!</v>
      </c>
      <c r="F50" s="2256" t="e">
        <f>#REF!/F$20*1000/12</f>
        <v>#REF!</v>
      </c>
      <c r="G50" s="2256" t="e">
        <f>#REF!/G$20*1000/12</f>
        <v>#REF!</v>
      </c>
      <c r="I50" s="1841"/>
    </row>
    <row r="51" spans="1:9" s="58" customFormat="1" ht="15.75" x14ac:dyDescent="0.25">
      <c r="A51" s="2246">
        <v>8</v>
      </c>
      <c r="B51" s="152" t="s">
        <v>5</v>
      </c>
      <c r="C51" s="2320" t="s">
        <v>3086</v>
      </c>
      <c r="D51" s="2256" t="e">
        <f>#REF!/D$20*1000/12</f>
        <v>#REF!</v>
      </c>
      <c r="E51" s="2256" t="e">
        <f>#REF!/E$20*1000/12</f>
        <v>#REF!</v>
      </c>
      <c r="F51" s="2256" t="e">
        <f>#REF!/F$20*1000/12</f>
        <v>#REF!</v>
      </c>
      <c r="G51" s="2256" t="e">
        <f>#REF!/G$20*1000/12</f>
        <v>#REF!</v>
      </c>
      <c r="I51" s="1841"/>
    </row>
    <row r="52" spans="1:9" s="58" customFormat="1" ht="15.75" x14ac:dyDescent="0.25">
      <c r="A52" s="2246">
        <v>9</v>
      </c>
      <c r="B52" s="152" t="s">
        <v>184</v>
      </c>
      <c r="C52" s="2320" t="s">
        <v>3086</v>
      </c>
      <c r="D52" s="2256" t="e">
        <f>#REF!/D$20*1000/12</f>
        <v>#REF!</v>
      </c>
      <c r="E52" s="2256" t="e">
        <f>#REF!/E$20*1000/12</f>
        <v>#REF!</v>
      </c>
      <c r="F52" s="2256" t="e">
        <f>#REF!/F$20*1000/12</f>
        <v>#REF!</v>
      </c>
      <c r="G52" s="2256" t="e">
        <f>#REF!/G$20*1000/12</f>
        <v>#REF!</v>
      </c>
      <c r="I52" s="1841"/>
    </row>
    <row r="53" spans="1:9" s="58" customFormat="1" ht="16.149999999999999" customHeight="1" x14ac:dyDescent="0.25">
      <c r="A53" s="2246">
        <v>10</v>
      </c>
      <c r="B53" s="152" t="s">
        <v>231</v>
      </c>
      <c r="C53" s="2320" t="s">
        <v>3086</v>
      </c>
      <c r="D53" s="2256">
        <v>0</v>
      </c>
      <c r="E53" s="2256">
        <v>0</v>
      </c>
      <c r="F53" s="2256">
        <v>0</v>
      </c>
      <c r="G53" s="2256">
        <v>0</v>
      </c>
      <c r="I53" s="1841"/>
    </row>
    <row r="54" spans="1:9" s="58" customFormat="1" ht="15.75" x14ac:dyDescent="0.25">
      <c r="A54" s="2246">
        <v>11</v>
      </c>
      <c r="B54" s="152" t="s">
        <v>2930</v>
      </c>
      <c r="C54" s="2320" t="s">
        <v>3086</v>
      </c>
      <c r="D54" s="2256" t="e">
        <f>#REF!/D$20*1000/12</f>
        <v>#REF!</v>
      </c>
      <c r="E54" s="2256" t="e">
        <f>#REF!/E$20*1000/12</f>
        <v>#REF!</v>
      </c>
      <c r="F54" s="2256" t="e">
        <f>#REF!/F$20*1000/12</f>
        <v>#REF!</v>
      </c>
      <c r="G54" s="2256" t="e">
        <f>#REF!/G$20*1000/12</f>
        <v>#REF!</v>
      </c>
      <c r="I54" s="1841"/>
    </row>
    <row r="55" spans="1:9" s="58" customFormat="1" ht="15.75" x14ac:dyDescent="0.25">
      <c r="A55" s="2246">
        <v>12</v>
      </c>
      <c r="B55" s="1869" t="s">
        <v>232</v>
      </c>
      <c r="C55" s="2320" t="s">
        <v>3086</v>
      </c>
      <c r="D55" s="2256" t="e">
        <f>#REF!/D$20*1000/12</f>
        <v>#REF!</v>
      </c>
      <c r="E55" s="2256" t="e">
        <f>#REF!/E$20*1000/12</f>
        <v>#REF!</v>
      </c>
      <c r="F55" s="2256" t="e">
        <f>#REF!/F$20*1000/12</f>
        <v>#REF!</v>
      </c>
      <c r="G55" s="2256" t="e">
        <f>#REF!/G$20*1000/12</f>
        <v>#REF!</v>
      </c>
      <c r="I55" s="1841"/>
    </row>
    <row r="56" spans="1:9" s="58" customFormat="1" ht="15.75" x14ac:dyDescent="0.25">
      <c r="A56" s="2246" t="s">
        <v>2942</v>
      </c>
      <c r="B56" s="152" t="s">
        <v>2948</v>
      </c>
      <c r="C56" s="2320" t="s">
        <v>3086</v>
      </c>
      <c r="D56" s="2256" t="e">
        <f>#REF!/D$20*1000/12</f>
        <v>#REF!</v>
      </c>
      <c r="E56" s="2256" t="e">
        <f>#REF!/E$20*1000/12</f>
        <v>#REF!</v>
      </c>
      <c r="F56" s="2256" t="e">
        <f>#REF!/F$20*1000/12</f>
        <v>#REF!</v>
      </c>
      <c r="G56" s="2256" t="e">
        <f>#REF!/G$20*1000/12</f>
        <v>#REF!</v>
      </c>
      <c r="I56" s="1841"/>
    </row>
    <row r="57" spans="1:9" s="58" customFormat="1" ht="15.75" x14ac:dyDescent="0.25">
      <c r="A57" s="2246" t="s">
        <v>2943</v>
      </c>
      <c r="B57" s="152" t="s">
        <v>67</v>
      </c>
      <c r="C57" s="2320" t="s">
        <v>3086</v>
      </c>
      <c r="D57" s="2256" t="e">
        <f>#REF!/D$20*1000/12</f>
        <v>#REF!</v>
      </c>
      <c r="E57" s="2256" t="e">
        <f>#REF!/E$20*1000/12</f>
        <v>#REF!</v>
      </c>
      <c r="F57" s="2256" t="e">
        <f>#REF!/F$20*1000/12</f>
        <v>#REF!</v>
      </c>
      <c r="G57" s="2256" t="e">
        <f>#REF!/G$20*1000/12</f>
        <v>#REF!</v>
      </c>
      <c r="I57" s="1841"/>
    </row>
    <row r="58" spans="1:9" s="58" customFormat="1" ht="15.75" x14ac:dyDescent="0.25">
      <c r="A58" s="2246" t="s">
        <v>2944</v>
      </c>
      <c r="B58" s="152" t="s">
        <v>69</v>
      </c>
      <c r="C58" s="2320" t="s">
        <v>3086</v>
      </c>
      <c r="D58" s="2256" t="e">
        <f>#REF!/D$20*1000/12</f>
        <v>#REF!</v>
      </c>
      <c r="E58" s="2256" t="e">
        <f>#REF!/E$20*1000/12</f>
        <v>#REF!</v>
      </c>
      <c r="F58" s="2256" t="e">
        <f>#REF!/F$20*1000/12</f>
        <v>#REF!</v>
      </c>
      <c r="G58" s="2256" t="e">
        <f>#REF!/G$20*1000/12</f>
        <v>#REF!</v>
      </c>
      <c r="I58" s="1841"/>
    </row>
    <row r="59" spans="1:9" s="58" customFormat="1" ht="15.75" x14ac:dyDescent="0.25">
      <c r="A59" s="2246" t="s">
        <v>2945</v>
      </c>
      <c r="B59" s="152" t="s">
        <v>2949</v>
      </c>
      <c r="C59" s="2320" t="s">
        <v>3086</v>
      </c>
      <c r="D59" s="2256" t="e">
        <f>#REF!/D$20*1000/12</f>
        <v>#REF!</v>
      </c>
      <c r="E59" s="2256" t="e">
        <f>#REF!/E$20*1000/12</f>
        <v>#REF!</v>
      </c>
      <c r="F59" s="2256" t="e">
        <f>#REF!/F$20*1000/12</f>
        <v>#REF!</v>
      </c>
      <c r="G59" s="2256" t="e">
        <f>#REF!/G$20*1000/12</f>
        <v>#REF!</v>
      </c>
      <c r="I59" s="1841"/>
    </row>
    <row r="60" spans="1:9" s="58" customFormat="1" ht="15.75" x14ac:dyDescent="0.25">
      <c r="A60" s="2246" t="s">
        <v>2946</v>
      </c>
      <c r="B60" s="152" t="s">
        <v>2950</v>
      </c>
      <c r="C60" s="2320" t="s">
        <v>3086</v>
      </c>
      <c r="D60" s="2256" t="e">
        <f>#REF!/D$20*1000/12</f>
        <v>#REF!</v>
      </c>
      <c r="E60" s="2256" t="e">
        <f>#REF!/E$20*1000/12</f>
        <v>#REF!</v>
      </c>
      <c r="F60" s="2256" t="e">
        <f>#REF!/F$20*1000/12</f>
        <v>#REF!</v>
      </c>
      <c r="G60" s="2256" t="e">
        <f>#REF!/G$20*1000/12</f>
        <v>#REF!</v>
      </c>
      <c r="I60" s="1841"/>
    </row>
    <row r="61" spans="1:9" s="58" customFormat="1" ht="15.75" x14ac:dyDescent="0.25">
      <c r="A61" s="4074" t="s">
        <v>3089</v>
      </c>
      <c r="B61" s="4074"/>
      <c r="C61" s="4074"/>
      <c r="D61" s="4074"/>
      <c r="E61" s="4074"/>
      <c r="F61" s="4074"/>
      <c r="G61" s="4074"/>
      <c r="I61" s="1841"/>
    </row>
    <row r="62" spans="1:9" s="58" customFormat="1" ht="15.75" x14ac:dyDescent="0.25">
      <c r="A62" s="2246" t="s">
        <v>1812</v>
      </c>
      <c r="B62" s="244" t="s">
        <v>3014</v>
      </c>
      <c r="C62" s="2321" t="s">
        <v>2187</v>
      </c>
      <c r="D62" s="2251" t="e">
        <f>#REF!/D$18</f>
        <v>#REF!</v>
      </c>
      <c r="E62" s="2251" t="e">
        <f>#REF!/E$18</f>
        <v>#REF!</v>
      </c>
      <c r="F62" s="2251" t="e">
        <f>#REF!/F$18</f>
        <v>#REF!</v>
      </c>
      <c r="G62" s="2251" t="e">
        <f>#REF!/G$18</f>
        <v>#REF!</v>
      </c>
      <c r="I62" s="1841"/>
    </row>
    <row r="63" spans="1:9" s="58" customFormat="1" ht="14.45" customHeight="1" x14ac:dyDescent="0.25">
      <c r="A63" s="2246" t="s">
        <v>2952</v>
      </c>
      <c r="B63" s="244" t="s">
        <v>226</v>
      </c>
      <c r="C63" s="2321" t="s">
        <v>2187</v>
      </c>
      <c r="D63" s="2251" t="e">
        <f>#REF!/D$18</f>
        <v>#REF!</v>
      </c>
      <c r="E63" s="2251" t="e">
        <f>#REF!/E$18</f>
        <v>#REF!</v>
      </c>
      <c r="F63" s="2251" t="e">
        <f>#REF!/F$18</f>
        <v>#REF!</v>
      </c>
      <c r="G63" s="2251" t="e">
        <f>#REF!/G$18</f>
        <v>#REF!</v>
      </c>
      <c r="I63" s="1841"/>
    </row>
    <row r="64" spans="1:9" s="58" customFormat="1" ht="15.75" x14ac:dyDescent="0.25">
      <c r="A64" s="2246" t="s">
        <v>2953</v>
      </c>
      <c r="B64" s="244" t="s">
        <v>43</v>
      </c>
      <c r="C64" s="2321" t="s">
        <v>2187</v>
      </c>
      <c r="D64" s="2251" t="e">
        <f>#REF!/D$18</f>
        <v>#REF!</v>
      </c>
      <c r="E64" s="2251" t="e">
        <f>#REF!/E$18</f>
        <v>#REF!</v>
      </c>
      <c r="F64" s="2251" t="e">
        <f>#REF!/F$18</f>
        <v>#REF!</v>
      </c>
      <c r="G64" s="2251" t="e">
        <f>#REF!/G$18</f>
        <v>#REF!</v>
      </c>
      <c r="I64" s="1841"/>
    </row>
    <row r="65" spans="1:9" s="58" customFormat="1" ht="15.75" x14ac:dyDescent="0.25">
      <c r="A65" s="4073" t="s">
        <v>3090</v>
      </c>
      <c r="B65" s="4073"/>
      <c r="C65" s="4073"/>
      <c r="D65" s="4073"/>
      <c r="E65" s="4073"/>
      <c r="F65" s="4073"/>
      <c r="G65" s="4073"/>
      <c r="I65" s="1841"/>
    </row>
    <row r="66" spans="1:9" s="58" customFormat="1" ht="25.5" x14ac:dyDescent="0.25">
      <c r="A66" s="2246">
        <v>14</v>
      </c>
      <c r="B66" s="152" t="s">
        <v>3016</v>
      </c>
      <c r="C66" s="2321" t="s">
        <v>3084</v>
      </c>
      <c r="D66" s="2256" t="e">
        <f>#REF!/D$21*1000/12</f>
        <v>#REF!</v>
      </c>
      <c r="E66" s="2256" t="e">
        <f>#REF!/E$21*1000/12</f>
        <v>#REF!</v>
      </c>
      <c r="F66" s="2256" t="e">
        <f>#REF!/F$21*1000/12</f>
        <v>#REF!</v>
      </c>
      <c r="G66" s="2256" t="e">
        <f>#REF!/G$21*1000/12</f>
        <v>#REF!</v>
      </c>
      <c r="I66" s="1841"/>
    </row>
    <row r="67" spans="1:9" s="58" customFormat="1" ht="15.75" x14ac:dyDescent="0.25">
      <c r="A67" s="2268" t="s">
        <v>201</v>
      </c>
      <c r="B67" s="244" t="s">
        <v>225</v>
      </c>
      <c r="C67" s="2320" t="s">
        <v>3086</v>
      </c>
      <c r="D67" s="2256" t="e">
        <f>#REF!/D$21*1000/12</f>
        <v>#REF!</v>
      </c>
      <c r="E67" s="2256" t="e">
        <f>#REF!/E$21*1000/12</f>
        <v>#REF!</v>
      </c>
      <c r="F67" s="2256" t="e">
        <f>#REF!/F$21*1000/12</f>
        <v>#REF!</v>
      </c>
      <c r="G67" s="2256" t="e">
        <f>#REF!/G$21*1000/12</f>
        <v>#REF!</v>
      </c>
      <c r="I67" s="1841"/>
    </row>
    <row r="68" spans="1:9" s="58" customFormat="1" ht="16.149999999999999" customHeight="1" x14ac:dyDescent="0.25">
      <c r="A68" s="2268" t="s">
        <v>343</v>
      </c>
      <c r="B68" s="244" t="s">
        <v>226</v>
      </c>
      <c r="C68" s="2320" t="s">
        <v>3086</v>
      </c>
      <c r="D68" s="2256" t="e">
        <f>#REF!/D$21*1000/12</f>
        <v>#REF!</v>
      </c>
      <c r="E68" s="2256" t="e">
        <f>#REF!/E$21*1000/12</f>
        <v>#REF!</v>
      </c>
      <c r="F68" s="2256" t="e">
        <f>#REF!/F$21*1000/12</f>
        <v>#REF!</v>
      </c>
      <c r="G68" s="2256" t="e">
        <f>#REF!/G$21*1000/12</f>
        <v>#REF!</v>
      </c>
      <c r="I68" s="1841"/>
    </row>
    <row r="69" spans="1:9" s="58" customFormat="1" ht="15.75" x14ac:dyDescent="0.25">
      <c r="A69" s="2268" t="s">
        <v>2962</v>
      </c>
      <c r="B69" s="244" t="s">
        <v>43</v>
      </c>
      <c r="C69" s="2320" t="s">
        <v>3086</v>
      </c>
      <c r="D69" s="2256" t="e">
        <f>#REF!/D$21*1000/12</f>
        <v>#REF!</v>
      </c>
      <c r="E69" s="2256" t="e">
        <f>#REF!/E$21*1000/12</f>
        <v>#REF!</v>
      </c>
      <c r="F69" s="2256" t="e">
        <f>#REF!/F$21*1000/12</f>
        <v>#REF!</v>
      </c>
      <c r="G69" s="2256" t="e">
        <f>#REF!/G$21*1000/12</f>
        <v>#REF!</v>
      </c>
      <c r="I69" s="1841"/>
    </row>
    <row r="70" spans="1:9" s="58" customFormat="1" ht="25.5" x14ac:dyDescent="0.25">
      <c r="A70" s="2272" t="s">
        <v>2963</v>
      </c>
      <c r="B70" s="244" t="s">
        <v>596</v>
      </c>
      <c r="C70" s="2320" t="s">
        <v>3086</v>
      </c>
      <c r="D70" s="2256" t="e">
        <f>#REF!/D$21*1000/12</f>
        <v>#REF!</v>
      </c>
      <c r="E70" s="2256" t="e">
        <f>#REF!/E$21*1000/12</f>
        <v>#REF!</v>
      </c>
      <c r="F70" s="2256" t="e">
        <f>#REF!/F$21*1000/12</f>
        <v>#REF!</v>
      </c>
      <c r="G70" s="2256" t="e">
        <f>#REF!/G$21*1000/12</f>
        <v>#REF!</v>
      </c>
      <c r="I70" s="1841"/>
    </row>
    <row r="71" spans="1:9" s="58" customFormat="1" ht="25.5" x14ac:dyDescent="0.25">
      <c r="A71" s="2272" t="s">
        <v>2964</v>
      </c>
      <c r="B71" s="244" t="s">
        <v>597</v>
      </c>
      <c r="C71" s="2320" t="s">
        <v>3086</v>
      </c>
      <c r="D71" s="2256" t="e">
        <f>#REF!/D$21*1000/12</f>
        <v>#REF!</v>
      </c>
      <c r="E71" s="2256" t="e">
        <f>#REF!/E$21*1000/12</f>
        <v>#REF!</v>
      </c>
      <c r="F71" s="2256" t="e">
        <f>#REF!/F$21*1000/12</f>
        <v>#REF!</v>
      </c>
      <c r="G71" s="2256" t="e">
        <f>#REF!/G$21*1000/12</f>
        <v>#REF!</v>
      </c>
      <c r="I71" s="1841"/>
    </row>
    <row r="72" spans="1:9" s="58" customFormat="1" ht="15.75" x14ac:dyDescent="0.25">
      <c r="A72" s="2272" t="s">
        <v>2965</v>
      </c>
      <c r="B72" s="244" t="s">
        <v>598</v>
      </c>
      <c r="C72" s="2320" t="s">
        <v>3086</v>
      </c>
      <c r="D72" s="2256" t="e">
        <f>#REF!/D$21*1000/12</f>
        <v>#REF!</v>
      </c>
      <c r="E72" s="2256" t="e">
        <f>#REF!/E$21*1000/12</f>
        <v>#REF!</v>
      </c>
      <c r="F72" s="2256" t="e">
        <f>#REF!/F$21*1000/12</f>
        <v>#REF!</v>
      </c>
      <c r="G72" s="2256" t="e">
        <f>#REF!/G$21*1000/12</f>
        <v>#REF!</v>
      </c>
      <c r="I72" s="1841"/>
    </row>
    <row r="73" spans="1:9" ht="25.5" x14ac:dyDescent="0.25">
      <c r="A73" s="2272" t="s">
        <v>2966</v>
      </c>
      <c r="B73" s="244" t="s">
        <v>2786</v>
      </c>
      <c r="C73" s="2320" t="s">
        <v>3086</v>
      </c>
      <c r="D73" s="2256" t="e">
        <f>#REF!/D$21*1000/12</f>
        <v>#REF!</v>
      </c>
      <c r="E73" s="2256" t="e">
        <f>#REF!/E$21*1000/12</f>
        <v>#REF!</v>
      </c>
      <c r="F73" s="2256" t="e">
        <f>#REF!/F$21*1000/12</f>
        <v>#REF!</v>
      </c>
      <c r="G73" s="2256" t="e">
        <f>#REF!/G$21*1000/12</f>
        <v>#REF!</v>
      </c>
    </row>
    <row r="74" spans="1:9" x14ac:dyDescent="0.25">
      <c r="A74" s="2272" t="s">
        <v>344</v>
      </c>
      <c r="B74" s="152" t="s">
        <v>47</v>
      </c>
      <c r="C74" s="2320" t="s">
        <v>3086</v>
      </c>
      <c r="D74" s="2256" t="e">
        <f>#REF!/D$21*1000/12</f>
        <v>#REF!</v>
      </c>
      <c r="E74" s="2256" t="e">
        <f>#REF!/E$21*1000/12</f>
        <v>#REF!</v>
      </c>
      <c r="F74" s="2256" t="e">
        <f>#REF!/F$21*1000/12</f>
        <v>#REF!</v>
      </c>
      <c r="G74" s="2256" t="e">
        <f>#REF!/G$21*1000/12</f>
        <v>#REF!</v>
      </c>
    </row>
    <row r="75" spans="1:9" x14ac:dyDescent="0.25">
      <c r="A75" s="2272" t="s">
        <v>2967</v>
      </c>
      <c r="B75" s="244" t="s">
        <v>227</v>
      </c>
      <c r="C75" s="2320" t="s">
        <v>3086</v>
      </c>
      <c r="D75" s="2256" t="e">
        <f>#REF!/D$21*1000/12</f>
        <v>#REF!</v>
      </c>
      <c r="E75" s="2256" t="e">
        <f>#REF!/E$21*1000/12</f>
        <v>#REF!</v>
      </c>
      <c r="F75" s="2256" t="e">
        <f>#REF!/F$21*1000/12</f>
        <v>#REF!</v>
      </c>
      <c r="G75" s="2256" t="e">
        <f>#REF!/G$21*1000/12</f>
        <v>#REF!</v>
      </c>
    </row>
    <row r="76" spans="1:9" ht="25.5" x14ac:dyDescent="0.25">
      <c r="A76" s="2272" t="s">
        <v>2968</v>
      </c>
      <c r="B76" s="244" t="s">
        <v>452</v>
      </c>
      <c r="C76" s="2320" t="s">
        <v>3086</v>
      </c>
      <c r="D76" s="2256" t="e">
        <f>#REF!/D$21*1000/12</f>
        <v>#REF!</v>
      </c>
      <c r="E76" s="2256" t="e">
        <f>#REF!/E$21*1000/12</f>
        <v>#REF!</v>
      </c>
      <c r="F76" s="2256" t="e">
        <f>#REF!/F$21*1000/12</f>
        <v>#REF!</v>
      </c>
      <c r="G76" s="2256" t="e">
        <f>#REF!/G$21*1000/12</f>
        <v>#REF!</v>
      </c>
    </row>
    <row r="77" spans="1:9" x14ac:dyDescent="0.25">
      <c r="A77" s="2272" t="s">
        <v>2969</v>
      </c>
      <c r="B77" s="244" t="s">
        <v>460</v>
      </c>
      <c r="C77" s="2320" t="s">
        <v>3086</v>
      </c>
      <c r="D77" s="2256" t="e">
        <f>#REF!/D$21*1000/12</f>
        <v>#REF!</v>
      </c>
      <c r="E77" s="2256" t="e">
        <f>#REF!/E$21*1000/12</f>
        <v>#REF!</v>
      </c>
      <c r="F77" s="2256" t="e">
        <f>#REF!/F$21*1000/12</f>
        <v>#REF!</v>
      </c>
      <c r="G77" s="2256" t="e">
        <f>#REF!/G$21*1000/12</f>
        <v>#REF!</v>
      </c>
    </row>
    <row r="78" spans="1:9" x14ac:dyDescent="0.25">
      <c r="A78" s="2272" t="s">
        <v>2970</v>
      </c>
      <c r="B78" s="244" t="s">
        <v>82</v>
      </c>
      <c r="C78" s="2320" t="s">
        <v>3086</v>
      </c>
      <c r="D78" s="2256" t="e">
        <f>#REF!/D$21*1000/12</f>
        <v>#REF!</v>
      </c>
      <c r="E78" s="2256" t="e">
        <f>#REF!/E$21*1000/12</f>
        <v>#REF!</v>
      </c>
      <c r="F78" s="2256" t="e">
        <f>#REF!/F$21*1000/12</f>
        <v>#REF!</v>
      </c>
      <c r="G78" s="2256" t="e">
        <f>#REF!/G$21*1000/12</f>
        <v>#REF!</v>
      </c>
    </row>
    <row r="79" spans="1:9" x14ac:dyDescent="0.25">
      <c r="A79" s="2272" t="s">
        <v>2971</v>
      </c>
      <c r="B79" s="244" t="s">
        <v>228</v>
      </c>
      <c r="C79" s="2320" t="s">
        <v>3086</v>
      </c>
      <c r="D79" s="2256" t="e">
        <f>#REF!/D$21*1000/12</f>
        <v>#REF!</v>
      </c>
      <c r="E79" s="2256" t="e">
        <f>#REF!/E$21*1000/12</f>
        <v>#REF!</v>
      </c>
      <c r="F79" s="2256" t="e">
        <f>#REF!/F$21*1000/12</f>
        <v>#REF!</v>
      </c>
      <c r="G79" s="2256" t="e">
        <f>#REF!/G$21*1000/12</f>
        <v>#REF!</v>
      </c>
    </row>
    <row r="80" spans="1:9" x14ac:dyDescent="0.25">
      <c r="A80" s="2272" t="s">
        <v>2972</v>
      </c>
      <c r="B80" s="244" t="s">
        <v>55</v>
      </c>
      <c r="C80" s="2320" t="s">
        <v>3086</v>
      </c>
      <c r="D80" s="2256" t="e">
        <f>#REF!/D$21*1000/12</f>
        <v>#REF!</v>
      </c>
      <c r="E80" s="2256" t="e">
        <f>#REF!/E$21*1000/12</f>
        <v>#REF!</v>
      </c>
      <c r="F80" s="2256" t="e">
        <f>#REF!/F$21*1000/12</f>
        <v>#REF!</v>
      </c>
      <c r="G80" s="2256" t="e">
        <f>#REF!/G$21*1000/12</f>
        <v>#REF!</v>
      </c>
    </row>
    <row r="81" spans="1:7" ht="25.5" x14ac:dyDescent="0.25">
      <c r="A81" s="2272" t="s">
        <v>2973</v>
      </c>
      <c r="B81" s="244" t="s">
        <v>452</v>
      </c>
      <c r="C81" s="2320" t="s">
        <v>3086</v>
      </c>
      <c r="D81" s="2256" t="e">
        <f>#REF!/D$21*1000/12</f>
        <v>#REF!</v>
      </c>
      <c r="E81" s="2256" t="e">
        <f>#REF!/E$21*1000/12</f>
        <v>#REF!</v>
      </c>
      <c r="F81" s="2256" t="e">
        <f>#REF!/F$21*1000/12</f>
        <v>#REF!</v>
      </c>
      <c r="G81" s="2256" t="e">
        <f>#REF!/G$21*1000/12</f>
        <v>#REF!</v>
      </c>
    </row>
    <row r="82" spans="1:7" x14ac:dyDescent="0.25">
      <c r="A82" s="2272" t="s">
        <v>2974</v>
      </c>
      <c r="B82" s="244" t="s">
        <v>58</v>
      </c>
      <c r="C82" s="2320" t="s">
        <v>3086</v>
      </c>
      <c r="D82" s="2256" t="e">
        <f>#REF!/D$21*1000/12</f>
        <v>#REF!</v>
      </c>
      <c r="E82" s="2256" t="e">
        <f>#REF!/E$21*1000/12</f>
        <v>#REF!</v>
      </c>
      <c r="F82" s="2256" t="e">
        <f>#REF!/F$21*1000/12</f>
        <v>#REF!</v>
      </c>
      <c r="G82" s="2256" t="e">
        <f>#REF!/G$21*1000/12</f>
        <v>#REF!</v>
      </c>
    </row>
    <row r="83" spans="1:7" x14ac:dyDescent="0.25">
      <c r="A83" s="2272" t="s">
        <v>675</v>
      </c>
      <c r="B83" s="152" t="s">
        <v>229</v>
      </c>
      <c r="C83" s="2320" t="s">
        <v>3086</v>
      </c>
      <c r="D83" s="2256" t="e">
        <f>#REF!/D$21*1000/12</f>
        <v>#REF!</v>
      </c>
      <c r="E83" s="2256" t="e">
        <f>#REF!/E$21*1000/12</f>
        <v>#REF!</v>
      </c>
      <c r="F83" s="2256" t="e">
        <f>#REF!/F$21*1000/12</f>
        <v>#REF!</v>
      </c>
      <c r="G83" s="2256" t="e">
        <f>#REF!/G$21*1000/12</f>
        <v>#REF!</v>
      </c>
    </row>
    <row r="84" spans="1:7" x14ac:dyDescent="0.25">
      <c r="A84" s="2272" t="s">
        <v>202</v>
      </c>
      <c r="B84" s="152" t="s">
        <v>55</v>
      </c>
      <c r="C84" s="2320" t="s">
        <v>3086</v>
      </c>
      <c r="D84" s="2256" t="e">
        <f>#REF!/D$21*1000/12</f>
        <v>#REF!</v>
      </c>
      <c r="E84" s="2256" t="e">
        <f>#REF!/E$21*1000/12</f>
        <v>#REF!</v>
      </c>
      <c r="F84" s="2256" t="e">
        <f>#REF!/F$21*1000/12</f>
        <v>#REF!</v>
      </c>
      <c r="G84" s="2256" t="e">
        <f>#REF!/G$21*1000/12</f>
        <v>#REF!</v>
      </c>
    </row>
    <row r="85" spans="1:7" ht="25.5" x14ac:dyDescent="0.25">
      <c r="A85" s="2272" t="s">
        <v>203</v>
      </c>
      <c r="B85" s="152" t="s">
        <v>452</v>
      </c>
      <c r="C85" s="2320" t="s">
        <v>3086</v>
      </c>
      <c r="D85" s="2256" t="e">
        <f>#REF!/D$21*1000/12</f>
        <v>#REF!</v>
      </c>
      <c r="E85" s="2256" t="e">
        <f>#REF!/E$21*1000/12</f>
        <v>#REF!</v>
      </c>
      <c r="F85" s="2256" t="e">
        <f>#REF!/F$21*1000/12</f>
        <v>#REF!</v>
      </c>
      <c r="G85" s="2256" t="e">
        <f>#REF!/G$21*1000/12</f>
        <v>#REF!</v>
      </c>
    </row>
    <row r="86" spans="1:7" x14ac:dyDescent="0.25">
      <c r="A86" s="2272" t="s">
        <v>2975</v>
      </c>
      <c r="B86" s="152" t="s">
        <v>58</v>
      </c>
      <c r="C86" s="2320" t="s">
        <v>3086</v>
      </c>
      <c r="D86" s="2256" t="e">
        <f>#REF!/D$21*1000/12</f>
        <v>#REF!</v>
      </c>
      <c r="E86" s="2256" t="e">
        <f>#REF!/E$21*1000/12</f>
        <v>#REF!</v>
      </c>
      <c r="F86" s="2256" t="e">
        <f>#REF!/F$21*1000/12</f>
        <v>#REF!</v>
      </c>
      <c r="G86" s="2256" t="e">
        <f>#REF!/G$21*1000/12</f>
        <v>#REF!</v>
      </c>
    </row>
    <row r="87" spans="1:7" x14ac:dyDescent="0.25">
      <c r="A87" s="2272" t="s">
        <v>676</v>
      </c>
      <c r="B87" s="244" t="s">
        <v>230</v>
      </c>
      <c r="C87" s="2320" t="s">
        <v>3086</v>
      </c>
      <c r="D87" s="2256" t="e">
        <f>#REF!/D$21*1000/12</f>
        <v>#REF!</v>
      </c>
      <c r="E87" s="2256" t="e">
        <f>#REF!/E$21*1000/12</f>
        <v>#REF!</v>
      </c>
      <c r="F87" s="2256" t="e">
        <f>#REF!/F$21*1000/12</f>
        <v>#REF!</v>
      </c>
      <c r="G87" s="2256" t="e">
        <f>#REF!/G$21*1000/12</f>
        <v>#REF!</v>
      </c>
    </row>
    <row r="88" spans="1:7" x14ac:dyDescent="0.25">
      <c r="A88" s="2272" t="s">
        <v>2132</v>
      </c>
      <c r="B88" s="244" t="s">
        <v>55</v>
      </c>
      <c r="C88" s="2320" t="s">
        <v>3086</v>
      </c>
      <c r="D88" s="2256" t="e">
        <f>#REF!/D$21*1000/12</f>
        <v>#REF!</v>
      </c>
      <c r="E88" s="2256" t="e">
        <f>#REF!/E$21*1000/12</f>
        <v>#REF!</v>
      </c>
      <c r="F88" s="2256" t="e">
        <f>#REF!/F$21*1000/12</f>
        <v>#REF!</v>
      </c>
      <c r="G88" s="2256" t="e">
        <f>#REF!/G$21*1000/12</f>
        <v>#REF!</v>
      </c>
    </row>
    <row r="89" spans="1:7" ht="25.5" x14ac:dyDescent="0.25">
      <c r="A89" s="2272" t="s">
        <v>2133</v>
      </c>
      <c r="B89" s="152" t="s">
        <v>452</v>
      </c>
      <c r="C89" s="2320" t="s">
        <v>3086</v>
      </c>
      <c r="D89" s="2256" t="e">
        <f>#REF!/D$21*1000/12</f>
        <v>#REF!</v>
      </c>
      <c r="E89" s="2256" t="e">
        <f>#REF!/E$21*1000/12</f>
        <v>#REF!</v>
      </c>
      <c r="F89" s="2256" t="e">
        <f>#REF!/F$21*1000/12</f>
        <v>#REF!</v>
      </c>
      <c r="G89" s="2256" t="e">
        <f>#REF!/G$21*1000/12</f>
        <v>#REF!</v>
      </c>
    </row>
    <row r="90" spans="1:7" x14ac:dyDescent="0.25">
      <c r="A90" s="2272" t="s">
        <v>2976</v>
      </c>
      <c r="B90" s="2262" t="s">
        <v>243</v>
      </c>
      <c r="C90" s="2320" t="s">
        <v>3086</v>
      </c>
      <c r="D90" s="2256" t="e">
        <f>#REF!/D$21*1000/12</f>
        <v>#REF!</v>
      </c>
      <c r="E90" s="2256" t="e">
        <f>#REF!/E$21*1000/12</f>
        <v>#REF!</v>
      </c>
      <c r="F90" s="2256" t="e">
        <f>#REF!/F$21*1000/12</f>
        <v>#REF!</v>
      </c>
      <c r="G90" s="2256" t="e">
        <f>#REF!/G$21*1000/12</f>
        <v>#REF!</v>
      </c>
    </row>
    <row r="91" spans="1:7" x14ac:dyDescent="0.25">
      <c r="A91" s="2272" t="s">
        <v>677</v>
      </c>
      <c r="B91" s="152" t="s">
        <v>83</v>
      </c>
      <c r="C91" s="2320" t="s">
        <v>3086</v>
      </c>
      <c r="D91" s="2256" t="e">
        <f>#REF!/D$21*1000/12</f>
        <v>#REF!</v>
      </c>
      <c r="E91" s="2256" t="e">
        <f>#REF!/E$21*1000/12</f>
        <v>#REF!</v>
      </c>
      <c r="F91" s="2256" t="e">
        <f>#REF!/F$21*1000/12</f>
        <v>#REF!</v>
      </c>
      <c r="G91" s="2256" t="e">
        <f>#REF!/G$21*1000/12</f>
        <v>#REF!</v>
      </c>
    </row>
    <row r="92" spans="1:7" x14ac:dyDescent="0.25">
      <c r="A92" s="2272" t="s">
        <v>2977</v>
      </c>
      <c r="B92" s="152" t="s">
        <v>5</v>
      </c>
      <c r="C92" s="2320" t="s">
        <v>3086</v>
      </c>
      <c r="D92" s="2256" t="e">
        <f>#REF!/D$21*1000/12</f>
        <v>#REF!</v>
      </c>
      <c r="E92" s="2256" t="e">
        <f>#REF!/E$21*1000/12</f>
        <v>#REF!</v>
      </c>
      <c r="F92" s="2256" t="e">
        <f>#REF!/F$21*1000/12</f>
        <v>#REF!</v>
      </c>
      <c r="G92" s="2256" t="e">
        <f>#REF!/G$21*1000/12</f>
        <v>#REF!</v>
      </c>
    </row>
    <row r="93" spans="1:7" x14ac:dyDescent="0.25">
      <c r="A93" s="2272" t="s">
        <v>2978</v>
      </c>
      <c r="B93" s="152" t="s">
        <v>63</v>
      </c>
      <c r="C93" s="2320" t="s">
        <v>3086</v>
      </c>
      <c r="D93" s="2256" t="e">
        <f>#REF!/D$21*1000/12</f>
        <v>#REF!</v>
      </c>
      <c r="E93" s="2256" t="e">
        <f>#REF!/E$21*1000/12</f>
        <v>#REF!</v>
      </c>
      <c r="F93" s="2256" t="e">
        <f>#REF!/F$21*1000/12</f>
        <v>#REF!</v>
      </c>
      <c r="G93" s="2256" t="e">
        <f>#REF!/G$21*1000/12</f>
        <v>#REF!</v>
      </c>
    </row>
    <row r="94" spans="1:7" x14ac:dyDescent="0.25">
      <c r="A94" s="2272" t="s">
        <v>2979</v>
      </c>
      <c r="B94" s="152" t="s">
        <v>244</v>
      </c>
      <c r="C94" s="2320" t="s">
        <v>3086</v>
      </c>
      <c r="D94" s="2256" t="e">
        <f>#REF!/D$21*1000/12</f>
        <v>#REF!</v>
      </c>
      <c r="E94" s="2256" t="e">
        <f>#REF!/E$21*1000/12</f>
        <v>#REF!</v>
      </c>
      <c r="F94" s="2256" t="e">
        <f>#REF!/F$21*1000/12</f>
        <v>#REF!</v>
      </c>
      <c r="G94" s="2256" t="e">
        <f>#REF!/G$21*1000/12</f>
        <v>#REF!</v>
      </c>
    </row>
    <row r="95" spans="1:7" x14ac:dyDescent="0.25">
      <c r="A95" s="2272" t="s">
        <v>2980</v>
      </c>
      <c r="B95" s="152" t="s">
        <v>245</v>
      </c>
      <c r="C95" s="2320" t="s">
        <v>3086</v>
      </c>
      <c r="D95" s="2256" t="e">
        <f>#REF!/D$21*1000/12</f>
        <v>#REF!</v>
      </c>
      <c r="E95" s="2256" t="e">
        <f>#REF!/E$21*1000/12</f>
        <v>#REF!</v>
      </c>
      <c r="F95" s="2256" t="e">
        <f>#REF!/F$21*1000/12</f>
        <v>#REF!</v>
      </c>
      <c r="G95" s="2256" t="e">
        <f>#REF!/G$21*1000/12</f>
        <v>#REF!</v>
      </c>
    </row>
    <row r="96" spans="1:7" x14ac:dyDescent="0.25">
      <c r="A96" s="2272" t="s">
        <v>2981</v>
      </c>
      <c r="B96" s="152" t="s">
        <v>65</v>
      </c>
      <c r="C96" s="2320" t="s">
        <v>3086</v>
      </c>
      <c r="D96" s="2256" t="e">
        <f>#REF!/D$21*1000/12</f>
        <v>#REF!</v>
      </c>
      <c r="E96" s="2256" t="e">
        <f>#REF!/E$21*1000/12</f>
        <v>#REF!</v>
      </c>
      <c r="F96" s="2256" t="e">
        <f>#REF!/F$21*1000/12</f>
        <v>#REF!</v>
      </c>
      <c r="G96" s="2256" t="e">
        <f>#REF!/G$21*1000/12</f>
        <v>#REF!</v>
      </c>
    </row>
    <row r="97" spans="1:9" x14ac:dyDescent="0.25">
      <c r="A97" s="2272" t="s">
        <v>2982</v>
      </c>
      <c r="B97" s="152" t="s">
        <v>85</v>
      </c>
      <c r="C97" s="2320" t="s">
        <v>3086</v>
      </c>
      <c r="D97" s="2256" t="e">
        <f>#REF!/D$21*1000/12</f>
        <v>#REF!</v>
      </c>
      <c r="E97" s="2256" t="e">
        <f>#REF!/E$21*1000/12</f>
        <v>#REF!</v>
      </c>
      <c r="F97" s="2256" t="e">
        <f>#REF!/F$21*1000/12</f>
        <v>#REF!</v>
      </c>
      <c r="G97" s="2256" t="e">
        <f>#REF!/G$21*1000/12</f>
        <v>#REF!</v>
      </c>
    </row>
    <row r="98" spans="1:9" x14ac:dyDescent="0.25">
      <c r="A98" s="2272" t="s">
        <v>2983</v>
      </c>
      <c r="B98" s="152" t="s">
        <v>86</v>
      </c>
      <c r="C98" s="2320" t="s">
        <v>3086</v>
      </c>
      <c r="D98" s="2256" t="e">
        <f>#REF!/D$21*1000/12</f>
        <v>#REF!</v>
      </c>
      <c r="E98" s="2256" t="e">
        <f>#REF!/E$21*1000/12</f>
        <v>#REF!</v>
      </c>
      <c r="F98" s="2256" t="e">
        <f>#REF!/F$21*1000/12</f>
        <v>#REF!</v>
      </c>
      <c r="G98" s="2256" t="e">
        <f>#REF!/G$21*1000/12</f>
        <v>#REF!</v>
      </c>
    </row>
    <row r="99" spans="1:9" x14ac:dyDescent="0.25">
      <c r="A99" s="2272" t="s">
        <v>2984</v>
      </c>
      <c r="B99" s="152" t="s">
        <v>71</v>
      </c>
      <c r="C99" s="2320" t="s">
        <v>3086</v>
      </c>
      <c r="D99" s="2256" t="e">
        <f>#REF!/D$21*1000/12</f>
        <v>#REF!</v>
      </c>
      <c r="E99" s="2256" t="e">
        <f>#REF!/E$21*1000/12</f>
        <v>#REF!</v>
      </c>
      <c r="F99" s="2256" t="e">
        <f>#REF!/F$21*1000/12</f>
        <v>#REF!</v>
      </c>
      <c r="G99" s="2256" t="e">
        <f>#REF!/G$21*1000/12</f>
        <v>#REF!</v>
      </c>
    </row>
    <row r="100" spans="1:9" x14ac:dyDescent="0.25">
      <c r="A100" s="2272" t="s">
        <v>2985</v>
      </c>
      <c r="B100" s="152" t="s">
        <v>87</v>
      </c>
      <c r="C100" s="2320" t="s">
        <v>3086</v>
      </c>
      <c r="D100" s="2256" t="e">
        <f>#REF!/D$21*1000/12</f>
        <v>#REF!</v>
      </c>
      <c r="E100" s="2256" t="e">
        <f>#REF!/E$21*1000/12</f>
        <v>#REF!</v>
      </c>
      <c r="F100" s="2256" t="e">
        <f>#REF!/F$21*1000/12</f>
        <v>#REF!</v>
      </c>
      <c r="G100" s="2256" t="e">
        <f>#REF!/G$21*1000/12</f>
        <v>#REF!</v>
      </c>
    </row>
    <row r="101" spans="1:9" x14ac:dyDescent="0.25">
      <c r="A101" s="4075" t="s">
        <v>3091</v>
      </c>
      <c r="B101" s="4075"/>
      <c r="C101" s="4075"/>
      <c r="D101" s="4075"/>
      <c r="E101" s="4075"/>
      <c r="F101" s="4075"/>
      <c r="G101" s="4075"/>
    </row>
    <row r="102" spans="1:9" ht="25.5" x14ac:dyDescent="0.25">
      <c r="A102" s="2268" t="s">
        <v>2986</v>
      </c>
      <c r="B102" s="152" t="s">
        <v>3017</v>
      </c>
      <c r="C102" s="2318" t="s">
        <v>3084</v>
      </c>
      <c r="D102" s="2256" t="e">
        <f>#REF!/D$20*1000/12</f>
        <v>#REF!</v>
      </c>
      <c r="E102" s="2256" t="e">
        <f>#REF!/E$20*1000/12</f>
        <v>#REF!</v>
      </c>
      <c r="F102" s="2256" t="e">
        <f>#REF!/F$20*1000/12</f>
        <v>#REF!</v>
      </c>
      <c r="G102" s="2256" t="e">
        <f>#REF!/G$20*1000/12</f>
        <v>#REF!</v>
      </c>
      <c r="I102" s="1305"/>
    </row>
    <row r="103" spans="1:9" x14ac:dyDescent="0.25">
      <c r="A103" s="2270" t="s">
        <v>2987</v>
      </c>
      <c r="B103" s="152" t="s">
        <v>225</v>
      </c>
      <c r="C103" s="2320" t="s">
        <v>3086</v>
      </c>
      <c r="D103" s="2256" t="e">
        <f>#REF!/D$20*1000/12</f>
        <v>#REF!</v>
      </c>
      <c r="E103" s="2256" t="e">
        <f>#REF!/E$20*1000/12</f>
        <v>#REF!</v>
      </c>
      <c r="F103" s="2256" t="e">
        <f>#REF!/F$20*1000/12</f>
        <v>#REF!</v>
      </c>
      <c r="G103" s="2256" t="e">
        <f>#REF!/G$20*1000/12</f>
        <v>#REF!</v>
      </c>
    </row>
    <row r="104" spans="1:9" x14ac:dyDescent="0.25">
      <c r="A104" s="2270" t="s">
        <v>2988</v>
      </c>
      <c r="B104" s="152" t="s">
        <v>103</v>
      </c>
      <c r="C104" s="2320" t="s">
        <v>3086</v>
      </c>
      <c r="D104" s="2256" t="e">
        <f>#REF!/D$20*1000/12</f>
        <v>#REF!</v>
      </c>
      <c r="E104" s="2256" t="e">
        <f>#REF!/E$20*1000/12</f>
        <v>#REF!</v>
      </c>
      <c r="F104" s="2256" t="e">
        <f>#REF!/F$20*1000/12</f>
        <v>#REF!</v>
      </c>
      <c r="G104" s="2256" t="e">
        <f>#REF!/G$20*1000/12</f>
        <v>#REF!</v>
      </c>
    </row>
    <row r="105" spans="1:9" x14ac:dyDescent="0.25">
      <c r="A105" s="2270" t="s">
        <v>2989</v>
      </c>
      <c r="B105" s="152" t="s">
        <v>47</v>
      </c>
      <c r="C105" s="2320" t="s">
        <v>3086</v>
      </c>
      <c r="D105" s="2256" t="e">
        <f>#REF!/D$20*1000/12</f>
        <v>#REF!</v>
      </c>
      <c r="E105" s="2256" t="e">
        <f>#REF!/E$20*1000/12</f>
        <v>#REF!</v>
      </c>
      <c r="F105" s="2256" t="e">
        <f>#REF!/F$20*1000/12</f>
        <v>#REF!</v>
      </c>
      <c r="G105" s="2256" t="e">
        <f>#REF!/G$20*1000/12</f>
        <v>#REF!</v>
      </c>
    </row>
    <row r="106" spans="1:9" x14ac:dyDescent="0.25">
      <c r="A106" s="2270" t="s">
        <v>2990</v>
      </c>
      <c r="B106" s="152" t="s">
        <v>227</v>
      </c>
      <c r="C106" s="2320" t="s">
        <v>3086</v>
      </c>
      <c r="D106" s="2256" t="e">
        <f>#REF!/D$20*1000/12</f>
        <v>#REF!</v>
      </c>
      <c r="E106" s="2256" t="e">
        <f>#REF!/E$20*1000/12</f>
        <v>#REF!</v>
      </c>
      <c r="F106" s="2256" t="e">
        <f>#REF!/F$20*1000/12</f>
        <v>#REF!</v>
      </c>
      <c r="G106" s="2256" t="e">
        <f>#REF!/G$20*1000/12</f>
        <v>#REF!</v>
      </c>
    </row>
    <row r="107" spans="1:9" ht="25.5" x14ac:dyDescent="0.25">
      <c r="A107" s="2270" t="s">
        <v>2991</v>
      </c>
      <c r="B107" s="152" t="s">
        <v>452</v>
      </c>
      <c r="C107" s="2320" t="s">
        <v>3086</v>
      </c>
      <c r="D107" s="2256" t="e">
        <f>#REF!/D$20*1000/12</f>
        <v>#REF!</v>
      </c>
      <c r="E107" s="2256" t="e">
        <f>#REF!/E$20*1000/12</f>
        <v>#REF!</v>
      </c>
      <c r="F107" s="2256" t="e">
        <f>#REF!/F$20*1000/12</f>
        <v>#REF!</v>
      </c>
      <c r="G107" s="2256" t="e">
        <f>#REF!/G$20*1000/12</f>
        <v>#REF!</v>
      </c>
    </row>
    <row r="108" spans="1:9" x14ac:dyDescent="0.25">
      <c r="A108" s="2270" t="s">
        <v>2992</v>
      </c>
      <c r="B108" s="152" t="s">
        <v>460</v>
      </c>
      <c r="C108" s="2320" t="s">
        <v>3086</v>
      </c>
      <c r="D108" s="2256" t="e">
        <f>#REF!/D$20*1000/12</f>
        <v>#REF!</v>
      </c>
      <c r="E108" s="2256" t="e">
        <f>#REF!/E$20*1000/12</f>
        <v>#REF!</v>
      </c>
      <c r="F108" s="2256" t="e">
        <f>#REF!/F$20*1000/12</f>
        <v>#REF!</v>
      </c>
      <c r="G108" s="2256" t="e">
        <f>#REF!/G$20*1000/12</f>
        <v>#REF!</v>
      </c>
    </row>
    <row r="109" spans="1:9" x14ac:dyDescent="0.25">
      <c r="A109" s="2270" t="s">
        <v>2993</v>
      </c>
      <c r="B109" s="152" t="s">
        <v>52</v>
      </c>
      <c r="C109" s="2320" t="s">
        <v>3086</v>
      </c>
      <c r="D109" s="2256" t="e">
        <f>#REF!/D$20*1000/12</f>
        <v>#REF!</v>
      </c>
      <c r="E109" s="2256" t="e">
        <f>#REF!/E$20*1000/12</f>
        <v>#REF!</v>
      </c>
      <c r="F109" s="2256" t="e">
        <f>#REF!/F$20*1000/12</f>
        <v>#REF!</v>
      </c>
      <c r="G109" s="2256" t="e">
        <f>#REF!/G$20*1000/12</f>
        <v>#REF!</v>
      </c>
    </row>
    <row r="110" spans="1:9" x14ac:dyDescent="0.25">
      <c r="A110" s="2270" t="s">
        <v>2994</v>
      </c>
      <c r="B110" s="152" t="s">
        <v>228</v>
      </c>
      <c r="C110" s="2320" t="s">
        <v>3086</v>
      </c>
      <c r="D110" s="2256" t="e">
        <f>#REF!/D$20*1000/12</f>
        <v>#REF!</v>
      </c>
      <c r="E110" s="2256" t="e">
        <f>#REF!/E$20*1000/12</f>
        <v>#REF!</v>
      </c>
      <c r="F110" s="2256" t="e">
        <f>#REF!/F$20*1000/12</f>
        <v>#REF!</v>
      </c>
      <c r="G110" s="2256" t="e">
        <f>#REF!/G$20*1000/12</f>
        <v>#REF!</v>
      </c>
    </row>
    <row r="111" spans="1:9" x14ac:dyDescent="0.25">
      <c r="A111" s="2270" t="s">
        <v>2995</v>
      </c>
      <c r="B111" s="152" t="s">
        <v>55</v>
      </c>
      <c r="C111" s="2320" t="s">
        <v>3086</v>
      </c>
      <c r="D111" s="2256" t="e">
        <f>#REF!/D$20*1000/12</f>
        <v>#REF!</v>
      </c>
      <c r="E111" s="2256" t="e">
        <f>#REF!/E$20*1000/12</f>
        <v>#REF!</v>
      </c>
      <c r="F111" s="2256" t="e">
        <f>#REF!/F$20*1000/12</f>
        <v>#REF!</v>
      </c>
      <c r="G111" s="2256" t="e">
        <f>#REF!/G$20*1000/12</f>
        <v>#REF!</v>
      </c>
    </row>
    <row r="112" spans="1:9" ht="25.5" x14ac:dyDescent="0.25">
      <c r="A112" s="2270" t="s">
        <v>2996</v>
      </c>
      <c r="B112" s="152" t="s">
        <v>452</v>
      </c>
      <c r="C112" s="2320" t="s">
        <v>3086</v>
      </c>
      <c r="D112" s="2256" t="e">
        <f>#REF!/D$20*1000/12</f>
        <v>#REF!</v>
      </c>
      <c r="E112" s="2256" t="e">
        <f>#REF!/E$20*1000/12</f>
        <v>#REF!</v>
      </c>
      <c r="F112" s="2256" t="e">
        <f>#REF!/F$20*1000/12</f>
        <v>#REF!</v>
      </c>
      <c r="G112" s="2256" t="e">
        <f>#REF!/G$20*1000/12</f>
        <v>#REF!</v>
      </c>
    </row>
    <row r="113" spans="1:7" x14ac:dyDescent="0.25">
      <c r="A113" s="2270" t="s">
        <v>2997</v>
      </c>
      <c r="B113" s="152" t="s">
        <v>58</v>
      </c>
      <c r="C113" s="2320" t="s">
        <v>3086</v>
      </c>
      <c r="D113" s="2256" t="e">
        <f>#REF!/D$20*1000/12</f>
        <v>#REF!</v>
      </c>
      <c r="E113" s="2256" t="e">
        <f>#REF!/E$20*1000/12</f>
        <v>#REF!</v>
      </c>
      <c r="F113" s="2256" t="e">
        <f>#REF!/F$20*1000/12</f>
        <v>#REF!</v>
      </c>
      <c r="G113" s="2256" t="e">
        <f>#REF!/G$20*1000/12</f>
        <v>#REF!</v>
      </c>
    </row>
    <row r="114" spans="1:7" x14ac:dyDescent="0.25">
      <c r="A114" s="2270" t="s">
        <v>2998</v>
      </c>
      <c r="B114" s="152" t="s">
        <v>229</v>
      </c>
      <c r="C114" s="2320" t="s">
        <v>3086</v>
      </c>
      <c r="D114" s="2256" t="e">
        <f>#REF!/D$20*1000/12</f>
        <v>#REF!</v>
      </c>
      <c r="E114" s="2256" t="e">
        <f>#REF!/E$20*1000/12</f>
        <v>#REF!</v>
      </c>
      <c r="F114" s="2256" t="e">
        <f>#REF!/F$20*1000/12</f>
        <v>#REF!</v>
      </c>
      <c r="G114" s="2256" t="e">
        <f>#REF!/G$20*1000/12</f>
        <v>#REF!</v>
      </c>
    </row>
    <row r="115" spans="1:7" x14ac:dyDescent="0.25">
      <c r="A115" s="2270" t="s">
        <v>2999</v>
      </c>
      <c r="B115" s="152" t="s">
        <v>55</v>
      </c>
      <c r="C115" s="2320" t="s">
        <v>3086</v>
      </c>
      <c r="D115" s="2256" t="e">
        <f>#REF!/D$20*1000/12</f>
        <v>#REF!</v>
      </c>
      <c r="E115" s="2256" t="e">
        <f>#REF!/E$20*1000/12</f>
        <v>#REF!</v>
      </c>
      <c r="F115" s="2256" t="e">
        <f>#REF!/F$20*1000/12</f>
        <v>#REF!</v>
      </c>
      <c r="G115" s="2256" t="e">
        <f>#REF!/G$20*1000/12</f>
        <v>#REF!</v>
      </c>
    </row>
    <row r="116" spans="1:7" ht="25.5" x14ac:dyDescent="0.25">
      <c r="A116" s="2270" t="s">
        <v>3000</v>
      </c>
      <c r="B116" s="152" t="s">
        <v>452</v>
      </c>
      <c r="C116" s="2320" t="s">
        <v>3086</v>
      </c>
      <c r="D116" s="2256" t="e">
        <f>#REF!/D$20*1000/12</f>
        <v>#REF!</v>
      </c>
      <c r="E116" s="2256" t="e">
        <f>#REF!/E$20*1000/12</f>
        <v>#REF!</v>
      </c>
      <c r="F116" s="2256" t="e">
        <f>#REF!/F$20*1000/12</f>
        <v>#REF!</v>
      </c>
      <c r="G116" s="2256" t="e">
        <f>#REF!/G$20*1000/12</f>
        <v>#REF!</v>
      </c>
    </row>
    <row r="117" spans="1:7" x14ac:dyDescent="0.25">
      <c r="A117" s="2270" t="s">
        <v>3001</v>
      </c>
      <c r="B117" s="152" t="s">
        <v>58</v>
      </c>
      <c r="C117" s="2320" t="s">
        <v>3086</v>
      </c>
      <c r="D117" s="2256" t="e">
        <f>#REF!/D$20*1000/12</f>
        <v>#REF!</v>
      </c>
      <c r="E117" s="2256" t="e">
        <f>#REF!/E$20*1000/12</f>
        <v>#REF!</v>
      </c>
      <c r="F117" s="2256" t="e">
        <f>#REF!/F$20*1000/12</f>
        <v>#REF!</v>
      </c>
      <c r="G117" s="2256" t="e">
        <f>#REF!/G$20*1000/12</f>
        <v>#REF!</v>
      </c>
    </row>
    <row r="118" spans="1:7" x14ac:dyDescent="0.25">
      <c r="A118" s="2270" t="s">
        <v>3002</v>
      </c>
      <c r="B118" s="244" t="s">
        <v>230</v>
      </c>
      <c r="C118" s="2320" t="s">
        <v>3086</v>
      </c>
      <c r="D118" s="2256" t="e">
        <f>#REF!/D$20*1000/12</f>
        <v>#REF!</v>
      </c>
      <c r="E118" s="2256" t="e">
        <f>#REF!/E$20*1000/12</f>
        <v>#REF!</v>
      </c>
      <c r="F118" s="2256" t="e">
        <f>#REF!/F$20*1000/12</f>
        <v>#REF!</v>
      </c>
      <c r="G118" s="2256" t="e">
        <f>#REF!/G$20*1000/12</f>
        <v>#REF!</v>
      </c>
    </row>
    <row r="119" spans="1:7" x14ac:dyDescent="0.25">
      <c r="A119" s="2270" t="s">
        <v>2065</v>
      </c>
      <c r="B119" s="244" t="s">
        <v>55</v>
      </c>
      <c r="C119" s="2320" t="s">
        <v>3086</v>
      </c>
      <c r="D119" s="2256" t="e">
        <f>#REF!/D$20*1000/12</f>
        <v>#REF!</v>
      </c>
      <c r="E119" s="2256" t="e">
        <f>#REF!/E$20*1000/12</f>
        <v>#REF!</v>
      </c>
      <c r="F119" s="2256" t="e">
        <f>#REF!/F$20*1000/12</f>
        <v>#REF!</v>
      </c>
      <c r="G119" s="2256" t="e">
        <f>#REF!/G$20*1000/12</f>
        <v>#REF!</v>
      </c>
    </row>
    <row r="120" spans="1:7" ht="25.5" x14ac:dyDescent="0.25">
      <c r="A120" s="2270" t="s">
        <v>2067</v>
      </c>
      <c r="B120" s="244" t="s">
        <v>452</v>
      </c>
      <c r="C120" s="2320" t="s">
        <v>3086</v>
      </c>
      <c r="D120" s="2256" t="e">
        <f>#REF!/D$20*1000/12</f>
        <v>#REF!</v>
      </c>
      <c r="E120" s="2256" t="e">
        <f>#REF!/E$20*1000/12</f>
        <v>#REF!</v>
      </c>
      <c r="F120" s="2256" t="e">
        <f>#REF!/F$20*1000/12</f>
        <v>#REF!</v>
      </c>
      <c r="G120" s="2256" t="e">
        <f>#REF!/G$20*1000/12</f>
        <v>#REF!</v>
      </c>
    </row>
    <row r="121" spans="1:7" x14ac:dyDescent="0.25">
      <c r="A121" s="2270" t="s">
        <v>3003</v>
      </c>
      <c r="B121" s="2262" t="s">
        <v>243</v>
      </c>
      <c r="C121" s="2320" t="s">
        <v>3086</v>
      </c>
      <c r="D121" s="2256" t="e">
        <f>#REF!/D$20*1000/12</f>
        <v>#REF!</v>
      </c>
      <c r="E121" s="2256" t="e">
        <f>#REF!/E$20*1000/12</f>
        <v>#REF!</v>
      </c>
      <c r="F121" s="2256" t="e">
        <f>#REF!/F$20*1000/12</f>
        <v>#REF!</v>
      </c>
      <c r="G121" s="2256" t="e">
        <f>#REF!/G$20*1000/12</f>
        <v>#REF!</v>
      </c>
    </row>
    <row r="122" spans="1:7" x14ac:dyDescent="0.25">
      <c r="A122" s="2270" t="s">
        <v>3004</v>
      </c>
      <c r="B122" s="152" t="s">
        <v>106</v>
      </c>
      <c r="C122" s="2320" t="s">
        <v>3086</v>
      </c>
      <c r="D122" s="2256" t="e">
        <f>#REF!/D$20*1000/12</f>
        <v>#REF!</v>
      </c>
      <c r="E122" s="2256" t="e">
        <f>#REF!/E$20*1000/12</f>
        <v>#REF!</v>
      </c>
      <c r="F122" s="2256" t="e">
        <f>#REF!/F$20*1000/12</f>
        <v>#REF!</v>
      </c>
      <c r="G122" s="2256" t="e">
        <f>#REF!/G$20*1000/12</f>
        <v>#REF!</v>
      </c>
    </row>
    <row r="123" spans="1:7" x14ac:dyDescent="0.25">
      <c r="A123" s="2270" t="s">
        <v>3005</v>
      </c>
      <c r="B123" s="152" t="s">
        <v>5</v>
      </c>
      <c r="C123" s="2320" t="s">
        <v>3086</v>
      </c>
      <c r="D123" s="2256" t="e">
        <f>#REF!/D$20*1000/12</f>
        <v>#REF!</v>
      </c>
      <c r="E123" s="2256" t="e">
        <f>#REF!/E$20*1000/12</f>
        <v>#REF!</v>
      </c>
      <c r="F123" s="2256" t="e">
        <f>#REF!/F$20*1000/12</f>
        <v>#REF!</v>
      </c>
      <c r="G123" s="2256" t="e">
        <f>#REF!/G$20*1000/12</f>
        <v>#REF!</v>
      </c>
    </row>
    <row r="124" spans="1:7" x14ac:dyDescent="0.25">
      <c r="A124" s="2270" t="s">
        <v>3006</v>
      </c>
      <c r="B124" s="152" t="s">
        <v>63</v>
      </c>
      <c r="C124" s="2320" t="s">
        <v>3086</v>
      </c>
      <c r="D124" s="2256" t="e">
        <f>#REF!/D$20*1000/12</f>
        <v>#REF!</v>
      </c>
      <c r="E124" s="2256" t="e">
        <f>#REF!/E$20*1000/12</f>
        <v>#REF!</v>
      </c>
      <c r="F124" s="2256" t="e">
        <f>#REF!/F$20*1000/12</f>
        <v>#REF!</v>
      </c>
      <c r="G124" s="2256" t="e">
        <f>#REF!/G$20*1000/12</f>
        <v>#REF!</v>
      </c>
    </row>
    <row r="125" spans="1:7" ht="14.45" customHeight="1" x14ac:dyDescent="0.25">
      <c r="A125" s="2270" t="s">
        <v>3007</v>
      </c>
      <c r="B125" s="152" t="s">
        <v>231</v>
      </c>
      <c r="C125" s="2320" t="s">
        <v>3086</v>
      </c>
      <c r="D125" s="2256" t="e">
        <f>#REF!/D$20*1000/12</f>
        <v>#REF!</v>
      </c>
      <c r="E125" s="2256" t="e">
        <f>#REF!/E$20*1000/12</f>
        <v>#REF!</v>
      </c>
      <c r="F125" s="2256" t="e">
        <f>#REF!/F$20*1000/12</f>
        <v>#REF!</v>
      </c>
      <c r="G125" s="2256" t="e">
        <f>#REF!/G$20*1000/12</f>
        <v>#REF!</v>
      </c>
    </row>
    <row r="126" spans="1:7" x14ac:dyDescent="0.25">
      <c r="A126" s="2270" t="s">
        <v>3008</v>
      </c>
      <c r="B126" s="152" t="s">
        <v>252</v>
      </c>
      <c r="C126" s="2320" t="s">
        <v>3086</v>
      </c>
      <c r="D126" s="2256" t="e">
        <f>#REF!/D$20*1000/12</f>
        <v>#REF!</v>
      </c>
      <c r="E126" s="2256" t="e">
        <f>#REF!/E$20*1000/12</f>
        <v>#REF!</v>
      </c>
      <c r="F126" s="2256" t="e">
        <f>#REF!/F$20*1000/12</f>
        <v>#REF!</v>
      </c>
      <c r="G126" s="2256" t="e">
        <f>#REF!/G$20*1000/12</f>
        <v>#REF!</v>
      </c>
    </row>
    <row r="127" spans="1:7" x14ac:dyDescent="0.25">
      <c r="A127" s="2270" t="s">
        <v>3009</v>
      </c>
      <c r="B127" s="152" t="s">
        <v>65</v>
      </c>
      <c r="C127" s="2320" t="s">
        <v>3086</v>
      </c>
      <c r="D127" s="2256" t="e">
        <f>#REF!/D$20*1000/12</f>
        <v>#REF!</v>
      </c>
      <c r="E127" s="2256" t="e">
        <f>#REF!/E$20*1000/12</f>
        <v>#REF!</v>
      </c>
      <c r="F127" s="2256" t="e">
        <f>#REF!/F$20*1000/12</f>
        <v>#REF!</v>
      </c>
      <c r="G127" s="2256" t="e">
        <f>#REF!/G$20*1000/12</f>
        <v>#REF!</v>
      </c>
    </row>
    <row r="128" spans="1:7" x14ac:dyDescent="0.25">
      <c r="A128" s="2270" t="s">
        <v>3010</v>
      </c>
      <c r="B128" s="152" t="s">
        <v>85</v>
      </c>
      <c r="C128" s="2320" t="s">
        <v>3086</v>
      </c>
      <c r="D128" s="2256" t="e">
        <f>#REF!/D$20*1000/12</f>
        <v>#REF!</v>
      </c>
      <c r="E128" s="2256" t="e">
        <f>#REF!/E$20*1000/12</f>
        <v>#REF!</v>
      </c>
      <c r="F128" s="2256" t="e">
        <f>#REF!/F$20*1000/12</f>
        <v>#REF!</v>
      </c>
      <c r="G128" s="2256" t="e">
        <f>#REF!/G$20*1000/12</f>
        <v>#REF!</v>
      </c>
    </row>
    <row r="129" spans="1:7" x14ac:dyDescent="0.25">
      <c r="A129" s="2270" t="s">
        <v>3011</v>
      </c>
      <c r="B129" s="152" t="s">
        <v>86</v>
      </c>
      <c r="C129" s="2320" t="s">
        <v>3086</v>
      </c>
      <c r="D129" s="2256" t="e">
        <f>#REF!/D$20*1000/12</f>
        <v>#REF!</v>
      </c>
      <c r="E129" s="2256" t="e">
        <f>#REF!/E$20*1000/12</f>
        <v>#REF!</v>
      </c>
      <c r="F129" s="2256" t="e">
        <f>#REF!/F$20*1000/12</f>
        <v>#REF!</v>
      </c>
      <c r="G129" s="2256" t="e">
        <f>#REF!/G$20*1000/12</f>
        <v>#REF!</v>
      </c>
    </row>
    <row r="130" spans="1:7" x14ac:dyDescent="0.25">
      <c r="A130" s="2270" t="s">
        <v>3012</v>
      </c>
      <c r="B130" s="152" t="s">
        <v>71</v>
      </c>
      <c r="C130" s="2320" t="s">
        <v>3086</v>
      </c>
      <c r="D130" s="2256" t="e">
        <f>#REF!/D$20*1000/12</f>
        <v>#REF!</v>
      </c>
      <c r="E130" s="2256" t="e">
        <f>#REF!/E$20*1000/12</f>
        <v>#REF!</v>
      </c>
      <c r="F130" s="2256" t="e">
        <f>#REF!/F$20*1000/12</f>
        <v>#REF!</v>
      </c>
      <c r="G130" s="2256" t="e">
        <f>#REF!/G$20*1000/12</f>
        <v>#REF!</v>
      </c>
    </row>
    <row r="131" spans="1:7" x14ac:dyDescent="0.25">
      <c r="A131" s="2270" t="s">
        <v>3013</v>
      </c>
      <c r="B131" s="152" t="s">
        <v>87</v>
      </c>
      <c r="C131" s="2320" t="s">
        <v>3086</v>
      </c>
      <c r="D131" s="2256" t="e">
        <f>#REF!/D$20*1000/12</f>
        <v>#REF!</v>
      </c>
      <c r="E131" s="2256" t="e">
        <f>#REF!/E$20*1000/12</f>
        <v>#REF!</v>
      </c>
      <c r="F131" s="2256" t="e">
        <f>#REF!/F$20*1000/12</f>
        <v>#REF!</v>
      </c>
      <c r="G131" s="2256" t="e">
        <f>#REF!/G$20*1000/12</f>
        <v>#REF!</v>
      </c>
    </row>
    <row r="135" spans="1:7" ht="15.75" x14ac:dyDescent="0.25">
      <c r="B135" s="1999" t="s">
        <v>2868</v>
      </c>
      <c r="C135" s="1999"/>
      <c r="D135" s="4072" t="s">
        <v>2869</v>
      </c>
      <c r="E135" s="4072"/>
      <c r="F135" s="4072"/>
      <c r="G135" s="4072"/>
    </row>
    <row r="141" spans="1:7" x14ac:dyDescent="0.25">
      <c r="D141" s="2236"/>
    </row>
  </sheetData>
  <mergeCells count="22">
    <mergeCell ref="L1:N1"/>
    <mergeCell ref="L2:N2"/>
    <mergeCell ref="L3:N3"/>
    <mergeCell ref="L4:N4"/>
    <mergeCell ref="D9:G9"/>
    <mergeCell ref="A7:G7"/>
    <mergeCell ref="A6:G6"/>
    <mergeCell ref="D1:G1"/>
    <mergeCell ref="D2:G2"/>
    <mergeCell ref="D3:G3"/>
    <mergeCell ref="D4:G4"/>
    <mergeCell ref="B9:B10"/>
    <mergeCell ref="A9:A10"/>
    <mergeCell ref="C9:C10"/>
    <mergeCell ref="A12:G12"/>
    <mergeCell ref="A15:G15"/>
    <mergeCell ref="D135:G135"/>
    <mergeCell ref="A23:G23"/>
    <mergeCell ref="A30:G30"/>
    <mergeCell ref="A61:G61"/>
    <mergeCell ref="A65:G65"/>
    <mergeCell ref="A101:G101"/>
  </mergeCells>
  <pageMargins left="1.0236220472440944" right="0.47244094488188981" top="0.51181102362204722" bottom="0.39370078740157483" header="0.31496062992125984" footer="0.31496062992125984"/>
  <pageSetup paperSize="9" orientation="portrait" horizontalDpi="0"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00FF"/>
  </sheetPr>
  <dimension ref="A1:I135"/>
  <sheetViews>
    <sheetView workbookViewId="0">
      <selection sqref="A1:XFD1048576"/>
    </sheetView>
  </sheetViews>
  <sheetFormatPr defaultColWidth="8.85546875" defaultRowHeight="15" x14ac:dyDescent="0.25"/>
  <cols>
    <col min="1" max="1" width="5.28515625" style="1734" customWidth="1"/>
    <col min="2" max="2" width="34.28515625" style="2235" customWidth="1"/>
    <col min="3" max="3" width="8" style="2235" customWidth="1"/>
    <col min="4" max="4" width="13.28515625" style="18" customWidth="1"/>
    <col min="5" max="5" width="12.28515625" style="18" customWidth="1"/>
    <col min="6" max="6" width="11.85546875" style="18" customWidth="1"/>
    <col min="7" max="7" width="12" style="18" customWidth="1"/>
    <col min="8" max="8" width="8.85546875" style="18"/>
    <col min="9" max="9" width="8.85546875" style="1209"/>
    <col min="10" max="16384" width="8.85546875" style="18"/>
  </cols>
  <sheetData>
    <row r="1" spans="1:9" s="58" customFormat="1" ht="15.75" x14ac:dyDescent="0.25">
      <c r="A1" s="2242"/>
      <c r="B1" s="2244"/>
      <c r="C1" s="2244"/>
      <c r="D1" s="4076" t="s">
        <v>2955</v>
      </c>
      <c r="E1" s="4076"/>
      <c r="F1" s="4076"/>
      <c r="I1" s="1841"/>
    </row>
    <row r="2" spans="1:9" s="58" customFormat="1" ht="15.75" x14ac:dyDescent="0.25">
      <c r="A2" s="2242"/>
      <c r="B2" s="2244"/>
      <c r="C2" s="2244"/>
      <c r="D2" s="4077" t="s">
        <v>2859</v>
      </c>
      <c r="E2" s="4077"/>
      <c r="F2" s="4077"/>
      <c r="I2" s="1841"/>
    </row>
    <row r="3" spans="1:9" s="58" customFormat="1" ht="27.6" customHeight="1" x14ac:dyDescent="0.25">
      <c r="A3" s="2242"/>
      <c r="B3" s="2244"/>
      <c r="C3" s="2244"/>
      <c r="D3" s="4078" t="s">
        <v>2874</v>
      </c>
      <c r="E3" s="4078"/>
      <c r="F3" s="4078"/>
      <c r="I3" s="1841"/>
    </row>
    <row r="4" spans="1:9" s="58" customFormat="1" ht="15.75" x14ac:dyDescent="0.25">
      <c r="A4" s="2242"/>
      <c r="B4" s="2244"/>
      <c r="C4" s="2244"/>
      <c r="D4" s="4077" t="s">
        <v>2870</v>
      </c>
      <c r="E4" s="4077"/>
      <c r="F4" s="4077"/>
      <c r="I4" s="1841"/>
    </row>
    <row r="5" spans="1:9" s="58" customFormat="1" ht="15.75" x14ac:dyDescent="0.25">
      <c r="A5" s="1734"/>
      <c r="B5" s="2243"/>
      <c r="C5" s="2243"/>
      <c r="I5" s="1841"/>
    </row>
    <row r="6" spans="1:9" s="58" customFormat="1" ht="15.75" x14ac:dyDescent="0.25">
      <c r="A6" s="4083" t="s">
        <v>3018</v>
      </c>
      <c r="B6" s="4083"/>
      <c r="C6" s="4083"/>
      <c r="D6" s="4083"/>
      <c r="E6" s="4083"/>
      <c r="F6" s="4083"/>
      <c r="G6" s="4083"/>
      <c r="I6" s="1841"/>
    </row>
    <row r="7" spans="1:9" s="58" customFormat="1" ht="67.150000000000006" customHeight="1" x14ac:dyDescent="0.25">
      <c r="A7" s="4082" t="s">
        <v>2958</v>
      </c>
      <c r="B7" s="4082"/>
      <c r="C7" s="4082"/>
      <c r="D7" s="4082"/>
      <c r="E7" s="4082"/>
      <c r="F7" s="4082"/>
      <c r="G7" s="4082"/>
      <c r="I7" s="1841"/>
    </row>
    <row r="8" spans="1:9" s="58" customFormat="1" ht="14.45" customHeight="1" x14ac:dyDescent="0.25">
      <c r="A8" s="2259"/>
      <c r="B8" s="2259"/>
      <c r="C8" s="2259"/>
      <c r="D8" s="2241"/>
      <c r="E8" s="2241"/>
      <c r="F8" s="2241"/>
      <c r="G8" s="2260" t="s">
        <v>1666</v>
      </c>
      <c r="I8" s="1841"/>
    </row>
    <row r="9" spans="1:9" s="53" customFormat="1" ht="15.75" x14ac:dyDescent="0.25">
      <c r="A9" s="4091" t="s">
        <v>2915</v>
      </c>
      <c r="B9" s="4093" t="s">
        <v>111</v>
      </c>
      <c r="C9" s="2317"/>
      <c r="D9" s="4079" t="s">
        <v>2916</v>
      </c>
      <c r="E9" s="4080"/>
      <c r="F9" s="4080"/>
      <c r="G9" s="4081"/>
      <c r="I9" s="2254"/>
    </row>
    <row r="10" spans="1:9" s="53" customFormat="1" ht="38.25" x14ac:dyDescent="0.25">
      <c r="A10" s="4092"/>
      <c r="B10" s="4094"/>
      <c r="C10" s="2309"/>
      <c r="D10" s="1792" t="s">
        <v>2790</v>
      </c>
      <c r="E10" s="1792" t="s">
        <v>2791</v>
      </c>
      <c r="F10" s="1792" t="s">
        <v>2917</v>
      </c>
      <c r="G10" s="1792" t="s">
        <v>2857</v>
      </c>
      <c r="I10" s="2254"/>
    </row>
    <row r="11" spans="1:9" s="53" customFormat="1" ht="15.75" x14ac:dyDescent="0.25">
      <c r="A11" s="2035">
        <v>1</v>
      </c>
      <c r="B11" s="2258">
        <v>2</v>
      </c>
      <c r="C11" s="2258"/>
      <c r="D11" s="2035">
        <v>3</v>
      </c>
      <c r="E11" s="2035">
        <v>4</v>
      </c>
      <c r="F11" s="2035">
        <v>5</v>
      </c>
      <c r="G11" s="2035">
        <v>6</v>
      </c>
      <c r="I11" s="2254"/>
    </row>
    <row r="12" spans="1:9" s="58" customFormat="1" ht="15.75" x14ac:dyDescent="0.25">
      <c r="A12" s="4068" t="s">
        <v>2918</v>
      </c>
      <c r="B12" s="4068"/>
      <c r="C12" s="4068"/>
      <c r="D12" s="4068"/>
      <c r="E12" s="4068"/>
      <c r="F12" s="4068"/>
      <c r="G12" s="4068"/>
      <c r="I12" s="1841"/>
    </row>
    <row r="13" spans="1:9" s="58" customFormat="1" ht="38.25" x14ac:dyDescent="0.25">
      <c r="A13" s="2035">
        <v>1</v>
      </c>
      <c r="B13" s="2248" t="s">
        <v>2919</v>
      </c>
      <c r="C13" s="1792" t="s">
        <v>2187</v>
      </c>
      <c r="D13" s="2252" t="e">
        <f>#REF!</f>
        <v>#REF!</v>
      </c>
      <c r="E13" s="2252" t="e">
        <f>#REF!</f>
        <v>#REF!</v>
      </c>
      <c r="F13" s="2252" t="e">
        <f>#REF!</f>
        <v>#REF!</v>
      </c>
      <c r="G13" s="2252" t="e">
        <f>#REF!</f>
        <v>#REF!</v>
      </c>
      <c r="I13" s="1841"/>
    </row>
    <row r="14" spans="1:9" s="58" customFormat="1" ht="53.45" customHeight="1" x14ac:dyDescent="0.25">
      <c r="A14" s="2035">
        <v>2</v>
      </c>
      <c r="B14" s="2248" t="s">
        <v>2920</v>
      </c>
      <c r="C14" s="1792" t="s">
        <v>3084</v>
      </c>
      <c r="D14" s="2252" t="e">
        <f>#REF!/12</f>
        <v>#REF!</v>
      </c>
      <c r="E14" s="2252" t="e">
        <f>#REF!/12</f>
        <v>#REF!</v>
      </c>
      <c r="F14" s="2252" t="e">
        <f>#REF!/12</f>
        <v>#REF!</v>
      </c>
      <c r="G14" s="2252" t="e">
        <f>#REF!/12</f>
        <v>#REF!</v>
      </c>
      <c r="I14" s="1841"/>
    </row>
    <row r="15" spans="1:9" s="58" customFormat="1" ht="15.75" x14ac:dyDescent="0.25">
      <c r="A15" s="4069" t="s">
        <v>2921</v>
      </c>
      <c r="B15" s="4070"/>
      <c r="C15" s="4070"/>
      <c r="D15" s="4070"/>
      <c r="E15" s="4070"/>
      <c r="F15" s="4070"/>
      <c r="G15" s="4071"/>
      <c r="I15" s="1841"/>
    </row>
    <row r="16" spans="1:9" s="58" customFormat="1" ht="25.5" x14ac:dyDescent="0.25">
      <c r="A16" s="2035">
        <v>3</v>
      </c>
      <c r="B16" s="2248" t="s">
        <v>3085</v>
      </c>
      <c r="C16" s="1792" t="s">
        <v>2108</v>
      </c>
      <c r="D16" s="2253" t="e">
        <f>#REF!</f>
        <v>#REF!</v>
      </c>
      <c r="E16" s="2253" t="e">
        <f>#REF!</f>
        <v>#REF!</v>
      </c>
      <c r="F16" s="2253" t="e">
        <f>#REF!</f>
        <v>#REF!</v>
      </c>
      <c r="G16" s="2253" t="e">
        <f>#REF!</f>
        <v>#REF!</v>
      </c>
      <c r="I16" s="2255" t="e">
        <f>#REF!-'Рішення 3Д'!D16-'Рішення 3Д'!E16-'Рішення 3Д'!F16-'Рішення 3Д'!G16</f>
        <v>#REF!</v>
      </c>
    </row>
    <row r="17" spans="1:9" s="58" customFormat="1" ht="27" customHeight="1" x14ac:dyDescent="0.25">
      <c r="A17" s="2249" t="s">
        <v>2924</v>
      </c>
      <c r="B17" s="2250" t="s">
        <v>2927</v>
      </c>
      <c r="C17" s="1098" t="s">
        <v>2108</v>
      </c>
      <c r="D17" s="2253" t="e">
        <f>#REF!</f>
        <v>#REF!</v>
      </c>
      <c r="E17" s="2253" t="e">
        <f>#REF!</f>
        <v>#REF!</v>
      </c>
      <c r="F17" s="2253" t="e">
        <f>#REF!</f>
        <v>#REF!</v>
      </c>
      <c r="G17" s="2253" t="e">
        <f>#REF!</f>
        <v>#REF!</v>
      </c>
      <c r="I17" s="1841"/>
    </row>
    <row r="18" spans="1:9" s="58" customFormat="1" ht="14.45" customHeight="1" x14ac:dyDescent="0.25">
      <c r="A18" s="2035" t="s">
        <v>2925</v>
      </c>
      <c r="B18" s="2333" t="s">
        <v>632</v>
      </c>
      <c r="C18" s="1098" t="s">
        <v>2108</v>
      </c>
      <c r="D18" s="2253" t="e">
        <f>#REF!</f>
        <v>#REF!</v>
      </c>
      <c r="E18" s="2253" t="e">
        <f>#REF!</f>
        <v>#REF!</v>
      </c>
      <c r="F18" s="2253" t="e">
        <f>#REF!</f>
        <v>#REF!</v>
      </c>
      <c r="G18" s="2253" t="e">
        <f>#REF!</f>
        <v>#REF!</v>
      </c>
      <c r="I18" s="1841"/>
    </row>
    <row r="19" spans="1:9" s="58" customFormat="1" ht="15.6" customHeight="1" x14ac:dyDescent="0.25">
      <c r="A19" s="2035" t="s">
        <v>2926</v>
      </c>
      <c r="B19" s="2333" t="s">
        <v>631</v>
      </c>
      <c r="C19" s="1098" t="s">
        <v>2108</v>
      </c>
      <c r="D19" s="2253" t="e">
        <f>#REF!</f>
        <v>#REF!</v>
      </c>
      <c r="E19" s="2253" t="e">
        <f>#REF!</f>
        <v>#REF!</v>
      </c>
      <c r="F19" s="2253" t="e">
        <f>#REF!</f>
        <v>#REF!</v>
      </c>
      <c r="G19" s="2253" t="e">
        <f>#REF!</f>
        <v>#REF!</v>
      </c>
      <c r="I19" s="1841"/>
    </row>
    <row r="20" spans="1:9" s="58" customFormat="1" ht="15.75" x14ac:dyDescent="0.25">
      <c r="A20" s="2035">
        <v>4</v>
      </c>
      <c r="B20" s="2333" t="s">
        <v>2115</v>
      </c>
      <c r="C20" s="2271" t="s">
        <v>31</v>
      </c>
      <c r="D20" s="2253" t="e">
        <f>#REF!</f>
        <v>#REF!</v>
      </c>
      <c r="E20" s="2253" t="e">
        <f>#REF!</f>
        <v>#REF!</v>
      </c>
      <c r="F20" s="2253" t="e">
        <f>#REF!</f>
        <v>#REF!</v>
      </c>
      <c r="G20" s="2253" t="e">
        <f>#REF!</f>
        <v>#REF!</v>
      </c>
      <c r="I20" s="1841"/>
    </row>
    <row r="21" spans="1:9" s="58" customFormat="1" ht="15.75" x14ac:dyDescent="0.25">
      <c r="A21" s="2035" t="s">
        <v>1716</v>
      </c>
      <c r="B21" s="2333" t="s">
        <v>632</v>
      </c>
      <c r="C21" s="2271" t="s">
        <v>31</v>
      </c>
      <c r="D21" s="2253" t="e">
        <f>#REF!</f>
        <v>#REF!</v>
      </c>
      <c r="E21" s="2253" t="e">
        <f>#REF!</f>
        <v>#REF!</v>
      </c>
      <c r="F21" s="2253" t="e">
        <f>#REF!</f>
        <v>#REF!</v>
      </c>
      <c r="G21" s="2253" t="e">
        <f>#REF!</f>
        <v>#REF!</v>
      </c>
      <c r="I21" s="1841"/>
    </row>
    <row r="22" spans="1:9" s="58" customFormat="1" ht="15.75" x14ac:dyDescent="0.25">
      <c r="A22" s="2035" t="s">
        <v>1719</v>
      </c>
      <c r="B22" s="2333" t="s">
        <v>631</v>
      </c>
      <c r="C22" s="2271" t="s">
        <v>31</v>
      </c>
      <c r="D22" s="2253" t="e">
        <f>#REF!</f>
        <v>#REF!</v>
      </c>
      <c r="E22" s="2253" t="e">
        <f>#REF!</f>
        <v>#REF!</v>
      </c>
      <c r="F22" s="2253" t="e">
        <f>#REF!</f>
        <v>#REF!</v>
      </c>
      <c r="G22" s="2253" t="e">
        <f>#REF!</f>
        <v>#REF!</v>
      </c>
      <c r="I22" s="1841"/>
    </row>
    <row r="23" spans="1:9" s="58" customFormat="1" ht="15.75" x14ac:dyDescent="0.25">
      <c r="A23" s="4073" t="s">
        <v>2928</v>
      </c>
      <c r="B23" s="4073"/>
      <c r="C23" s="4073"/>
      <c r="D23" s="4073"/>
      <c r="E23" s="4073"/>
      <c r="F23" s="4073"/>
      <c r="G23" s="4073"/>
      <c r="I23" s="1841"/>
    </row>
    <row r="24" spans="1:9" s="58" customFormat="1" ht="25.5" x14ac:dyDescent="0.25">
      <c r="A24" s="1825">
        <v>5</v>
      </c>
      <c r="B24" s="2271" t="s">
        <v>3014</v>
      </c>
      <c r="C24" s="2321" t="s">
        <v>2187</v>
      </c>
      <c r="D24" s="2251" t="e">
        <f>#REF!/D$16</f>
        <v>#REF!</v>
      </c>
      <c r="E24" s="2251" t="e">
        <f>#REF!/E$16</f>
        <v>#REF!</v>
      </c>
      <c r="F24" s="2251" t="e">
        <f>#REF!/F$16</f>
        <v>#REF!</v>
      </c>
      <c r="G24" s="2251" t="e">
        <f>#REF!/G$16</f>
        <v>#REF!</v>
      </c>
      <c r="I24" s="1841"/>
    </row>
    <row r="25" spans="1:9" s="58" customFormat="1" ht="16.149999999999999" customHeight="1" x14ac:dyDescent="0.25">
      <c r="A25" s="1825" t="s">
        <v>1788</v>
      </c>
      <c r="B25" s="244" t="s">
        <v>226</v>
      </c>
      <c r="C25" s="2321" t="s">
        <v>2187</v>
      </c>
      <c r="D25" s="2251" t="e">
        <f>#REF!/D$16</f>
        <v>#REF!</v>
      </c>
      <c r="E25" s="2251" t="e">
        <f>#REF!/E$16</f>
        <v>#REF!</v>
      </c>
      <c r="F25" s="2251" t="e">
        <f>#REF!/F$16</f>
        <v>#REF!</v>
      </c>
      <c r="G25" s="2251" t="e">
        <f>#REF!/G$16</f>
        <v>#REF!</v>
      </c>
      <c r="I25" s="1841"/>
    </row>
    <row r="26" spans="1:9" s="58" customFormat="1" ht="16.899999999999999" customHeight="1" x14ac:dyDescent="0.25">
      <c r="A26" s="2257" t="s">
        <v>2931</v>
      </c>
      <c r="B26" s="152" t="s">
        <v>454</v>
      </c>
      <c r="C26" s="2321" t="s">
        <v>2187</v>
      </c>
      <c r="D26" s="2251" t="e">
        <f>#REF!/D$16</f>
        <v>#REF!</v>
      </c>
      <c r="E26" s="2251" t="e">
        <f>#REF!/E$16</f>
        <v>#REF!</v>
      </c>
      <c r="F26" s="2251" t="e">
        <f>#REF!/F$16</f>
        <v>#REF!</v>
      </c>
      <c r="G26" s="2251" t="e">
        <f>#REF!/G$16</f>
        <v>#REF!</v>
      </c>
      <c r="I26" s="1841"/>
    </row>
    <row r="27" spans="1:9" s="58" customFormat="1" ht="17.45" customHeight="1" x14ac:dyDescent="0.25">
      <c r="A27" s="2261" t="s">
        <v>2956</v>
      </c>
      <c r="B27" s="2245" t="s">
        <v>440</v>
      </c>
      <c r="C27" s="2321" t="s">
        <v>2187</v>
      </c>
      <c r="D27" s="2251" t="e">
        <f>#REF!/D$16</f>
        <v>#REF!</v>
      </c>
      <c r="E27" s="2251" t="e">
        <f>#REF!/E$16</f>
        <v>#REF!</v>
      </c>
      <c r="F27" s="2251" t="e">
        <f>#REF!/F$16</f>
        <v>#REF!</v>
      </c>
      <c r="G27" s="2251" t="e">
        <f>#REF!/G$16</f>
        <v>#REF!</v>
      </c>
      <c r="I27" s="1841"/>
    </row>
    <row r="28" spans="1:9" s="58" customFormat="1" ht="17.45" customHeight="1" x14ac:dyDescent="0.25">
      <c r="A28" s="2261" t="s">
        <v>2957</v>
      </c>
      <c r="B28" s="2245" t="s">
        <v>1850</v>
      </c>
      <c r="C28" s="2321" t="s">
        <v>2187</v>
      </c>
      <c r="D28" s="2251" t="e">
        <f>#REF!/D$16</f>
        <v>#REF!</v>
      </c>
      <c r="E28" s="2251" t="e">
        <f>#REF!/E$16</f>
        <v>#REF!</v>
      </c>
      <c r="F28" s="2251" t="e">
        <f>#REF!/F$16</f>
        <v>#REF!</v>
      </c>
      <c r="G28" s="2251" t="e">
        <f>#REF!/G$16</f>
        <v>#REF!</v>
      </c>
      <c r="I28" s="1841"/>
    </row>
    <row r="29" spans="1:9" s="58" customFormat="1" ht="17.45" customHeight="1" x14ac:dyDescent="0.25">
      <c r="A29" s="1825" t="s">
        <v>1790</v>
      </c>
      <c r="B29" s="152" t="s">
        <v>43</v>
      </c>
      <c r="C29" s="2321" t="s">
        <v>2187</v>
      </c>
      <c r="D29" s="2251" t="e">
        <f>#REF!/D$16</f>
        <v>#REF!</v>
      </c>
      <c r="E29" s="2251" t="e">
        <f>#REF!/E$16</f>
        <v>#REF!</v>
      </c>
      <c r="F29" s="2251" t="e">
        <f>#REF!/F$16</f>
        <v>#REF!</v>
      </c>
      <c r="G29" s="2251" t="e">
        <f>#REF!/G$16</f>
        <v>#REF!</v>
      </c>
      <c r="I29" s="1841"/>
    </row>
    <row r="30" spans="1:9" s="58" customFormat="1" ht="15.75" x14ac:dyDescent="0.25">
      <c r="A30" s="4073" t="s">
        <v>2929</v>
      </c>
      <c r="B30" s="4073"/>
      <c r="C30" s="4073"/>
      <c r="D30" s="4073"/>
      <c r="E30" s="4073"/>
      <c r="F30" s="4073"/>
      <c r="G30" s="4073"/>
      <c r="I30" s="1841"/>
    </row>
    <row r="31" spans="1:9" s="58" customFormat="1" ht="38.25" x14ac:dyDescent="0.25">
      <c r="A31" s="2246">
        <v>6</v>
      </c>
      <c r="B31" s="2271" t="s">
        <v>3015</v>
      </c>
      <c r="C31" s="2321" t="s">
        <v>3084</v>
      </c>
      <c r="D31" s="2256" t="e">
        <f>#REF!/D$20*1000/12</f>
        <v>#REF!</v>
      </c>
      <c r="E31" s="2256" t="e">
        <f>#REF!/E$20*1000/12</f>
        <v>#REF!</v>
      </c>
      <c r="F31" s="2256" t="e">
        <f>#REF!/F$20*1000/12</f>
        <v>#REF!</v>
      </c>
      <c r="G31" s="2256" t="e">
        <f>#REF!/G$20*1000/12</f>
        <v>#REF!</v>
      </c>
      <c r="I31" s="1841"/>
    </row>
    <row r="32" spans="1:9" s="58" customFormat="1" ht="15.75" x14ac:dyDescent="0.25">
      <c r="A32" s="2246" t="s">
        <v>1794</v>
      </c>
      <c r="B32" s="244" t="s">
        <v>225</v>
      </c>
      <c r="C32" s="2319" t="s">
        <v>3086</v>
      </c>
      <c r="D32" s="2256" t="e">
        <f>#REF!/D$20*1000/12</f>
        <v>#REF!</v>
      </c>
      <c r="E32" s="2256" t="e">
        <f>#REF!/E$20*1000/12</f>
        <v>#REF!</v>
      </c>
      <c r="F32" s="2256" t="e">
        <f>#REF!/F$20*1000/12</f>
        <v>#REF!</v>
      </c>
      <c r="G32" s="2256" t="e">
        <f>#REF!/G$20*1000/12</f>
        <v>#REF!</v>
      </c>
      <c r="I32" s="1841"/>
    </row>
    <row r="33" spans="1:9" s="58" customFormat="1" ht="15.75" x14ac:dyDescent="0.25">
      <c r="A33" s="2246" t="s">
        <v>2932</v>
      </c>
      <c r="B33" s="244" t="s">
        <v>226</v>
      </c>
      <c r="C33" s="2319" t="s">
        <v>3086</v>
      </c>
      <c r="D33" s="2256" t="e">
        <f>#REF!/D$20*1000/12</f>
        <v>#REF!</v>
      </c>
      <c r="E33" s="2256" t="e">
        <f>#REF!/E$20*1000/12</f>
        <v>#REF!</v>
      </c>
      <c r="F33" s="2256" t="e">
        <f>#REF!/F$20*1000/12</f>
        <v>#REF!</v>
      </c>
      <c r="G33" s="2256" t="e">
        <f>#REF!/G$20*1000/12</f>
        <v>#REF!</v>
      </c>
      <c r="I33" s="1841"/>
    </row>
    <row r="34" spans="1:9" s="58" customFormat="1" ht="15.75" x14ac:dyDescent="0.25">
      <c r="A34" s="2246"/>
      <c r="B34" s="152" t="s">
        <v>454</v>
      </c>
      <c r="C34" s="2319" t="s">
        <v>3086</v>
      </c>
      <c r="D34" s="2256" t="e">
        <f>#REF!/D$20*1000/12</f>
        <v>#REF!</v>
      </c>
      <c r="E34" s="2256" t="e">
        <f>#REF!/E$20*1000/12</f>
        <v>#REF!</v>
      </c>
      <c r="F34" s="2256" t="e">
        <f>#REF!/F$20*1000/12</f>
        <v>#REF!</v>
      </c>
      <c r="G34" s="2256" t="e">
        <f>#REF!/G$20*1000/12</f>
        <v>#REF!</v>
      </c>
      <c r="I34" s="1841"/>
    </row>
    <row r="35" spans="1:9" s="58" customFormat="1" ht="15.75" x14ac:dyDescent="0.25">
      <c r="A35" s="2246"/>
      <c r="B35" s="152" t="s">
        <v>1851</v>
      </c>
      <c r="C35" s="2319" t="s">
        <v>3086</v>
      </c>
      <c r="D35" s="2256" t="e">
        <f>#REF!/D$20*1000/12</f>
        <v>#REF!</v>
      </c>
      <c r="E35" s="2256" t="e">
        <f>#REF!/E$20*1000/12</f>
        <v>#REF!</v>
      </c>
      <c r="F35" s="2256" t="e">
        <f>#REF!/F$20*1000/12</f>
        <v>#REF!</v>
      </c>
      <c r="G35" s="2256" t="e">
        <f>#REF!/G$20*1000/12</f>
        <v>#REF!</v>
      </c>
      <c r="I35" s="1841"/>
    </row>
    <row r="36" spans="1:9" s="58" customFormat="1" ht="25.5" x14ac:dyDescent="0.25">
      <c r="A36" s="2246" t="s">
        <v>2933</v>
      </c>
      <c r="B36" s="244" t="s">
        <v>1623</v>
      </c>
      <c r="C36" s="2319" t="s">
        <v>3086</v>
      </c>
      <c r="D36" s="2256" t="e">
        <f>#REF!/D$20*1000/12</f>
        <v>#REF!</v>
      </c>
      <c r="E36" s="2256" t="e">
        <f>#REF!/E$20*1000/12</f>
        <v>#REF!</v>
      </c>
      <c r="F36" s="2256" t="e">
        <f>#REF!/F$20*1000/12</f>
        <v>#REF!</v>
      </c>
      <c r="G36" s="2256" t="e">
        <f>#REF!/G$20*1000/12</f>
        <v>#REF!</v>
      </c>
      <c r="I36" s="1841"/>
    </row>
    <row r="37" spans="1:9" s="58" customFormat="1" ht="15.75" x14ac:dyDescent="0.25">
      <c r="A37" s="2246" t="s">
        <v>2934</v>
      </c>
      <c r="B37" s="244" t="s">
        <v>598</v>
      </c>
      <c r="C37" s="2319" t="s">
        <v>3086</v>
      </c>
      <c r="D37" s="2256" t="e">
        <f>#REF!/D$20*1000/12</f>
        <v>#REF!</v>
      </c>
      <c r="E37" s="2256" t="e">
        <f>#REF!/E$20*1000/12</f>
        <v>#REF!</v>
      </c>
      <c r="F37" s="2256" t="e">
        <f>#REF!/F$20*1000/12</f>
        <v>#REF!</v>
      </c>
      <c r="G37" s="2256" t="e">
        <f>#REF!/G$20*1000/12</f>
        <v>#REF!</v>
      </c>
      <c r="I37" s="1841"/>
    </row>
    <row r="38" spans="1:9" s="58" customFormat="1" ht="15.75" x14ac:dyDescent="0.25">
      <c r="A38" s="2246" t="s">
        <v>1796</v>
      </c>
      <c r="B38" s="244" t="s">
        <v>47</v>
      </c>
      <c r="C38" s="2319" t="s">
        <v>3086</v>
      </c>
      <c r="D38" s="2256" t="e">
        <f>#REF!/D$20*1000/12</f>
        <v>#REF!</v>
      </c>
      <c r="E38" s="2256" t="e">
        <f>#REF!/E$20*1000/12</f>
        <v>#REF!</v>
      </c>
      <c r="F38" s="2256" t="e">
        <f>#REF!/F$20*1000/12</f>
        <v>#REF!</v>
      </c>
      <c r="G38" s="2256" t="e">
        <f>#REF!/G$20*1000/12</f>
        <v>#REF!</v>
      </c>
      <c r="I38" s="1841"/>
    </row>
    <row r="39" spans="1:9" s="58" customFormat="1" ht="15.75" x14ac:dyDescent="0.25">
      <c r="A39" s="2246" t="s">
        <v>2550</v>
      </c>
      <c r="B39" s="244" t="s">
        <v>227</v>
      </c>
      <c r="C39" s="2319" t="s">
        <v>3086</v>
      </c>
      <c r="D39" s="2256" t="e">
        <f>#REF!/D$20*1000/12</f>
        <v>#REF!</v>
      </c>
      <c r="E39" s="2256" t="e">
        <f>#REF!/E$20*1000/12</f>
        <v>#REF!</v>
      </c>
      <c r="F39" s="2256" t="e">
        <f>#REF!/F$20*1000/12</f>
        <v>#REF!</v>
      </c>
      <c r="G39" s="2256" t="e">
        <f>#REF!/G$20*1000/12</f>
        <v>#REF!</v>
      </c>
      <c r="I39" s="1841"/>
    </row>
    <row r="40" spans="1:9" s="58" customFormat="1" ht="27" customHeight="1" x14ac:dyDescent="0.25">
      <c r="A40" s="2246" t="s">
        <v>2935</v>
      </c>
      <c r="B40" s="152" t="s">
        <v>452</v>
      </c>
      <c r="C40" s="2319" t="s">
        <v>3086</v>
      </c>
      <c r="D40" s="2256" t="e">
        <f>#REF!/D$20*1000/12</f>
        <v>#REF!</v>
      </c>
      <c r="E40" s="2256" t="e">
        <f>#REF!/E$20*1000/12</f>
        <v>#REF!</v>
      </c>
      <c r="F40" s="2256" t="e">
        <f>#REF!/F$20*1000/12</f>
        <v>#REF!</v>
      </c>
      <c r="G40" s="2256" t="e">
        <f>#REF!/G$20*1000/12</f>
        <v>#REF!</v>
      </c>
      <c r="I40" s="1841"/>
    </row>
    <row r="41" spans="1:9" s="58" customFormat="1" ht="15.75" x14ac:dyDescent="0.25">
      <c r="A41" s="2246" t="s">
        <v>2936</v>
      </c>
      <c r="B41" s="152" t="s">
        <v>453</v>
      </c>
      <c r="C41" s="2319" t="s">
        <v>3086</v>
      </c>
      <c r="D41" s="2256" t="e">
        <f>#REF!/D$20*1000/12</f>
        <v>#REF!</v>
      </c>
      <c r="E41" s="2256" t="e">
        <f>#REF!/E$20*1000/12</f>
        <v>#REF!</v>
      </c>
      <c r="F41" s="2256" t="e">
        <f>#REF!/F$20*1000/12</f>
        <v>#REF!</v>
      </c>
      <c r="G41" s="2256" t="e">
        <f>#REF!/G$20*1000/12</f>
        <v>#REF!</v>
      </c>
      <c r="I41" s="1841"/>
    </row>
    <row r="42" spans="1:9" s="58" customFormat="1" ht="15.75" x14ac:dyDescent="0.25">
      <c r="A42" s="2246" t="s">
        <v>2937</v>
      </c>
      <c r="B42" s="152" t="s">
        <v>52</v>
      </c>
      <c r="C42" s="2319" t="s">
        <v>3086</v>
      </c>
      <c r="D42" s="2256" t="e">
        <f>#REF!/D$20*1000/12</f>
        <v>#REF!</v>
      </c>
      <c r="E42" s="2256" t="e">
        <f>#REF!/E$20*1000/12</f>
        <v>#REF!</v>
      </c>
      <c r="F42" s="2256" t="e">
        <f>#REF!/F$20*1000/12</f>
        <v>#REF!</v>
      </c>
      <c r="G42" s="2256" t="e">
        <f>#REF!/G$20*1000/12</f>
        <v>#REF!</v>
      </c>
      <c r="I42" s="1841"/>
    </row>
    <row r="43" spans="1:9" s="58" customFormat="1" ht="15.75" x14ac:dyDescent="0.25">
      <c r="A43" s="2246" t="s">
        <v>2938</v>
      </c>
      <c r="B43" s="152" t="s">
        <v>228</v>
      </c>
      <c r="C43" s="2319" t="s">
        <v>3086</v>
      </c>
      <c r="D43" s="2256" t="e">
        <f>#REF!/D$20*1000/12</f>
        <v>#REF!</v>
      </c>
      <c r="E43" s="2256" t="e">
        <f>#REF!/E$20*1000/12</f>
        <v>#REF!</v>
      </c>
      <c r="F43" s="2256" t="e">
        <f>#REF!/F$20*1000/12</f>
        <v>#REF!</v>
      </c>
      <c r="G43" s="2256" t="e">
        <f>#REF!/G$20*1000/12</f>
        <v>#REF!</v>
      </c>
      <c r="I43" s="1841"/>
    </row>
    <row r="44" spans="1:9" s="58" customFormat="1" ht="15.75" x14ac:dyDescent="0.25">
      <c r="A44" s="2246" t="s">
        <v>2939</v>
      </c>
      <c r="B44" s="152" t="s">
        <v>55</v>
      </c>
      <c r="C44" s="2319" t="s">
        <v>3086</v>
      </c>
      <c r="D44" s="2256" t="e">
        <f>#REF!/D$20*1000/12</f>
        <v>#REF!</v>
      </c>
      <c r="E44" s="2256" t="e">
        <f>#REF!/E$20*1000/12</f>
        <v>#REF!</v>
      </c>
      <c r="F44" s="2256" t="e">
        <f>#REF!/F$20*1000/12</f>
        <v>#REF!</v>
      </c>
      <c r="G44" s="2256" t="e">
        <f>#REF!/G$20*1000/12</f>
        <v>#REF!</v>
      </c>
      <c r="I44" s="1841"/>
    </row>
    <row r="45" spans="1:9" s="58" customFormat="1" ht="29.45" customHeight="1" x14ac:dyDescent="0.25">
      <c r="A45" s="2246" t="s">
        <v>2940</v>
      </c>
      <c r="B45" s="152" t="s">
        <v>452</v>
      </c>
      <c r="C45" s="2319" t="s">
        <v>3086</v>
      </c>
      <c r="D45" s="2256" t="e">
        <f>#REF!/D$20*1000/12</f>
        <v>#REF!</v>
      </c>
      <c r="E45" s="2256" t="e">
        <f>#REF!/E$20*1000/12</f>
        <v>#REF!</v>
      </c>
      <c r="F45" s="2256" t="e">
        <f>#REF!/F$20*1000/12</f>
        <v>#REF!</v>
      </c>
      <c r="G45" s="2256" t="e">
        <f>#REF!/G$20*1000/12</f>
        <v>#REF!</v>
      </c>
      <c r="I45" s="1841"/>
    </row>
    <row r="46" spans="1:9" s="58" customFormat="1" ht="15.75" x14ac:dyDescent="0.25">
      <c r="A46" s="2246" t="s">
        <v>2941</v>
      </c>
      <c r="B46" s="152" t="s">
        <v>58</v>
      </c>
      <c r="C46" s="2319" t="s">
        <v>3086</v>
      </c>
      <c r="D46" s="2256" t="e">
        <f>#REF!/D$20*1000/12</f>
        <v>#REF!</v>
      </c>
      <c r="E46" s="2256" t="e">
        <f>#REF!/E$20*1000/12</f>
        <v>#REF!</v>
      </c>
      <c r="F46" s="2256" t="e">
        <f>#REF!/F$20*1000/12</f>
        <v>#REF!</v>
      </c>
      <c r="G46" s="2256" t="e">
        <f>#REF!/G$20*1000/12</f>
        <v>#REF!</v>
      </c>
      <c r="I46" s="1841"/>
    </row>
    <row r="47" spans="1:9" s="58" customFormat="1" ht="15.75" x14ac:dyDescent="0.25">
      <c r="A47" s="2246">
        <v>7</v>
      </c>
      <c r="B47" s="152" t="s">
        <v>229</v>
      </c>
      <c r="C47" s="2319" t="s">
        <v>3086</v>
      </c>
      <c r="D47" s="2256" t="e">
        <f>#REF!/D$20*1000/12</f>
        <v>#REF!</v>
      </c>
      <c r="E47" s="2256" t="e">
        <f>#REF!/E$20*1000/12</f>
        <v>#REF!</v>
      </c>
      <c r="F47" s="2256" t="e">
        <f>#REF!/F$20*1000/12</f>
        <v>#REF!</v>
      </c>
      <c r="G47" s="2256" t="e">
        <f>#REF!/G$20*1000/12</f>
        <v>#REF!</v>
      </c>
      <c r="I47" s="1841"/>
    </row>
    <row r="48" spans="1:9" s="58" customFormat="1" ht="15.75" x14ac:dyDescent="0.25">
      <c r="A48" s="2246" t="s">
        <v>1101</v>
      </c>
      <c r="B48" s="152" t="s">
        <v>55</v>
      </c>
      <c r="C48" s="2319" t="s">
        <v>3086</v>
      </c>
      <c r="D48" s="2256" t="e">
        <f>#REF!/D$20*1000/12</f>
        <v>#REF!</v>
      </c>
      <c r="E48" s="2256" t="e">
        <f>#REF!/E$20*1000/12</f>
        <v>#REF!</v>
      </c>
      <c r="F48" s="2256" t="e">
        <f>#REF!/F$20*1000/12</f>
        <v>#REF!</v>
      </c>
      <c r="G48" s="2256" t="e">
        <f>#REF!/G$20*1000/12</f>
        <v>#REF!</v>
      </c>
      <c r="I48" s="1841"/>
    </row>
    <row r="49" spans="1:9" s="58" customFormat="1" ht="27.6" customHeight="1" x14ac:dyDescent="0.25">
      <c r="A49" s="2246" t="s">
        <v>2847</v>
      </c>
      <c r="B49" s="152" t="s">
        <v>452</v>
      </c>
      <c r="C49" s="2319" t="s">
        <v>3086</v>
      </c>
      <c r="D49" s="2256" t="e">
        <f>#REF!/D$20*1000/12</f>
        <v>#REF!</v>
      </c>
      <c r="E49" s="2256" t="e">
        <f>#REF!/E$20*1000/12</f>
        <v>#REF!</v>
      </c>
      <c r="F49" s="2256" t="e">
        <f>#REF!/F$20*1000/12</f>
        <v>#REF!</v>
      </c>
      <c r="G49" s="2256" t="e">
        <f>#REF!/G$20*1000/12</f>
        <v>#REF!</v>
      </c>
      <c r="I49" s="1841"/>
    </row>
    <row r="50" spans="1:9" s="58" customFormat="1" ht="15.75" x14ac:dyDescent="0.25">
      <c r="A50" s="2246" t="s">
        <v>2848</v>
      </c>
      <c r="B50" s="152" t="s">
        <v>58</v>
      </c>
      <c r="C50" s="2319" t="s">
        <v>3086</v>
      </c>
      <c r="D50" s="2256" t="e">
        <f>#REF!/D$20*1000/12</f>
        <v>#REF!</v>
      </c>
      <c r="E50" s="2256" t="e">
        <f>#REF!/E$20*1000/12</f>
        <v>#REF!</v>
      </c>
      <c r="F50" s="2256" t="e">
        <f>#REF!/F$20*1000/12</f>
        <v>#REF!</v>
      </c>
      <c r="G50" s="2256" t="e">
        <f>#REF!/G$20*1000/12</f>
        <v>#REF!</v>
      </c>
      <c r="I50" s="1841"/>
    </row>
    <row r="51" spans="1:9" s="58" customFormat="1" ht="15.75" x14ac:dyDescent="0.25">
      <c r="A51" s="2246">
        <v>8</v>
      </c>
      <c r="B51" s="152" t="s">
        <v>5</v>
      </c>
      <c r="C51" s="2319" t="s">
        <v>3086</v>
      </c>
      <c r="D51" s="2256" t="e">
        <f>#REF!/D$20*1000/12</f>
        <v>#REF!</v>
      </c>
      <c r="E51" s="2256" t="e">
        <f>#REF!/E$20*1000/12</f>
        <v>#REF!</v>
      </c>
      <c r="F51" s="2256" t="e">
        <f>#REF!/F$20*1000/12</f>
        <v>#REF!</v>
      </c>
      <c r="G51" s="2256" t="e">
        <f>#REF!/G$20*1000/12</f>
        <v>#REF!</v>
      </c>
      <c r="I51" s="1841"/>
    </row>
    <row r="52" spans="1:9" s="58" customFormat="1" ht="15.75" x14ac:dyDescent="0.25">
      <c r="A52" s="2246">
        <v>9</v>
      </c>
      <c r="B52" s="152" t="s">
        <v>184</v>
      </c>
      <c r="C52" s="2319" t="s">
        <v>3086</v>
      </c>
      <c r="D52" s="2256" t="e">
        <f>#REF!/D$20*1000/12</f>
        <v>#REF!</v>
      </c>
      <c r="E52" s="2256" t="e">
        <f>#REF!/E$20*1000/12</f>
        <v>#REF!</v>
      </c>
      <c r="F52" s="2256" t="e">
        <f>#REF!/F$20*1000/12</f>
        <v>#REF!</v>
      </c>
      <c r="G52" s="2256" t="e">
        <f>#REF!/G$20*1000/12</f>
        <v>#REF!</v>
      </c>
      <c r="I52" s="1841"/>
    </row>
    <row r="53" spans="1:9" s="58" customFormat="1" ht="15.75" x14ac:dyDescent="0.25">
      <c r="A53" s="2246">
        <v>10</v>
      </c>
      <c r="B53" s="152" t="s">
        <v>231</v>
      </c>
      <c r="C53" s="2319" t="s">
        <v>3086</v>
      </c>
      <c r="D53" s="2256">
        <v>0</v>
      </c>
      <c r="E53" s="2256">
        <v>0</v>
      </c>
      <c r="F53" s="2256">
        <v>0</v>
      </c>
      <c r="G53" s="2256">
        <v>0</v>
      </c>
      <c r="I53" s="1841"/>
    </row>
    <row r="54" spans="1:9" s="58" customFormat="1" ht="15.75" x14ac:dyDescent="0.25">
      <c r="A54" s="2246">
        <v>11</v>
      </c>
      <c r="B54" s="152" t="s">
        <v>2930</v>
      </c>
      <c r="C54" s="2319" t="s">
        <v>3086</v>
      </c>
      <c r="D54" s="2256" t="e">
        <f>#REF!/D$20*1000/12</f>
        <v>#REF!</v>
      </c>
      <c r="E54" s="2256" t="e">
        <f>#REF!/E$20*1000/12</f>
        <v>#REF!</v>
      </c>
      <c r="F54" s="2256" t="e">
        <f>#REF!/F$20*1000/12</f>
        <v>#REF!</v>
      </c>
      <c r="G54" s="2256" t="e">
        <f>#REF!/G$20*1000/12</f>
        <v>#REF!</v>
      </c>
      <c r="I54" s="1841"/>
    </row>
    <row r="55" spans="1:9" s="58" customFormat="1" ht="28.15" customHeight="1" x14ac:dyDescent="0.25">
      <c r="A55" s="2246">
        <v>12</v>
      </c>
      <c r="B55" s="1869" t="s">
        <v>232</v>
      </c>
      <c r="C55" s="2319" t="s">
        <v>3086</v>
      </c>
      <c r="D55" s="2256" t="e">
        <f>#REF!/D$20*1000/12</f>
        <v>#REF!</v>
      </c>
      <c r="E55" s="2256" t="e">
        <f>#REF!/E$20*1000/12</f>
        <v>#REF!</v>
      </c>
      <c r="F55" s="2256" t="e">
        <f>#REF!/F$20*1000/12</f>
        <v>#REF!</v>
      </c>
      <c r="G55" s="2256" t="e">
        <f>#REF!/G$20*1000/12</f>
        <v>#REF!</v>
      </c>
      <c r="I55" s="1841"/>
    </row>
    <row r="56" spans="1:9" s="58" customFormat="1" ht="15.75" x14ac:dyDescent="0.25">
      <c r="A56" s="2246" t="s">
        <v>2942</v>
      </c>
      <c r="B56" s="152" t="s">
        <v>2948</v>
      </c>
      <c r="C56" s="2319" t="s">
        <v>3086</v>
      </c>
      <c r="D56" s="2256" t="e">
        <f>#REF!/D$20*1000/12</f>
        <v>#REF!</v>
      </c>
      <c r="E56" s="2256" t="e">
        <f>#REF!/E$20*1000/12</f>
        <v>#REF!</v>
      </c>
      <c r="F56" s="2256" t="e">
        <f>#REF!/F$20*1000/12</f>
        <v>#REF!</v>
      </c>
      <c r="G56" s="2256" t="e">
        <f>#REF!/G$20*1000/12</f>
        <v>#REF!</v>
      </c>
      <c r="I56" s="1841"/>
    </row>
    <row r="57" spans="1:9" s="58" customFormat="1" ht="15.75" x14ac:dyDescent="0.25">
      <c r="A57" s="2246" t="s">
        <v>2943</v>
      </c>
      <c r="B57" s="152" t="s">
        <v>67</v>
      </c>
      <c r="C57" s="2319" t="s">
        <v>3086</v>
      </c>
      <c r="D57" s="2256" t="e">
        <f>#REF!/D$20*1000/12</f>
        <v>#REF!</v>
      </c>
      <c r="E57" s="2256" t="e">
        <f>#REF!/E$20*1000/12</f>
        <v>#REF!</v>
      </c>
      <c r="F57" s="2256" t="e">
        <f>#REF!/F$20*1000/12</f>
        <v>#REF!</v>
      </c>
      <c r="G57" s="2256" t="e">
        <f>#REF!/G$20*1000/12</f>
        <v>#REF!</v>
      </c>
      <c r="I57" s="1841"/>
    </row>
    <row r="58" spans="1:9" s="58" customFormat="1" ht="15.75" x14ac:dyDescent="0.25">
      <c r="A58" s="2246" t="s">
        <v>2944</v>
      </c>
      <c r="B58" s="152" t="s">
        <v>69</v>
      </c>
      <c r="C58" s="2319" t="s">
        <v>3086</v>
      </c>
      <c r="D58" s="2256" t="e">
        <f>#REF!/D$20*1000/12</f>
        <v>#REF!</v>
      </c>
      <c r="E58" s="2256" t="e">
        <f>#REF!/E$20*1000/12</f>
        <v>#REF!</v>
      </c>
      <c r="F58" s="2256" t="e">
        <f>#REF!/F$20*1000/12</f>
        <v>#REF!</v>
      </c>
      <c r="G58" s="2256" t="e">
        <f>#REF!/G$20*1000/12</f>
        <v>#REF!</v>
      </c>
      <c r="I58" s="1841"/>
    </row>
    <row r="59" spans="1:9" s="58" customFormat="1" ht="25.5" x14ac:dyDescent="0.25">
      <c r="A59" s="2246" t="s">
        <v>2945</v>
      </c>
      <c r="B59" s="152" t="s">
        <v>2949</v>
      </c>
      <c r="C59" s="2319" t="s">
        <v>3086</v>
      </c>
      <c r="D59" s="2256" t="e">
        <f>#REF!/D$20*1000/12</f>
        <v>#REF!</v>
      </c>
      <c r="E59" s="2256" t="e">
        <f>#REF!/E$20*1000/12</f>
        <v>#REF!</v>
      </c>
      <c r="F59" s="2256" t="e">
        <f>#REF!/F$20*1000/12</f>
        <v>#REF!</v>
      </c>
      <c r="G59" s="2256" t="e">
        <f>#REF!/G$20*1000/12</f>
        <v>#REF!</v>
      </c>
      <c r="I59" s="1841"/>
    </row>
    <row r="60" spans="1:9" s="58" customFormat="1" ht="15.75" x14ac:dyDescent="0.25">
      <c r="A60" s="2246" t="s">
        <v>2946</v>
      </c>
      <c r="B60" s="152" t="s">
        <v>2950</v>
      </c>
      <c r="C60" s="2319" t="s">
        <v>3086</v>
      </c>
      <c r="D60" s="2256" t="e">
        <f>#REF!/D$20*1000/12</f>
        <v>#REF!</v>
      </c>
      <c r="E60" s="2256" t="e">
        <f>#REF!/E$20*1000/12</f>
        <v>#REF!</v>
      </c>
      <c r="F60" s="2256" t="e">
        <f>#REF!/F$20*1000/12</f>
        <v>#REF!</v>
      </c>
      <c r="G60" s="2256" t="e">
        <f>#REF!/G$20*1000/12</f>
        <v>#REF!</v>
      </c>
      <c r="I60" s="1841"/>
    </row>
    <row r="61" spans="1:9" s="58" customFormat="1" ht="15.75" x14ac:dyDescent="0.25">
      <c r="A61" s="4073" t="s">
        <v>2947</v>
      </c>
      <c r="B61" s="4073"/>
      <c r="C61" s="4073"/>
      <c r="D61" s="4073"/>
      <c r="E61" s="4073"/>
      <c r="F61" s="4073"/>
      <c r="G61" s="4073"/>
      <c r="I61" s="1841"/>
    </row>
    <row r="62" spans="1:9" s="58" customFormat="1" ht="25.5" x14ac:dyDescent="0.25">
      <c r="A62" s="1825" t="s">
        <v>1812</v>
      </c>
      <c r="B62" s="2271" t="s">
        <v>3014</v>
      </c>
      <c r="C62" s="2321" t="s">
        <v>2187</v>
      </c>
      <c r="D62" s="2251" t="e">
        <f>#REF!/D$19</f>
        <v>#REF!</v>
      </c>
      <c r="E62" s="2251" t="e">
        <f>#REF!/E$19</f>
        <v>#REF!</v>
      </c>
      <c r="F62" s="2251" t="e">
        <f>#REF!/F$19</f>
        <v>#REF!</v>
      </c>
      <c r="G62" s="2251" t="e">
        <f>#REF!/G$19</f>
        <v>#REF!</v>
      </c>
      <c r="I62" s="1841"/>
    </row>
    <row r="63" spans="1:9" s="58" customFormat="1" ht="16.899999999999999" customHeight="1" x14ac:dyDescent="0.25">
      <c r="A63" s="1825" t="s">
        <v>2952</v>
      </c>
      <c r="B63" s="1177" t="s">
        <v>226</v>
      </c>
      <c r="C63" s="2321" t="s">
        <v>2187</v>
      </c>
      <c r="D63" s="2251" t="e">
        <f>#REF!/D$19</f>
        <v>#REF!</v>
      </c>
      <c r="E63" s="2251" t="e">
        <f>#REF!/E$19</f>
        <v>#REF!</v>
      </c>
      <c r="F63" s="2251" t="e">
        <f>#REF!/F$19</f>
        <v>#REF!</v>
      </c>
      <c r="G63" s="2251" t="e">
        <f>#REF!/G$19</f>
        <v>#REF!</v>
      </c>
      <c r="I63" s="1841"/>
    </row>
    <row r="64" spans="1:9" s="58" customFormat="1" ht="16.899999999999999" customHeight="1" x14ac:dyDescent="0.25">
      <c r="A64" s="1825" t="s">
        <v>2953</v>
      </c>
      <c r="B64" s="1177" t="s">
        <v>43</v>
      </c>
      <c r="C64" s="2321" t="s">
        <v>2187</v>
      </c>
      <c r="D64" s="2251" t="e">
        <f>#REF!/D$19</f>
        <v>#REF!</v>
      </c>
      <c r="E64" s="2251" t="e">
        <f>#REF!/E$19</f>
        <v>#REF!</v>
      </c>
      <c r="F64" s="2251" t="e">
        <f>#REF!/F$19</f>
        <v>#REF!</v>
      </c>
      <c r="G64" s="2251" t="e">
        <f>#REF!/G$19</f>
        <v>#REF!</v>
      </c>
      <c r="I64" s="1841"/>
    </row>
    <row r="65" spans="1:9" s="58" customFormat="1" ht="15.75" x14ac:dyDescent="0.25">
      <c r="A65" s="4073" t="s">
        <v>2951</v>
      </c>
      <c r="B65" s="4073"/>
      <c r="C65" s="4073"/>
      <c r="D65" s="4073"/>
      <c r="E65" s="4073"/>
      <c r="F65" s="4073"/>
      <c r="G65" s="4073"/>
      <c r="I65" s="1841"/>
    </row>
    <row r="66" spans="1:9" s="58" customFormat="1" ht="38.25" x14ac:dyDescent="0.25">
      <c r="A66" s="2246">
        <v>14</v>
      </c>
      <c r="B66" s="2271" t="s">
        <v>3016</v>
      </c>
      <c r="C66" s="2321" t="s">
        <v>3084</v>
      </c>
      <c r="D66" s="2256" t="e">
        <f>#REF!/D$22*1000/12</f>
        <v>#REF!</v>
      </c>
      <c r="E66" s="2256" t="e">
        <f>#REF!/E$22*1000/12</f>
        <v>#REF!</v>
      </c>
      <c r="F66" s="2256" t="e">
        <f>#REF!/F$22*1000/12</f>
        <v>#REF!</v>
      </c>
      <c r="G66" s="2256" t="e">
        <f>#REF!/G$22*1000/12</f>
        <v>#REF!</v>
      </c>
      <c r="I66" s="1841"/>
    </row>
    <row r="67" spans="1:9" s="58" customFormat="1" ht="15.75" x14ac:dyDescent="0.25">
      <c r="A67" s="2266" t="s">
        <v>201</v>
      </c>
      <c r="B67" s="244" t="s">
        <v>225</v>
      </c>
      <c r="C67" s="2319" t="s">
        <v>3086</v>
      </c>
      <c r="D67" s="2256" t="e">
        <f>#REF!/D$22*1000/12</f>
        <v>#REF!</v>
      </c>
      <c r="E67" s="2256" t="e">
        <f>#REF!/E$22*1000/12</f>
        <v>#REF!</v>
      </c>
      <c r="F67" s="2256" t="e">
        <f>#REF!/F$22*1000/12</f>
        <v>#REF!</v>
      </c>
      <c r="G67" s="2256" t="e">
        <f>#REF!/G$22*1000/12</f>
        <v>#REF!</v>
      </c>
      <c r="I67" s="1841"/>
    </row>
    <row r="68" spans="1:9" s="58" customFormat="1" ht="15.75" x14ac:dyDescent="0.25">
      <c r="A68" s="2266" t="s">
        <v>343</v>
      </c>
      <c r="B68" s="244" t="s">
        <v>226</v>
      </c>
      <c r="C68" s="2319" t="s">
        <v>3086</v>
      </c>
      <c r="D68" s="2256" t="e">
        <f>#REF!/D$22*1000/12</f>
        <v>#REF!</v>
      </c>
      <c r="E68" s="2256" t="e">
        <f>#REF!/E$22*1000/12</f>
        <v>#REF!</v>
      </c>
      <c r="F68" s="2256" t="e">
        <f>#REF!/F$22*1000/12</f>
        <v>#REF!</v>
      </c>
      <c r="G68" s="2256" t="e">
        <f>#REF!/G$22*1000/12</f>
        <v>#REF!</v>
      </c>
      <c r="I68" s="1841"/>
    </row>
    <row r="69" spans="1:9" s="58" customFormat="1" ht="15.75" x14ac:dyDescent="0.25">
      <c r="A69" s="2266" t="s">
        <v>2962</v>
      </c>
      <c r="B69" s="244" t="s">
        <v>43</v>
      </c>
      <c r="C69" s="2319" t="s">
        <v>3086</v>
      </c>
      <c r="D69" s="2256" t="e">
        <f>#REF!/D$22*1000/12</f>
        <v>#REF!</v>
      </c>
      <c r="E69" s="2256" t="e">
        <f>#REF!/E$22*1000/12</f>
        <v>#REF!</v>
      </c>
      <c r="F69" s="2256" t="e">
        <f>#REF!/F$22*1000/12</f>
        <v>#REF!</v>
      </c>
      <c r="G69" s="2256" t="e">
        <f>#REF!/G$22*1000/12</f>
        <v>#REF!</v>
      </c>
      <c r="I69" s="1841"/>
    </row>
    <row r="70" spans="1:9" s="58" customFormat="1" ht="25.5" x14ac:dyDescent="0.25">
      <c r="A70" s="2267" t="s">
        <v>2963</v>
      </c>
      <c r="B70" s="244" t="s">
        <v>596</v>
      </c>
      <c r="C70" s="2319" t="s">
        <v>3086</v>
      </c>
      <c r="D70" s="2256" t="e">
        <f>#REF!/D$22*1000/12</f>
        <v>#REF!</v>
      </c>
      <c r="E70" s="2256" t="e">
        <f>#REF!/E$22*1000/12</f>
        <v>#REF!</v>
      </c>
      <c r="F70" s="2256" t="e">
        <f>#REF!/F$22*1000/12</f>
        <v>#REF!</v>
      </c>
      <c r="G70" s="2256" t="e">
        <f>#REF!/G$22*1000/12</f>
        <v>#REF!</v>
      </c>
      <c r="I70" s="1841"/>
    </row>
    <row r="71" spans="1:9" s="58" customFormat="1" ht="25.5" x14ac:dyDescent="0.25">
      <c r="A71" s="2267" t="s">
        <v>2964</v>
      </c>
      <c r="B71" s="244" t="s">
        <v>597</v>
      </c>
      <c r="C71" s="2319" t="s">
        <v>3086</v>
      </c>
      <c r="D71" s="2256" t="e">
        <f>#REF!/D$22*1000/12</f>
        <v>#REF!</v>
      </c>
      <c r="E71" s="2256" t="e">
        <f>#REF!/E$22*1000/12</f>
        <v>#REF!</v>
      </c>
      <c r="F71" s="2256" t="e">
        <f>#REF!/F$22*1000/12</f>
        <v>#REF!</v>
      </c>
      <c r="G71" s="2256" t="e">
        <f>#REF!/G$22*1000/12</f>
        <v>#REF!</v>
      </c>
      <c r="I71" s="1841"/>
    </row>
    <row r="72" spans="1:9" s="58" customFormat="1" ht="15.75" x14ac:dyDescent="0.25">
      <c r="A72" s="2267" t="s">
        <v>2965</v>
      </c>
      <c r="B72" s="244" t="s">
        <v>598</v>
      </c>
      <c r="C72" s="2319" t="s">
        <v>3086</v>
      </c>
      <c r="D72" s="2256" t="e">
        <f>#REF!/D$22*1000/12</f>
        <v>#REF!</v>
      </c>
      <c r="E72" s="2256" t="e">
        <f>#REF!/E$22*1000/12</f>
        <v>#REF!</v>
      </c>
      <c r="F72" s="2256" t="e">
        <f>#REF!/F$22*1000/12</f>
        <v>#REF!</v>
      </c>
      <c r="G72" s="2256" t="e">
        <f>#REF!/G$22*1000/12</f>
        <v>#REF!</v>
      </c>
      <c r="I72" s="1841"/>
    </row>
    <row r="73" spans="1:9" ht="25.5" x14ac:dyDescent="0.25">
      <c r="A73" s="2267" t="s">
        <v>2966</v>
      </c>
      <c r="B73" s="244" t="s">
        <v>2786</v>
      </c>
      <c r="C73" s="2319" t="s">
        <v>3086</v>
      </c>
      <c r="D73" s="2256" t="e">
        <f>#REF!/D$22*1000/12</f>
        <v>#REF!</v>
      </c>
      <c r="E73" s="2256" t="e">
        <f>#REF!/E$22*1000/12</f>
        <v>#REF!</v>
      </c>
      <c r="F73" s="2256" t="e">
        <f>#REF!/F$22*1000/12</f>
        <v>#REF!</v>
      </c>
      <c r="G73" s="2256" t="e">
        <f>#REF!/G$22*1000/12</f>
        <v>#REF!</v>
      </c>
    </row>
    <row r="74" spans="1:9" x14ac:dyDescent="0.25">
      <c r="A74" s="2267" t="s">
        <v>344</v>
      </c>
      <c r="B74" s="152" t="s">
        <v>47</v>
      </c>
      <c r="C74" s="2319" t="s">
        <v>3086</v>
      </c>
      <c r="D74" s="2256" t="e">
        <f>#REF!/D$22*1000/12</f>
        <v>#REF!</v>
      </c>
      <c r="E74" s="2256" t="e">
        <f>#REF!/E$22*1000/12</f>
        <v>#REF!</v>
      </c>
      <c r="F74" s="2256" t="e">
        <f>#REF!/F$22*1000/12</f>
        <v>#REF!</v>
      </c>
      <c r="G74" s="2256" t="e">
        <f>#REF!/G$22*1000/12</f>
        <v>#REF!</v>
      </c>
    </row>
    <row r="75" spans="1:9" x14ac:dyDescent="0.25">
      <c r="A75" s="2267" t="s">
        <v>2967</v>
      </c>
      <c r="B75" s="244" t="s">
        <v>227</v>
      </c>
      <c r="C75" s="2319" t="s">
        <v>3086</v>
      </c>
      <c r="D75" s="2256" t="e">
        <f>#REF!/D$22*1000/12</f>
        <v>#REF!</v>
      </c>
      <c r="E75" s="2256" t="e">
        <f>#REF!/E$22*1000/12</f>
        <v>#REF!</v>
      </c>
      <c r="F75" s="2256" t="e">
        <f>#REF!/F$22*1000/12</f>
        <v>#REF!</v>
      </c>
      <c r="G75" s="2256" t="e">
        <f>#REF!/G$22*1000/12</f>
        <v>#REF!</v>
      </c>
    </row>
    <row r="76" spans="1:9" ht="27" customHeight="1" x14ac:dyDescent="0.25">
      <c r="A76" s="2267" t="s">
        <v>2968</v>
      </c>
      <c r="B76" s="244" t="s">
        <v>452</v>
      </c>
      <c r="C76" s="2319" t="s">
        <v>3086</v>
      </c>
      <c r="D76" s="2256" t="e">
        <f>#REF!/D$22*1000/12</f>
        <v>#REF!</v>
      </c>
      <c r="E76" s="2256" t="e">
        <f>#REF!/E$22*1000/12</f>
        <v>#REF!</v>
      </c>
      <c r="F76" s="2256" t="e">
        <f>#REF!/F$22*1000/12</f>
        <v>#REF!</v>
      </c>
      <c r="G76" s="2256" t="e">
        <f>#REF!/G$22*1000/12</f>
        <v>#REF!</v>
      </c>
    </row>
    <row r="77" spans="1:9" x14ac:dyDescent="0.25">
      <c r="A77" s="2267" t="s">
        <v>2969</v>
      </c>
      <c r="B77" s="244" t="s">
        <v>460</v>
      </c>
      <c r="C77" s="2319" t="s">
        <v>3086</v>
      </c>
      <c r="D77" s="2256" t="e">
        <f>#REF!/D$22*1000/12</f>
        <v>#REF!</v>
      </c>
      <c r="E77" s="2256" t="e">
        <f>#REF!/E$22*1000/12</f>
        <v>#REF!</v>
      </c>
      <c r="F77" s="2256" t="e">
        <f>#REF!/F$22*1000/12</f>
        <v>#REF!</v>
      </c>
      <c r="G77" s="2256" t="e">
        <f>#REF!/G$22*1000/12</f>
        <v>#REF!</v>
      </c>
    </row>
    <row r="78" spans="1:9" x14ac:dyDescent="0.25">
      <c r="A78" s="2267" t="s">
        <v>2970</v>
      </c>
      <c r="B78" s="244" t="s">
        <v>82</v>
      </c>
      <c r="C78" s="2319" t="s">
        <v>3086</v>
      </c>
      <c r="D78" s="2256" t="e">
        <f>#REF!/D$22*1000/12</f>
        <v>#REF!</v>
      </c>
      <c r="E78" s="2256" t="e">
        <f>#REF!/E$22*1000/12</f>
        <v>#REF!</v>
      </c>
      <c r="F78" s="2256" t="e">
        <f>#REF!/F$22*1000/12</f>
        <v>#REF!</v>
      </c>
      <c r="G78" s="2256" t="e">
        <f>#REF!/G$22*1000/12</f>
        <v>#REF!</v>
      </c>
    </row>
    <row r="79" spans="1:9" x14ac:dyDescent="0.25">
      <c r="A79" s="2267" t="s">
        <v>2971</v>
      </c>
      <c r="B79" s="244" t="s">
        <v>228</v>
      </c>
      <c r="C79" s="2319" t="s">
        <v>3086</v>
      </c>
      <c r="D79" s="2256" t="e">
        <f>#REF!/D$22*1000/12</f>
        <v>#REF!</v>
      </c>
      <c r="E79" s="2256" t="e">
        <f>#REF!/E$22*1000/12</f>
        <v>#REF!</v>
      </c>
      <c r="F79" s="2256" t="e">
        <f>#REF!/F$22*1000/12</f>
        <v>#REF!</v>
      </c>
      <c r="G79" s="2256" t="e">
        <f>#REF!/G$22*1000/12</f>
        <v>#REF!</v>
      </c>
    </row>
    <row r="80" spans="1:9" x14ac:dyDescent="0.25">
      <c r="A80" s="2267" t="s">
        <v>2972</v>
      </c>
      <c r="B80" s="244" t="s">
        <v>55</v>
      </c>
      <c r="C80" s="2319" t="s">
        <v>3086</v>
      </c>
      <c r="D80" s="2256" t="e">
        <f>#REF!/D$22*1000/12</f>
        <v>#REF!</v>
      </c>
      <c r="E80" s="2256" t="e">
        <f>#REF!/E$22*1000/12</f>
        <v>#REF!</v>
      </c>
      <c r="F80" s="2256" t="e">
        <f>#REF!/F$22*1000/12</f>
        <v>#REF!</v>
      </c>
      <c r="G80" s="2256" t="e">
        <f>#REF!/G$22*1000/12</f>
        <v>#REF!</v>
      </c>
    </row>
    <row r="81" spans="1:9" ht="28.15" customHeight="1" x14ac:dyDescent="0.25">
      <c r="A81" s="2267" t="s">
        <v>2973</v>
      </c>
      <c r="B81" s="244" t="s">
        <v>452</v>
      </c>
      <c r="C81" s="2319" t="s">
        <v>3086</v>
      </c>
      <c r="D81" s="2256" t="e">
        <f>#REF!/D$22*1000/12</f>
        <v>#REF!</v>
      </c>
      <c r="E81" s="2256" t="e">
        <f>#REF!/E$22*1000/12</f>
        <v>#REF!</v>
      </c>
      <c r="F81" s="2256" t="e">
        <f>#REF!/F$22*1000/12</f>
        <v>#REF!</v>
      </c>
      <c r="G81" s="2256" t="e">
        <f>#REF!/G$22*1000/12</f>
        <v>#REF!</v>
      </c>
    </row>
    <row r="82" spans="1:9" x14ac:dyDescent="0.25">
      <c r="A82" s="2267" t="s">
        <v>2974</v>
      </c>
      <c r="B82" s="244" t="s">
        <v>58</v>
      </c>
      <c r="C82" s="2319" t="s">
        <v>3086</v>
      </c>
      <c r="D82" s="2256" t="e">
        <f>#REF!/D$22*1000/12</f>
        <v>#REF!</v>
      </c>
      <c r="E82" s="2256" t="e">
        <f>#REF!/E$22*1000/12</f>
        <v>#REF!</v>
      </c>
      <c r="F82" s="2256" t="e">
        <f>#REF!/F$22*1000/12</f>
        <v>#REF!</v>
      </c>
      <c r="G82" s="2256" t="e">
        <f>#REF!/G$22*1000/12</f>
        <v>#REF!</v>
      </c>
    </row>
    <row r="83" spans="1:9" x14ac:dyDescent="0.25">
      <c r="A83" s="2267" t="s">
        <v>675</v>
      </c>
      <c r="B83" s="152" t="s">
        <v>229</v>
      </c>
      <c r="C83" s="2319" t="s">
        <v>3086</v>
      </c>
      <c r="D83" s="2256" t="e">
        <f>#REF!/D$22*1000/12</f>
        <v>#REF!</v>
      </c>
      <c r="E83" s="2256" t="e">
        <f>#REF!/E$22*1000/12</f>
        <v>#REF!</v>
      </c>
      <c r="F83" s="2256" t="e">
        <f>#REF!/F$22*1000/12</f>
        <v>#REF!</v>
      </c>
      <c r="G83" s="2256" t="e">
        <f>#REF!/G$22*1000/12</f>
        <v>#REF!</v>
      </c>
    </row>
    <row r="84" spans="1:9" x14ac:dyDescent="0.25">
      <c r="A84" s="2267" t="s">
        <v>202</v>
      </c>
      <c r="B84" s="152" t="s">
        <v>55</v>
      </c>
      <c r="C84" s="2319" t="s">
        <v>3086</v>
      </c>
      <c r="D84" s="2256" t="e">
        <f>#REF!/D$22*1000/12</f>
        <v>#REF!</v>
      </c>
      <c r="E84" s="2256" t="e">
        <f>#REF!/E$22*1000/12</f>
        <v>#REF!</v>
      </c>
      <c r="F84" s="2256" t="e">
        <f>#REF!/F$22*1000/12</f>
        <v>#REF!</v>
      </c>
      <c r="G84" s="2256" t="e">
        <f>#REF!/G$22*1000/12</f>
        <v>#REF!</v>
      </c>
    </row>
    <row r="85" spans="1:9" ht="26.45" customHeight="1" x14ac:dyDescent="0.25">
      <c r="A85" s="2267" t="s">
        <v>203</v>
      </c>
      <c r="B85" s="152" t="s">
        <v>452</v>
      </c>
      <c r="C85" s="2319" t="s">
        <v>3086</v>
      </c>
      <c r="D85" s="2256" t="e">
        <f>#REF!/D$22*1000/12</f>
        <v>#REF!</v>
      </c>
      <c r="E85" s="2256" t="e">
        <f>#REF!/E$22*1000/12</f>
        <v>#REF!</v>
      </c>
      <c r="F85" s="2256" t="e">
        <f>#REF!/F$22*1000/12</f>
        <v>#REF!</v>
      </c>
      <c r="G85" s="2256" t="e">
        <f>#REF!/G$22*1000/12</f>
        <v>#REF!</v>
      </c>
    </row>
    <row r="86" spans="1:9" x14ac:dyDescent="0.25">
      <c r="A86" s="2267" t="s">
        <v>2975</v>
      </c>
      <c r="B86" s="152" t="s">
        <v>58</v>
      </c>
      <c r="C86" s="2319" t="s">
        <v>3086</v>
      </c>
      <c r="D86" s="2256" t="e">
        <f>#REF!/D$22*1000/12</f>
        <v>#REF!</v>
      </c>
      <c r="E86" s="2256" t="e">
        <f>#REF!/E$22*1000/12</f>
        <v>#REF!</v>
      </c>
      <c r="F86" s="2256" t="e">
        <f>#REF!/F$22*1000/12</f>
        <v>#REF!</v>
      </c>
      <c r="G86" s="2256" t="e">
        <f>#REF!/G$22*1000/12</f>
        <v>#REF!</v>
      </c>
    </row>
    <row r="87" spans="1:9" x14ac:dyDescent="0.25">
      <c r="A87" s="2267" t="s">
        <v>676</v>
      </c>
      <c r="B87" s="244" t="s">
        <v>230</v>
      </c>
      <c r="C87" s="2319" t="s">
        <v>3086</v>
      </c>
      <c r="D87" s="2256" t="e">
        <f>#REF!/D$22*1000/12</f>
        <v>#REF!</v>
      </c>
      <c r="E87" s="2256" t="e">
        <f>#REF!/E$22*1000/12</f>
        <v>#REF!</v>
      </c>
      <c r="F87" s="2256" t="e">
        <f>#REF!/F$22*1000/12</f>
        <v>#REF!</v>
      </c>
      <c r="G87" s="2256" t="e">
        <f>#REF!/G$22*1000/12</f>
        <v>#REF!</v>
      </c>
    </row>
    <row r="88" spans="1:9" x14ac:dyDescent="0.25">
      <c r="A88" s="2267" t="s">
        <v>2132</v>
      </c>
      <c r="B88" s="244" t="s">
        <v>55</v>
      </c>
      <c r="C88" s="2319" t="s">
        <v>3086</v>
      </c>
      <c r="D88" s="2256" t="e">
        <f>#REF!/D$22*1000/12</f>
        <v>#REF!</v>
      </c>
      <c r="E88" s="2256" t="e">
        <f>#REF!/E$22*1000/12</f>
        <v>#REF!</v>
      </c>
      <c r="F88" s="2256" t="e">
        <f>#REF!/F$22*1000/12</f>
        <v>#REF!</v>
      </c>
      <c r="G88" s="2256" t="e">
        <f>#REF!/G$22*1000/12</f>
        <v>#REF!</v>
      </c>
    </row>
    <row r="89" spans="1:9" ht="26.45" customHeight="1" x14ac:dyDescent="0.25">
      <c r="A89" s="2267" t="s">
        <v>2133</v>
      </c>
      <c r="B89" s="152" t="s">
        <v>452</v>
      </c>
      <c r="C89" s="2319" t="s">
        <v>3086</v>
      </c>
      <c r="D89" s="2256" t="e">
        <f>#REF!/D$22*1000/12</f>
        <v>#REF!</v>
      </c>
      <c r="E89" s="2256" t="e">
        <f>#REF!/E$22*1000/12</f>
        <v>#REF!</v>
      </c>
      <c r="F89" s="2256" t="e">
        <f>#REF!/F$22*1000/12</f>
        <v>#REF!</v>
      </c>
      <c r="G89" s="2256" t="e">
        <f>#REF!/G$22*1000/12</f>
        <v>#REF!</v>
      </c>
    </row>
    <row r="90" spans="1:9" x14ac:dyDescent="0.25">
      <c r="A90" s="2267" t="s">
        <v>2976</v>
      </c>
      <c r="B90" s="2262" t="s">
        <v>243</v>
      </c>
      <c r="C90" s="2319" t="s">
        <v>3086</v>
      </c>
      <c r="D90" s="2256" t="e">
        <f>#REF!/D$22*1000/12</f>
        <v>#REF!</v>
      </c>
      <c r="E90" s="2256" t="e">
        <f>#REF!/E$22*1000/12</f>
        <v>#REF!</v>
      </c>
      <c r="F90" s="2256" t="e">
        <f>#REF!/F$22*1000/12</f>
        <v>#REF!</v>
      </c>
      <c r="G90" s="2256" t="e">
        <f>#REF!/G$22*1000/12</f>
        <v>#REF!</v>
      </c>
    </row>
    <row r="91" spans="1:9" x14ac:dyDescent="0.25">
      <c r="A91" s="2267" t="s">
        <v>677</v>
      </c>
      <c r="B91" s="152" t="s">
        <v>83</v>
      </c>
      <c r="C91" s="2319" t="s">
        <v>3086</v>
      </c>
      <c r="D91" s="2256" t="e">
        <f>#REF!/D$22*1000/12</f>
        <v>#REF!</v>
      </c>
      <c r="E91" s="2256" t="e">
        <f>#REF!/E$22*1000/12</f>
        <v>#REF!</v>
      </c>
      <c r="F91" s="2256" t="e">
        <f>#REF!/F$22*1000/12</f>
        <v>#REF!</v>
      </c>
      <c r="G91" s="2256" t="e">
        <f>#REF!/G$22*1000/12</f>
        <v>#REF!</v>
      </c>
    </row>
    <row r="92" spans="1:9" x14ac:dyDescent="0.25">
      <c r="A92" s="2267" t="s">
        <v>2977</v>
      </c>
      <c r="B92" s="152" t="s">
        <v>5</v>
      </c>
      <c r="C92" s="2319" t="s">
        <v>3086</v>
      </c>
      <c r="D92" s="2256" t="e">
        <f>#REF!/D$22*1000/12</f>
        <v>#REF!</v>
      </c>
      <c r="E92" s="2256" t="e">
        <f>#REF!/E$22*1000/12</f>
        <v>#REF!</v>
      </c>
      <c r="F92" s="2256" t="e">
        <f>#REF!/F$22*1000/12</f>
        <v>#REF!</v>
      </c>
      <c r="G92" s="2256" t="e">
        <f>#REF!/G$22*1000/12</f>
        <v>#REF!</v>
      </c>
    </row>
    <row r="93" spans="1:9" x14ac:dyDescent="0.25">
      <c r="A93" s="2267" t="s">
        <v>2978</v>
      </c>
      <c r="B93" s="152" t="s">
        <v>63</v>
      </c>
      <c r="C93" s="2319" t="s">
        <v>3086</v>
      </c>
      <c r="D93" s="2256" t="e">
        <f>#REF!/D$22*1000/12</f>
        <v>#REF!</v>
      </c>
      <c r="E93" s="2256" t="e">
        <f>#REF!/E$22*1000/12</f>
        <v>#REF!</v>
      </c>
      <c r="F93" s="2256" t="e">
        <f>#REF!/F$22*1000/12</f>
        <v>#REF!</v>
      </c>
      <c r="G93" s="2256" t="e">
        <f>#REF!/G$22*1000/12</f>
        <v>#REF!</v>
      </c>
    </row>
    <row r="94" spans="1:9" x14ac:dyDescent="0.25">
      <c r="A94" s="2267" t="s">
        <v>2979</v>
      </c>
      <c r="B94" s="152" t="s">
        <v>244</v>
      </c>
      <c r="C94" s="2319" t="s">
        <v>3086</v>
      </c>
      <c r="D94" s="2256" t="e">
        <f>#REF!/D$22*1000/12</f>
        <v>#REF!</v>
      </c>
      <c r="E94" s="2256" t="e">
        <f>#REF!/E$22*1000/12</f>
        <v>#REF!</v>
      </c>
      <c r="F94" s="2256" t="e">
        <f>#REF!/F$22*1000/12</f>
        <v>#REF!</v>
      </c>
      <c r="G94" s="2256" t="e">
        <f>#REF!/G$22*1000/12</f>
        <v>#REF!</v>
      </c>
    </row>
    <row r="95" spans="1:9" ht="27" customHeight="1" x14ac:dyDescent="0.25">
      <c r="A95" s="2267" t="s">
        <v>2980</v>
      </c>
      <c r="B95" s="152" t="s">
        <v>245</v>
      </c>
      <c r="C95" s="2319" t="s">
        <v>3086</v>
      </c>
      <c r="D95" s="2256" t="e">
        <f>#REF!/D$22*1000/12</f>
        <v>#REF!</v>
      </c>
      <c r="E95" s="2256" t="e">
        <f>#REF!/E$22*1000/12</f>
        <v>#REF!</v>
      </c>
      <c r="F95" s="2256" t="e">
        <f>#REF!/F$22*1000/12</f>
        <v>#REF!</v>
      </c>
      <c r="G95" s="2256" t="e">
        <f>#REF!/G$22*1000/12</f>
        <v>#REF!</v>
      </c>
      <c r="I95" s="2322"/>
    </row>
    <row r="96" spans="1:9" x14ac:dyDescent="0.25">
      <c r="A96" s="2267" t="s">
        <v>2981</v>
      </c>
      <c r="B96" s="152" t="s">
        <v>65</v>
      </c>
      <c r="C96" s="2319" t="s">
        <v>3086</v>
      </c>
      <c r="D96" s="2256" t="e">
        <f>#REF!/D$22*1000/12</f>
        <v>#REF!</v>
      </c>
      <c r="E96" s="2256" t="e">
        <f>#REF!/E$22*1000/12</f>
        <v>#REF!</v>
      </c>
      <c r="F96" s="2256" t="e">
        <f>#REF!/F$22*1000/12</f>
        <v>#REF!</v>
      </c>
      <c r="G96" s="2256" t="e">
        <f>#REF!/G$22*1000/12</f>
        <v>#REF!</v>
      </c>
    </row>
    <row r="97" spans="1:7" x14ac:dyDescent="0.25">
      <c r="A97" s="2267" t="s">
        <v>2982</v>
      </c>
      <c r="B97" s="152" t="s">
        <v>85</v>
      </c>
      <c r="C97" s="2319" t="s">
        <v>3086</v>
      </c>
      <c r="D97" s="2256" t="e">
        <f>#REF!/D$22*1000/12</f>
        <v>#REF!</v>
      </c>
      <c r="E97" s="2256" t="e">
        <f>#REF!/E$22*1000/12</f>
        <v>#REF!</v>
      </c>
      <c r="F97" s="2256" t="e">
        <f>#REF!/F$22*1000/12</f>
        <v>#REF!</v>
      </c>
      <c r="G97" s="2256" t="e">
        <f>#REF!/G$22*1000/12</f>
        <v>#REF!</v>
      </c>
    </row>
    <row r="98" spans="1:7" x14ac:dyDescent="0.25">
      <c r="A98" s="2267" t="s">
        <v>2983</v>
      </c>
      <c r="B98" s="152" t="s">
        <v>86</v>
      </c>
      <c r="C98" s="2319" t="s">
        <v>3086</v>
      </c>
      <c r="D98" s="2256" t="e">
        <f>#REF!/D$22*1000/12</f>
        <v>#REF!</v>
      </c>
      <c r="E98" s="2256" t="e">
        <f>#REF!/E$22*1000/12</f>
        <v>#REF!</v>
      </c>
      <c r="F98" s="2256" t="e">
        <f>#REF!/F$22*1000/12</f>
        <v>#REF!</v>
      </c>
      <c r="G98" s="2256" t="e">
        <f>#REF!/G$22*1000/12</f>
        <v>#REF!</v>
      </c>
    </row>
    <row r="99" spans="1:7" ht="25.5" x14ac:dyDescent="0.25">
      <c r="A99" s="2267" t="s">
        <v>2984</v>
      </c>
      <c r="B99" s="152" t="s">
        <v>71</v>
      </c>
      <c r="C99" s="2319" t="s">
        <v>3086</v>
      </c>
      <c r="D99" s="2256" t="e">
        <f>#REF!/D$22*1000/12</f>
        <v>#REF!</v>
      </c>
      <c r="E99" s="2256" t="e">
        <f>#REF!/E$22*1000/12</f>
        <v>#REF!</v>
      </c>
      <c r="F99" s="2256" t="e">
        <f>#REF!/F$22*1000/12</f>
        <v>#REF!</v>
      </c>
      <c r="G99" s="2256" t="e">
        <f>#REF!/G$22*1000/12</f>
        <v>#REF!</v>
      </c>
    </row>
    <row r="100" spans="1:7" x14ac:dyDescent="0.25">
      <c r="A100" s="2267" t="s">
        <v>2985</v>
      </c>
      <c r="B100" s="152" t="s">
        <v>87</v>
      </c>
      <c r="C100" s="2319" t="s">
        <v>3086</v>
      </c>
      <c r="D100" s="2256" t="e">
        <f>#REF!/D$22*1000/12</f>
        <v>#REF!</v>
      </c>
      <c r="E100" s="2256" t="e">
        <f>#REF!/E$22*1000/12</f>
        <v>#REF!</v>
      </c>
      <c r="F100" s="2256" t="e">
        <f>#REF!/F$22*1000/12</f>
        <v>#REF!</v>
      </c>
      <c r="G100" s="2256" t="e">
        <f>#REF!/G$22*1000/12</f>
        <v>#REF!</v>
      </c>
    </row>
    <row r="101" spans="1:7" x14ac:dyDescent="0.25">
      <c r="A101" s="4088" t="s">
        <v>2954</v>
      </c>
      <c r="B101" s="4089"/>
      <c r="C101" s="4089"/>
      <c r="D101" s="4089"/>
      <c r="E101" s="4089"/>
      <c r="F101" s="4089"/>
      <c r="G101" s="4090"/>
    </row>
    <row r="102" spans="1:7" ht="38.25" x14ac:dyDescent="0.25">
      <c r="A102" s="2269" t="s">
        <v>2986</v>
      </c>
      <c r="B102" s="2271" t="s">
        <v>3017</v>
      </c>
      <c r="C102" s="2321" t="s">
        <v>3084</v>
      </c>
      <c r="D102" s="2256" t="e">
        <f>#REF!/D$20*1000/12</f>
        <v>#REF!</v>
      </c>
      <c r="E102" s="2256" t="e">
        <f>#REF!/E$20*1000/12</f>
        <v>#REF!</v>
      </c>
      <c r="F102" s="2256" t="e">
        <f>#REF!/F$20*1000/12</f>
        <v>#REF!</v>
      </c>
      <c r="G102" s="2256" t="e">
        <f>#REF!/G$20*1000/12</f>
        <v>#REF!</v>
      </c>
    </row>
    <row r="103" spans="1:7" x14ac:dyDescent="0.25">
      <c r="A103" s="2270" t="s">
        <v>2987</v>
      </c>
      <c r="B103" s="152" t="s">
        <v>225</v>
      </c>
      <c r="C103" s="2320" t="s">
        <v>3086</v>
      </c>
      <c r="D103" s="2256" t="e">
        <f>#REF!/D$20*1000/12</f>
        <v>#REF!</v>
      </c>
      <c r="E103" s="2256" t="e">
        <f>#REF!/E$20*1000/12</f>
        <v>#REF!</v>
      </c>
      <c r="F103" s="2256" t="e">
        <f>#REF!/F$20*1000/12</f>
        <v>#REF!</v>
      </c>
      <c r="G103" s="2256" t="e">
        <f>#REF!/G$20*1000/12</f>
        <v>#REF!</v>
      </c>
    </row>
    <row r="104" spans="1:7" x14ac:dyDescent="0.25">
      <c r="A104" s="2270" t="s">
        <v>2988</v>
      </c>
      <c r="B104" s="152" t="s">
        <v>103</v>
      </c>
      <c r="C104" s="2320" t="s">
        <v>3086</v>
      </c>
      <c r="D104" s="2256" t="e">
        <f>#REF!/D$20*1000/12</f>
        <v>#REF!</v>
      </c>
      <c r="E104" s="2256" t="e">
        <f>#REF!/E$20*1000/12</f>
        <v>#REF!</v>
      </c>
      <c r="F104" s="2256" t="e">
        <f>#REF!/F$20*1000/12</f>
        <v>#REF!</v>
      </c>
      <c r="G104" s="2256" t="e">
        <f>#REF!/G$20*1000/12</f>
        <v>#REF!</v>
      </c>
    </row>
    <row r="105" spans="1:7" x14ac:dyDescent="0.25">
      <c r="A105" s="2270" t="s">
        <v>2989</v>
      </c>
      <c r="B105" s="152" t="s">
        <v>47</v>
      </c>
      <c r="C105" s="2320" t="s">
        <v>3086</v>
      </c>
      <c r="D105" s="2256" t="e">
        <f>#REF!/D$20*1000/12</f>
        <v>#REF!</v>
      </c>
      <c r="E105" s="2256" t="e">
        <f>#REF!/E$20*1000/12</f>
        <v>#REF!</v>
      </c>
      <c r="F105" s="2256" t="e">
        <f>#REF!/F$20*1000/12</f>
        <v>#REF!</v>
      </c>
      <c r="G105" s="2256" t="e">
        <f>#REF!/G$20*1000/12</f>
        <v>#REF!</v>
      </c>
    </row>
    <row r="106" spans="1:7" x14ac:dyDescent="0.25">
      <c r="A106" s="2270" t="s">
        <v>2990</v>
      </c>
      <c r="B106" s="152" t="s">
        <v>227</v>
      </c>
      <c r="C106" s="2320" t="s">
        <v>3086</v>
      </c>
      <c r="D106" s="2256" t="e">
        <f>#REF!/D$20*1000/12</f>
        <v>#REF!</v>
      </c>
      <c r="E106" s="2256" t="e">
        <f>#REF!/E$20*1000/12</f>
        <v>#REF!</v>
      </c>
      <c r="F106" s="2256" t="e">
        <f>#REF!/F$20*1000/12</f>
        <v>#REF!</v>
      </c>
      <c r="G106" s="2256" t="e">
        <f>#REF!/G$20*1000/12</f>
        <v>#REF!</v>
      </c>
    </row>
    <row r="107" spans="1:7" ht="28.9" customHeight="1" x14ac:dyDescent="0.25">
      <c r="A107" s="2270" t="s">
        <v>2991</v>
      </c>
      <c r="B107" s="152" t="s">
        <v>452</v>
      </c>
      <c r="C107" s="2320" t="s">
        <v>3086</v>
      </c>
      <c r="D107" s="2256" t="e">
        <f>#REF!/D$20*1000/12</f>
        <v>#REF!</v>
      </c>
      <c r="E107" s="2256" t="e">
        <f>#REF!/E$20*1000/12</f>
        <v>#REF!</v>
      </c>
      <c r="F107" s="2256" t="e">
        <f>#REF!/F$20*1000/12</f>
        <v>#REF!</v>
      </c>
      <c r="G107" s="2256" t="e">
        <f>#REF!/G$20*1000/12</f>
        <v>#REF!</v>
      </c>
    </row>
    <row r="108" spans="1:7" x14ac:dyDescent="0.25">
      <c r="A108" s="2270" t="s">
        <v>2992</v>
      </c>
      <c r="B108" s="152" t="s">
        <v>460</v>
      </c>
      <c r="C108" s="2320" t="s">
        <v>3086</v>
      </c>
      <c r="D108" s="2256" t="e">
        <f>#REF!/D$20*1000/12</f>
        <v>#REF!</v>
      </c>
      <c r="E108" s="2256" t="e">
        <f>#REF!/E$20*1000/12</f>
        <v>#REF!</v>
      </c>
      <c r="F108" s="2256" t="e">
        <f>#REF!/F$20*1000/12</f>
        <v>#REF!</v>
      </c>
      <c r="G108" s="2256" t="e">
        <f>#REF!/G$20*1000/12</f>
        <v>#REF!</v>
      </c>
    </row>
    <row r="109" spans="1:7" x14ac:dyDescent="0.25">
      <c r="A109" s="2270" t="s">
        <v>2993</v>
      </c>
      <c r="B109" s="152" t="s">
        <v>52</v>
      </c>
      <c r="C109" s="2320" t="s">
        <v>3086</v>
      </c>
      <c r="D109" s="2256" t="e">
        <f>#REF!/D$20*1000/12</f>
        <v>#REF!</v>
      </c>
      <c r="E109" s="2256" t="e">
        <f>#REF!/E$20*1000/12</f>
        <v>#REF!</v>
      </c>
      <c r="F109" s="2256" t="e">
        <f>#REF!/F$20*1000/12</f>
        <v>#REF!</v>
      </c>
      <c r="G109" s="2256" t="e">
        <f>#REF!/G$20*1000/12</f>
        <v>#REF!</v>
      </c>
    </row>
    <row r="110" spans="1:7" x14ac:dyDescent="0.25">
      <c r="A110" s="2270" t="s">
        <v>2994</v>
      </c>
      <c r="B110" s="152" t="s">
        <v>228</v>
      </c>
      <c r="C110" s="2320" t="s">
        <v>3086</v>
      </c>
      <c r="D110" s="2256" t="e">
        <f>#REF!/D$20*1000/12</f>
        <v>#REF!</v>
      </c>
      <c r="E110" s="2256" t="e">
        <f>#REF!/E$20*1000/12</f>
        <v>#REF!</v>
      </c>
      <c r="F110" s="2256" t="e">
        <f>#REF!/F$20*1000/12</f>
        <v>#REF!</v>
      </c>
      <c r="G110" s="2256" t="e">
        <f>#REF!/G$20*1000/12</f>
        <v>#REF!</v>
      </c>
    </row>
    <row r="111" spans="1:7" x14ac:dyDescent="0.25">
      <c r="A111" s="2270" t="s">
        <v>2995</v>
      </c>
      <c r="B111" s="152" t="s">
        <v>55</v>
      </c>
      <c r="C111" s="2320" t="s">
        <v>3086</v>
      </c>
      <c r="D111" s="2256" t="e">
        <f>#REF!/D$20*1000/12</f>
        <v>#REF!</v>
      </c>
      <c r="E111" s="2256" t="e">
        <f>#REF!/E$20*1000/12</f>
        <v>#REF!</v>
      </c>
      <c r="F111" s="2256" t="e">
        <f>#REF!/F$20*1000/12</f>
        <v>#REF!</v>
      </c>
      <c r="G111" s="2256" t="e">
        <f>#REF!/G$20*1000/12</f>
        <v>#REF!</v>
      </c>
    </row>
    <row r="112" spans="1:7" ht="27.6" customHeight="1" x14ac:dyDescent="0.25">
      <c r="A112" s="2270" t="s">
        <v>2996</v>
      </c>
      <c r="B112" s="152" t="s">
        <v>452</v>
      </c>
      <c r="C112" s="2320" t="s">
        <v>3086</v>
      </c>
      <c r="D112" s="2256" t="e">
        <f>#REF!/D$20*1000/12</f>
        <v>#REF!</v>
      </c>
      <c r="E112" s="2256" t="e">
        <f>#REF!/E$20*1000/12</f>
        <v>#REF!</v>
      </c>
      <c r="F112" s="2256" t="e">
        <f>#REF!/F$20*1000/12</f>
        <v>#REF!</v>
      </c>
      <c r="G112" s="2256" t="e">
        <f>#REF!/G$20*1000/12</f>
        <v>#REF!</v>
      </c>
    </row>
    <row r="113" spans="1:7" x14ac:dyDescent="0.25">
      <c r="A113" s="2270" t="s">
        <v>2997</v>
      </c>
      <c r="B113" s="152" t="s">
        <v>58</v>
      </c>
      <c r="C113" s="2320" t="s">
        <v>3086</v>
      </c>
      <c r="D113" s="2256" t="e">
        <f>#REF!/D$20*1000/12</f>
        <v>#REF!</v>
      </c>
      <c r="E113" s="2256" t="e">
        <f>#REF!/E$20*1000/12</f>
        <v>#REF!</v>
      </c>
      <c r="F113" s="2256" t="e">
        <f>#REF!/F$20*1000/12</f>
        <v>#REF!</v>
      </c>
      <c r="G113" s="2256" t="e">
        <f>#REF!/G$20*1000/12</f>
        <v>#REF!</v>
      </c>
    </row>
    <row r="114" spans="1:7" x14ac:dyDescent="0.25">
      <c r="A114" s="2270" t="s">
        <v>2998</v>
      </c>
      <c r="B114" s="152" t="s">
        <v>229</v>
      </c>
      <c r="C114" s="2320" t="s">
        <v>3086</v>
      </c>
      <c r="D114" s="2256" t="e">
        <f>#REF!/D$20*1000/12</f>
        <v>#REF!</v>
      </c>
      <c r="E114" s="2256" t="e">
        <f>#REF!/E$20*1000/12</f>
        <v>#REF!</v>
      </c>
      <c r="F114" s="2256" t="e">
        <f>#REF!/F$20*1000/12</f>
        <v>#REF!</v>
      </c>
      <c r="G114" s="2256" t="e">
        <f>#REF!/G$20*1000/12</f>
        <v>#REF!</v>
      </c>
    </row>
    <row r="115" spans="1:7" x14ac:dyDescent="0.25">
      <c r="A115" s="2270" t="s">
        <v>2999</v>
      </c>
      <c r="B115" s="152" t="s">
        <v>55</v>
      </c>
      <c r="C115" s="2320" t="s">
        <v>3086</v>
      </c>
      <c r="D115" s="2256" t="e">
        <f>#REF!/D$20*1000/12</f>
        <v>#REF!</v>
      </c>
      <c r="E115" s="2256" t="e">
        <f>#REF!/E$20*1000/12</f>
        <v>#REF!</v>
      </c>
      <c r="F115" s="2256" t="e">
        <f>#REF!/F$20*1000/12</f>
        <v>#REF!</v>
      </c>
      <c r="G115" s="2256" t="e">
        <f>#REF!/G$20*1000/12</f>
        <v>#REF!</v>
      </c>
    </row>
    <row r="116" spans="1:7" ht="25.9" customHeight="1" x14ac:dyDescent="0.25">
      <c r="A116" s="2270" t="s">
        <v>3000</v>
      </c>
      <c r="B116" s="152" t="s">
        <v>452</v>
      </c>
      <c r="C116" s="2320" t="s">
        <v>3086</v>
      </c>
      <c r="D116" s="2256" t="e">
        <f>#REF!/D$20*1000/12</f>
        <v>#REF!</v>
      </c>
      <c r="E116" s="2256" t="e">
        <f>#REF!/E$20*1000/12</f>
        <v>#REF!</v>
      </c>
      <c r="F116" s="2256" t="e">
        <f>#REF!/F$20*1000/12</f>
        <v>#REF!</v>
      </c>
      <c r="G116" s="2256" t="e">
        <f>#REF!/G$20*1000/12</f>
        <v>#REF!</v>
      </c>
    </row>
    <row r="117" spans="1:7" x14ac:dyDescent="0.25">
      <c r="A117" s="2270" t="s">
        <v>3001</v>
      </c>
      <c r="B117" s="152" t="s">
        <v>58</v>
      </c>
      <c r="C117" s="2320" t="s">
        <v>3086</v>
      </c>
      <c r="D117" s="2256" t="e">
        <f>#REF!/D$20*1000/12</f>
        <v>#REF!</v>
      </c>
      <c r="E117" s="2256" t="e">
        <f>#REF!/E$20*1000/12</f>
        <v>#REF!</v>
      </c>
      <c r="F117" s="2256" t="e">
        <f>#REF!/F$20*1000/12</f>
        <v>#REF!</v>
      </c>
      <c r="G117" s="2256" t="e">
        <f>#REF!/G$20*1000/12</f>
        <v>#REF!</v>
      </c>
    </row>
    <row r="118" spans="1:7" x14ac:dyDescent="0.25">
      <c r="A118" s="2270" t="s">
        <v>3002</v>
      </c>
      <c r="B118" s="244" t="s">
        <v>230</v>
      </c>
      <c r="C118" s="2320" t="s">
        <v>3086</v>
      </c>
      <c r="D118" s="2256" t="e">
        <f>#REF!/D$20*1000/12</f>
        <v>#REF!</v>
      </c>
      <c r="E118" s="2256" t="e">
        <f>#REF!/E$20*1000/12</f>
        <v>#REF!</v>
      </c>
      <c r="F118" s="2256" t="e">
        <f>#REF!/F$20*1000/12</f>
        <v>#REF!</v>
      </c>
      <c r="G118" s="2256" t="e">
        <f>#REF!/G$20*1000/12</f>
        <v>#REF!</v>
      </c>
    </row>
    <row r="119" spans="1:7" x14ac:dyDescent="0.25">
      <c r="A119" s="2270" t="s">
        <v>2065</v>
      </c>
      <c r="B119" s="244" t="s">
        <v>55</v>
      </c>
      <c r="C119" s="2320" t="s">
        <v>3086</v>
      </c>
      <c r="D119" s="2256" t="e">
        <f>#REF!/D$20*1000/12</f>
        <v>#REF!</v>
      </c>
      <c r="E119" s="2256" t="e">
        <f>#REF!/E$20*1000/12</f>
        <v>#REF!</v>
      </c>
      <c r="F119" s="2256" t="e">
        <f>#REF!/F$20*1000/12</f>
        <v>#REF!</v>
      </c>
      <c r="G119" s="2256" t="e">
        <f>#REF!/G$20*1000/12</f>
        <v>#REF!</v>
      </c>
    </row>
    <row r="120" spans="1:7" ht="28.15" customHeight="1" x14ac:dyDescent="0.25">
      <c r="A120" s="2270" t="s">
        <v>2067</v>
      </c>
      <c r="B120" s="244" t="s">
        <v>452</v>
      </c>
      <c r="C120" s="2320" t="s">
        <v>3086</v>
      </c>
      <c r="D120" s="2256" t="e">
        <f>#REF!/D$20*1000/12</f>
        <v>#REF!</v>
      </c>
      <c r="E120" s="2256" t="e">
        <f>#REF!/E$20*1000/12</f>
        <v>#REF!</v>
      </c>
      <c r="F120" s="2256" t="e">
        <f>#REF!/F$20*1000/12</f>
        <v>#REF!</v>
      </c>
      <c r="G120" s="2256" t="e">
        <f>#REF!/G$20*1000/12</f>
        <v>#REF!</v>
      </c>
    </row>
    <row r="121" spans="1:7" x14ac:dyDescent="0.25">
      <c r="A121" s="2270" t="s">
        <v>3003</v>
      </c>
      <c r="B121" s="2262" t="s">
        <v>243</v>
      </c>
      <c r="C121" s="2320" t="s">
        <v>3086</v>
      </c>
      <c r="D121" s="2256" t="e">
        <f>#REF!/D$20*1000/12</f>
        <v>#REF!</v>
      </c>
      <c r="E121" s="2256" t="e">
        <f>#REF!/E$20*1000/12</f>
        <v>#REF!</v>
      </c>
      <c r="F121" s="2256" t="e">
        <f>#REF!/F$20*1000/12</f>
        <v>#REF!</v>
      </c>
      <c r="G121" s="2256" t="e">
        <f>#REF!/G$20*1000/12</f>
        <v>#REF!</v>
      </c>
    </row>
    <row r="122" spans="1:7" x14ac:dyDescent="0.25">
      <c r="A122" s="2270" t="s">
        <v>3004</v>
      </c>
      <c r="B122" s="152" t="s">
        <v>106</v>
      </c>
      <c r="C122" s="2320" t="s">
        <v>3086</v>
      </c>
      <c r="D122" s="2256" t="e">
        <f>#REF!/D$20*1000/12</f>
        <v>#REF!</v>
      </c>
      <c r="E122" s="2256" t="e">
        <f>#REF!/E$20*1000/12</f>
        <v>#REF!</v>
      </c>
      <c r="F122" s="2256" t="e">
        <f>#REF!/F$20*1000/12</f>
        <v>#REF!</v>
      </c>
      <c r="G122" s="2256" t="e">
        <f>#REF!/G$20*1000/12</f>
        <v>#REF!</v>
      </c>
    </row>
    <row r="123" spans="1:7" x14ac:dyDescent="0.25">
      <c r="A123" s="2270" t="s">
        <v>3005</v>
      </c>
      <c r="B123" s="152" t="s">
        <v>5</v>
      </c>
      <c r="C123" s="2320" t="s">
        <v>3086</v>
      </c>
      <c r="D123" s="2256" t="e">
        <f>#REF!/D$20*1000/12</f>
        <v>#REF!</v>
      </c>
      <c r="E123" s="2256" t="e">
        <f>#REF!/E$20*1000/12</f>
        <v>#REF!</v>
      </c>
      <c r="F123" s="2256" t="e">
        <f>#REF!/F$20*1000/12</f>
        <v>#REF!</v>
      </c>
      <c r="G123" s="2256" t="e">
        <f>#REF!/G$20*1000/12</f>
        <v>#REF!</v>
      </c>
    </row>
    <row r="124" spans="1:7" x14ac:dyDescent="0.25">
      <c r="A124" s="2270" t="s">
        <v>3006</v>
      </c>
      <c r="B124" s="152" t="s">
        <v>63</v>
      </c>
      <c r="C124" s="2320" t="s">
        <v>3086</v>
      </c>
      <c r="D124" s="2256" t="e">
        <f>#REF!/D$20*1000/12</f>
        <v>#REF!</v>
      </c>
      <c r="E124" s="2256" t="e">
        <f>#REF!/E$20*1000/12</f>
        <v>#REF!</v>
      </c>
      <c r="F124" s="2256" t="e">
        <f>#REF!/F$20*1000/12</f>
        <v>#REF!</v>
      </c>
      <c r="G124" s="2256" t="e">
        <f>#REF!/G$20*1000/12</f>
        <v>#REF!</v>
      </c>
    </row>
    <row r="125" spans="1:7" x14ac:dyDescent="0.25">
      <c r="A125" s="2270" t="s">
        <v>3007</v>
      </c>
      <c r="B125" s="152" t="s">
        <v>231</v>
      </c>
      <c r="C125" s="2320" t="s">
        <v>3086</v>
      </c>
      <c r="D125" s="2256" t="e">
        <f>#REF!/D$20*1000/12</f>
        <v>#REF!</v>
      </c>
      <c r="E125" s="2256" t="e">
        <f>#REF!/E$20*1000/12</f>
        <v>#REF!</v>
      </c>
      <c r="F125" s="2256" t="e">
        <f>#REF!/F$20*1000/12</f>
        <v>#REF!</v>
      </c>
      <c r="G125" s="2256" t="e">
        <f>#REF!/G$20*1000/12</f>
        <v>#REF!</v>
      </c>
    </row>
    <row r="126" spans="1:7" ht="25.5" x14ac:dyDescent="0.25">
      <c r="A126" s="2270" t="s">
        <v>3008</v>
      </c>
      <c r="B126" s="152" t="s">
        <v>252</v>
      </c>
      <c r="C126" s="2320" t="s">
        <v>3086</v>
      </c>
      <c r="D126" s="2256" t="e">
        <f>#REF!/D$20*1000/12</f>
        <v>#REF!</v>
      </c>
      <c r="E126" s="2256" t="e">
        <f>#REF!/E$20*1000/12</f>
        <v>#REF!</v>
      </c>
      <c r="F126" s="2256" t="e">
        <f>#REF!/F$20*1000/12</f>
        <v>#REF!</v>
      </c>
      <c r="G126" s="2256" t="e">
        <f>#REF!/G$20*1000/12</f>
        <v>#REF!</v>
      </c>
    </row>
    <row r="127" spans="1:7" x14ac:dyDescent="0.25">
      <c r="A127" s="2270" t="s">
        <v>3009</v>
      </c>
      <c r="B127" s="152" t="s">
        <v>65</v>
      </c>
      <c r="C127" s="2320" t="s">
        <v>3086</v>
      </c>
      <c r="D127" s="2256" t="e">
        <f>#REF!/D$20*1000/12</f>
        <v>#REF!</v>
      </c>
      <c r="E127" s="2256" t="e">
        <f>#REF!/E$20*1000/12</f>
        <v>#REF!</v>
      </c>
      <c r="F127" s="2256" t="e">
        <f>#REF!/F$20*1000/12</f>
        <v>#REF!</v>
      </c>
      <c r="G127" s="2256" t="e">
        <f>#REF!/G$20*1000/12</f>
        <v>#REF!</v>
      </c>
    </row>
    <row r="128" spans="1:7" x14ac:dyDescent="0.25">
      <c r="A128" s="2270" t="s">
        <v>3010</v>
      </c>
      <c r="B128" s="152" t="s">
        <v>85</v>
      </c>
      <c r="C128" s="2320" t="s">
        <v>3086</v>
      </c>
      <c r="D128" s="2256" t="e">
        <f>#REF!/D$20*1000/12</f>
        <v>#REF!</v>
      </c>
      <c r="E128" s="2256" t="e">
        <f>#REF!/E$20*1000/12</f>
        <v>#REF!</v>
      </c>
      <c r="F128" s="2256" t="e">
        <f>#REF!/F$20*1000/12</f>
        <v>#REF!</v>
      </c>
      <c r="G128" s="2256" t="e">
        <f>#REF!/G$20*1000/12</f>
        <v>#REF!</v>
      </c>
    </row>
    <row r="129" spans="1:7" x14ac:dyDescent="0.25">
      <c r="A129" s="2270" t="s">
        <v>3011</v>
      </c>
      <c r="B129" s="152" t="s">
        <v>86</v>
      </c>
      <c r="C129" s="2320" t="s">
        <v>3086</v>
      </c>
      <c r="D129" s="2256" t="e">
        <f>#REF!/D$20*1000/12</f>
        <v>#REF!</v>
      </c>
      <c r="E129" s="2256" t="e">
        <f>#REF!/E$20*1000/12</f>
        <v>#REF!</v>
      </c>
      <c r="F129" s="2256" t="e">
        <f>#REF!/F$20*1000/12</f>
        <v>#REF!</v>
      </c>
      <c r="G129" s="2256" t="e">
        <f>#REF!/G$20*1000/12</f>
        <v>#REF!</v>
      </c>
    </row>
    <row r="130" spans="1:7" ht="25.5" x14ac:dyDescent="0.25">
      <c r="A130" s="2270" t="s">
        <v>3012</v>
      </c>
      <c r="B130" s="152" t="s">
        <v>71</v>
      </c>
      <c r="C130" s="2320" t="s">
        <v>3086</v>
      </c>
      <c r="D130" s="2256" t="e">
        <f>#REF!/D$20*1000/12</f>
        <v>#REF!</v>
      </c>
      <c r="E130" s="2256" t="e">
        <f>#REF!/E$20*1000/12</f>
        <v>#REF!</v>
      </c>
      <c r="F130" s="2256" t="e">
        <f>#REF!/F$20*1000/12</f>
        <v>#REF!</v>
      </c>
      <c r="G130" s="2256" t="e">
        <f>#REF!/G$20*1000/12</f>
        <v>#REF!</v>
      </c>
    </row>
    <row r="131" spans="1:7" x14ac:dyDescent="0.25">
      <c r="A131" s="2270" t="s">
        <v>3013</v>
      </c>
      <c r="B131" s="1178" t="s">
        <v>87</v>
      </c>
      <c r="C131" s="2320" t="s">
        <v>3086</v>
      </c>
      <c r="D131" s="2256" t="e">
        <f>#REF!/D$20*1000/12</f>
        <v>#REF!</v>
      </c>
      <c r="E131" s="2256" t="e">
        <f>#REF!/E$20*1000/12</f>
        <v>#REF!</v>
      </c>
      <c r="F131" s="2256" t="e">
        <f>#REF!/F$20*1000/12</f>
        <v>#REF!</v>
      </c>
      <c r="G131" s="2256" t="e">
        <f>#REF!/G$20*1000/12</f>
        <v>#REF!</v>
      </c>
    </row>
    <row r="135" spans="1:7" ht="15.75" x14ac:dyDescent="0.25">
      <c r="B135" s="2126" t="s">
        <v>2868</v>
      </c>
      <c r="C135" s="2126"/>
      <c r="D135" s="58"/>
      <c r="E135" s="2126" t="s">
        <v>2869</v>
      </c>
      <c r="F135" s="2126"/>
      <c r="G135" s="2126"/>
    </row>
  </sheetData>
  <mergeCells count="16">
    <mergeCell ref="A7:G7"/>
    <mergeCell ref="D1:F1"/>
    <mergeCell ref="D2:F2"/>
    <mergeCell ref="D3:F3"/>
    <mergeCell ref="D4:F4"/>
    <mergeCell ref="A6:G6"/>
    <mergeCell ref="A30:G30"/>
    <mergeCell ref="A61:G61"/>
    <mergeCell ref="A65:G65"/>
    <mergeCell ref="A101:G101"/>
    <mergeCell ref="A9:A10"/>
    <mergeCell ref="B9:B10"/>
    <mergeCell ref="D9:G9"/>
    <mergeCell ref="A12:G12"/>
    <mergeCell ref="A15:G15"/>
    <mergeCell ref="A23:G23"/>
  </mergeCells>
  <pageMargins left="0.79" right="0.31" top="0.43" bottom="0.37" header="0.31496062992125984" footer="0.31496062992125984"/>
  <pageSetup paperSize="9" orientation="portrait" horizontalDpi="0"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00FF"/>
  </sheetPr>
  <dimension ref="A1:J39"/>
  <sheetViews>
    <sheetView workbookViewId="0">
      <selection sqref="A1:XFD1048576"/>
    </sheetView>
  </sheetViews>
  <sheetFormatPr defaultColWidth="8.85546875" defaultRowHeight="15.75" x14ac:dyDescent="0.25"/>
  <cols>
    <col min="1" max="1" width="22.5703125" style="58" customWidth="1"/>
    <col min="2" max="2" width="19.85546875" style="58" customWidth="1"/>
    <col min="3" max="3" width="15.5703125" style="58" customWidth="1"/>
    <col min="4" max="5" width="13.28515625" style="58" customWidth="1"/>
    <col min="6" max="8" width="8.85546875" style="58"/>
    <col min="9" max="10" width="11.5703125" style="58" customWidth="1"/>
    <col min="11" max="16384" width="8.85546875" style="58"/>
  </cols>
  <sheetData>
    <row r="1" spans="1:7" x14ac:dyDescent="0.25">
      <c r="A1" s="2176"/>
      <c r="B1" s="2176"/>
      <c r="C1" s="4076" t="s">
        <v>3108</v>
      </c>
      <c r="D1" s="4076"/>
      <c r="E1" s="4076"/>
    </row>
    <row r="2" spans="1:7" ht="12.6" customHeight="1" x14ac:dyDescent="0.25">
      <c r="A2" s="2176"/>
      <c r="B2" s="2176"/>
      <c r="C2" s="4077" t="s">
        <v>2859</v>
      </c>
      <c r="D2" s="4077"/>
      <c r="E2" s="4077"/>
    </row>
    <row r="3" spans="1:7" ht="27" customHeight="1" x14ac:dyDescent="0.25">
      <c r="A3" s="2176"/>
      <c r="B3" s="2176"/>
      <c r="C3" s="4078" t="s">
        <v>2874</v>
      </c>
      <c r="D3" s="4078"/>
      <c r="E3" s="4078"/>
    </row>
    <row r="4" spans="1:7" x14ac:dyDescent="0.25">
      <c r="A4" s="2176"/>
      <c r="B4" s="2176"/>
      <c r="C4" s="4077" t="s">
        <v>2870</v>
      </c>
      <c r="D4" s="4077"/>
      <c r="E4" s="4077"/>
    </row>
    <row r="5" spans="1:7" ht="6" customHeight="1" x14ac:dyDescent="0.25"/>
    <row r="6" spans="1:7" x14ac:dyDescent="0.25">
      <c r="A6" s="4083" t="s">
        <v>2119</v>
      </c>
      <c r="B6" s="4083"/>
      <c r="C6" s="4083"/>
      <c r="D6" s="4083"/>
      <c r="E6" s="4083"/>
    </row>
    <row r="7" spans="1:7" ht="63.6" customHeight="1" x14ac:dyDescent="0.25">
      <c r="A7" s="4100" t="s">
        <v>2960</v>
      </c>
      <c r="B7" s="4100"/>
      <c r="C7" s="4100"/>
      <c r="D7" s="4100"/>
      <c r="E7" s="4100"/>
    </row>
    <row r="8" spans="1:7" ht="0.6" customHeight="1" x14ac:dyDescent="0.25"/>
    <row r="9" spans="1:7" ht="31.5" x14ac:dyDescent="0.25">
      <c r="A9" s="2177" t="s">
        <v>1486</v>
      </c>
      <c r="B9" s="2177" t="s">
        <v>269</v>
      </c>
      <c r="C9" s="2177" t="s">
        <v>2860</v>
      </c>
      <c r="D9" s="2177" t="s">
        <v>2871</v>
      </c>
      <c r="E9" s="2177" t="s">
        <v>2872</v>
      </c>
    </row>
    <row r="10" spans="1:7" ht="15.6" customHeight="1" x14ac:dyDescent="0.25">
      <c r="A10" s="4096" t="s">
        <v>2790</v>
      </c>
      <c r="B10" s="4097"/>
      <c r="C10" s="4097"/>
      <c r="D10" s="4097"/>
      <c r="E10" s="4098"/>
    </row>
    <row r="11" spans="1:7" x14ac:dyDescent="0.25">
      <c r="A11" s="4095" t="s">
        <v>2873</v>
      </c>
      <c r="B11" s="2179" t="s">
        <v>2861</v>
      </c>
      <c r="C11" s="2179" t="s">
        <v>2862</v>
      </c>
      <c r="D11" s="2233" t="e">
        <f>D13+D15+D17</f>
        <v>#REF!</v>
      </c>
      <c r="E11" s="2233" t="e">
        <f>E13+E15+E17</f>
        <v>#REF!</v>
      </c>
      <c r="G11" s="58" t="e">
        <f>D11*1.2-E11</f>
        <v>#REF!</v>
      </c>
    </row>
    <row r="12" spans="1:7" ht="31.5" x14ac:dyDescent="0.25">
      <c r="A12" s="4095"/>
      <c r="B12" s="2179" t="s">
        <v>2863</v>
      </c>
      <c r="C12" s="2179" t="s">
        <v>2864</v>
      </c>
      <c r="D12" s="2233" t="e">
        <f>D14+D16+D18</f>
        <v>#REF!</v>
      </c>
      <c r="E12" s="2233" t="e">
        <f>E14+E16+E18</f>
        <v>#REF!</v>
      </c>
      <c r="G12" s="58" t="e">
        <f t="shared" ref="G12:G36" si="0">D12*1.2-E12</f>
        <v>#REF!</v>
      </c>
    </row>
    <row r="13" spans="1:7" x14ac:dyDescent="0.25">
      <c r="A13" s="4099" t="s">
        <v>2865</v>
      </c>
      <c r="B13" s="2178" t="s">
        <v>2861</v>
      </c>
      <c r="C13" s="2178" t="s">
        <v>2862</v>
      </c>
      <c r="D13" s="2234" t="e">
        <f>#REF!</f>
        <v>#REF!</v>
      </c>
      <c r="E13" s="2234" t="e">
        <f>#REF!</f>
        <v>#REF!</v>
      </c>
      <c r="G13" s="58" t="e">
        <f t="shared" si="0"/>
        <v>#REF!</v>
      </c>
    </row>
    <row r="14" spans="1:7" ht="31.5" x14ac:dyDescent="0.25">
      <c r="A14" s="4099"/>
      <c r="B14" s="2178" t="s">
        <v>2863</v>
      </c>
      <c r="C14" s="2178" t="s">
        <v>2864</v>
      </c>
      <c r="D14" s="2234" t="e">
        <f>#REF!/12</f>
        <v>#REF!</v>
      </c>
      <c r="E14" s="2234" t="e">
        <f>#REF!/12</f>
        <v>#REF!</v>
      </c>
      <c r="G14" s="58" t="e">
        <f t="shared" si="0"/>
        <v>#REF!</v>
      </c>
    </row>
    <row r="15" spans="1:7" x14ac:dyDescent="0.25">
      <c r="A15" s="4099" t="s">
        <v>2866</v>
      </c>
      <c r="B15" s="2178" t="s">
        <v>2861</v>
      </c>
      <c r="C15" s="2178" t="s">
        <v>2862</v>
      </c>
      <c r="D15" s="2234" t="e">
        <f>#REF!</f>
        <v>#REF!</v>
      </c>
      <c r="E15" s="2234" t="e">
        <f>#REF!</f>
        <v>#REF!</v>
      </c>
      <c r="G15" s="58" t="e">
        <f t="shared" si="0"/>
        <v>#REF!</v>
      </c>
    </row>
    <row r="16" spans="1:7" ht="31.5" x14ac:dyDescent="0.25">
      <c r="A16" s="4099"/>
      <c r="B16" s="2178" t="s">
        <v>2863</v>
      </c>
      <c r="C16" s="2178" t="s">
        <v>2864</v>
      </c>
      <c r="D16" s="2234" t="e">
        <f>#REF!/12</f>
        <v>#REF!</v>
      </c>
      <c r="E16" s="2234" t="e">
        <f>#REF!/12</f>
        <v>#REF!</v>
      </c>
      <c r="G16" s="58" t="e">
        <f t="shared" si="0"/>
        <v>#REF!</v>
      </c>
    </row>
    <row r="17" spans="1:10" x14ac:dyDescent="0.25">
      <c r="A17" s="4099" t="s">
        <v>2867</v>
      </c>
      <c r="B17" s="2178" t="s">
        <v>2861</v>
      </c>
      <c r="C17" s="2178" t="s">
        <v>2862</v>
      </c>
      <c r="D17" s="2234">
        <v>0</v>
      </c>
      <c r="E17" s="2234">
        <v>0</v>
      </c>
      <c r="G17" s="58">
        <f t="shared" si="0"/>
        <v>0</v>
      </c>
    </row>
    <row r="18" spans="1:10" ht="31.5" x14ac:dyDescent="0.25">
      <c r="A18" s="4099"/>
      <c r="B18" s="2178" t="s">
        <v>2863</v>
      </c>
      <c r="C18" s="2178" t="s">
        <v>2864</v>
      </c>
      <c r="D18" s="2234" t="e">
        <f>#REF!/12</f>
        <v>#REF!</v>
      </c>
      <c r="E18" s="2234" t="e">
        <f>#REF!/12</f>
        <v>#REF!</v>
      </c>
      <c r="G18" s="58" t="e">
        <f t="shared" si="0"/>
        <v>#REF!</v>
      </c>
    </row>
    <row r="19" spans="1:10" ht="15.6" customHeight="1" x14ac:dyDescent="0.25">
      <c r="A19" s="4096" t="s">
        <v>2912</v>
      </c>
      <c r="B19" s="4097"/>
      <c r="C19" s="4097"/>
      <c r="D19" s="4097"/>
      <c r="E19" s="4098"/>
      <c r="G19" s="58">
        <f t="shared" si="0"/>
        <v>0</v>
      </c>
    </row>
    <row r="20" spans="1:10" ht="15.6" customHeight="1" x14ac:dyDescent="0.25">
      <c r="A20" s="4095" t="s">
        <v>2873</v>
      </c>
      <c r="B20" s="2179" t="s">
        <v>2861</v>
      </c>
      <c r="C20" s="2179" t="s">
        <v>2862</v>
      </c>
      <c r="D20" s="2233" t="e">
        <f>D22+D24+D26</f>
        <v>#REF!</v>
      </c>
      <c r="E20" s="2233" t="e">
        <f>E22+E24+E26</f>
        <v>#REF!</v>
      </c>
      <c r="G20" s="58" t="e">
        <f t="shared" si="0"/>
        <v>#REF!</v>
      </c>
    </row>
    <row r="21" spans="1:10" ht="31.5" x14ac:dyDescent="0.25">
      <c r="A21" s="4095"/>
      <c r="B21" s="2179" t="s">
        <v>2863</v>
      </c>
      <c r="C21" s="2179" t="s">
        <v>2864</v>
      </c>
      <c r="D21" s="2233" t="e">
        <f>D23+D25+D27</f>
        <v>#REF!</v>
      </c>
      <c r="E21" s="2233" t="e">
        <f>E23+E25+E27</f>
        <v>#REF!</v>
      </c>
      <c r="G21" s="58" t="e">
        <f t="shared" si="0"/>
        <v>#REF!</v>
      </c>
    </row>
    <row r="22" spans="1:10" x14ac:dyDescent="0.25">
      <c r="A22" s="4099" t="s">
        <v>2865</v>
      </c>
      <c r="B22" s="2178" t="s">
        <v>2861</v>
      </c>
      <c r="C22" s="2178" t="s">
        <v>2187</v>
      </c>
      <c r="D22" s="2234" t="e">
        <f>#REF!</f>
        <v>#REF!</v>
      </c>
      <c r="E22" s="2234" t="e">
        <f>#REF!</f>
        <v>#REF!</v>
      </c>
      <c r="G22" s="58" t="e">
        <f t="shared" si="0"/>
        <v>#REF!</v>
      </c>
    </row>
    <row r="23" spans="1:10" ht="31.5" x14ac:dyDescent="0.25">
      <c r="A23" s="4099"/>
      <c r="B23" s="2178" t="s">
        <v>2863</v>
      </c>
      <c r="C23" s="2178" t="s">
        <v>2864</v>
      </c>
      <c r="D23" s="2234" t="e">
        <f>#REF!/12</f>
        <v>#REF!</v>
      </c>
      <c r="E23" s="2234" t="e">
        <f>#REF!/12</f>
        <v>#REF!</v>
      </c>
      <c r="G23" s="58" t="e">
        <f t="shared" si="0"/>
        <v>#REF!</v>
      </c>
    </row>
    <row r="24" spans="1:10" x14ac:dyDescent="0.25">
      <c r="A24" s="4099" t="s">
        <v>2866</v>
      </c>
      <c r="B24" s="2178" t="s">
        <v>2861</v>
      </c>
      <c r="C24" s="2178" t="s">
        <v>2187</v>
      </c>
      <c r="D24" s="2234" t="e">
        <f>#REF!</f>
        <v>#REF!</v>
      </c>
      <c r="E24" s="2234" t="e">
        <f>#REF!</f>
        <v>#REF!</v>
      </c>
      <c r="G24" s="58" t="e">
        <f t="shared" si="0"/>
        <v>#REF!</v>
      </c>
    </row>
    <row r="25" spans="1:10" ht="31.5" x14ac:dyDescent="0.25">
      <c r="A25" s="4099"/>
      <c r="B25" s="2178" t="s">
        <v>2863</v>
      </c>
      <c r="C25" s="2178" t="s">
        <v>2864</v>
      </c>
      <c r="D25" s="2234" t="e">
        <f>#REF!/12</f>
        <v>#REF!</v>
      </c>
      <c r="E25" s="2234" t="e">
        <f>#REF!/12</f>
        <v>#REF!</v>
      </c>
      <c r="G25" s="58" t="e">
        <f t="shared" si="0"/>
        <v>#REF!</v>
      </c>
    </row>
    <row r="26" spans="1:10" x14ac:dyDescent="0.25">
      <c r="A26" s="4099" t="s">
        <v>2867</v>
      </c>
      <c r="B26" s="2178" t="s">
        <v>2861</v>
      </c>
      <c r="C26" s="2178" t="s">
        <v>2187</v>
      </c>
      <c r="D26" s="2234">
        <v>0</v>
      </c>
      <c r="E26" s="1307">
        <v>0</v>
      </c>
      <c r="G26" s="58">
        <f t="shared" si="0"/>
        <v>0</v>
      </c>
    </row>
    <row r="27" spans="1:10" ht="31.5" x14ac:dyDescent="0.25">
      <c r="A27" s="4099"/>
      <c r="B27" s="2178" t="s">
        <v>2863</v>
      </c>
      <c r="C27" s="2178" t="s">
        <v>2864</v>
      </c>
      <c r="D27" s="2234" t="e">
        <f>#REF!/12</f>
        <v>#REF!</v>
      </c>
      <c r="E27" s="2234" t="e">
        <f>#REF!/12</f>
        <v>#REF!</v>
      </c>
      <c r="G27" s="58" t="e">
        <f t="shared" si="0"/>
        <v>#REF!</v>
      </c>
    </row>
    <row r="28" spans="1:10" ht="15.6" customHeight="1" x14ac:dyDescent="0.25">
      <c r="A28" s="4096" t="s">
        <v>2793</v>
      </c>
      <c r="B28" s="4097"/>
      <c r="C28" s="4097"/>
      <c r="D28" s="4097"/>
      <c r="E28" s="4098"/>
      <c r="G28" s="58">
        <f t="shared" si="0"/>
        <v>0</v>
      </c>
    </row>
    <row r="29" spans="1:10" ht="15.6" customHeight="1" x14ac:dyDescent="0.25">
      <c r="A29" s="4095" t="s">
        <v>2873</v>
      </c>
      <c r="B29" s="2179" t="s">
        <v>2861</v>
      </c>
      <c r="C29" s="2179" t="s">
        <v>2187</v>
      </c>
      <c r="D29" s="2233" t="e">
        <f>D31+D33+D35</f>
        <v>#REF!</v>
      </c>
      <c r="E29" s="2233" t="e">
        <f>E31+E33+E35</f>
        <v>#REF!</v>
      </c>
      <c r="G29" s="58" t="e">
        <f t="shared" si="0"/>
        <v>#REF!</v>
      </c>
      <c r="I29" s="2204">
        <f>сведено!G38</f>
        <v>0</v>
      </c>
      <c r="J29" s="2204">
        <f>сведено!G67</f>
        <v>0</v>
      </c>
    </row>
    <row r="30" spans="1:10" ht="31.9" customHeight="1" x14ac:dyDescent="0.25">
      <c r="A30" s="4095"/>
      <c r="B30" s="2179" t="s">
        <v>2863</v>
      </c>
      <c r="C30" s="2179" t="s">
        <v>2864</v>
      </c>
      <c r="D30" s="2233" t="e">
        <f>D32+D34+D36</f>
        <v>#REF!</v>
      </c>
      <c r="E30" s="2233" t="e">
        <f>E32+E34+E36</f>
        <v>#REF!</v>
      </c>
      <c r="G30" s="58" t="e">
        <f t="shared" si="0"/>
        <v>#REF!</v>
      </c>
      <c r="I30" s="2204">
        <f>сведено!G39</f>
        <v>0</v>
      </c>
      <c r="J30" s="2204">
        <f>сведено!G68</f>
        <v>0</v>
      </c>
    </row>
    <row r="31" spans="1:10" x14ac:dyDescent="0.25">
      <c r="A31" s="4099" t="s">
        <v>2865</v>
      </c>
      <c r="B31" s="2178" t="s">
        <v>2861</v>
      </c>
      <c r="C31" s="2178" t="s">
        <v>2187</v>
      </c>
      <c r="D31" s="2234" t="e">
        <f>#REF!</f>
        <v>#REF!</v>
      </c>
      <c r="E31" s="2234" t="e">
        <f>#REF!</f>
        <v>#REF!</v>
      </c>
      <c r="G31" s="58" t="e">
        <f t="shared" si="0"/>
        <v>#REF!</v>
      </c>
    </row>
    <row r="32" spans="1:10" ht="31.5" x14ac:dyDescent="0.25">
      <c r="A32" s="4099"/>
      <c r="B32" s="2178" t="s">
        <v>2863</v>
      </c>
      <c r="C32" s="2178" t="s">
        <v>2864</v>
      </c>
      <c r="D32" s="2234" t="e">
        <f>#REF!/12</f>
        <v>#REF!</v>
      </c>
      <c r="E32" s="2234" t="e">
        <f>#REF!/12</f>
        <v>#REF!</v>
      </c>
      <c r="G32" s="58" t="e">
        <f t="shared" si="0"/>
        <v>#REF!</v>
      </c>
    </row>
    <row r="33" spans="1:7" x14ac:dyDescent="0.25">
      <c r="A33" s="4099" t="s">
        <v>2866</v>
      </c>
      <c r="B33" s="2178" t="s">
        <v>2861</v>
      </c>
      <c r="C33" s="2178" t="s">
        <v>2187</v>
      </c>
      <c r="D33" s="2234" t="e">
        <f>#REF!</f>
        <v>#REF!</v>
      </c>
      <c r="E33" s="2234" t="e">
        <f>#REF!</f>
        <v>#REF!</v>
      </c>
      <c r="G33" s="58" t="e">
        <f t="shared" si="0"/>
        <v>#REF!</v>
      </c>
    </row>
    <row r="34" spans="1:7" ht="31.5" x14ac:dyDescent="0.25">
      <c r="A34" s="4099"/>
      <c r="B34" s="2178" t="s">
        <v>2863</v>
      </c>
      <c r="C34" s="2178" t="s">
        <v>2864</v>
      </c>
      <c r="D34" s="2234" t="e">
        <f>#REF!/12</f>
        <v>#REF!</v>
      </c>
      <c r="E34" s="2234" t="e">
        <f>#REF!/12</f>
        <v>#REF!</v>
      </c>
      <c r="G34" s="58" t="e">
        <f t="shared" si="0"/>
        <v>#REF!</v>
      </c>
    </row>
    <row r="35" spans="1:7" x14ac:dyDescent="0.25">
      <c r="A35" s="4099" t="s">
        <v>2867</v>
      </c>
      <c r="B35" s="2178" t="s">
        <v>2861</v>
      </c>
      <c r="C35" s="2178" t="s">
        <v>2187</v>
      </c>
      <c r="D35" s="2234">
        <v>0</v>
      </c>
      <c r="E35" s="1307">
        <v>0</v>
      </c>
      <c r="G35" s="58">
        <f t="shared" si="0"/>
        <v>0</v>
      </c>
    </row>
    <row r="36" spans="1:7" ht="31.5" x14ac:dyDescent="0.25">
      <c r="A36" s="4099"/>
      <c r="B36" s="2178" t="s">
        <v>2863</v>
      </c>
      <c r="C36" s="2178" t="s">
        <v>2864</v>
      </c>
      <c r="D36" s="2234" t="e">
        <f>#REF!/12</f>
        <v>#REF!</v>
      </c>
      <c r="E36" s="2234" t="e">
        <f>#REF!/12</f>
        <v>#REF!</v>
      </c>
      <c r="G36" s="58" t="e">
        <f t="shared" si="0"/>
        <v>#REF!</v>
      </c>
    </row>
    <row r="37" spans="1:7" x14ac:dyDescent="0.25">
      <c r="A37" s="2126"/>
    </row>
    <row r="38" spans="1:7" x14ac:dyDescent="0.25">
      <c r="A38" s="2126"/>
    </row>
    <row r="39" spans="1:7" x14ac:dyDescent="0.25">
      <c r="A39" s="2126" t="s">
        <v>2868</v>
      </c>
      <c r="C39" s="2126" t="s">
        <v>2869</v>
      </c>
      <c r="D39" s="2126"/>
      <c r="E39" s="2126"/>
      <c r="F39" s="2126"/>
      <c r="G39" s="2126"/>
    </row>
  </sheetData>
  <mergeCells count="21">
    <mergeCell ref="A31:A32"/>
    <mergeCell ref="A33:A34"/>
    <mergeCell ref="A35:A36"/>
    <mergeCell ref="A6:E6"/>
    <mergeCell ref="A7:E7"/>
    <mergeCell ref="A22:A23"/>
    <mergeCell ref="A24:A25"/>
    <mergeCell ref="A26:A27"/>
    <mergeCell ref="A28:E28"/>
    <mergeCell ref="A29:A30"/>
    <mergeCell ref="C1:E1"/>
    <mergeCell ref="C2:E2"/>
    <mergeCell ref="C3:E3"/>
    <mergeCell ref="C4:E4"/>
    <mergeCell ref="A20:A21"/>
    <mergeCell ref="A10:E10"/>
    <mergeCell ref="A11:A12"/>
    <mergeCell ref="A13:A14"/>
    <mergeCell ref="A15:A16"/>
    <mergeCell ref="A17:A18"/>
    <mergeCell ref="A19:E19"/>
  </mergeCells>
  <pageMargins left="1.1023622047244095" right="0.51181102362204722" top="0.56000000000000005" bottom="0.63" header="0.31496062992125984" footer="0.31496062992125984"/>
  <pageSetup paperSize="9" orientation="portrait" horizontalDpi="0"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00FF"/>
    <pageSetUpPr fitToPage="1"/>
  </sheetPr>
  <dimension ref="B1:H48"/>
  <sheetViews>
    <sheetView workbookViewId="0">
      <selection sqref="A1:XFD1048576"/>
    </sheetView>
  </sheetViews>
  <sheetFormatPr defaultColWidth="8.85546875" defaultRowHeight="15.75" x14ac:dyDescent="0.25"/>
  <cols>
    <col min="1" max="1" width="8.85546875" style="58"/>
    <col min="2" max="2" width="22.5703125" style="58" customWidth="1"/>
    <col min="3" max="3" width="19.85546875" style="58" customWidth="1"/>
    <col min="4" max="4" width="15.5703125" style="58" customWidth="1"/>
    <col min="5" max="6" width="13.28515625" style="58" customWidth="1"/>
    <col min="7" max="16384" width="8.85546875" style="58"/>
  </cols>
  <sheetData>
    <row r="1" spans="2:8" x14ac:dyDescent="0.25">
      <c r="B1" s="2176"/>
      <c r="C1" s="2176"/>
      <c r="D1" s="4076" t="s">
        <v>3109</v>
      </c>
      <c r="E1" s="4076"/>
      <c r="F1" s="4076"/>
    </row>
    <row r="2" spans="2:8" ht="12.6" customHeight="1" x14ac:dyDescent="0.25">
      <c r="B2" s="2176"/>
      <c r="C2" s="2176"/>
      <c r="D2" s="4077" t="s">
        <v>2859</v>
      </c>
      <c r="E2" s="4077"/>
      <c r="F2" s="4077"/>
    </row>
    <row r="3" spans="2:8" ht="27" customHeight="1" x14ac:dyDescent="0.25">
      <c r="B3" s="2176"/>
      <c r="C3" s="2176"/>
      <c r="D3" s="4078" t="s">
        <v>2874</v>
      </c>
      <c r="E3" s="4078"/>
      <c r="F3" s="4078"/>
    </row>
    <row r="4" spans="2:8" x14ac:dyDescent="0.25">
      <c r="B4" s="2176"/>
      <c r="C4" s="2176"/>
      <c r="D4" s="4077" t="s">
        <v>2870</v>
      </c>
      <c r="E4" s="4077"/>
      <c r="F4" s="4077"/>
    </row>
    <row r="5" spans="2:8" ht="6" customHeight="1" x14ac:dyDescent="0.25"/>
    <row r="6" spans="2:8" x14ac:dyDescent="0.25">
      <c r="B6" s="4083" t="s">
        <v>2119</v>
      </c>
      <c r="C6" s="4083"/>
      <c r="D6" s="4083"/>
      <c r="E6" s="4083"/>
      <c r="F6" s="4083"/>
    </row>
    <row r="7" spans="2:8" ht="63.6" customHeight="1" x14ac:dyDescent="0.25">
      <c r="B7" s="4100" t="s">
        <v>2961</v>
      </c>
      <c r="C7" s="4100"/>
      <c r="D7" s="4100"/>
      <c r="E7" s="4100"/>
      <c r="F7" s="4100"/>
    </row>
    <row r="8" spans="2:8" ht="0.6" customHeight="1" x14ac:dyDescent="0.25"/>
    <row r="9" spans="2:8" ht="31.5" x14ac:dyDescent="0.25">
      <c r="B9" s="2177" t="s">
        <v>1486</v>
      </c>
      <c r="C9" s="2177" t="s">
        <v>269</v>
      </c>
      <c r="D9" s="2177" t="s">
        <v>2860</v>
      </c>
      <c r="E9" s="2177" t="s">
        <v>2871</v>
      </c>
      <c r="F9" s="2177" t="s">
        <v>2872</v>
      </c>
    </row>
    <row r="10" spans="2:8" x14ac:dyDescent="0.25">
      <c r="B10" s="4101" t="s">
        <v>2790</v>
      </c>
      <c r="C10" s="4101"/>
      <c r="D10" s="4101"/>
      <c r="E10" s="4101"/>
      <c r="F10" s="4101"/>
    </row>
    <row r="11" spans="2:8" x14ac:dyDescent="0.25">
      <c r="B11" s="4095" t="s">
        <v>2873</v>
      </c>
      <c r="C11" s="2179" t="s">
        <v>2861</v>
      </c>
      <c r="D11" s="2179" t="s">
        <v>2862</v>
      </c>
      <c r="E11" s="2233" t="e">
        <f>E13+E15+E17</f>
        <v>#REF!</v>
      </c>
      <c r="F11" s="2233" t="e">
        <f>F13+F15+F17</f>
        <v>#REF!</v>
      </c>
      <c r="H11" s="58" t="e">
        <f>E11*1.2-F11</f>
        <v>#REF!</v>
      </c>
    </row>
    <row r="12" spans="2:8" ht="31.5" x14ac:dyDescent="0.25">
      <c r="B12" s="4095"/>
      <c r="C12" s="2179" t="s">
        <v>2863</v>
      </c>
      <c r="D12" s="2179" t="s">
        <v>2864</v>
      </c>
      <c r="E12" s="2233" t="e">
        <f>E14+E16+E18</f>
        <v>#REF!</v>
      </c>
      <c r="F12" s="2233" t="e">
        <f>F14+F16+F18</f>
        <v>#REF!</v>
      </c>
      <c r="H12" s="58" t="e">
        <f t="shared" ref="H12:H45" si="0">E12*1.2-F12</f>
        <v>#REF!</v>
      </c>
    </row>
    <row r="13" spans="2:8" x14ac:dyDescent="0.25">
      <c r="B13" s="4099" t="s">
        <v>2865</v>
      </c>
      <c r="C13" s="2178" t="s">
        <v>2861</v>
      </c>
      <c r="D13" s="2178" t="s">
        <v>2862</v>
      </c>
      <c r="E13" s="2234" t="e">
        <f>#REF!</f>
        <v>#REF!</v>
      </c>
      <c r="F13" s="2234" t="e">
        <f>#REF!</f>
        <v>#REF!</v>
      </c>
      <c r="H13" s="58" t="e">
        <f t="shared" si="0"/>
        <v>#REF!</v>
      </c>
    </row>
    <row r="14" spans="2:8" ht="31.5" x14ac:dyDescent="0.25">
      <c r="B14" s="4099"/>
      <c r="C14" s="2178" t="s">
        <v>2863</v>
      </c>
      <c r="D14" s="2178" t="s">
        <v>2864</v>
      </c>
      <c r="E14" s="2234" t="e">
        <f>#REF!/12</f>
        <v>#REF!</v>
      </c>
      <c r="F14" s="2234" t="e">
        <f>#REF!/12</f>
        <v>#REF!</v>
      </c>
      <c r="H14" s="58" t="e">
        <f t="shared" si="0"/>
        <v>#REF!</v>
      </c>
    </row>
    <row r="15" spans="2:8" x14ac:dyDescent="0.25">
      <c r="B15" s="4099" t="s">
        <v>2866</v>
      </c>
      <c r="C15" s="2178" t="s">
        <v>2861</v>
      </c>
      <c r="D15" s="2178" t="s">
        <v>2862</v>
      </c>
      <c r="E15" s="2234" t="e">
        <f>#REF!</f>
        <v>#REF!</v>
      </c>
      <c r="F15" s="2234" t="e">
        <f>#REF!</f>
        <v>#REF!</v>
      </c>
      <c r="H15" s="58" t="e">
        <f t="shared" si="0"/>
        <v>#REF!</v>
      </c>
    </row>
    <row r="16" spans="2:8" ht="31.5" x14ac:dyDescent="0.25">
      <c r="B16" s="4099"/>
      <c r="C16" s="2178" t="s">
        <v>2863</v>
      </c>
      <c r="D16" s="2178" t="s">
        <v>2864</v>
      </c>
      <c r="E16" s="2234" t="e">
        <f>#REF!/12</f>
        <v>#REF!</v>
      </c>
      <c r="F16" s="2234" t="e">
        <f>#REF!/12</f>
        <v>#REF!</v>
      </c>
      <c r="H16" s="58" t="e">
        <f t="shared" si="0"/>
        <v>#REF!</v>
      </c>
    </row>
    <row r="17" spans="2:8" x14ac:dyDescent="0.25">
      <c r="B17" s="4099" t="s">
        <v>2867</v>
      </c>
      <c r="C17" s="2178" t="s">
        <v>2861</v>
      </c>
      <c r="D17" s="2178" t="s">
        <v>2862</v>
      </c>
      <c r="E17" s="2234">
        <v>0</v>
      </c>
      <c r="F17" s="2234">
        <v>0</v>
      </c>
      <c r="H17" s="58">
        <f t="shared" si="0"/>
        <v>0</v>
      </c>
    </row>
    <row r="18" spans="2:8" ht="31.5" x14ac:dyDescent="0.25">
      <c r="B18" s="4099"/>
      <c r="C18" s="2178" t="s">
        <v>2863</v>
      </c>
      <c r="D18" s="2178" t="s">
        <v>2864</v>
      </c>
      <c r="E18" s="2234" t="e">
        <f>#REF!/12</f>
        <v>#REF!</v>
      </c>
      <c r="F18" s="2234" t="e">
        <f>#REF!/12</f>
        <v>#REF!</v>
      </c>
      <c r="H18" s="58" t="e">
        <f t="shared" si="0"/>
        <v>#REF!</v>
      </c>
    </row>
    <row r="19" spans="2:8" x14ac:dyDescent="0.25">
      <c r="B19" s="4101" t="s">
        <v>2791</v>
      </c>
      <c r="C19" s="4101"/>
      <c r="D19" s="4101"/>
      <c r="E19" s="4101"/>
      <c r="F19" s="4101"/>
      <c r="H19" s="58">
        <f t="shared" ref="H19:H27" si="1">E19*1.2-F19</f>
        <v>0</v>
      </c>
    </row>
    <row r="20" spans="2:8" ht="15.6" customHeight="1" x14ac:dyDescent="0.25">
      <c r="B20" s="4095" t="s">
        <v>2873</v>
      </c>
      <c r="C20" s="2179" t="s">
        <v>2861</v>
      </c>
      <c r="D20" s="2179" t="s">
        <v>2862</v>
      </c>
      <c r="E20" s="2233" t="e">
        <f>E22+E24+E26</f>
        <v>#REF!</v>
      </c>
      <c r="F20" s="2233" t="e">
        <f>F22+F24+F26</f>
        <v>#REF!</v>
      </c>
      <c r="H20" s="58" t="e">
        <f t="shared" si="1"/>
        <v>#REF!</v>
      </c>
    </row>
    <row r="21" spans="2:8" ht="31.5" x14ac:dyDescent="0.25">
      <c r="B21" s="4095"/>
      <c r="C21" s="2179" t="s">
        <v>2863</v>
      </c>
      <c r="D21" s="2179" t="s">
        <v>2864</v>
      </c>
      <c r="E21" s="2233" t="e">
        <f>E23+E25+E27</f>
        <v>#REF!</v>
      </c>
      <c r="F21" s="2233" t="e">
        <f>F23+F25+F27</f>
        <v>#REF!</v>
      </c>
      <c r="H21" s="58" t="e">
        <f t="shared" si="1"/>
        <v>#REF!</v>
      </c>
    </row>
    <row r="22" spans="2:8" x14ac:dyDescent="0.25">
      <c r="B22" s="4099" t="s">
        <v>2865</v>
      </c>
      <c r="C22" s="2178" t="s">
        <v>2861</v>
      </c>
      <c r="D22" s="2178" t="s">
        <v>2187</v>
      </c>
      <c r="E22" s="2234" t="e">
        <f>#REF!</f>
        <v>#REF!</v>
      </c>
      <c r="F22" s="2234" t="e">
        <f>#REF!</f>
        <v>#REF!</v>
      </c>
      <c r="H22" s="58" t="e">
        <f t="shared" si="1"/>
        <v>#REF!</v>
      </c>
    </row>
    <row r="23" spans="2:8" ht="31.5" x14ac:dyDescent="0.25">
      <c r="B23" s="4099"/>
      <c r="C23" s="2178" t="s">
        <v>2863</v>
      </c>
      <c r="D23" s="2178" t="s">
        <v>2864</v>
      </c>
      <c r="E23" s="2234" t="e">
        <f>#REF!/12</f>
        <v>#REF!</v>
      </c>
      <c r="F23" s="2234" t="e">
        <f>#REF!/12</f>
        <v>#REF!</v>
      </c>
      <c r="H23" s="58" t="e">
        <f t="shared" si="1"/>
        <v>#REF!</v>
      </c>
    </row>
    <row r="24" spans="2:8" x14ac:dyDescent="0.25">
      <c r="B24" s="4099" t="s">
        <v>2866</v>
      </c>
      <c r="C24" s="2178" t="s">
        <v>2861</v>
      </c>
      <c r="D24" s="2178" t="s">
        <v>2187</v>
      </c>
      <c r="E24" s="2234" t="e">
        <f>#REF!</f>
        <v>#REF!</v>
      </c>
      <c r="F24" s="2234" t="e">
        <f>#REF!</f>
        <v>#REF!</v>
      </c>
      <c r="H24" s="58" t="e">
        <f t="shared" si="1"/>
        <v>#REF!</v>
      </c>
    </row>
    <row r="25" spans="2:8" ht="31.5" x14ac:dyDescent="0.25">
      <c r="B25" s="4099"/>
      <c r="C25" s="2178" t="s">
        <v>2863</v>
      </c>
      <c r="D25" s="2178" t="s">
        <v>2864</v>
      </c>
      <c r="E25" s="2234" t="e">
        <f>#REF!/12</f>
        <v>#REF!</v>
      </c>
      <c r="F25" s="2234" t="e">
        <f>#REF!/12</f>
        <v>#REF!</v>
      </c>
      <c r="H25" s="58" t="e">
        <f t="shared" si="1"/>
        <v>#REF!</v>
      </c>
    </row>
    <row r="26" spans="2:8" x14ac:dyDescent="0.25">
      <c r="B26" s="4099" t="s">
        <v>2867</v>
      </c>
      <c r="C26" s="2178" t="s">
        <v>2861</v>
      </c>
      <c r="D26" s="2178" t="s">
        <v>2187</v>
      </c>
      <c r="E26" s="2234">
        <v>0</v>
      </c>
      <c r="F26" s="1307">
        <v>0</v>
      </c>
      <c r="H26" s="58">
        <f t="shared" si="1"/>
        <v>0</v>
      </c>
    </row>
    <row r="27" spans="2:8" ht="31.5" x14ac:dyDescent="0.25">
      <c r="B27" s="4099"/>
      <c r="C27" s="2178" t="s">
        <v>2863</v>
      </c>
      <c r="D27" s="2178" t="s">
        <v>2864</v>
      </c>
      <c r="E27" s="2234" t="e">
        <f>#REF!/12</f>
        <v>#REF!</v>
      </c>
      <c r="F27" s="2234" t="e">
        <f>#REF!/12</f>
        <v>#REF!</v>
      </c>
      <c r="H27" s="58" t="e">
        <f t="shared" si="1"/>
        <v>#REF!</v>
      </c>
    </row>
    <row r="28" spans="2:8" x14ac:dyDescent="0.25">
      <c r="B28" s="4101" t="s">
        <v>2912</v>
      </c>
      <c r="C28" s="4101"/>
      <c r="D28" s="4101"/>
      <c r="E28" s="4101"/>
      <c r="F28" s="4101"/>
      <c r="H28" s="58">
        <f t="shared" si="0"/>
        <v>0</v>
      </c>
    </row>
    <row r="29" spans="2:8" ht="15.6" customHeight="1" x14ac:dyDescent="0.25">
      <c r="B29" s="4095" t="s">
        <v>2873</v>
      </c>
      <c r="C29" s="2179" t="s">
        <v>2861</v>
      </c>
      <c r="D29" s="2179" t="s">
        <v>2862</v>
      </c>
      <c r="E29" s="2233" t="e">
        <f>E31+E33+E35</f>
        <v>#REF!</v>
      </c>
      <c r="F29" s="2233" t="e">
        <f>F31+F33+F35</f>
        <v>#REF!</v>
      </c>
      <c r="H29" s="58" t="e">
        <f t="shared" si="0"/>
        <v>#REF!</v>
      </c>
    </row>
    <row r="30" spans="2:8" ht="31.5" x14ac:dyDescent="0.25">
      <c r="B30" s="4095"/>
      <c r="C30" s="2179" t="s">
        <v>2863</v>
      </c>
      <c r="D30" s="2179" t="s">
        <v>2864</v>
      </c>
      <c r="E30" s="2233" t="e">
        <f>E32+E34+E36</f>
        <v>#REF!</v>
      </c>
      <c r="F30" s="2233" t="e">
        <f>F32+F34+F36</f>
        <v>#REF!</v>
      </c>
      <c r="H30" s="58" t="e">
        <f t="shared" si="0"/>
        <v>#REF!</v>
      </c>
    </row>
    <row r="31" spans="2:8" x14ac:dyDescent="0.25">
      <c r="B31" s="4099" t="s">
        <v>2865</v>
      </c>
      <c r="C31" s="2178" t="s">
        <v>2861</v>
      </c>
      <c r="D31" s="2178" t="s">
        <v>2187</v>
      </c>
      <c r="E31" s="2234" t="e">
        <f>#REF!</f>
        <v>#REF!</v>
      </c>
      <c r="F31" s="2234" t="e">
        <f>#REF!</f>
        <v>#REF!</v>
      </c>
      <c r="H31" s="58" t="e">
        <f t="shared" si="0"/>
        <v>#REF!</v>
      </c>
    </row>
    <row r="32" spans="2:8" ht="31.5" x14ac:dyDescent="0.25">
      <c r="B32" s="4099"/>
      <c r="C32" s="2178" t="s">
        <v>2863</v>
      </c>
      <c r="D32" s="2178" t="s">
        <v>2864</v>
      </c>
      <c r="E32" s="2234" t="e">
        <f>#REF!/12</f>
        <v>#REF!</v>
      </c>
      <c r="F32" s="2234" t="e">
        <f>#REF!/12</f>
        <v>#REF!</v>
      </c>
      <c r="H32" s="58" t="e">
        <f t="shared" si="0"/>
        <v>#REF!</v>
      </c>
    </row>
    <row r="33" spans="2:8" x14ac:dyDescent="0.25">
      <c r="B33" s="4099" t="s">
        <v>2866</v>
      </c>
      <c r="C33" s="2178" t="s">
        <v>2861</v>
      </c>
      <c r="D33" s="2178" t="s">
        <v>2187</v>
      </c>
      <c r="E33" s="2234" t="e">
        <f>#REF!</f>
        <v>#REF!</v>
      </c>
      <c r="F33" s="2234" t="e">
        <f>#REF!</f>
        <v>#REF!</v>
      </c>
      <c r="H33" s="58" t="e">
        <f t="shared" si="0"/>
        <v>#REF!</v>
      </c>
    </row>
    <row r="34" spans="2:8" ht="31.5" x14ac:dyDescent="0.25">
      <c r="B34" s="4099"/>
      <c r="C34" s="2178" t="s">
        <v>2863</v>
      </c>
      <c r="D34" s="2178" t="s">
        <v>2864</v>
      </c>
      <c r="E34" s="2234" t="e">
        <f>#REF!/12</f>
        <v>#REF!</v>
      </c>
      <c r="F34" s="2234" t="e">
        <f>#REF!/12</f>
        <v>#REF!</v>
      </c>
      <c r="H34" s="58" t="e">
        <f t="shared" si="0"/>
        <v>#REF!</v>
      </c>
    </row>
    <row r="35" spans="2:8" x14ac:dyDescent="0.25">
      <c r="B35" s="4099" t="s">
        <v>2867</v>
      </c>
      <c r="C35" s="2178" t="s">
        <v>2861</v>
      </c>
      <c r="D35" s="2178" t="s">
        <v>2187</v>
      </c>
      <c r="E35" s="2234">
        <v>0</v>
      </c>
      <c r="F35" s="1307">
        <v>0</v>
      </c>
      <c r="H35" s="58">
        <f t="shared" si="0"/>
        <v>0</v>
      </c>
    </row>
    <row r="36" spans="2:8" ht="31.5" x14ac:dyDescent="0.25">
      <c r="B36" s="4099"/>
      <c r="C36" s="2178" t="s">
        <v>2863</v>
      </c>
      <c r="D36" s="2178" t="s">
        <v>2864</v>
      </c>
      <c r="E36" s="2234" t="e">
        <f>#REF!/12</f>
        <v>#REF!</v>
      </c>
      <c r="F36" s="2234" t="e">
        <f>#REF!/12</f>
        <v>#REF!</v>
      </c>
      <c r="H36" s="58" t="e">
        <f t="shared" si="0"/>
        <v>#REF!</v>
      </c>
    </row>
    <row r="37" spans="2:8" x14ac:dyDescent="0.25">
      <c r="B37" s="4101" t="s">
        <v>2793</v>
      </c>
      <c r="C37" s="4101"/>
      <c r="D37" s="4101"/>
      <c r="E37" s="4101"/>
      <c r="F37" s="4101"/>
      <c r="H37" s="58">
        <f t="shared" si="0"/>
        <v>0</v>
      </c>
    </row>
    <row r="38" spans="2:8" ht="15.6" customHeight="1" x14ac:dyDescent="0.25">
      <c r="B38" s="4095" t="s">
        <v>2873</v>
      </c>
      <c r="C38" s="2179" t="s">
        <v>2861</v>
      </c>
      <c r="D38" s="2179" t="s">
        <v>2187</v>
      </c>
      <c r="E38" s="2233" t="e">
        <f>E40+E42+E44</f>
        <v>#REF!</v>
      </c>
      <c r="F38" s="2233" t="e">
        <f>F40+F42+F44</f>
        <v>#REF!</v>
      </c>
      <c r="H38" s="58" t="e">
        <f t="shared" si="0"/>
        <v>#REF!</v>
      </c>
    </row>
    <row r="39" spans="2:8" ht="31.5" x14ac:dyDescent="0.25">
      <c r="B39" s="4095"/>
      <c r="C39" s="2179" t="s">
        <v>2863</v>
      </c>
      <c r="D39" s="2179" t="s">
        <v>2864</v>
      </c>
      <c r="E39" s="2233" t="e">
        <f>E41+E43+E45</f>
        <v>#REF!</v>
      </c>
      <c r="F39" s="2233" t="e">
        <f>F41+F43+F45</f>
        <v>#REF!</v>
      </c>
      <c r="H39" s="58" t="e">
        <f t="shared" si="0"/>
        <v>#REF!</v>
      </c>
    </row>
    <row r="40" spans="2:8" x14ac:dyDescent="0.25">
      <c r="B40" s="4099" t="s">
        <v>2865</v>
      </c>
      <c r="C40" s="2178" t="s">
        <v>2861</v>
      </c>
      <c r="D40" s="2178" t="s">
        <v>2187</v>
      </c>
      <c r="E40" s="2234" t="e">
        <f>#REF!</f>
        <v>#REF!</v>
      </c>
      <c r="F40" s="2234" t="e">
        <f>#REF!</f>
        <v>#REF!</v>
      </c>
      <c r="H40" s="58" t="e">
        <f t="shared" si="0"/>
        <v>#REF!</v>
      </c>
    </row>
    <row r="41" spans="2:8" ht="31.5" x14ac:dyDescent="0.25">
      <c r="B41" s="4099"/>
      <c r="C41" s="2178" t="s">
        <v>2863</v>
      </c>
      <c r="D41" s="2178" t="s">
        <v>2864</v>
      </c>
      <c r="E41" s="2234" t="e">
        <f>#REF!/12</f>
        <v>#REF!</v>
      </c>
      <c r="F41" s="2234" t="e">
        <f>#REF!/12</f>
        <v>#REF!</v>
      </c>
      <c r="H41" s="58" t="e">
        <f t="shared" si="0"/>
        <v>#REF!</v>
      </c>
    </row>
    <row r="42" spans="2:8" x14ac:dyDescent="0.25">
      <c r="B42" s="4099" t="s">
        <v>2866</v>
      </c>
      <c r="C42" s="2178" t="s">
        <v>2861</v>
      </c>
      <c r="D42" s="2178" t="s">
        <v>2187</v>
      </c>
      <c r="E42" s="2234" t="e">
        <f>#REF!</f>
        <v>#REF!</v>
      </c>
      <c r="F42" s="2234" t="e">
        <f>#REF!</f>
        <v>#REF!</v>
      </c>
      <c r="H42" s="58" t="e">
        <f t="shared" si="0"/>
        <v>#REF!</v>
      </c>
    </row>
    <row r="43" spans="2:8" ht="31.5" x14ac:dyDescent="0.25">
      <c r="B43" s="4099"/>
      <c r="C43" s="2178" t="s">
        <v>2863</v>
      </c>
      <c r="D43" s="2178" t="s">
        <v>2864</v>
      </c>
      <c r="E43" s="2234" t="e">
        <f>#REF!/12</f>
        <v>#REF!</v>
      </c>
      <c r="F43" s="2234" t="e">
        <f>#REF!/12</f>
        <v>#REF!</v>
      </c>
      <c r="H43" s="58" t="e">
        <f t="shared" si="0"/>
        <v>#REF!</v>
      </c>
    </row>
    <row r="44" spans="2:8" x14ac:dyDescent="0.25">
      <c r="B44" s="4099" t="s">
        <v>2867</v>
      </c>
      <c r="C44" s="2178" t="s">
        <v>2861</v>
      </c>
      <c r="D44" s="2178" t="s">
        <v>2187</v>
      </c>
      <c r="E44" s="2234">
        <v>0</v>
      </c>
      <c r="F44" s="1307">
        <v>0</v>
      </c>
      <c r="H44" s="58">
        <f t="shared" si="0"/>
        <v>0</v>
      </c>
    </row>
    <row r="45" spans="2:8" ht="31.5" x14ac:dyDescent="0.25">
      <c r="B45" s="4099"/>
      <c r="C45" s="2178" t="s">
        <v>2863</v>
      </c>
      <c r="D45" s="2178" t="s">
        <v>2864</v>
      </c>
      <c r="E45" s="2234" t="e">
        <f>#REF!/12</f>
        <v>#REF!</v>
      </c>
      <c r="F45" s="2234" t="e">
        <f>#REF!/12</f>
        <v>#REF!</v>
      </c>
      <c r="H45" s="58" t="e">
        <f t="shared" si="0"/>
        <v>#REF!</v>
      </c>
    </row>
    <row r="46" spans="2:8" x14ac:dyDescent="0.25">
      <c r="B46" s="2126"/>
    </row>
    <row r="47" spans="2:8" x14ac:dyDescent="0.25">
      <c r="B47" s="2126"/>
    </row>
    <row r="48" spans="2:8" x14ac:dyDescent="0.25">
      <c r="B48" s="2126" t="s">
        <v>2868</v>
      </c>
      <c r="D48" s="2126" t="s">
        <v>2869</v>
      </c>
      <c r="E48" s="2126"/>
      <c r="F48" s="2126"/>
      <c r="G48" s="2126"/>
      <c r="H48" s="2126"/>
    </row>
  </sheetData>
  <mergeCells count="26">
    <mergeCell ref="B24:B25"/>
    <mergeCell ref="B40:B41"/>
    <mergeCell ref="B42:B43"/>
    <mergeCell ref="B44:B45"/>
    <mergeCell ref="B29:B30"/>
    <mergeCell ref="B31:B32"/>
    <mergeCell ref="B33:B34"/>
    <mergeCell ref="B35:B36"/>
    <mergeCell ref="B37:F37"/>
    <mergeCell ref="B38:B39"/>
    <mergeCell ref="B26:B27"/>
    <mergeCell ref="B28:F28"/>
    <mergeCell ref="D1:F1"/>
    <mergeCell ref="D2:F2"/>
    <mergeCell ref="D3:F3"/>
    <mergeCell ref="D4:F4"/>
    <mergeCell ref="B6:F6"/>
    <mergeCell ref="B17:B18"/>
    <mergeCell ref="B19:F19"/>
    <mergeCell ref="B20:B21"/>
    <mergeCell ref="B22:B23"/>
    <mergeCell ref="B7:F7"/>
    <mergeCell ref="B10:F10"/>
    <mergeCell ref="B11:B12"/>
    <mergeCell ref="B13:B14"/>
    <mergeCell ref="B15:B16"/>
  </mergeCells>
  <pageMargins left="0.70866141732283472" right="0.51181102362204722" top="0.74803149606299213" bottom="0.43" header="0.31496062992125984" footer="0.31496062992125984"/>
  <pageSetup paperSize="9" fitToHeight="2" orientation="portrait" horizontalDpi="0"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00FF"/>
  </sheetPr>
  <dimension ref="B1:E247"/>
  <sheetViews>
    <sheetView workbookViewId="0">
      <selection sqref="A1:XFD1048576"/>
    </sheetView>
  </sheetViews>
  <sheetFormatPr defaultColWidth="8.85546875" defaultRowHeight="15.75" x14ac:dyDescent="0.25"/>
  <cols>
    <col min="1" max="2" width="8.85546875" style="58"/>
    <col min="3" max="3" width="31.28515625" style="58" customWidth="1"/>
    <col min="4" max="4" width="24.7109375" style="58" customWidth="1"/>
    <col min="5" max="5" width="19.5703125" style="58" customWidth="1"/>
    <col min="6" max="16384" width="8.85546875" style="58"/>
  </cols>
  <sheetData>
    <row r="1" spans="2:5" x14ac:dyDescent="0.25">
      <c r="D1" s="4104" t="s">
        <v>3110</v>
      </c>
      <c r="E1" s="4104"/>
    </row>
    <row r="2" spans="2:5" ht="49.9" customHeight="1" x14ac:dyDescent="0.25">
      <c r="D2" s="4105" t="s">
        <v>3105</v>
      </c>
      <c r="E2" s="4105"/>
    </row>
    <row r="4" spans="2:5" ht="20.25" x14ac:dyDescent="0.3">
      <c r="B4" s="4106" t="s">
        <v>471</v>
      </c>
      <c r="C4" s="4106"/>
      <c r="D4" s="4106"/>
      <c r="E4" s="4106"/>
    </row>
    <row r="5" spans="2:5" x14ac:dyDescent="0.25">
      <c r="B5" s="4107" t="s">
        <v>1097</v>
      </c>
      <c r="C5" s="4107"/>
      <c r="D5" s="4107"/>
      <c r="E5" s="4107"/>
    </row>
    <row r="6" spans="2:5" ht="28.9" customHeight="1" x14ac:dyDescent="0.25">
      <c r="B6" s="4108" t="s">
        <v>3092</v>
      </c>
      <c r="C6" s="4108"/>
      <c r="D6" s="4108"/>
      <c r="E6" s="4108"/>
    </row>
    <row r="7" spans="2:5" x14ac:dyDescent="0.25">
      <c r="B7" s="4103" t="s">
        <v>368</v>
      </c>
      <c r="C7" s="4103"/>
      <c r="D7" s="4103"/>
      <c r="E7" s="4103"/>
    </row>
    <row r="8" spans="2:5" x14ac:dyDescent="0.25">
      <c r="B8" s="4102" t="s">
        <v>3093</v>
      </c>
      <c r="C8" s="4102"/>
      <c r="D8" s="4102"/>
      <c r="E8" s="4102"/>
    </row>
    <row r="9" spans="2:5" ht="16.5" thickBot="1" x14ac:dyDescent="0.3">
      <c r="B9" s="4103" t="s">
        <v>1098</v>
      </c>
      <c r="C9" s="4103"/>
      <c r="D9" s="4103"/>
      <c r="E9" s="4103"/>
    </row>
    <row r="10" spans="2:5" ht="0.6" customHeight="1" thickBot="1" x14ac:dyDescent="0.3"/>
    <row r="11" spans="2:5" ht="80.45" customHeight="1" thickBot="1" x14ac:dyDescent="0.3">
      <c r="B11" s="2324" t="s">
        <v>7</v>
      </c>
      <c r="C11" s="1871" t="s">
        <v>353</v>
      </c>
      <c r="D11" s="1871" t="s">
        <v>354</v>
      </c>
      <c r="E11" s="1871" t="s">
        <v>3094</v>
      </c>
    </row>
    <row r="12" spans="2:5" ht="16.5" thickBot="1" x14ac:dyDescent="0.3">
      <c r="B12" s="2325">
        <v>1</v>
      </c>
      <c r="C12" s="2326">
        <v>2</v>
      </c>
      <c r="D12" s="2326">
        <v>3</v>
      </c>
      <c r="E12" s="2325">
        <v>4</v>
      </c>
    </row>
    <row r="13" spans="2:5" ht="15.6" customHeight="1" thickBot="1" x14ac:dyDescent="0.3">
      <c r="B13" s="2327">
        <v>1</v>
      </c>
      <c r="C13" s="2328" t="s">
        <v>1106</v>
      </c>
      <c r="D13" s="2329" t="s">
        <v>1107</v>
      </c>
      <c r="E13" s="2327" t="s">
        <v>3095</v>
      </c>
    </row>
    <row r="14" spans="2:5" ht="15.6" customHeight="1" thickBot="1" x14ac:dyDescent="0.3">
      <c r="B14" s="2330">
        <v>2</v>
      </c>
      <c r="C14" s="2328" t="s">
        <v>1108</v>
      </c>
      <c r="D14" s="2329" t="s">
        <v>1107</v>
      </c>
      <c r="E14" s="2327" t="s">
        <v>3095</v>
      </c>
    </row>
    <row r="15" spans="2:5" ht="15.6" customHeight="1" thickBot="1" x14ac:dyDescent="0.3">
      <c r="B15" s="2330">
        <v>3</v>
      </c>
      <c r="C15" s="2328" t="s">
        <v>1109</v>
      </c>
      <c r="D15" s="2329" t="s">
        <v>1107</v>
      </c>
      <c r="E15" s="2327" t="s">
        <v>3095</v>
      </c>
    </row>
    <row r="16" spans="2:5" ht="15.6" customHeight="1" thickBot="1" x14ac:dyDescent="0.3">
      <c r="B16" s="2330">
        <v>4</v>
      </c>
      <c r="C16" s="2328" t="s">
        <v>1110</v>
      </c>
      <c r="D16" s="2329" t="s">
        <v>1107</v>
      </c>
      <c r="E16" s="2327" t="s">
        <v>3095</v>
      </c>
    </row>
    <row r="17" spans="2:5" ht="15.6" customHeight="1" thickBot="1" x14ac:dyDescent="0.3">
      <c r="B17" s="2330">
        <v>5</v>
      </c>
      <c r="C17" s="2328" t="s">
        <v>1111</v>
      </c>
      <c r="D17" s="2329" t="s">
        <v>1107</v>
      </c>
      <c r="E17" s="2327" t="s">
        <v>3095</v>
      </c>
    </row>
    <row r="18" spans="2:5" ht="15.6" customHeight="1" thickBot="1" x14ac:dyDescent="0.3">
      <c r="B18" s="2330">
        <v>6</v>
      </c>
      <c r="C18" s="2328" t="s">
        <v>1112</v>
      </c>
      <c r="D18" s="2329" t="s">
        <v>1107</v>
      </c>
      <c r="E18" s="2327" t="s">
        <v>3095</v>
      </c>
    </row>
    <row r="19" spans="2:5" ht="15.6" customHeight="1" thickBot="1" x14ac:dyDescent="0.3">
      <c r="B19" s="2330">
        <v>7</v>
      </c>
      <c r="C19" s="2328" t="s">
        <v>1113</v>
      </c>
      <c r="D19" s="2329" t="s">
        <v>1107</v>
      </c>
      <c r="E19" s="2327" t="s">
        <v>3095</v>
      </c>
    </row>
    <row r="20" spans="2:5" ht="15.6" customHeight="1" thickBot="1" x14ac:dyDescent="0.3">
      <c r="B20" s="2330">
        <v>8</v>
      </c>
      <c r="C20" s="2328" t="s">
        <v>1114</v>
      </c>
      <c r="D20" s="2329" t="s">
        <v>1107</v>
      </c>
      <c r="E20" s="2327" t="s">
        <v>3095</v>
      </c>
    </row>
    <row r="21" spans="2:5" ht="15.6" customHeight="1" thickBot="1" x14ac:dyDescent="0.3">
      <c r="B21" s="2330">
        <v>10</v>
      </c>
      <c r="C21" s="2328" t="s">
        <v>1115</v>
      </c>
      <c r="D21" s="2329" t="s">
        <v>1107</v>
      </c>
      <c r="E21" s="2327" t="s">
        <v>3095</v>
      </c>
    </row>
    <row r="22" spans="2:5" ht="15.6" customHeight="1" thickBot="1" x14ac:dyDescent="0.3">
      <c r="B22" s="2330">
        <v>11</v>
      </c>
      <c r="C22" s="2328" t="s">
        <v>1116</v>
      </c>
      <c r="D22" s="2329" t="s">
        <v>1107</v>
      </c>
      <c r="E22" s="2327" t="s">
        <v>3095</v>
      </c>
    </row>
    <row r="23" spans="2:5" ht="15.6" customHeight="1" thickBot="1" x14ac:dyDescent="0.3">
      <c r="B23" s="2330">
        <v>13</v>
      </c>
      <c r="C23" s="2328" t="s">
        <v>1117</v>
      </c>
      <c r="D23" s="2329" t="s">
        <v>1107</v>
      </c>
      <c r="E23" s="2327" t="s">
        <v>3095</v>
      </c>
    </row>
    <row r="24" spans="2:5" ht="15.6" customHeight="1" thickBot="1" x14ac:dyDescent="0.3">
      <c r="B24" s="2330">
        <v>14</v>
      </c>
      <c r="C24" s="2328" t="s">
        <v>1118</v>
      </c>
      <c r="D24" s="2329" t="s">
        <v>1107</v>
      </c>
      <c r="E24" s="2327" t="s">
        <v>3095</v>
      </c>
    </row>
    <row r="25" spans="2:5" ht="15.6" customHeight="1" thickBot="1" x14ac:dyDescent="0.3">
      <c r="B25" s="2330">
        <v>15</v>
      </c>
      <c r="C25" s="2328" t="s">
        <v>1119</v>
      </c>
      <c r="D25" s="2329" t="s">
        <v>1107</v>
      </c>
      <c r="E25" s="2327" t="s">
        <v>3095</v>
      </c>
    </row>
    <row r="26" spans="2:5" ht="15.6" customHeight="1" thickBot="1" x14ac:dyDescent="0.3">
      <c r="B26" s="2330">
        <v>16</v>
      </c>
      <c r="C26" s="2328" t="s">
        <v>1120</v>
      </c>
      <c r="D26" s="2329" t="s">
        <v>1107</v>
      </c>
      <c r="E26" s="2327" t="s">
        <v>3095</v>
      </c>
    </row>
    <row r="27" spans="2:5" ht="15.6" customHeight="1" thickBot="1" x14ac:dyDescent="0.3">
      <c r="B27" s="2330">
        <v>17</v>
      </c>
      <c r="C27" s="2328" t="s">
        <v>1121</v>
      </c>
      <c r="D27" s="2329" t="s">
        <v>1107</v>
      </c>
      <c r="E27" s="2327" t="s">
        <v>3095</v>
      </c>
    </row>
    <row r="28" spans="2:5" ht="15.6" customHeight="1" thickBot="1" x14ac:dyDescent="0.3">
      <c r="B28" s="2330">
        <v>18</v>
      </c>
      <c r="C28" s="2328" t="s">
        <v>1122</v>
      </c>
      <c r="D28" s="2329" t="s">
        <v>1107</v>
      </c>
      <c r="E28" s="2327" t="s">
        <v>3095</v>
      </c>
    </row>
    <row r="29" spans="2:5" ht="15.6" customHeight="1" thickBot="1" x14ac:dyDescent="0.3">
      <c r="B29" s="2330">
        <v>19</v>
      </c>
      <c r="C29" s="2328" t="s">
        <v>1123</v>
      </c>
      <c r="D29" s="2329" t="s">
        <v>1107</v>
      </c>
      <c r="E29" s="2327" t="s">
        <v>3095</v>
      </c>
    </row>
    <row r="30" spans="2:5" ht="15.6" customHeight="1" thickBot="1" x14ac:dyDescent="0.3">
      <c r="B30" s="2330">
        <v>20</v>
      </c>
      <c r="C30" s="2328" t="s">
        <v>1124</v>
      </c>
      <c r="D30" s="2329" t="s">
        <v>1107</v>
      </c>
      <c r="E30" s="2327" t="s">
        <v>3096</v>
      </c>
    </row>
    <row r="31" spans="2:5" ht="15.6" customHeight="1" thickBot="1" x14ac:dyDescent="0.3">
      <c r="B31" s="2330">
        <v>21</v>
      </c>
      <c r="C31" s="2328" t="s">
        <v>1125</v>
      </c>
      <c r="D31" s="2329" t="s">
        <v>1107</v>
      </c>
      <c r="E31" s="2327" t="s">
        <v>3095</v>
      </c>
    </row>
    <row r="32" spans="2:5" ht="15.6" customHeight="1" thickBot="1" x14ac:dyDescent="0.3">
      <c r="B32" s="2330">
        <v>22</v>
      </c>
      <c r="C32" s="2328" t="s">
        <v>1126</v>
      </c>
      <c r="D32" s="2329" t="s">
        <v>1107</v>
      </c>
      <c r="E32" s="2327" t="s">
        <v>3096</v>
      </c>
    </row>
    <row r="33" spans="2:5" ht="15.6" customHeight="1" thickBot="1" x14ac:dyDescent="0.3">
      <c r="B33" s="2330">
        <v>23</v>
      </c>
      <c r="C33" s="2328" t="s">
        <v>1127</v>
      </c>
      <c r="D33" s="2329" t="s">
        <v>1107</v>
      </c>
      <c r="E33" s="2327" t="s">
        <v>3095</v>
      </c>
    </row>
    <row r="34" spans="2:5" ht="15.6" customHeight="1" thickBot="1" x14ac:dyDescent="0.3">
      <c r="B34" s="2330">
        <v>24</v>
      </c>
      <c r="C34" s="2328" t="s">
        <v>1128</v>
      </c>
      <c r="D34" s="2329" t="s">
        <v>1107</v>
      </c>
      <c r="E34" s="2327" t="s">
        <v>3095</v>
      </c>
    </row>
    <row r="35" spans="2:5" ht="15.6" customHeight="1" thickBot="1" x14ac:dyDescent="0.3">
      <c r="B35" s="2330">
        <v>25</v>
      </c>
      <c r="C35" s="2328" t="s">
        <v>1129</v>
      </c>
      <c r="D35" s="2329" t="s">
        <v>1107</v>
      </c>
      <c r="E35" s="2327" t="s">
        <v>3095</v>
      </c>
    </row>
    <row r="36" spans="2:5" ht="15.6" customHeight="1" thickBot="1" x14ac:dyDescent="0.3">
      <c r="B36" s="2330">
        <v>26</v>
      </c>
      <c r="C36" s="2328" t="s">
        <v>1130</v>
      </c>
      <c r="D36" s="2329" t="s">
        <v>1107</v>
      </c>
      <c r="E36" s="2327" t="s">
        <v>3095</v>
      </c>
    </row>
    <row r="37" spans="2:5" ht="15.6" customHeight="1" thickBot="1" x14ac:dyDescent="0.3">
      <c r="B37" s="2330">
        <v>27</v>
      </c>
      <c r="C37" s="2328" t="s">
        <v>1131</v>
      </c>
      <c r="D37" s="2329" t="s">
        <v>1107</v>
      </c>
      <c r="E37" s="2327" t="s">
        <v>3096</v>
      </c>
    </row>
    <row r="38" spans="2:5" ht="15.6" customHeight="1" thickBot="1" x14ac:dyDescent="0.3">
      <c r="B38" s="2330">
        <v>28</v>
      </c>
      <c r="C38" s="2328" t="s">
        <v>1132</v>
      </c>
      <c r="D38" s="2329" t="s">
        <v>1107</v>
      </c>
      <c r="E38" s="2327" t="s">
        <v>3095</v>
      </c>
    </row>
    <row r="39" spans="2:5" ht="15.6" customHeight="1" thickBot="1" x14ac:dyDescent="0.3">
      <c r="B39" s="2330">
        <v>29</v>
      </c>
      <c r="C39" s="2328" t="s">
        <v>1133</v>
      </c>
      <c r="D39" s="2329" t="s">
        <v>1107</v>
      </c>
      <c r="E39" s="2327" t="s">
        <v>3096</v>
      </c>
    </row>
    <row r="40" spans="2:5" ht="15.6" customHeight="1" thickBot="1" x14ac:dyDescent="0.3">
      <c r="B40" s="2330">
        <v>30</v>
      </c>
      <c r="C40" s="2328" t="s">
        <v>1134</v>
      </c>
      <c r="D40" s="2329" t="s">
        <v>1107</v>
      </c>
      <c r="E40" s="2327" t="s">
        <v>3096</v>
      </c>
    </row>
    <row r="41" spans="2:5" ht="15.6" customHeight="1" thickBot="1" x14ac:dyDescent="0.3">
      <c r="B41" s="2330">
        <v>31</v>
      </c>
      <c r="C41" s="2328" t="s">
        <v>1135</v>
      </c>
      <c r="D41" s="2329" t="s">
        <v>1107</v>
      </c>
      <c r="E41" s="2327" t="s">
        <v>3096</v>
      </c>
    </row>
    <row r="42" spans="2:5" ht="15.6" customHeight="1" thickBot="1" x14ac:dyDescent="0.3">
      <c r="B42" s="2330">
        <v>32</v>
      </c>
      <c r="C42" s="2328" t="s">
        <v>1136</v>
      </c>
      <c r="D42" s="2329" t="s">
        <v>1107</v>
      </c>
      <c r="E42" s="2327" t="s">
        <v>3095</v>
      </c>
    </row>
    <row r="43" spans="2:5" ht="15.6" customHeight="1" thickBot="1" x14ac:dyDescent="0.3">
      <c r="B43" s="2330">
        <v>33</v>
      </c>
      <c r="C43" s="2328" t="s">
        <v>1137</v>
      </c>
      <c r="D43" s="2329" t="s">
        <v>1107</v>
      </c>
      <c r="E43" s="2327" t="s">
        <v>3095</v>
      </c>
    </row>
    <row r="44" spans="2:5" ht="15.6" customHeight="1" thickBot="1" x14ac:dyDescent="0.3">
      <c r="B44" s="2330">
        <v>34</v>
      </c>
      <c r="C44" s="2328" t="s">
        <v>1138</v>
      </c>
      <c r="D44" s="2329" t="s">
        <v>1107</v>
      </c>
      <c r="E44" s="2327" t="s">
        <v>3095</v>
      </c>
    </row>
    <row r="45" spans="2:5" ht="15.6" customHeight="1" thickBot="1" x14ac:dyDescent="0.3">
      <c r="B45" s="2330">
        <v>35</v>
      </c>
      <c r="C45" s="2328" t="s">
        <v>1139</v>
      </c>
      <c r="D45" s="2329" t="s">
        <v>1107</v>
      </c>
      <c r="E45" s="2327" t="s">
        <v>3095</v>
      </c>
    </row>
    <row r="46" spans="2:5" ht="15.6" customHeight="1" thickBot="1" x14ac:dyDescent="0.3">
      <c r="B46" s="2330">
        <v>36</v>
      </c>
      <c r="C46" s="2328" t="s">
        <v>1140</v>
      </c>
      <c r="D46" s="2329" t="s">
        <v>1107</v>
      </c>
      <c r="E46" s="2327" t="s">
        <v>3096</v>
      </c>
    </row>
    <row r="47" spans="2:5" ht="15.6" customHeight="1" thickBot="1" x14ac:dyDescent="0.3">
      <c r="B47" s="2330">
        <v>37</v>
      </c>
      <c r="C47" s="2328" t="s">
        <v>1141</v>
      </c>
      <c r="D47" s="2329" t="s">
        <v>1107</v>
      </c>
      <c r="E47" s="2327" t="s">
        <v>3095</v>
      </c>
    </row>
    <row r="48" spans="2:5" ht="15.6" customHeight="1" thickBot="1" x14ac:dyDescent="0.3">
      <c r="B48" s="2330">
        <v>38</v>
      </c>
      <c r="C48" s="2328" t="s">
        <v>1142</v>
      </c>
      <c r="D48" s="2329" t="s">
        <v>1107</v>
      </c>
      <c r="E48" s="2327" t="s">
        <v>3095</v>
      </c>
    </row>
    <row r="49" spans="2:5" ht="15.6" customHeight="1" thickBot="1" x14ac:dyDescent="0.3">
      <c r="B49" s="2330">
        <v>39</v>
      </c>
      <c r="C49" s="2328" t="s">
        <v>1947</v>
      </c>
      <c r="D49" s="2329" t="s">
        <v>1107</v>
      </c>
      <c r="E49" s="2327" t="s">
        <v>3096</v>
      </c>
    </row>
    <row r="50" spans="2:5" ht="15.6" customHeight="1" thickBot="1" x14ac:dyDescent="0.3">
      <c r="B50" s="2330">
        <v>40</v>
      </c>
      <c r="C50" s="2328" t="s">
        <v>1143</v>
      </c>
      <c r="D50" s="2329" t="s">
        <v>1107</v>
      </c>
      <c r="E50" s="2327" t="s">
        <v>3095</v>
      </c>
    </row>
    <row r="51" spans="2:5" ht="15.6" customHeight="1" thickBot="1" x14ac:dyDescent="0.3">
      <c r="B51" s="2330">
        <v>41</v>
      </c>
      <c r="C51" s="2328" t="s">
        <v>1144</v>
      </c>
      <c r="D51" s="2329" t="s">
        <v>1107</v>
      </c>
      <c r="E51" s="2327" t="s">
        <v>3096</v>
      </c>
    </row>
    <row r="52" spans="2:5" ht="15.6" customHeight="1" thickBot="1" x14ac:dyDescent="0.3">
      <c r="B52" s="2330">
        <v>42</v>
      </c>
      <c r="C52" s="2328" t="s">
        <v>1145</v>
      </c>
      <c r="D52" s="2329" t="s">
        <v>1107</v>
      </c>
      <c r="E52" s="2327" t="s">
        <v>3095</v>
      </c>
    </row>
    <row r="53" spans="2:5" ht="15.6" customHeight="1" thickBot="1" x14ac:dyDescent="0.3">
      <c r="B53" s="2330">
        <v>44</v>
      </c>
      <c r="C53" s="2328" t="s">
        <v>1146</v>
      </c>
      <c r="D53" s="2329" t="s">
        <v>1107</v>
      </c>
      <c r="E53" s="2327" t="s">
        <v>3095</v>
      </c>
    </row>
    <row r="54" spans="2:5" ht="15.6" customHeight="1" thickBot="1" x14ac:dyDescent="0.3">
      <c r="B54" s="2330">
        <v>47</v>
      </c>
      <c r="C54" s="2328" t="s">
        <v>1147</v>
      </c>
      <c r="D54" s="2329" t="s">
        <v>1107</v>
      </c>
      <c r="E54" s="2327" t="s">
        <v>3096</v>
      </c>
    </row>
    <row r="55" spans="2:5" ht="15.6" customHeight="1" thickBot="1" x14ac:dyDescent="0.3">
      <c r="B55" s="2330">
        <v>48</v>
      </c>
      <c r="C55" s="2328" t="s">
        <v>1148</v>
      </c>
      <c r="D55" s="2329" t="s">
        <v>1107</v>
      </c>
      <c r="E55" s="2331" t="s">
        <v>3096</v>
      </c>
    </row>
    <row r="56" spans="2:5" ht="15.6" customHeight="1" thickBot="1" x14ac:dyDescent="0.3">
      <c r="B56" s="2330">
        <v>49</v>
      </c>
      <c r="C56" s="2328" t="s">
        <v>1149</v>
      </c>
      <c r="D56" s="2329" t="s">
        <v>1107</v>
      </c>
      <c r="E56" s="2327" t="s">
        <v>3096</v>
      </c>
    </row>
    <row r="57" spans="2:5" ht="15.6" customHeight="1" thickBot="1" x14ac:dyDescent="0.3">
      <c r="B57" s="2330">
        <v>50</v>
      </c>
      <c r="C57" s="2328" t="s">
        <v>1150</v>
      </c>
      <c r="D57" s="2329" t="s">
        <v>1107</v>
      </c>
      <c r="E57" s="2331" t="s">
        <v>3096</v>
      </c>
    </row>
    <row r="58" spans="2:5" ht="15.6" customHeight="1" thickBot="1" x14ac:dyDescent="0.3">
      <c r="B58" s="2330">
        <v>51</v>
      </c>
      <c r="C58" s="2328" t="s">
        <v>1151</v>
      </c>
      <c r="D58" s="2329" t="s">
        <v>1107</v>
      </c>
      <c r="E58" s="2331" t="s">
        <v>3096</v>
      </c>
    </row>
    <row r="59" spans="2:5" ht="15.6" customHeight="1" thickBot="1" x14ac:dyDescent="0.3">
      <c r="B59" s="2330">
        <v>52</v>
      </c>
      <c r="C59" s="2328" t="s">
        <v>1152</v>
      </c>
      <c r="D59" s="2329" t="s">
        <v>1107</v>
      </c>
      <c r="E59" s="2331" t="s">
        <v>3096</v>
      </c>
    </row>
    <row r="60" spans="2:5" ht="15.6" customHeight="1" thickBot="1" x14ac:dyDescent="0.3">
      <c r="B60" s="2330">
        <v>53</v>
      </c>
      <c r="C60" s="2328" t="s">
        <v>1153</v>
      </c>
      <c r="D60" s="2329" t="s">
        <v>1107</v>
      </c>
      <c r="E60" s="2331" t="s">
        <v>3096</v>
      </c>
    </row>
    <row r="61" spans="2:5" ht="15.6" customHeight="1" thickBot="1" x14ac:dyDescent="0.3">
      <c r="B61" s="2330">
        <v>54</v>
      </c>
      <c r="C61" s="2328" t="s">
        <v>1154</v>
      </c>
      <c r="D61" s="2329" t="s">
        <v>1107</v>
      </c>
      <c r="E61" s="2331" t="s">
        <v>3096</v>
      </c>
    </row>
    <row r="62" spans="2:5" ht="15.6" customHeight="1" thickBot="1" x14ac:dyDescent="0.3">
      <c r="B62" s="2330">
        <v>55</v>
      </c>
      <c r="C62" s="2328" t="s">
        <v>1155</v>
      </c>
      <c r="D62" s="2329" t="s">
        <v>1107</v>
      </c>
      <c r="E62" s="2331" t="s">
        <v>3096</v>
      </c>
    </row>
    <row r="63" spans="2:5" ht="15.6" customHeight="1" thickBot="1" x14ac:dyDescent="0.3">
      <c r="B63" s="2330">
        <v>56</v>
      </c>
      <c r="C63" s="2328" t="s">
        <v>1156</v>
      </c>
      <c r="D63" s="2329" t="s">
        <v>1107</v>
      </c>
      <c r="E63" s="2331" t="s">
        <v>3096</v>
      </c>
    </row>
    <row r="64" spans="2:5" ht="15.6" customHeight="1" thickBot="1" x14ac:dyDescent="0.3">
      <c r="B64" s="2330">
        <v>57</v>
      </c>
      <c r="C64" s="2328" t="s">
        <v>1157</v>
      </c>
      <c r="D64" s="2329" t="s">
        <v>1107</v>
      </c>
      <c r="E64" s="2331" t="s">
        <v>3096</v>
      </c>
    </row>
    <row r="65" spans="2:5" ht="15.6" customHeight="1" thickBot="1" x14ac:dyDescent="0.3">
      <c r="B65" s="2330">
        <v>58</v>
      </c>
      <c r="C65" s="2328" t="s">
        <v>1158</v>
      </c>
      <c r="D65" s="2329" t="s">
        <v>1107</v>
      </c>
      <c r="E65" s="2331" t="s">
        <v>3096</v>
      </c>
    </row>
    <row r="66" spans="2:5" ht="15.6" customHeight="1" thickBot="1" x14ac:dyDescent="0.3">
      <c r="B66" s="2330">
        <v>59</v>
      </c>
      <c r="C66" s="2328" t="s">
        <v>1159</v>
      </c>
      <c r="D66" s="2329" t="s">
        <v>1107</v>
      </c>
      <c r="E66" s="2331" t="s">
        <v>3096</v>
      </c>
    </row>
    <row r="67" spans="2:5" ht="15.6" customHeight="1" thickBot="1" x14ac:dyDescent="0.3">
      <c r="B67" s="2330">
        <v>60</v>
      </c>
      <c r="C67" s="2328" t="s">
        <v>1160</v>
      </c>
      <c r="D67" s="2329" t="s">
        <v>1107</v>
      </c>
      <c r="E67" s="2331" t="s">
        <v>3096</v>
      </c>
    </row>
    <row r="68" spans="2:5" ht="15.6" customHeight="1" thickBot="1" x14ac:dyDescent="0.3">
      <c r="B68" s="2330">
        <v>61</v>
      </c>
      <c r="C68" s="2328" t="s">
        <v>1161</v>
      </c>
      <c r="D68" s="2329" t="s">
        <v>1107</v>
      </c>
      <c r="E68" s="2327" t="s">
        <v>3095</v>
      </c>
    </row>
    <row r="69" spans="2:5" ht="15.6" customHeight="1" thickBot="1" x14ac:dyDescent="0.3">
      <c r="B69" s="2330">
        <v>62</v>
      </c>
      <c r="C69" s="2328" t="s">
        <v>1162</v>
      </c>
      <c r="D69" s="2329" t="s">
        <v>1107</v>
      </c>
      <c r="E69" s="2327" t="s">
        <v>3095</v>
      </c>
    </row>
    <row r="70" spans="2:5" ht="15.6" customHeight="1" thickBot="1" x14ac:dyDescent="0.3">
      <c r="B70" s="2330">
        <v>63</v>
      </c>
      <c r="C70" s="2328" t="s">
        <v>1163</v>
      </c>
      <c r="D70" s="2329" t="s">
        <v>1107</v>
      </c>
      <c r="E70" s="2327" t="s">
        <v>3095</v>
      </c>
    </row>
    <row r="71" spans="2:5" ht="15.6" customHeight="1" thickBot="1" x14ac:dyDescent="0.3">
      <c r="B71" s="2330">
        <v>64</v>
      </c>
      <c r="C71" s="2328" t="s">
        <v>1164</v>
      </c>
      <c r="D71" s="2329" t="s">
        <v>1107</v>
      </c>
      <c r="E71" s="2327" t="s">
        <v>3095</v>
      </c>
    </row>
    <row r="72" spans="2:5" ht="15.6" customHeight="1" thickBot="1" x14ac:dyDescent="0.3">
      <c r="B72" s="2330">
        <v>65</v>
      </c>
      <c r="C72" s="2328" t="s">
        <v>1165</v>
      </c>
      <c r="D72" s="2329" t="s">
        <v>1107</v>
      </c>
      <c r="E72" s="2327" t="s">
        <v>3095</v>
      </c>
    </row>
    <row r="73" spans="2:5" ht="15.6" customHeight="1" thickBot="1" x14ac:dyDescent="0.3">
      <c r="B73" s="2330">
        <v>66</v>
      </c>
      <c r="C73" s="2328" t="s">
        <v>1166</v>
      </c>
      <c r="D73" s="2329" t="s">
        <v>1107</v>
      </c>
      <c r="E73" s="2327" t="s">
        <v>3095</v>
      </c>
    </row>
    <row r="74" spans="2:5" ht="15.6" customHeight="1" thickBot="1" x14ac:dyDescent="0.3">
      <c r="B74" s="2330">
        <v>67</v>
      </c>
      <c r="C74" s="2328" t="s">
        <v>1167</v>
      </c>
      <c r="D74" s="2329" t="s">
        <v>1107</v>
      </c>
      <c r="E74" s="2327" t="s">
        <v>3095</v>
      </c>
    </row>
    <row r="75" spans="2:5" ht="15.6" customHeight="1" thickBot="1" x14ac:dyDescent="0.3">
      <c r="B75" s="2330">
        <v>68</v>
      </c>
      <c r="C75" s="2328" t="s">
        <v>1168</v>
      </c>
      <c r="D75" s="2329" t="s">
        <v>1107</v>
      </c>
      <c r="E75" s="2327" t="s">
        <v>3095</v>
      </c>
    </row>
    <row r="76" spans="2:5" ht="15.6" customHeight="1" thickBot="1" x14ac:dyDescent="0.3">
      <c r="B76" s="2330">
        <v>70</v>
      </c>
      <c r="C76" s="2328" t="s">
        <v>1169</v>
      </c>
      <c r="D76" s="2329" t="s">
        <v>1107</v>
      </c>
      <c r="E76" s="2327" t="s">
        <v>3095</v>
      </c>
    </row>
    <row r="77" spans="2:5" ht="15.6" customHeight="1" thickBot="1" x14ac:dyDescent="0.3">
      <c r="B77" s="2330">
        <v>72</v>
      </c>
      <c r="C77" s="2328" t="s">
        <v>1170</v>
      </c>
      <c r="D77" s="2329" t="s">
        <v>1107</v>
      </c>
      <c r="E77" s="2327" t="s">
        <v>3095</v>
      </c>
    </row>
    <row r="78" spans="2:5" ht="15.6" customHeight="1" thickBot="1" x14ac:dyDescent="0.3">
      <c r="B78" s="2330">
        <v>73</v>
      </c>
      <c r="C78" s="2328" t="s">
        <v>1171</v>
      </c>
      <c r="D78" s="2329" t="s">
        <v>1107</v>
      </c>
      <c r="E78" s="2327" t="s">
        <v>3095</v>
      </c>
    </row>
    <row r="79" spans="2:5" ht="15.6" customHeight="1" thickBot="1" x14ac:dyDescent="0.3">
      <c r="B79" s="2330">
        <v>74</v>
      </c>
      <c r="C79" s="2328" t="s">
        <v>1172</v>
      </c>
      <c r="D79" s="2329" t="s">
        <v>1107</v>
      </c>
      <c r="E79" s="2327" t="s">
        <v>3095</v>
      </c>
    </row>
    <row r="80" spans="2:5" ht="15.6" customHeight="1" thickBot="1" x14ac:dyDescent="0.3">
      <c r="B80" s="2330">
        <v>76</v>
      </c>
      <c r="C80" s="2328" t="s">
        <v>1173</v>
      </c>
      <c r="D80" s="2329" t="s">
        <v>1107</v>
      </c>
      <c r="E80" s="2327" t="s">
        <v>3095</v>
      </c>
    </row>
    <row r="81" spans="2:5" ht="15.6" customHeight="1" thickBot="1" x14ac:dyDescent="0.3">
      <c r="B81" s="2330">
        <v>77</v>
      </c>
      <c r="C81" s="2328" t="s">
        <v>1174</v>
      </c>
      <c r="D81" s="2329" t="s">
        <v>1107</v>
      </c>
      <c r="E81" s="2327" t="s">
        <v>3095</v>
      </c>
    </row>
    <row r="82" spans="2:5" ht="15.6" customHeight="1" thickBot="1" x14ac:dyDescent="0.3">
      <c r="B82" s="2330">
        <v>78</v>
      </c>
      <c r="C82" s="2328" t="s">
        <v>1175</v>
      </c>
      <c r="D82" s="2329" t="s">
        <v>1107</v>
      </c>
      <c r="E82" s="2327" t="s">
        <v>3095</v>
      </c>
    </row>
    <row r="83" spans="2:5" ht="15.6" customHeight="1" thickBot="1" x14ac:dyDescent="0.3">
      <c r="B83" s="2330">
        <v>80</v>
      </c>
      <c r="C83" s="2328" t="s">
        <v>1176</v>
      </c>
      <c r="D83" s="2329" t="s">
        <v>1107</v>
      </c>
      <c r="E83" s="2327" t="s">
        <v>3095</v>
      </c>
    </row>
    <row r="84" spans="2:5" ht="15.6" customHeight="1" thickBot="1" x14ac:dyDescent="0.3">
      <c r="B84" s="2330">
        <v>81</v>
      </c>
      <c r="C84" s="2328" t="s">
        <v>1177</v>
      </c>
      <c r="D84" s="2329" t="s">
        <v>1107</v>
      </c>
      <c r="E84" s="2327" t="s">
        <v>3095</v>
      </c>
    </row>
    <row r="85" spans="2:5" ht="15.6" customHeight="1" thickBot="1" x14ac:dyDescent="0.3">
      <c r="B85" s="2330">
        <v>82</v>
      </c>
      <c r="C85" s="2328" t="s">
        <v>1178</v>
      </c>
      <c r="D85" s="2329" t="s">
        <v>1107</v>
      </c>
      <c r="E85" s="2327" t="s">
        <v>3095</v>
      </c>
    </row>
    <row r="86" spans="2:5" ht="15.6" customHeight="1" thickBot="1" x14ac:dyDescent="0.3">
      <c r="B86" s="2330">
        <v>83</v>
      </c>
      <c r="C86" s="2328" t="s">
        <v>1179</v>
      </c>
      <c r="D86" s="2329" t="s">
        <v>1107</v>
      </c>
      <c r="E86" s="2327" t="s">
        <v>3095</v>
      </c>
    </row>
    <row r="87" spans="2:5" ht="15.6" customHeight="1" thickBot="1" x14ac:dyDescent="0.3">
      <c r="B87" s="2330">
        <v>84</v>
      </c>
      <c r="C87" s="2328" t="s">
        <v>1180</v>
      </c>
      <c r="D87" s="2329" t="s">
        <v>1107</v>
      </c>
      <c r="E87" s="2327" t="s">
        <v>3095</v>
      </c>
    </row>
    <row r="88" spans="2:5" ht="15.6" customHeight="1" thickBot="1" x14ac:dyDescent="0.3">
      <c r="B88" s="2330">
        <v>85</v>
      </c>
      <c r="C88" s="2328" t="s">
        <v>1181</v>
      </c>
      <c r="D88" s="2329" t="s">
        <v>1107</v>
      </c>
      <c r="E88" s="2327" t="s">
        <v>3095</v>
      </c>
    </row>
    <row r="89" spans="2:5" ht="15.6" customHeight="1" thickBot="1" x14ac:dyDescent="0.3">
      <c r="B89" s="2330">
        <v>86</v>
      </c>
      <c r="C89" s="2328" t="s">
        <v>1182</v>
      </c>
      <c r="D89" s="2329" t="s">
        <v>1107</v>
      </c>
      <c r="E89" s="2327" t="s">
        <v>3095</v>
      </c>
    </row>
    <row r="90" spans="2:5" ht="15.6" customHeight="1" thickBot="1" x14ac:dyDescent="0.3">
      <c r="B90" s="2330">
        <v>87</v>
      </c>
      <c r="C90" s="2328" t="s">
        <v>1183</v>
      </c>
      <c r="D90" s="2329" t="s">
        <v>1107</v>
      </c>
      <c r="E90" s="2327" t="s">
        <v>3095</v>
      </c>
    </row>
    <row r="91" spans="2:5" ht="15.6" customHeight="1" thickBot="1" x14ac:dyDescent="0.3">
      <c r="B91" s="2330">
        <v>89</v>
      </c>
      <c r="C91" s="2328" t="s">
        <v>1184</v>
      </c>
      <c r="D91" s="2329" t="s">
        <v>1107</v>
      </c>
      <c r="E91" s="2327" t="s">
        <v>3095</v>
      </c>
    </row>
    <row r="92" spans="2:5" ht="15.6" customHeight="1" thickBot="1" x14ac:dyDescent="0.3">
      <c r="B92" s="2330">
        <v>90</v>
      </c>
      <c r="C92" s="2328" t="s">
        <v>1185</v>
      </c>
      <c r="D92" s="2329" t="s">
        <v>1107</v>
      </c>
      <c r="E92" s="2327" t="s">
        <v>3095</v>
      </c>
    </row>
    <row r="93" spans="2:5" ht="15.6" customHeight="1" thickBot="1" x14ac:dyDescent="0.3">
      <c r="B93" s="2330">
        <v>91</v>
      </c>
      <c r="C93" s="2328" t="s">
        <v>1186</v>
      </c>
      <c r="D93" s="2329" t="s">
        <v>1107</v>
      </c>
      <c r="E93" s="2331" t="s">
        <v>3096</v>
      </c>
    </row>
    <row r="94" spans="2:5" ht="15.6" customHeight="1" thickBot="1" x14ac:dyDescent="0.3">
      <c r="B94" s="2330">
        <v>92</v>
      </c>
      <c r="C94" s="2328" t="s">
        <v>1187</v>
      </c>
      <c r="D94" s="2329" t="s">
        <v>1107</v>
      </c>
      <c r="E94" s="2327" t="s">
        <v>3095</v>
      </c>
    </row>
    <row r="95" spans="2:5" ht="15.6" customHeight="1" thickBot="1" x14ac:dyDescent="0.3">
      <c r="B95" s="2330">
        <v>94</v>
      </c>
      <c r="C95" s="2328" t="s">
        <v>1188</v>
      </c>
      <c r="D95" s="2329" t="s">
        <v>1107</v>
      </c>
      <c r="E95" s="2327" t="s">
        <v>3095</v>
      </c>
    </row>
    <row r="96" spans="2:5" ht="15.6" customHeight="1" thickBot="1" x14ac:dyDescent="0.3">
      <c r="B96" s="2330">
        <v>95</v>
      </c>
      <c r="C96" s="2328" t="s">
        <v>1189</v>
      </c>
      <c r="D96" s="2329" t="s">
        <v>1107</v>
      </c>
      <c r="E96" s="2327" t="s">
        <v>3095</v>
      </c>
    </row>
    <row r="97" spans="2:5" ht="15.6" customHeight="1" thickBot="1" x14ac:dyDescent="0.3">
      <c r="B97" s="2330">
        <v>96</v>
      </c>
      <c r="C97" s="2328" t="s">
        <v>1190</v>
      </c>
      <c r="D97" s="2329" t="s">
        <v>1107</v>
      </c>
      <c r="E97" s="2327" t="s">
        <v>3095</v>
      </c>
    </row>
    <row r="98" spans="2:5" ht="15.6" customHeight="1" thickBot="1" x14ac:dyDescent="0.3">
      <c r="B98" s="2330">
        <v>98</v>
      </c>
      <c r="C98" s="2328" t="s">
        <v>1191</v>
      </c>
      <c r="D98" s="2329" t="s">
        <v>1107</v>
      </c>
      <c r="E98" s="2327" t="s">
        <v>3095</v>
      </c>
    </row>
    <row r="99" spans="2:5" ht="15.6" customHeight="1" thickBot="1" x14ac:dyDescent="0.3">
      <c r="B99" s="2330">
        <v>99</v>
      </c>
      <c r="C99" s="2328" t="s">
        <v>1192</v>
      </c>
      <c r="D99" s="2329" t="s">
        <v>1107</v>
      </c>
      <c r="E99" s="2327" t="s">
        <v>3095</v>
      </c>
    </row>
    <row r="100" spans="2:5" ht="15.6" customHeight="1" thickBot="1" x14ac:dyDescent="0.3">
      <c r="B100" s="2330">
        <v>100</v>
      </c>
      <c r="C100" s="2328" t="s">
        <v>1193</v>
      </c>
      <c r="D100" s="2329" t="s">
        <v>1107</v>
      </c>
      <c r="E100" s="2327" t="s">
        <v>3095</v>
      </c>
    </row>
    <row r="101" spans="2:5" ht="15.6" customHeight="1" thickBot="1" x14ac:dyDescent="0.3">
      <c r="B101" s="2330">
        <v>101</v>
      </c>
      <c r="C101" s="2328" t="s">
        <v>1194</v>
      </c>
      <c r="D101" s="2329" t="s">
        <v>1107</v>
      </c>
      <c r="E101" s="2327" t="s">
        <v>3095</v>
      </c>
    </row>
    <row r="102" spans="2:5" ht="15.6" customHeight="1" thickBot="1" x14ac:dyDescent="0.3">
      <c r="B102" s="2330">
        <v>102</v>
      </c>
      <c r="C102" s="2328" t="s">
        <v>1195</v>
      </c>
      <c r="D102" s="2329" t="s">
        <v>1107</v>
      </c>
      <c r="E102" s="2327" t="s">
        <v>3095</v>
      </c>
    </row>
    <row r="103" spans="2:5" ht="15.6" customHeight="1" thickBot="1" x14ac:dyDescent="0.3">
      <c r="B103" s="2330">
        <v>104</v>
      </c>
      <c r="C103" s="2328" t="s">
        <v>1196</v>
      </c>
      <c r="D103" s="2329" t="s">
        <v>1107</v>
      </c>
      <c r="E103" s="2327" t="s">
        <v>3095</v>
      </c>
    </row>
    <row r="104" spans="2:5" ht="15.6" customHeight="1" thickBot="1" x14ac:dyDescent="0.3">
      <c r="B104" s="2330">
        <v>105</v>
      </c>
      <c r="C104" s="2328" t="s">
        <v>1197</v>
      </c>
      <c r="D104" s="2329" t="s">
        <v>1107</v>
      </c>
      <c r="E104" s="2327" t="s">
        <v>3095</v>
      </c>
    </row>
    <row r="105" spans="2:5" ht="15.6" customHeight="1" thickBot="1" x14ac:dyDescent="0.3">
      <c r="B105" s="2330">
        <v>106</v>
      </c>
      <c r="C105" s="2328" t="s">
        <v>1198</v>
      </c>
      <c r="D105" s="2329" t="s">
        <v>1107</v>
      </c>
      <c r="E105" s="2327" t="s">
        <v>3095</v>
      </c>
    </row>
    <row r="106" spans="2:5" ht="15.6" customHeight="1" thickBot="1" x14ac:dyDescent="0.3">
      <c r="B106" s="2330">
        <v>107</v>
      </c>
      <c r="C106" s="2328" t="s">
        <v>1199</v>
      </c>
      <c r="D106" s="2329" t="s">
        <v>1107</v>
      </c>
      <c r="E106" s="2327" t="s">
        <v>3095</v>
      </c>
    </row>
    <row r="107" spans="2:5" ht="15.6" customHeight="1" thickBot="1" x14ac:dyDescent="0.3">
      <c r="B107" s="2330">
        <v>108</v>
      </c>
      <c r="C107" s="2328" t="s">
        <v>1200</v>
      </c>
      <c r="D107" s="2329" t="s">
        <v>1107</v>
      </c>
      <c r="E107" s="2327" t="s">
        <v>3095</v>
      </c>
    </row>
    <row r="108" spans="2:5" ht="15.6" customHeight="1" thickBot="1" x14ac:dyDescent="0.3">
      <c r="B108" s="2330">
        <v>109</v>
      </c>
      <c r="C108" s="2328" t="s">
        <v>1201</v>
      </c>
      <c r="D108" s="2329" t="s">
        <v>1107</v>
      </c>
      <c r="E108" s="2327" t="s">
        <v>3095</v>
      </c>
    </row>
    <row r="109" spans="2:5" ht="15.6" customHeight="1" thickBot="1" x14ac:dyDescent="0.3">
      <c r="B109" s="2330">
        <v>110</v>
      </c>
      <c r="C109" s="2328" t="s">
        <v>1202</v>
      </c>
      <c r="D109" s="2329" t="s">
        <v>1107</v>
      </c>
      <c r="E109" s="2327" t="s">
        <v>3095</v>
      </c>
    </row>
    <row r="110" spans="2:5" ht="15.6" customHeight="1" thickBot="1" x14ac:dyDescent="0.3">
      <c r="B110" s="2330">
        <v>111</v>
      </c>
      <c r="C110" s="2328" t="s">
        <v>1203</v>
      </c>
      <c r="D110" s="2329" t="s">
        <v>1107</v>
      </c>
      <c r="E110" s="2327" t="s">
        <v>3095</v>
      </c>
    </row>
    <row r="111" spans="2:5" ht="15.6" customHeight="1" thickBot="1" x14ac:dyDescent="0.3">
      <c r="B111" s="2330">
        <v>113</v>
      </c>
      <c r="C111" s="2328" t="s">
        <v>1204</v>
      </c>
      <c r="D111" s="2329" t="s">
        <v>1107</v>
      </c>
      <c r="E111" s="2327" t="s">
        <v>3095</v>
      </c>
    </row>
    <row r="112" spans="2:5" ht="15.6" customHeight="1" thickBot="1" x14ac:dyDescent="0.3">
      <c r="B112" s="2330">
        <v>114</v>
      </c>
      <c r="C112" s="2328" t="s">
        <v>1205</v>
      </c>
      <c r="D112" s="2329" t="s">
        <v>1107</v>
      </c>
      <c r="E112" s="2327" t="s">
        <v>3095</v>
      </c>
    </row>
    <row r="113" spans="2:5" ht="15.6" customHeight="1" thickBot="1" x14ac:dyDescent="0.3">
      <c r="B113" s="2330">
        <v>115</v>
      </c>
      <c r="C113" s="2328" t="s">
        <v>1206</v>
      </c>
      <c r="D113" s="2329" t="s">
        <v>1107</v>
      </c>
      <c r="E113" s="2327" t="s">
        <v>3095</v>
      </c>
    </row>
    <row r="114" spans="2:5" ht="15.6" customHeight="1" thickBot="1" x14ac:dyDescent="0.3">
      <c r="B114" s="2330">
        <v>116</v>
      </c>
      <c r="C114" s="2328" t="s">
        <v>1207</v>
      </c>
      <c r="D114" s="2329" t="s">
        <v>1107</v>
      </c>
      <c r="E114" s="2331" t="s">
        <v>3096</v>
      </c>
    </row>
    <row r="115" spans="2:5" ht="15.6" customHeight="1" thickBot="1" x14ac:dyDescent="0.3">
      <c r="B115" s="2330">
        <v>117</v>
      </c>
      <c r="C115" s="2328" t="s">
        <v>1208</v>
      </c>
      <c r="D115" s="2329" t="s">
        <v>1107</v>
      </c>
      <c r="E115" s="2331" t="s">
        <v>3096</v>
      </c>
    </row>
    <row r="116" spans="2:5" ht="15.6" customHeight="1" thickBot="1" x14ac:dyDescent="0.3">
      <c r="B116" s="2330">
        <v>118</v>
      </c>
      <c r="C116" s="2328" t="s">
        <v>1209</v>
      </c>
      <c r="D116" s="2329" t="s">
        <v>1107</v>
      </c>
      <c r="E116" s="2331" t="s">
        <v>3096</v>
      </c>
    </row>
    <row r="117" spans="2:5" ht="15.6" customHeight="1" thickBot="1" x14ac:dyDescent="0.3">
      <c r="B117" s="2330">
        <v>119</v>
      </c>
      <c r="C117" s="2328" t="s">
        <v>1210</v>
      </c>
      <c r="D117" s="2329" t="s">
        <v>1107</v>
      </c>
      <c r="E117" s="2327" t="s">
        <v>3095</v>
      </c>
    </row>
    <row r="118" spans="2:5" ht="15.6" customHeight="1" thickBot="1" x14ac:dyDescent="0.3">
      <c r="B118" s="2330">
        <v>121</v>
      </c>
      <c r="C118" s="2328" t="s">
        <v>1211</v>
      </c>
      <c r="D118" s="2329" t="s">
        <v>1107</v>
      </c>
      <c r="E118" s="2327" t="s">
        <v>3095</v>
      </c>
    </row>
    <row r="119" spans="2:5" ht="15.6" customHeight="1" thickBot="1" x14ac:dyDescent="0.3">
      <c r="B119" s="2330">
        <v>122</v>
      </c>
      <c r="C119" s="2328" t="s">
        <v>1212</v>
      </c>
      <c r="D119" s="2329" t="s">
        <v>1107</v>
      </c>
      <c r="E119" s="2327" t="s">
        <v>3095</v>
      </c>
    </row>
    <row r="120" spans="2:5" ht="15.6" customHeight="1" thickBot="1" x14ac:dyDescent="0.3">
      <c r="B120" s="2330">
        <v>123</v>
      </c>
      <c r="C120" s="2328" t="s">
        <v>1213</v>
      </c>
      <c r="D120" s="2329" t="s">
        <v>1107</v>
      </c>
      <c r="E120" s="2327" t="s">
        <v>3095</v>
      </c>
    </row>
    <row r="121" spans="2:5" ht="15.6" customHeight="1" thickBot="1" x14ac:dyDescent="0.3">
      <c r="B121" s="2330">
        <v>125</v>
      </c>
      <c r="C121" s="2328" t="s">
        <v>1214</v>
      </c>
      <c r="D121" s="2329" t="s">
        <v>1107</v>
      </c>
      <c r="E121" s="2331" t="s">
        <v>3096</v>
      </c>
    </row>
    <row r="122" spans="2:5" ht="15.6" customHeight="1" thickBot="1" x14ac:dyDescent="0.3">
      <c r="B122" s="2330">
        <v>126</v>
      </c>
      <c r="C122" s="2328" t="s">
        <v>1215</v>
      </c>
      <c r="D122" s="2329" t="s">
        <v>1107</v>
      </c>
      <c r="E122" s="2327" t="s">
        <v>3095</v>
      </c>
    </row>
    <row r="123" spans="2:5" ht="15.6" customHeight="1" thickBot="1" x14ac:dyDescent="0.3">
      <c r="B123" s="2330">
        <v>127</v>
      </c>
      <c r="C123" s="2328" t="s">
        <v>1216</v>
      </c>
      <c r="D123" s="2329" t="s">
        <v>1107</v>
      </c>
      <c r="E123" s="2331" t="s">
        <v>3096</v>
      </c>
    </row>
    <row r="124" spans="2:5" ht="15.6" customHeight="1" thickBot="1" x14ac:dyDescent="0.3">
      <c r="B124" s="2330">
        <v>128</v>
      </c>
      <c r="C124" s="2328" t="s">
        <v>1217</v>
      </c>
      <c r="D124" s="2329" t="s">
        <v>1107</v>
      </c>
      <c r="E124" s="2331" t="s">
        <v>3096</v>
      </c>
    </row>
    <row r="125" spans="2:5" ht="15.6" customHeight="1" thickBot="1" x14ac:dyDescent="0.3">
      <c r="B125" s="2330">
        <v>129</v>
      </c>
      <c r="C125" s="2328" t="s">
        <v>1218</v>
      </c>
      <c r="D125" s="2329" t="s">
        <v>1107</v>
      </c>
      <c r="E125" s="2327" t="s">
        <v>3095</v>
      </c>
    </row>
    <row r="126" spans="2:5" ht="15.6" customHeight="1" thickBot="1" x14ac:dyDescent="0.3">
      <c r="B126" s="2330">
        <v>130</v>
      </c>
      <c r="C126" s="2328" t="s">
        <v>1219</v>
      </c>
      <c r="D126" s="2329" t="s">
        <v>1107</v>
      </c>
      <c r="E126" s="2327" t="s">
        <v>3095</v>
      </c>
    </row>
    <row r="127" spans="2:5" ht="15.6" customHeight="1" thickBot="1" x14ac:dyDescent="0.3">
      <c r="B127" s="2330">
        <v>131</v>
      </c>
      <c r="C127" s="2328" t="s">
        <v>1220</v>
      </c>
      <c r="D127" s="2329" t="s">
        <v>1107</v>
      </c>
      <c r="E127" s="2327" t="s">
        <v>3095</v>
      </c>
    </row>
    <row r="128" spans="2:5" ht="15.6" customHeight="1" thickBot="1" x14ac:dyDescent="0.3">
      <c r="B128" s="2330">
        <v>132</v>
      </c>
      <c r="C128" s="2328" t="s">
        <v>1221</v>
      </c>
      <c r="D128" s="2329" t="s">
        <v>1107</v>
      </c>
      <c r="E128" s="2327" t="s">
        <v>3095</v>
      </c>
    </row>
    <row r="129" spans="2:5" ht="15.6" customHeight="1" thickBot="1" x14ac:dyDescent="0.3">
      <c r="B129" s="2330">
        <v>135</v>
      </c>
      <c r="C129" s="2328" t="s">
        <v>1222</v>
      </c>
      <c r="D129" s="2329" t="s">
        <v>1107</v>
      </c>
      <c r="E129" s="2327" t="s">
        <v>3095</v>
      </c>
    </row>
    <row r="130" spans="2:5" ht="15.6" customHeight="1" thickBot="1" x14ac:dyDescent="0.3">
      <c r="B130" s="2330">
        <v>136</v>
      </c>
      <c r="C130" s="2328" t="s">
        <v>1223</v>
      </c>
      <c r="D130" s="2329" t="s">
        <v>1107</v>
      </c>
      <c r="E130" s="2327" t="s">
        <v>3095</v>
      </c>
    </row>
    <row r="131" spans="2:5" ht="15.6" customHeight="1" thickBot="1" x14ac:dyDescent="0.3">
      <c r="B131" s="2330">
        <v>137</v>
      </c>
      <c r="C131" s="2328" t="s">
        <v>1224</v>
      </c>
      <c r="D131" s="2329" t="s">
        <v>1107</v>
      </c>
      <c r="E131" s="2327" t="s">
        <v>3095</v>
      </c>
    </row>
    <row r="132" spans="2:5" ht="15.6" customHeight="1" thickBot="1" x14ac:dyDescent="0.3">
      <c r="B132" s="2330">
        <v>138</v>
      </c>
      <c r="C132" s="2328" t="s">
        <v>1225</v>
      </c>
      <c r="D132" s="2329" t="s">
        <v>1107</v>
      </c>
      <c r="E132" s="2331" t="s">
        <v>3096</v>
      </c>
    </row>
    <row r="133" spans="2:5" ht="15.6" customHeight="1" thickBot="1" x14ac:dyDescent="0.3">
      <c r="B133" s="2330">
        <v>139</v>
      </c>
      <c r="C133" s="2328" t="s">
        <v>1226</v>
      </c>
      <c r="D133" s="2329" t="s">
        <v>1107</v>
      </c>
      <c r="E133" s="2327" t="s">
        <v>3095</v>
      </c>
    </row>
    <row r="134" spans="2:5" ht="15.6" customHeight="1" thickBot="1" x14ac:dyDescent="0.3">
      <c r="B134" s="2330">
        <v>140</v>
      </c>
      <c r="C134" s="2328" t="s">
        <v>1227</v>
      </c>
      <c r="D134" s="2329" t="s">
        <v>1107</v>
      </c>
      <c r="E134" s="2331" t="s">
        <v>3096</v>
      </c>
    </row>
    <row r="135" spans="2:5" ht="15.6" customHeight="1" thickBot="1" x14ac:dyDescent="0.3">
      <c r="B135" s="2330">
        <v>141</v>
      </c>
      <c r="C135" s="2328" t="s">
        <v>1228</v>
      </c>
      <c r="D135" s="2329" t="s">
        <v>1107</v>
      </c>
      <c r="E135" s="2327" t="s">
        <v>3095</v>
      </c>
    </row>
    <row r="136" spans="2:5" ht="15.6" customHeight="1" thickBot="1" x14ac:dyDescent="0.3">
      <c r="B136" s="2330">
        <v>142</v>
      </c>
      <c r="C136" s="2328" t="s">
        <v>1229</v>
      </c>
      <c r="D136" s="2329" t="s">
        <v>1107</v>
      </c>
      <c r="E136" s="2331" t="s">
        <v>3096</v>
      </c>
    </row>
    <row r="137" spans="2:5" ht="15.6" customHeight="1" thickBot="1" x14ac:dyDescent="0.3">
      <c r="B137" s="2330">
        <v>146</v>
      </c>
      <c r="C137" s="2328" t="s">
        <v>3097</v>
      </c>
      <c r="D137" s="2329" t="s">
        <v>1107</v>
      </c>
      <c r="E137" s="2327" t="s">
        <v>3095</v>
      </c>
    </row>
    <row r="138" spans="2:5" ht="15.6" customHeight="1" thickBot="1" x14ac:dyDescent="0.3">
      <c r="B138" s="2330">
        <v>148</v>
      </c>
      <c r="C138" s="2328" t="s">
        <v>1230</v>
      </c>
      <c r="D138" s="2329" t="s">
        <v>1107</v>
      </c>
      <c r="E138" s="2331" t="s">
        <v>3096</v>
      </c>
    </row>
    <row r="139" spans="2:5" ht="15.6" customHeight="1" thickBot="1" x14ac:dyDescent="0.3">
      <c r="B139" s="2330">
        <v>149</v>
      </c>
      <c r="C139" s="2328" t="s">
        <v>1231</v>
      </c>
      <c r="D139" s="2329" t="s">
        <v>1107</v>
      </c>
      <c r="E139" s="2331" t="s">
        <v>3096</v>
      </c>
    </row>
    <row r="140" spans="2:5" ht="15.6" customHeight="1" thickBot="1" x14ac:dyDescent="0.3">
      <c r="B140" s="2330">
        <v>150</v>
      </c>
      <c r="C140" s="2332" t="s">
        <v>1232</v>
      </c>
      <c r="D140" s="2329" t="s">
        <v>1107</v>
      </c>
      <c r="E140" s="2327" t="s">
        <v>3095</v>
      </c>
    </row>
    <row r="141" spans="2:5" ht="15.6" customHeight="1" thickBot="1" x14ac:dyDescent="0.3">
      <c r="B141" s="2330">
        <v>152</v>
      </c>
      <c r="C141" s="2328" t="s">
        <v>1233</v>
      </c>
      <c r="D141" s="2329" t="s">
        <v>1107</v>
      </c>
      <c r="E141" s="2327" t="s">
        <v>3095</v>
      </c>
    </row>
    <row r="142" spans="2:5" ht="15.6" customHeight="1" thickBot="1" x14ac:dyDescent="0.3">
      <c r="B142" s="2330">
        <v>153</v>
      </c>
      <c r="C142" s="2328" t="s">
        <v>1234</v>
      </c>
      <c r="D142" s="2329" t="s">
        <v>1107</v>
      </c>
      <c r="E142" s="2327" t="s">
        <v>3095</v>
      </c>
    </row>
    <row r="143" spans="2:5" ht="15.6" customHeight="1" thickBot="1" x14ac:dyDescent="0.3">
      <c r="B143" s="2330">
        <v>155</v>
      </c>
      <c r="C143" s="2328" t="s">
        <v>1235</v>
      </c>
      <c r="D143" s="2329" t="s">
        <v>1107</v>
      </c>
      <c r="E143" s="2327" t="s">
        <v>3095</v>
      </c>
    </row>
    <row r="144" spans="2:5" ht="15.6" customHeight="1" thickBot="1" x14ac:dyDescent="0.3">
      <c r="B144" s="2330">
        <v>156</v>
      </c>
      <c r="C144" s="2328" t="s">
        <v>1236</v>
      </c>
      <c r="D144" s="2329" t="s">
        <v>1107</v>
      </c>
      <c r="E144" s="2327" t="s">
        <v>3095</v>
      </c>
    </row>
    <row r="145" spans="2:5" ht="15.6" customHeight="1" thickBot="1" x14ac:dyDescent="0.3">
      <c r="B145" s="2330">
        <v>157</v>
      </c>
      <c r="C145" s="2328" t="s">
        <v>1237</v>
      </c>
      <c r="D145" s="2329" t="s">
        <v>1107</v>
      </c>
      <c r="E145" s="2327" t="s">
        <v>3095</v>
      </c>
    </row>
    <row r="146" spans="2:5" ht="15.6" customHeight="1" thickBot="1" x14ac:dyDescent="0.3">
      <c r="B146" s="2330">
        <v>159</v>
      </c>
      <c r="C146" s="2328" t="s">
        <v>1238</v>
      </c>
      <c r="D146" s="2329" t="s">
        <v>1107</v>
      </c>
      <c r="E146" s="2327" t="s">
        <v>3095</v>
      </c>
    </row>
    <row r="147" spans="2:5" ht="15.6" customHeight="1" thickBot="1" x14ac:dyDescent="0.3">
      <c r="B147" s="2330">
        <v>160</v>
      </c>
      <c r="C147" s="2328" t="s">
        <v>3098</v>
      </c>
      <c r="D147" s="2329" t="s">
        <v>1107</v>
      </c>
      <c r="E147" s="2327" t="s">
        <v>3095</v>
      </c>
    </row>
    <row r="148" spans="2:5" ht="15.6" customHeight="1" thickBot="1" x14ac:dyDescent="0.3">
      <c r="B148" s="2330">
        <v>161</v>
      </c>
      <c r="C148" s="2328" t="s">
        <v>3099</v>
      </c>
      <c r="D148" s="2329" t="s">
        <v>1107</v>
      </c>
      <c r="E148" s="2327" t="s">
        <v>3095</v>
      </c>
    </row>
    <row r="149" spans="2:5" ht="15.6" customHeight="1" thickBot="1" x14ac:dyDescent="0.3">
      <c r="B149" s="2330">
        <v>162</v>
      </c>
      <c r="C149" s="2328" t="s">
        <v>3100</v>
      </c>
      <c r="D149" s="2329" t="s">
        <v>1107</v>
      </c>
      <c r="E149" s="2327" t="s">
        <v>3095</v>
      </c>
    </row>
    <row r="150" spans="2:5" ht="15.6" customHeight="1" thickBot="1" x14ac:dyDescent="0.3">
      <c r="B150" s="2330">
        <v>163</v>
      </c>
      <c r="C150" s="2328" t="s">
        <v>3101</v>
      </c>
      <c r="D150" s="2329" t="s">
        <v>1107</v>
      </c>
      <c r="E150" s="2327" t="s">
        <v>3095</v>
      </c>
    </row>
    <row r="151" spans="2:5" ht="15.6" customHeight="1" thickBot="1" x14ac:dyDescent="0.3">
      <c r="B151" s="2330">
        <v>164</v>
      </c>
      <c r="C151" s="2328" t="s">
        <v>1239</v>
      </c>
      <c r="D151" s="2329" t="s">
        <v>1107</v>
      </c>
      <c r="E151" s="2327" t="s">
        <v>3095</v>
      </c>
    </row>
    <row r="152" spans="2:5" ht="15.6" customHeight="1" thickBot="1" x14ac:dyDescent="0.3">
      <c r="B152" s="2330">
        <v>166</v>
      </c>
      <c r="C152" s="2328" t="s">
        <v>1240</v>
      </c>
      <c r="D152" s="2329" t="s">
        <v>1107</v>
      </c>
      <c r="E152" s="2327" t="s">
        <v>3095</v>
      </c>
    </row>
    <row r="153" spans="2:5" ht="15.6" customHeight="1" thickBot="1" x14ac:dyDescent="0.3">
      <c r="B153" s="2330">
        <v>167</v>
      </c>
      <c r="C153" s="2328" t="s">
        <v>1241</v>
      </c>
      <c r="D153" s="2329" t="s">
        <v>1107</v>
      </c>
      <c r="E153" s="2327" t="s">
        <v>3095</v>
      </c>
    </row>
    <row r="154" spans="2:5" ht="15.6" customHeight="1" thickBot="1" x14ac:dyDescent="0.3">
      <c r="B154" s="2330">
        <v>168</v>
      </c>
      <c r="C154" s="2328" t="s">
        <v>1242</v>
      </c>
      <c r="D154" s="2329" t="s">
        <v>1107</v>
      </c>
      <c r="E154" s="2327" t="s">
        <v>3095</v>
      </c>
    </row>
    <row r="155" spans="2:5" ht="15.6" customHeight="1" thickBot="1" x14ac:dyDescent="0.3">
      <c r="B155" s="2330">
        <v>169</v>
      </c>
      <c r="C155" s="2332" t="s">
        <v>1243</v>
      </c>
      <c r="D155" s="2329" t="s">
        <v>1107</v>
      </c>
      <c r="E155" s="2327" t="s">
        <v>3095</v>
      </c>
    </row>
    <row r="156" spans="2:5" ht="15.6" customHeight="1" thickBot="1" x14ac:dyDescent="0.3">
      <c r="B156" s="2330">
        <v>170</v>
      </c>
      <c r="C156" s="2328" t="s">
        <v>1244</v>
      </c>
      <c r="D156" s="2329" t="s">
        <v>1107</v>
      </c>
      <c r="E156" s="2327" t="s">
        <v>3095</v>
      </c>
    </row>
    <row r="157" spans="2:5" ht="15.6" customHeight="1" thickBot="1" x14ac:dyDescent="0.3">
      <c r="B157" s="2330">
        <v>171</v>
      </c>
      <c r="C157" s="2328" t="s">
        <v>1245</v>
      </c>
      <c r="D157" s="2329" t="s">
        <v>1107</v>
      </c>
      <c r="E157" s="2331" t="s">
        <v>3096</v>
      </c>
    </row>
    <row r="158" spans="2:5" ht="15.6" customHeight="1" thickBot="1" x14ac:dyDescent="0.3">
      <c r="B158" s="2330">
        <v>172</v>
      </c>
      <c r="C158" s="2328" t="s">
        <v>1246</v>
      </c>
      <c r="D158" s="2329" t="s">
        <v>1107</v>
      </c>
      <c r="E158" s="2331" t="s">
        <v>3096</v>
      </c>
    </row>
    <row r="159" spans="2:5" ht="15.6" customHeight="1" thickBot="1" x14ac:dyDescent="0.3">
      <c r="B159" s="2330">
        <v>175</v>
      </c>
      <c r="C159" s="2328" t="s">
        <v>1247</v>
      </c>
      <c r="D159" s="2329" t="s">
        <v>1107</v>
      </c>
      <c r="E159" s="2327" t="s">
        <v>3095</v>
      </c>
    </row>
    <row r="160" spans="2:5" ht="15.6" customHeight="1" thickBot="1" x14ac:dyDescent="0.3">
      <c r="B160" s="2330">
        <v>179</v>
      </c>
      <c r="C160" s="2328" t="s">
        <v>1248</v>
      </c>
      <c r="D160" s="2329" t="s">
        <v>1107</v>
      </c>
      <c r="E160" s="2331" t="s">
        <v>3096</v>
      </c>
    </row>
    <row r="161" spans="2:5" ht="15.6" customHeight="1" thickBot="1" x14ac:dyDescent="0.3">
      <c r="B161" s="2330">
        <v>180</v>
      </c>
      <c r="C161" s="2328" t="s">
        <v>1249</v>
      </c>
      <c r="D161" s="2329" t="s">
        <v>1107</v>
      </c>
      <c r="E161" s="2331" t="s">
        <v>3096</v>
      </c>
    </row>
    <row r="162" spans="2:5" ht="15.6" customHeight="1" thickBot="1" x14ac:dyDescent="0.3">
      <c r="B162" s="2330">
        <v>183</v>
      </c>
      <c r="C162" s="2328" t="s">
        <v>1250</v>
      </c>
      <c r="D162" s="2329" t="s">
        <v>1107</v>
      </c>
      <c r="E162" s="2331" t="s">
        <v>3096</v>
      </c>
    </row>
    <row r="163" spans="2:5" ht="15.6" customHeight="1" thickBot="1" x14ac:dyDescent="0.3">
      <c r="B163" s="2330">
        <v>184</v>
      </c>
      <c r="C163" s="2328" t="s">
        <v>1251</v>
      </c>
      <c r="D163" s="2329" t="s">
        <v>1107</v>
      </c>
      <c r="E163" s="2331" t="s">
        <v>3096</v>
      </c>
    </row>
    <row r="164" spans="2:5" ht="15.6" customHeight="1" thickBot="1" x14ac:dyDescent="0.3">
      <c r="B164" s="2330">
        <v>186</v>
      </c>
      <c r="C164" s="2328" t="s">
        <v>1252</v>
      </c>
      <c r="D164" s="2329" t="s">
        <v>1107</v>
      </c>
      <c r="E164" s="2331" t="s">
        <v>3096</v>
      </c>
    </row>
    <row r="165" spans="2:5" ht="15.6" customHeight="1" thickBot="1" x14ac:dyDescent="0.3">
      <c r="B165" s="2330">
        <v>187</v>
      </c>
      <c r="C165" s="2328" t="s">
        <v>1253</v>
      </c>
      <c r="D165" s="2329" t="s">
        <v>1107</v>
      </c>
      <c r="E165" s="2331" t="s">
        <v>3096</v>
      </c>
    </row>
    <row r="166" spans="2:5" ht="15.6" customHeight="1" thickBot="1" x14ac:dyDescent="0.3">
      <c r="B166" s="2330">
        <v>188</v>
      </c>
      <c r="C166" s="2328" t="s">
        <v>1254</v>
      </c>
      <c r="D166" s="2329" t="s">
        <v>1107</v>
      </c>
      <c r="E166" s="2327" t="s">
        <v>3095</v>
      </c>
    </row>
    <row r="167" spans="2:5" ht="15.6" customHeight="1" thickBot="1" x14ac:dyDescent="0.3">
      <c r="B167" s="2330">
        <v>189</v>
      </c>
      <c r="C167" s="2328" t="s">
        <v>1255</v>
      </c>
      <c r="D167" s="2329" t="s">
        <v>1107</v>
      </c>
      <c r="E167" s="2331" t="s">
        <v>3096</v>
      </c>
    </row>
    <row r="168" spans="2:5" ht="15.6" customHeight="1" thickBot="1" x14ac:dyDescent="0.3">
      <c r="B168" s="2330">
        <v>190</v>
      </c>
      <c r="C168" s="2328" t="s">
        <v>1256</v>
      </c>
      <c r="D168" s="2329" t="s">
        <v>1107</v>
      </c>
      <c r="E168" s="2327" t="s">
        <v>3095</v>
      </c>
    </row>
    <row r="169" spans="2:5" ht="15.6" customHeight="1" thickBot="1" x14ac:dyDescent="0.3">
      <c r="B169" s="2330">
        <v>191</v>
      </c>
      <c r="C169" s="2328" t="s">
        <v>1257</v>
      </c>
      <c r="D169" s="2329" t="s">
        <v>1107</v>
      </c>
      <c r="E169" s="2327" t="s">
        <v>3095</v>
      </c>
    </row>
    <row r="170" spans="2:5" ht="15.6" customHeight="1" thickBot="1" x14ac:dyDescent="0.3">
      <c r="B170" s="2330">
        <v>192</v>
      </c>
      <c r="C170" s="2328" t="s">
        <v>1258</v>
      </c>
      <c r="D170" s="2329" t="s">
        <v>1107</v>
      </c>
      <c r="E170" s="2327" t="s">
        <v>3095</v>
      </c>
    </row>
    <row r="171" spans="2:5" ht="15.6" customHeight="1" thickBot="1" x14ac:dyDescent="0.3">
      <c r="B171" s="2330">
        <v>193</v>
      </c>
      <c r="C171" s="2328" t="s">
        <v>1259</v>
      </c>
      <c r="D171" s="2329" t="s">
        <v>1107</v>
      </c>
      <c r="E171" s="2327" t="s">
        <v>3095</v>
      </c>
    </row>
    <row r="172" spans="2:5" ht="15.6" customHeight="1" thickBot="1" x14ac:dyDescent="0.3">
      <c r="B172" s="2330">
        <v>194</v>
      </c>
      <c r="C172" s="2328" t="s">
        <v>1260</v>
      </c>
      <c r="D172" s="2329" t="s">
        <v>1107</v>
      </c>
      <c r="E172" s="2327" t="s">
        <v>3095</v>
      </c>
    </row>
    <row r="173" spans="2:5" ht="15.6" customHeight="1" thickBot="1" x14ac:dyDescent="0.3">
      <c r="B173" s="2330">
        <v>195</v>
      </c>
      <c r="C173" s="2328" t="s">
        <v>1261</v>
      </c>
      <c r="D173" s="2329" t="s">
        <v>1107</v>
      </c>
      <c r="E173" s="2327" t="s">
        <v>3095</v>
      </c>
    </row>
    <row r="174" spans="2:5" ht="15.6" customHeight="1" thickBot="1" x14ac:dyDescent="0.3">
      <c r="B174" s="2330">
        <v>196</v>
      </c>
      <c r="C174" s="2328" t="s">
        <v>1262</v>
      </c>
      <c r="D174" s="2329" t="s">
        <v>1107</v>
      </c>
      <c r="E174" s="2327" t="s">
        <v>3095</v>
      </c>
    </row>
    <row r="175" spans="2:5" ht="15.6" customHeight="1" thickBot="1" x14ac:dyDescent="0.3">
      <c r="B175" s="2330">
        <v>197</v>
      </c>
      <c r="C175" s="2328" t="s">
        <v>1263</v>
      </c>
      <c r="D175" s="2329" t="s">
        <v>1107</v>
      </c>
      <c r="E175" s="2327" t="s">
        <v>3095</v>
      </c>
    </row>
    <row r="176" spans="2:5" ht="15.6" customHeight="1" thickBot="1" x14ac:dyDescent="0.3">
      <c r="B176" s="2330">
        <v>198</v>
      </c>
      <c r="C176" s="2328" t="s">
        <v>1264</v>
      </c>
      <c r="D176" s="2329" t="s">
        <v>1107</v>
      </c>
      <c r="E176" s="2327" t="s">
        <v>3095</v>
      </c>
    </row>
    <row r="177" spans="2:5" ht="15.6" customHeight="1" thickBot="1" x14ac:dyDescent="0.3">
      <c r="B177" s="2330">
        <v>199</v>
      </c>
      <c r="C177" s="2328" t="s">
        <v>1265</v>
      </c>
      <c r="D177" s="2329" t="s">
        <v>1107</v>
      </c>
      <c r="E177" s="2327" t="s">
        <v>3095</v>
      </c>
    </row>
    <row r="178" spans="2:5" ht="15.6" customHeight="1" thickBot="1" x14ac:dyDescent="0.3">
      <c r="B178" s="2330">
        <v>201</v>
      </c>
      <c r="C178" s="2328" t="s">
        <v>1266</v>
      </c>
      <c r="D178" s="2329" t="s">
        <v>1107</v>
      </c>
      <c r="E178" s="2327" t="s">
        <v>3095</v>
      </c>
    </row>
    <row r="179" spans="2:5" ht="15.6" customHeight="1" thickBot="1" x14ac:dyDescent="0.3">
      <c r="B179" s="2330">
        <v>202</v>
      </c>
      <c r="C179" s="2328" t="s">
        <v>1267</v>
      </c>
      <c r="D179" s="2329" t="s">
        <v>1107</v>
      </c>
      <c r="E179" s="2327" t="s">
        <v>3095</v>
      </c>
    </row>
    <row r="180" spans="2:5" ht="15.6" customHeight="1" thickBot="1" x14ac:dyDescent="0.3">
      <c r="B180" s="2330">
        <v>204</v>
      </c>
      <c r="C180" s="2328" t="s">
        <v>1268</v>
      </c>
      <c r="D180" s="2329" t="s">
        <v>1107</v>
      </c>
      <c r="E180" s="2327" t="s">
        <v>3095</v>
      </c>
    </row>
    <row r="181" spans="2:5" ht="15.6" customHeight="1" thickBot="1" x14ac:dyDescent="0.3">
      <c r="B181" s="2330">
        <v>205</v>
      </c>
      <c r="C181" s="2328" t="s">
        <v>1269</v>
      </c>
      <c r="D181" s="2329" t="s">
        <v>1107</v>
      </c>
      <c r="E181" s="2331" t="s">
        <v>3096</v>
      </c>
    </row>
    <row r="182" spans="2:5" ht="15.6" customHeight="1" thickBot="1" x14ac:dyDescent="0.3">
      <c r="B182" s="2330">
        <v>206</v>
      </c>
      <c r="C182" s="2328" t="s">
        <v>1270</v>
      </c>
      <c r="D182" s="2329" t="s">
        <v>1107</v>
      </c>
      <c r="E182" s="2327" t="s">
        <v>3095</v>
      </c>
    </row>
    <row r="183" spans="2:5" ht="15.6" customHeight="1" thickBot="1" x14ac:dyDescent="0.3">
      <c r="B183" s="2330">
        <v>207</v>
      </c>
      <c r="C183" s="2328" t="s">
        <v>1271</v>
      </c>
      <c r="D183" s="2329" t="s">
        <v>1107</v>
      </c>
      <c r="E183" s="2327" t="s">
        <v>3095</v>
      </c>
    </row>
    <row r="184" spans="2:5" ht="15.6" customHeight="1" thickBot="1" x14ac:dyDescent="0.3">
      <c r="B184" s="2330">
        <v>208</v>
      </c>
      <c r="C184" s="2328" t="s">
        <v>1272</v>
      </c>
      <c r="D184" s="2329" t="s">
        <v>1107</v>
      </c>
      <c r="E184" s="2327" t="s">
        <v>3095</v>
      </c>
    </row>
    <row r="185" spans="2:5" ht="15.6" customHeight="1" thickBot="1" x14ac:dyDescent="0.3">
      <c r="B185" s="2330">
        <v>209</v>
      </c>
      <c r="C185" s="2328" t="s">
        <v>1273</v>
      </c>
      <c r="D185" s="2329" t="s">
        <v>1107</v>
      </c>
      <c r="E185" s="2327" t="s">
        <v>3095</v>
      </c>
    </row>
    <row r="186" spans="2:5" ht="15.6" customHeight="1" thickBot="1" x14ac:dyDescent="0.3">
      <c r="B186" s="2330">
        <v>210</v>
      </c>
      <c r="C186" s="2328" t="s">
        <v>1274</v>
      </c>
      <c r="D186" s="2329" t="s">
        <v>1107</v>
      </c>
      <c r="E186" s="2327" t="s">
        <v>3095</v>
      </c>
    </row>
    <row r="187" spans="2:5" ht="15.6" customHeight="1" thickBot="1" x14ac:dyDescent="0.3">
      <c r="B187" s="2330">
        <v>212</v>
      </c>
      <c r="C187" s="2328" t="s">
        <v>1275</v>
      </c>
      <c r="D187" s="2329" t="s">
        <v>1107</v>
      </c>
      <c r="E187" s="2327" t="s">
        <v>3095</v>
      </c>
    </row>
    <row r="188" spans="2:5" ht="15.6" customHeight="1" thickBot="1" x14ac:dyDescent="0.3">
      <c r="B188" s="2330">
        <v>213</v>
      </c>
      <c r="C188" s="2328" t="s">
        <v>1276</v>
      </c>
      <c r="D188" s="2329" t="s">
        <v>1107</v>
      </c>
      <c r="E188" s="2327" t="s">
        <v>3095</v>
      </c>
    </row>
    <row r="189" spans="2:5" ht="15.6" customHeight="1" thickBot="1" x14ac:dyDescent="0.3">
      <c r="B189" s="2330">
        <v>214</v>
      </c>
      <c r="C189" s="2328" t="s">
        <v>1277</v>
      </c>
      <c r="D189" s="2329" t="s">
        <v>1107</v>
      </c>
      <c r="E189" s="2331" t="s">
        <v>3096</v>
      </c>
    </row>
    <row r="190" spans="2:5" ht="15.6" customHeight="1" thickBot="1" x14ac:dyDescent="0.3">
      <c r="B190" s="2330">
        <v>215</v>
      </c>
      <c r="C190" s="2328" t="s">
        <v>1278</v>
      </c>
      <c r="D190" s="2329" t="s">
        <v>1107</v>
      </c>
      <c r="E190" s="2327" t="s">
        <v>3095</v>
      </c>
    </row>
    <row r="191" spans="2:5" ht="15.6" customHeight="1" thickBot="1" x14ac:dyDescent="0.3">
      <c r="B191" s="2330">
        <v>216</v>
      </c>
      <c r="C191" s="2328" t="s">
        <v>1279</v>
      </c>
      <c r="D191" s="2329" t="s">
        <v>1107</v>
      </c>
      <c r="E191" s="2331" t="s">
        <v>3096</v>
      </c>
    </row>
    <row r="192" spans="2:5" ht="15.6" customHeight="1" thickBot="1" x14ac:dyDescent="0.3">
      <c r="B192" s="2330">
        <v>217</v>
      </c>
      <c r="C192" s="2328" t="s">
        <v>1280</v>
      </c>
      <c r="D192" s="2329" t="s">
        <v>1107</v>
      </c>
      <c r="E192" s="2331" t="s">
        <v>3096</v>
      </c>
    </row>
    <row r="193" spans="2:5" ht="15.6" customHeight="1" thickBot="1" x14ac:dyDescent="0.3">
      <c r="B193" s="2330">
        <v>218</v>
      </c>
      <c r="C193" s="2328" t="s">
        <v>1281</v>
      </c>
      <c r="D193" s="2329" t="s">
        <v>1107</v>
      </c>
      <c r="E193" s="2327" t="s">
        <v>3095</v>
      </c>
    </row>
    <row r="194" spans="2:5" ht="15.6" customHeight="1" thickBot="1" x14ac:dyDescent="0.3">
      <c r="B194" s="2330">
        <v>219</v>
      </c>
      <c r="C194" s="2328" t="s">
        <v>1282</v>
      </c>
      <c r="D194" s="2329" t="s">
        <v>1107</v>
      </c>
      <c r="E194" s="2327" t="s">
        <v>3095</v>
      </c>
    </row>
    <row r="195" spans="2:5" ht="15.6" customHeight="1" thickBot="1" x14ac:dyDescent="0.3">
      <c r="B195" s="2330">
        <v>221</v>
      </c>
      <c r="C195" s="2328" t="s">
        <v>1283</v>
      </c>
      <c r="D195" s="2329" t="s">
        <v>1107</v>
      </c>
      <c r="E195" s="2327" t="s">
        <v>3096</v>
      </c>
    </row>
    <row r="196" spans="2:5" ht="15.6" customHeight="1" thickBot="1" x14ac:dyDescent="0.3">
      <c r="B196" s="2330">
        <v>222</v>
      </c>
      <c r="C196" s="2328" t="s">
        <v>1284</v>
      </c>
      <c r="D196" s="2329" t="s">
        <v>1107</v>
      </c>
      <c r="E196" s="2327" t="s">
        <v>3096</v>
      </c>
    </row>
    <row r="197" spans="2:5" ht="15.6" customHeight="1" thickBot="1" x14ac:dyDescent="0.3">
      <c r="B197" s="2330">
        <v>223</v>
      </c>
      <c r="C197" s="2328" t="s">
        <v>1285</v>
      </c>
      <c r="D197" s="2329" t="s">
        <v>1107</v>
      </c>
      <c r="E197" s="2327" t="s">
        <v>3096</v>
      </c>
    </row>
    <row r="198" spans="2:5" ht="15.6" customHeight="1" thickBot="1" x14ac:dyDescent="0.3">
      <c r="B198" s="2330">
        <v>224</v>
      </c>
      <c r="C198" s="2328" t="s">
        <v>1286</v>
      </c>
      <c r="D198" s="2329" t="s">
        <v>1107</v>
      </c>
      <c r="E198" s="2327" t="s">
        <v>3095</v>
      </c>
    </row>
    <row r="199" spans="2:5" ht="15.6" customHeight="1" thickBot="1" x14ac:dyDescent="0.3">
      <c r="B199" s="2330">
        <v>225</v>
      </c>
      <c r="C199" s="2328" t="s">
        <v>1287</v>
      </c>
      <c r="D199" s="2329" t="s">
        <v>1107</v>
      </c>
      <c r="E199" s="2331" t="s">
        <v>3096</v>
      </c>
    </row>
    <row r="200" spans="2:5" ht="15.6" customHeight="1" thickBot="1" x14ac:dyDescent="0.3">
      <c r="B200" s="2330">
        <v>226</v>
      </c>
      <c r="C200" s="2328" t="s">
        <v>1288</v>
      </c>
      <c r="D200" s="2329" t="s">
        <v>1107</v>
      </c>
      <c r="E200" s="2331" t="s">
        <v>3096</v>
      </c>
    </row>
    <row r="201" spans="2:5" ht="15.6" customHeight="1" thickBot="1" x14ac:dyDescent="0.3">
      <c r="B201" s="2330">
        <v>227</v>
      </c>
      <c r="C201" s="2328" t="s">
        <v>1289</v>
      </c>
      <c r="D201" s="2329" t="s">
        <v>1107</v>
      </c>
      <c r="E201" s="2327" t="s">
        <v>3095</v>
      </c>
    </row>
    <row r="202" spans="2:5" ht="15.6" customHeight="1" thickBot="1" x14ac:dyDescent="0.3">
      <c r="B202" s="2330">
        <v>229</v>
      </c>
      <c r="C202" s="2328" t="s">
        <v>1290</v>
      </c>
      <c r="D202" s="2329" t="s">
        <v>1107</v>
      </c>
      <c r="E202" s="2327" t="s">
        <v>3095</v>
      </c>
    </row>
    <row r="203" spans="2:5" ht="15.6" customHeight="1" thickBot="1" x14ac:dyDescent="0.3">
      <c r="B203" s="2330">
        <v>231</v>
      </c>
      <c r="C203" s="2328" t="s">
        <v>1291</v>
      </c>
      <c r="D203" s="2329" t="s">
        <v>1107</v>
      </c>
      <c r="E203" s="2331" t="s">
        <v>3096</v>
      </c>
    </row>
    <row r="204" spans="2:5" ht="15.6" customHeight="1" thickBot="1" x14ac:dyDescent="0.3">
      <c r="B204" s="2330">
        <v>232</v>
      </c>
      <c r="C204" s="2328" t="s">
        <v>1292</v>
      </c>
      <c r="D204" s="2329" t="s">
        <v>1107</v>
      </c>
      <c r="E204" s="2331" t="s">
        <v>3096</v>
      </c>
    </row>
    <row r="205" spans="2:5" ht="15.6" customHeight="1" thickBot="1" x14ac:dyDescent="0.3">
      <c r="B205" s="2330">
        <v>233</v>
      </c>
      <c r="C205" s="2328" t="s">
        <v>1293</v>
      </c>
      <c r="D205" s="2329" t="s">
        <v>1107</v>
      </c>
      <c r="E205" s="2331" t="s">
        <v>3096</v>
      </c>
    </row>
    <row r="206" spans="2:5" ht="15.6" customHeight="1" thickBot="1" x14ac:dyDescent="0.3">
      <c r="B206" s="2330">
        <v>234</v>
      </c>
      <c r="C206" s="2328" t="s">
        <v>1294</v>
      </c>
      <c r="D206" s="2329" t="s">
        <v>1107</v>
      </c>
      <c r="E206" s="2331" t="s">
        <v>3096</v>
      </c>
    </row>
    <row r="207" spans="2:5" ht="15.6" customHeight="1" thickBot="1" x14ac:dyDescent="0.3">
      <c r="B207" s="2330">
        <v>235</v>
      </c>
      <c r="C207" s="2328" t="s">
        <v>1295</v>
      </c>
      <c r="D207" s="2329" t="s">
        <v>1107</v>
      </c>
      <c r="E207" s="2331" t="s">
        <v>3096</v>
      </c>
    </row>
    <row r="208" spans="2:5" ht="15.6" customHeight="1" thickBot="1" x14ac:dyDescent="0.3">
      <c r="B208" s="2330">
        <v>236</v>
      </c>
      <c r="C208" s="2328" t="s">
        <v>1296</v>
      </c>
      <c r="D208" s="2329" t="s">
        <v>1107</v>
      </c>
      <c r="E208" s="2331" t="s">
        <v>3096</v>
      </c>
    </row>
    <row r="209" spans="2:5" ht="15.6" customHeight="1" thickBot="1" x14ac:dyDescent="0.3">
      <c r="B209" s="2330">
        <v>237</v>
      </c>
      <c r="C209" s="2328" t="s">
        <v>1297</v>
      </c>
      <c r="D209" s="2329" t="s">
        <v>1107</v>
      </c>
      <c r="E209" s="2331" t="s">
        <v>3096</v>
      </c>
    </row>
    <row r="210" spans="2:5" ht="15.6" customHeight="1" thickBot="1" x14ac:dyDescent="0.3">
      <c r="B210" s="2330">
        <v>238</v>
      </c>
      <c r="C210" s="2328" t="s">
        <v>1298</v>
      </c>
      <c r="D210" s="2329" t="s">
        <v>1107</v>
      </c>
      <c r="E210" s="2331" t="s">
        <v>3096</v>
      </c>
    </row>
    <row r="211" spans="2:5" ht="15.6" customHeight="1" thickBot="1" x14ac:dyDescent="0.3">
      <c r="B211" s="2330">
        <v>239</v>
      </c>
      <c r="C211" s="2328" t="s">
        <v>1299</v>
      </c>
      <c r="D211" s="2329" t="s">
        <v>1107</v>
      </c>
      <c r="E211" s="2327" t="s">
        <v>3095</v>
      </c>
    </row>
    <row r="212" spans="2:5" ht="15.6" customHeight="1" thickBot="1" x14ac:dyDescent="0.3">
      <c r="B212" s="2330">
        <v>241</v>
      </c>
      <c r="C212" s="2328" t="s">
        <v>1300</v>
      </c>
      <c r="D212" s="2329" t="s">
        <v>1107</v>
      </c>
      <c r="E212" s="2327" t="s">
        <v>3095</v>
      </c>
    </row>
    <row r="213" spans="2:5" ht="15.6" customHeight="1" thickBot="1" x14ac:dyDescent="0.3">
      <c r="B213" s="2330">
        <v>242</v>
      </c>
      <c r="C213" s="2328" t="s">
        <v>1301</v>
      </c>
      <c r="D213" s="2329" t="s">
        <v>1107</v>
      </c>
      <c r="E213" s="2327" t="s">
        <v>3095</v>
      </c>
    </row>
    <row r="214" spans="2:5" ht="15.6" customHeight="1" thickBot="1" x14ac:dyDescent="0.3">
      <c r="B214" s="2330">
        <v>243</v>
      </c>
      <c r="C214" s="2328" t="s">
        <v>1302</v>
      </c>
      <c r="D214" s="2329" t="s">
        <v>1107</v>
      </c>
      <c r="E214" s="2327" t="s">
        <v>3095</v>
      </c>
    </row>
    <row r="215" spans="2:5" ht="15.6" customHeight="1" thickBot="1" x14ac:dyDescent="0.3">
      <c r="B215" s="2330">
        <v>244</v>
      </c>
      <c r="C215" s="2328" t="s">
        <v>1303</v>
      </c>
      <c r="D215" s="2329" t="s">
        <v>1107</v>
      </c>
      <c r="E215" s="2327" t="s">
        <v>3095</v>
      </c>
    </row>
    <row r="216" spans="2:5" ht="15.6" customHeight="1" thickBot="1" x14ac:dyDescent="0.3">
      <c r="B216" s="2330">
        <v>245</v>
      </c>
      <c r="C216" s="2328" t="s">
        <v>1304</v>
      </c>
      <c r="D216" s="2329" t="s">
        <v>1107</v>
      </c>
      <c r="E216" s="2327" t="s">
        <v>3095</v>
      </c>
    </row>
    <row r="217" spans="2:5" ht="15.6" customHeight="1" thickBot="1" x14ac:dyDescent="0.3">
      <c r="B217" s="2330">
        <v>247</v>
      </c>
      <c r="C217" s="2328" t="s">
        <v>1305</v>
      </c>
      <c r="D217" s="2329" t="s">
        <v>1107</v>
      </c>
      <c r="E217" s="2327" t="s">
        <v>3095</v>
      </c>
    </row>
    <row r="218" spans="2:5" ht="15.6" customHeight="1" thickBot="1" x14ac:dyDescent="0.3">
      <c r="B218" s="2330">
        <v>248</v>
      </c>
      <c r="C218" s="2328" t="s">
        <v>1306</v>
      </c>
      <c r="D218" s="2329" t="s">
        <v>1107</v>
      </c>
      <c r="E218" s="2327" t="s">
        <v>3095</v>
      </c>
    </row>
    <row r="219" spans="2:5" ht="15.6" customHeight="1" thickBot="1" x14ac:dyDescent="0.3">
      <c r="B219" s="2330">
        <v>250</v>
      </c>
      <c r="C219" s="2328" t="s">
        <v>1307</v>
      </c>
      <c r="D219" s="2329" t="s">
        <v>1107</v>
      </c>
      <c r="E219" s="2327" t="s">
        <v>3095</v>
      </c>
    </row>
    <row r="220" spans="2:5" ht="15.6" customHeight="1" thickBot="1" x14ac:dyDescent="0.3">
      <c r="B220" s="2330">
        <v>251</v>
      </c>
      <c r="C220" s="2328" t="s">
        <v>1308</v>
      </c>
      <c r="D220" s="2329" t="s">
        <v>1107</v>
      </c>
      <c r="E220" s="2327" t="s">
        <v>3095</v>
      </c>
    </row>
    <row r="221" spans="2:5" ht="15.6" customHeight="1" thickBot="1" x14ac:dyDescent="0.3">
      <c r="B221" s="2330">
        <v>252</v>
      </c>
      <c r="C221" s="2328" t="s">
        <v>1309</v>
      </c>
      <c r="D221" s="2329" t="s">
        <v>1107</v>
      </c>
      <c r="E221" s="2327" t="s">
        <v>3095</v>
      </c>
    </row>
    <row r="222" spans="2:5" ht="15.6" customHeight="1" thickBot="1" x14ac:dyDescent="0.3">
      <c r="B222" s="2330">
        <v>253</v>
      </c>
      <c r="C222" s="2328" t="s">
        <v>1310</v>
      </c>
      <c r="D222" s="2329" t="s">
        <v>1107</v>
      </c>
      <c r="E222" s="2331" t="s">
        <v>3096</v>
      </c>
    </row>
    <row r="223" spans="2:5" ht="15.6" customHeight="1" thickBot="1" x14ac:dyDescent="0.3">
      <c r="B223" s="2330">
        <v>254</v>
      </c>
      <c r="C223" s="2328" t="s">
        <v>1311</v>
      </c>
      <c r="D223" s="2329" t="s">
        <v>1107</v>
      </c>
      <c r="E223" s="2331" t="s">
        <v>3096</v>
      </c>
    </row>
    <row r="224" spans="2:5" ht="15.6" customHeight="1" thickBot="1" x14ac:dyDescent="0.3">
      <c r="B224" s="2330">
        <v>257</v>
      </c>
      <c r="C224" s="2328" t="s">
        <v>1312</v>
      </c>
      <c r="D224" s="2329" t="s">
        <v>1107</v>
      </c>
      <c r="E224" s="2331" t="s">
        <v>3096</v>
      </c>
    </row>
    <row r="225" spans="2:5" ht="15.6" customHeight="1" thickBot="1" x14ac:dyDescent="0.3">
      <c r="B225" s="2330">
        <v>258</v>
      </c>
      <c r="C225" s="2328" t="s">
        <v>1313</v>
      </c>
      <c r="D225" s="2329" t="s">
        <v>1107</v>
      </c>
      <c r="E225" s="2331" t="s">
        <v>3096</v>
      </c>
    </row>
    <row r="226" spans="2:5" ht="15.6" customHeight="1" thickBot="1" x14ac:dyDescent="0.3">
      <c r="B226" s="2330">
        <v>259</v>
      </c>
      <c r="C226" s="2328" t="s">
        <v>1314</v>
      </c>
      <c r="D226" s="2329" t="s">
        <v>1107</v>
      </c>
      <c r="E226" s="2331" t="s">
        <v>3096</v>
      </c>
    </row>
    <row r="227" spans="2:5" ht="15.6" customHeight="1" thickBot="1" x14ac:dyDescent="0.3">
      <c r="B227" s="2330">
        <v>261</v>
      </c>
      <c r="C227" s="2328" t="s">
        <v>1315</v>
      </c>
      <c r="D227" s="2329" t="s">
        <v>1107</v>
      </c>
      <c r="E227" s="2331" t="s">
        <v>3096</v>
      </c>
    </row>
    <row r="228" spans="2:5" ht="15.6" customHeight="1" thickBot="1" x14ac:dyDescent="0.3">
      <c r="B228" s="2330">
        <v>263</v>
      </c>
      <c r="C228" s="2328" t="s">
        <v>1316</v>
      </c>
      <c r="D228" s="2329" t="s">
        <v>1107</v>
      </c>
      <c r="E228" s="2327" t="s">
        <v>3095</v>
      </c>
    </row>
    <row r="229" spans="2:5" ht="15.6" customHeight="1" thickBot="1" x14ac:dyDescent="0.3">
      <c r="B229" s="2330">
        <v>265</v>
      </c>
      <c r="C229" s="2328" t="s">
        <v>1317</v>
      </c>
      <c r="D229" s="2329" t="s">
        <v>1107</v>
      </c>
      <c r="E229" s="2331" t="s">
        <v>3096</v>
      </c>
    </row>
    <row r="230" spans="2:5" ht="15.6" customHeight="1" thickBot="1" x14ac:dyDescent="0.3">
      <c r="B230" s="2330">
        <v>266</v>
      </c>
      <c r="C230" s="2328" t="s">
        <v>1318</v>
      </c>
      <c r="D230" s="2329" t="s">
        <v>1107</v>
      </c>
      <c r="E230" s="2331" t="s">
        <v>3096</v>
      </c>
    </row>
    <row r="231" spans="2:5" ht="15.6" customHeight="1" thickBot="1" x14ac:dyDescent="0.3">
      <c r="B231" s="2330">
        <v>267</v>
      </c>
      <c r="C231" s="2328" t="s">
        <v>1319</v>
      </c>
      <c r="D231" s="2329" t="s">
        <v>1107</v>
      </c>
      <c r="E231" s="2331" t="s">
        <v>3096</v>
      </c>
    </row>
    <row r="232" spans="2:5" ht="15.6" customHeight="1" thickBot="1" x14ac:dyDescent="0.3">
      <c r="B232" s="2330">
        <v>270</v>
      </c>
      <c r="C232" s="2328" t="s">
        <v>1320</v>
      </c>
      <c r="D232" s="2329" t="s">
        <v>1107</v>
      </c>
      <c r="E232" s="2331" t="s">
        <v>3096</v>
      </c>
    </row>
    <row r="233" spans="2:5" ht="15.6" customHeight="1" thickBot="1" x14ac:dyDescent="0.3">
      <c r="B233" s="2330">
        <v>271</v>
      </c>
      <c r="C233" s="2328" t="s">
        <v>1321</v>
      </c>
      <c r="D233" s="2329" t="s">
        <v>1107</v>
      </c>
      <c r="E233" s="2331" t="s">
        <v>3096</v>
      </c>
    </row>
    <row r="234" spans="2:5" ht="15.6" customHeight="1" thickBot="1" x14ac:dyDescent="0.3">
      <c r="B234" s="2330">
        <v>272</v>
      </c>
      <c r="C234" s="2328" t="s">
        <v>1322</v>
      </c>
      <c r="D234" s="2329" t="s">
        <v>1107</v>
      </c>
      <c r="E234" s="2331" t="s">
        <v>3096</v>
      </c>
    </row>
    <row r="235" spans="2:5" ht="15.6" customHeight="1" thickBot="1" x14ac:dyDescent="0.3">
      <c r="B235" s="2330">
        <v>274</v>
      </c>
      <c r="C235" s="2328" t="s">
        <v>1323</v>
      </c>
      <c r="D235" s="2329" t="s">
        <v>1107</v>
      </c>
      <c r="E235" s="2331" t="s">
        <v>3096</v>
      </c>
    </row>
    <row r="236" spans="2:5" ht="15.6" customHeight="1" thickBot="1" x14ac:dyDescent="0.3">
      <c r="B236" s="2330">
        <v>275</v>
      </c>
      <c r="C236" s="2328" t="s">
        <v>1324</v>
      </c>
      <c r="D236" s="2329" t="s">
        <v>1107</v>
      </c>
      <c r="E236" s="2331" t="s">
        <v>3096</v>
      </c>
    </row>
    <row r="237" spans="2:5" ht="15.6" customHeight="1" thickBot="1" x14ac:dyDescent="0.3">
      <c r="B237" s="2330">
        <v>276</v>
      </c>
      <c r="C237" s="2328" t="s">
        <v>1325</v>
      </c>
      <c r="D237" s="2329" t="s">
        <v>1107</v>
      </c>
      <c r="E237" s="2331" t="s">
        <v>3096</v>
      </c>
    </row>
    <row r="238" spans="2:5" ht="15.6" customHeight="1" thickBot="1" x14ac:dyDescent="0.3">
      <c r="B238" s="2330">
        <v>277</v>
      </c>
      <c r="C238" s="2328" t="s">
        <v>1326</v>
      </c>
      <c r="D238" s="2329" t="s">
        <v>1107</v>
      </c>
      <c r="E238" s="2331" t="s">
        <v>3096</v>
      </c>
    </row>
    <row r="239" spans="2:5" ht="15.6" customHeight="1" thickBot="1" x14ac:dyDescent="0.3">
      <c r="B239" s="2330">
        <v>279</v>
      </c>
      <c r="C239" s="2328" t="s">
        <v>1327</v>
      </c>
      <c r="D239" s="2329" t="s">
        <v>1107</v>
      </c>
      <c r="E239" s="2329" t="s">
        <v>3095</v>
      </c>
    </row>
    <row r="240" spans="2:5" ht="15.6" customHeight="1" thickBot="1" x14ac:dyDescent="0.3">
      <c r="B240" s="2330">
        <v>280</v>
      </c>
      <c r="C240" s="2328" t="s">
        <v>1328</v>
      </c>
      <c r="D240" s="2329" t="s">
        <v>1107</v>
      </c>
      <c r="E240" s="2329" t="s">
        <v>3095</v>
      </c>
    </row>
    <row r="241" spans="2:5" ht="15.6" customHeight="1" thickBot="1" x14ac:dyDescent="0.3">
      <c r="B241" s="2330">
        <v>281</v>
      </c>
      <c r="C241" s="2328" t="s">
        <v>1329</v>
      </c>
      <c r="D241" s="2329" t="s">
        <v>1107</v>
      </c>
      <c r="E241" s="2329" t="s">
        <v>3095</v>
      </c>
    </row>
    <row r="242" spans="2:5" ht="15.6" customHeight="1" thickBot="1" x14ac:dyDescent="0.3">
      <c r="B242" s="2330">
        <v>282</v>
      </c>
      <c r="C242" s="2328" t="s">
        <v>1330</v>
      </c>
      <c r="D242" s="2329" t="s">
        <v>1107</v>
      </c>
      <c r="E242" s="2329" t="s">
        <v>3095</v>
      </c>
    </row>
    <row r="243" spans="2:5" ht="15.6" customHeight="1" thickBot="1" x14ac:dyDescent="0.3">
      <c r="B243" s="2330">
        <v>283</v>
      </c>
      <c r="C243" s="2328" t="s">
        <v>1331</v>
      </c>
      <c r="D243" s="2329" t="s">
        <v>1107</v>
      </c>
      <c r="E243" s="2329" t="s">
        <v>3095</v>
      </c>
    </row>
    <row r="244" spans="2:5" ht="15.6" customHeight="1" thickBot="1" x14ac:dyDescent="0.3">
      <c r="B244" s="2330">
        <v>284</v>
      </c>
      <c r="C244" s="2328" t="s">
        <v>3102</v>
      </c>
      <c r="D244" s="2329" t="s">
        <v>1107</v>
      </c>
      <c r="E244" s="2329" t="s">
        <v>3095</v>
      </c>
    </row>
    <row r="245" spans="2:5" ht="15.6" customHeight="1" thickBot="1" x14ac:dyDescent="0.3">
      <c r="B245" s="2330">
        <v>284</v>
      </c>
      <c r="C245" s="2328" t="s">
        <v>3103</v>
      </c>
      <c r="D245" s="2329" t="s">
        <v>1107</v>
      </c>
      <c r="E245" s="2329" t="s">
        <v>3095</v>
      </c>
    </row>
    <row r="247" spans="2:5" x14ac:dyDescent="0.25">
      <c r="B247" s="4104" t="s">
        <v>3104</v>
      </c>
      <c r="C247" s="4104"/>
      <c r="D247" s="4104"/>
      <c r="E247" s="4104"/>
    </row>
  </sheetData>
  <mergeCells count="9">
    <mergeCell ref="B8:E8"/>
    <mergeCell ref="B9:E9"/>
    <mergeCell ref="B247:E247"/>
    <mergeCell ref="D1:E1"/>
    <mergeCell ref="D2:E2"/>
    <mergeCell ref="B4:E4"/>
    <mergeCell ref="B5:E5"/>
    <mergeCell ref="B6:E6"/>
    <mergeCell ref="B7:E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sheetPr>
  <dimension ref="A1:K94"/>
  <sheetViews>
    <sheetView workbookViewId="0">
      <selection activeCell="D68" sqref="D68"/>
    </sheetView>
  </sheetViews>
  <sheetFormatPr defaultRowHeight="15.75" x14ac:dyDescent="0.25"/>
  <cols>
    <col min="1" max="1" width="7" style="1211" customWidth="1"/>
    <col min="2" max="2" width="38.7109375" style="1212" customWidth="1"/>
    <col min="3" max="3" width="10.5703125" style="1212" customWidth="1"/>
    <col min="4" max="4" width="11.85546875" style="1212" customWidth="1"/>
    <col min="5" max="5" width="12.28515625" style="1212" customWidth="1"/>
    <col min="6" max="6" width="10.42578125" style="1212" customWidth="1"/>
    <col min="7" max="8" width="12" style="1212" customWidth="1"/>
    <col min="9" max="9" width="9.42578125" style="1212" customWidth="1"/>
    <col min="10" max="10" width="12.42578125" style="1212" customWidth="1"/>
    <col min="11" max="11" width="8.7109375" style="1212" customWidth="1"/>
  </cols>
  <sheetData>
    <row r="1" spans="1:11" ht="18.75" x14ac:dyDescent="0.3">
      <c r="A1" s="4109" t="s">
        <v>2278</v>
      </c>
      <c r="B1" s="4109"/>
      <c r="C1" s="4109"/>
      <c r="D1" s="4109"/>
      <c r="E1" s="4109"/>
      <c r="F1" s="4109"/>
      <c r="G1" s="4109"/>
      <c r="H1" s="4109"/>
      <c r="I1" s="4109"/>
      <c r="J1" s="4109"/>
      <c r="K1" s="4109"/>
    </row>
    <row r="2" spans="1:11" ht="16.5" thickBot="1" x14ac:dyDescent="0.3">
      <c r="D2" s="1213"/>
      <c r="E2" s="1213"/>
    </row>
    <row r="3" spans="1:11" ht="16.5" thickBot="1" x14ac:dyDescent="0.3">
      <c r="A3" s="4110" t="s">
        <v>2163</v>
      </c>
      <c r="B3" s="4113" t="s">
        <v>8</v>
      </c>
      <c r="C3" s="4113" t="s">
        <v>2164</v>
      </c>
      <c r="D3" s="4116" t="s">
        <v>2105</v>
      </c>
      <c r="E3" s="4117"/>
      <c r="F3" s="4117"/>
      <c r="G3" s="4117"/>
      <c r="H3" s="4117"/>
      <c r="I3" s="4117"/>
      <c r="J3" s="4117"/>
      <c r="K3" s="4118"/>
    </row>
    <row r="4" spans="1:11" ht="22.15" customHeight="1" thickBot="1" x14ac:dyDescent="0.3">
      <c r="A4" s="4111"/>
      <c r="B4" s="4114"/>
      <c r="C4" s="4114"/>
      <c r="D4" s="4119" t="s">
        <v>2165</v>
      </c>
      <c r="E4" s="4119"/>
      <c r="F4" s="4120" t="s">
        <v>885</v>
      </c>
      <c r="G4" s="4121"/>
      <c r="H4" s="4119" t="s">
        <v>1840</v>
      </c>
      <c r="I4" s="4119"/>
      <c r="J4" s="4120" t="s">
        <v>2138</v>
      </c>
      <c r="K4" s="4121"/>
    </row>
    <row r="5" spans="1:11" ht="32.25" thickBot="1" x14ac:dyDescent="0.3">
      <c r="A5" s="4112"/>
      <c r="B5" s="4115"/>
      <c r="C5" s="4115"/>
      <c r="D5" s="1214" t="s">
        <v>2166</v>
      </c>
      <c r="E5" s="1214" t="s">
        <v>2167</v>
      </c>
      <c r="F5" s="1214" t="s">
        <v>2166</v>
      </c>
      <c r="G5" s="1214" t="s">
        <v>2167</v>
      </c>
      <c r="H5" s="1214" t="s">
        <v>2166</v>
      </c>
      <c r="I5" s="1214" t="s">
        <v>2167</v>
      </c>
      <c r="J5" s="1214" t="s">
        <v>2166</v>
      </c>
      <c r="K5" s="1214" t="s">
        <v>2168</v>
      </c>
    </row>
    <row r="6" spans="1:11" x14ac:dyDescent="0.25">
      <c r="A6" s="1215">
        <v>1</v>
      </c>
      <c r="B6" s="1216">
        <f>A6+1</f>
        <v>2</v>
      </c>
      <c r="C6" s="1216">
        <f t="shared" ref="C6:K6" si="0">B6+1</f>
        <v>3</v>
      </c>
      <c r="D6" s="1216">
        <f t="shared" si="0"/>
        <v>4</v>
      </c>
      <c r="E6" s="1216">
        <f t="shared" si="0"/>
        <v>5</v>
      </c>
      <c r="F6" s="1216">
        <f t="shared" si="0"/>
        <v>6</v>
      </c>
      <c r="G6" s="1216">
        <f t="shared" si="0"/>
        <v>7</v>
      </c>
      <c r="H6" s="1216">
        <f t="shared" si="0"/>
        <v>8</v>
      </c>
      <c r="I6" s="1216">
        <f t="shared" si="0"/>
        <v>9</v>
      </c>
      <c r="J6" s="1216">
        <f t="shared" si="0"/>
        <v>10</v>
      </c>
      <c r="K6" s="1216">
        <f t="shared" si="0"/>
        <v>11</v>
      </c>
    </row>
    <row r="7" spans="1:11" x14ac:dyDescent="0.25">
      <c r="A7" s="1217">
        <v>1</v>
      </c>
      <c r="B7" s="1218" t="s">
        <v>2169</v>
      </c>
      <c r="C7" s="1219" t="s">
        <v>2170</v>
      </c>
      <c r="D7" s="1220" t="e">
        <f>D8+D16+D17+D21</f>
        <v>#REF!</v>
      </c>
      <c r="E7" s="1224" t="e">
        <f>G7+I7+K7</f>
        <v>#REF!</v>
      </c>
      <c r="F7" s="1220" t="e">
        <f>F8+F16+F17+F21</f>
        <v>#REF!</v>
      </c>
      <c r="G7" s="1224" t="e">
        <f>F7/$F$53*1000</f>
        <v>#REF!</v>
      </c>
      <c r="H7" s="1220" t="e">
        <f>H8+H16+H17+H21</f>
        <v>#REF!</v>
      </c>
      <c r="I7" s="1224" t="e">
        <f>H7/$H$51*1000</f>
        <v>#REF!</v>
      </c>
      <c r="J7" s="1220" t="e">
        <f>J8+J16+J17+J21</f>
        <v>#REF!</v>
      </c>
      <c r="K7" s="1224" t="e">
        <f>J7/$J$51*1000</f>
        <v>#REF!</v>
      </c>
    </row>
    <row r="8" spans="1:11" x14ac:dyDescent="0.25">
      <c r="A8" s="1217" t="s">
        <v>23</v>
      </c>
      <c r="B8" s="1218" t="s">
        <v>2171</v>
      </c>
      <c r="C8" s="1219" t="s">
        <v>40</v>
      </c>
      <c r="D8" s="1220" t="e">
        <f>D9+D12+D13+D14+D15</f>
        <v>#REF!</v>
      </c>
      <c r="E8" s="1224" t="e">
        <f t="shared" ref="E8:E50" si="1">G8+I8+K8</f>
        <v>#REF!</v>
      </c>
      <c r="F8" s="1220" t="e">
        <f>F9+F12+F13+F14+F15</f>
        <v>#REF!</v>
      </c>
      <c r="G8" s="1224" t="e">
        <f>F8/$F$53*1000</f>
        <v>#REF!</v>
      </c>
      <c r="H8" s="1220" t="e">
        <f>H9+H12+H13+H14+H15</f>
        <v>#REF!</v>
      </c>
      <c r="I8" s="1224" t="e">
        <f>H8/$H$51*1000</f>
        <v>#REF!</v>
      </c>
      <c r="J8" s="1220" t="e">
        <f>J9+J12+J13+J14+J15</f>
        <v>#REF!</v>
      </c>
      <c r="K8" s="1224" t="e">
        <f t="shared" ref="K8:K50" si="2">J8/$J$51*1000</f>
        <v>#REF!</v>
      </c>
    </row>
    <row r="9" spans="1:11" x14ac:dyDescent="0.25">
      <c r="A9" s="1221" t="s">
        <v>41</v>
      </c>
      <c r="B9" s="1222" t="s">
        <v>2203</v>
      </c>
      <c r="C9" s="1223" t="s">
        <v>40</v>
      </c>
      <c r="D9" s="1224" t="e">
        <f>F9+H9+J9</f>
        <v>#REF!</v>
      </c>
      <c r="E9" s="1224" t="e">
        <f t="shared" si="1"/>
        <v>#REF!</v>
      </c>
      <c r="F9" s="1224" t="e">
        <f>#REF!+#REF!+#REF!</f>
        <v>#REF!</v>
      </c>
      <c r="G9" s="1224" t="e">
        <f>F9/$F$53*1000</f>
        <v>#REF!</v>
      </c>
      <c r="H9" s="1224"/>
      <c r="I9" s="1224" t="e">
        <f>H9/$H$51*1000</f>
        <v>#REF!</v>
      </c>
      <c r="J9" s="1224"/>
      <c r="K9" s="1224" t="e">
        <f t="shared" si="2"/>
        <v>#REF!</v>
      </c>
    </row>
    <row r="10" spans="1:11" ht="16.149999999999999" customHeight="1" x14ac:dyDescent="0.25">
      <c r="A10" s="1221" t="s">
        <v>455</v>
      </c>
      <c r="B10" s="1256" t="s">
        <v>2204</v>
      </c>
      <c r="C10" s="1223" t="s">
        <v>40</v>
      </c>
      <c r="D10" s="1224" t="e">
        <f t="shared" ref="D10:D11" si="3">F10+H10+J10</f>
        <v>#REF!</v>
      </c>
      <c r="E10" s="1224" t="e">
        <f t="shared" si="1"/>
        <v>#REF!</v>
      </c>
      <c r="F10" s="1224" t="e">
        <f>#REF!+#REF!</f>
        <v>#REF!</v>
      </c>
      <c r="G10" s="1224" t="e">
        <f t="shared" ref="G10:G11" si="4">F10/$F$53*1000</f>
        <v>#REF!</v>
      </c>
      <c r="H10" s="1224"/>
      <c r="I10" s="1224" t="e">
        <f t="shared" ref="I10:I11" si="5">H10/$H$51*1000</f>
        <v>#REF!</v>
      </c>
      <c r="J10" s="1224"/>
      <c r="K10" s="1224" t="e">
        <f t="shared" si="2"/>
        <v>#REF!</v>
      </c>
    </row>
    <row r="11" spans="1:11" ht="18.600000000000001" customHeight="1" x14ac:dyDescent="0.25">
      <c r="A11" s="1221" t="s">
        <v>456</v>
      </c>
      <c r="B11" s="1256" t="s">
        <v>1951</v>
      </c>
      <c r="C11" s="1223" t="s">
        <v>40</v>
      </c>
      <c r="D11" s="1224" t="e">
        <f t="shared" si="3"/>
        <v>#REF!</v>
      </c>
      <c r="E11" s="1224" t="e">
        <f t="shared" si="1"/>
        <v>#REF!</v>
      </c>
      <c r="F11" s="1224" t="e">
        <f>#REF!</f>
        <v>#REF!</v>
      </c>
      <c r="G11" s="1224" t="e">
        <f t="shared" si="4"/>
        <v>#REF!</v>
      </c>
      <c r="H11" s="1224"/>
      <c r="I11" s="1224" t="e">
        <f t="shared" si="5"/>
        <v>#REF!</v>
      </c>
      <c r="J11" s="1224"/>
      <c r="K11" s="1224" t="e">
        <f t="shared" si="2"/>
        <v>#REF!</v>
      </c>
    </row>
    <row r="12" spans="1:11" x14ac:dyDescent="0.25">
      <c r="A12" s="1221" t="s">
        <v>42</v>
      </c>
      <c r="B12" s="1222" t="s">
        <v>43</v>
      </c>
      <c r="C12" s="1223" t="s">
        <v>40</v>
      </c>
      <c r="D12" s="1224" t="e">
        <f>F12+H12+J12</f>
        <v>#REF!</v>
      </c>
      <c r="E12" s="1224" t="e">
        <f t="shared" si="1"/>
        <v>#REF!</v>
      </c>
      <c r="F12" s="1224">
        <f>Виробництво_Транспортування_1ст!F15</f>
        <v>195.55061826148037</v>
      </c>
      <c r="G12" s="1224" t="e">
        <f t="shared" ref="G12:G37" si="6">F12/$F$53*1000</f>
        <v>#REF!</v>
      </c>
      <c r="H12" s="1224" t="e">
        <f>#REF!</f>
        <v>#REF!</v>
      </c>
      <c r="I12" s="1224" t="e">
        <f t="shared" ref="I12:I37" si="7">H12/$H$51*1000</f>
        <v>#REF!</v>
      </c>
      <c r="J12" s="1224"/>
      <c r="K12" s="1224" t="e">
        <f t="shared" si="2"/>
        <v>#REF!</v>
      </c>
    </row>
    <row r="13" spans="1:11" ht="31.5" x14ac:dyDescent="0.25">
      <c r="A13" s="1221" t="s">
        <v>44</v>
      </c>
      <c r="B13" s="1222" t="s">
        <v>2172</v>
      </c>
      <c r="C13" s="1223" t="s">
        <v>40</v>
      </c>
      <c r="D13" s="1224" t="e">
        <f>F13+H13+J13</f>
        <v>#REF!</v>
      </c>
      <c r="E13" s="1224" t="e">
        <f t="shared" si="1"/>
        <v>#REF!</v>
      </c>
      <c r="F13" s="1224" t="e">
        <f>#REF!</f>
        <v>#REF!</v>
      </c>
      <c r="G13" s="1224" t="e">
        <f t="shared" si="6"/>
        <v>#REF!</v>
      </c>
      <c r="H13" s="1224" t="e">
        <f>#REF!</f>
        <v>#REF!</v>
      </c>
      <c r="I13" s="1224" t="e">
        <f t="shared" si="7"/>
        <v>#REF!</v>
      </c>
      <c r="J13" s="1224">
        <v>0</v>
      </c>
      <c r="K13" s="1224" t="e">
        <f t="shared" si="2"/>
        <v>#REF!</v>
      </c>
    </row>
    <row r="14" spans="1:11" ht="31.5" x14ac:dyDescent="0.25">
      <c r="A14" s="1221" t="s">
        <v>45</v>
      </c>
      <c r="B14" s="1222" t="s">
        <v>2173</v>
      </c>
      <c r="C14" s="1223" t="s">
        <v>40</v>
      </c>
      <c r="D14" s="1224" t="e">
        <f>F14+H14+J14</f>
        <v>#REF!</v>
      </c>
      <c r="E14" s="1224" t="e">
        <f t="shared" si="1"/>
        <v>#REF!</v>
      </c>
      <c r="F14" s="1224" t="e">
        <f>#REF!-#REF!-#REF!-#REF!</f>
        <v>#REF!</v>
      </c>
      <c r="G14" s="1224" t="e">
        <f t="shared" si="6"/>
        <v>#REF!</v>
      </c>
      <c r="H14" s="1224" t="e">
        <f>#REF!-#REF!-#REF!-#REF!</f>
        <v>#REF!</v>
      </c>
      <c r="I14" s="1224" t="e">
        <f t="shared" si="7"/>
        <v>#REF!</v>
      </c>
      <c r="J14" s="1224" t="e">
        <f>#REF!</f>
        <v>#REF!</v>
      </c>
      <c r="K14" s="1224" t="e">
        <f t="shared" si="2"/>
        <v>#REF!</v>
      </c>
    </row>
    <row r="15" spans="1:11" ht="31.5" x14ac:dyDescent="0.25">
      <c r="A15" s="1221" t="s">
        <v>46</v>
      </c>
      <c r="B15" s="1258" t="s">
        <v>1914</v>
      </c>
      <c r="C15" s="1223" t="s">
        <v>40</v>
      </c>
      <c r="D15" s="1224" t="e">
        <f t="shared" ref="D15:D56" si="8">F15+H15+J15</f>
        <v>#REF!</v>
      </c>
      <c r="E15" s="1224" t="e">
        <f t="shared" si="1"/>
        <v>#REF!</v>
      </c>
      <c r="F15" s="1224"/>
      <c r="G15" s="1224" t="e">
        <f t="shared" si="6"/>
        <v>#REF!</v>
      </c>
      <c r="H15" s="1224" t="e">
        <f>#REF!</f>
        <v>#REF!</v>
      </c>
      <c r="I15" s="1224" t="e">
        <f t="shared" si="7"/>
        <v>#REF!</v>
      </c>
      <c r="J15" s="1224"/>
      <c r="K15" s="1224" t="e">
        <f t="shared" si="2"/>
        <v>#REF!</v>
      </c>
    </row>
    <row r="16" spans="1:11" x14ac:dyDescent="0.25">
      <c r="A16" s="1217" t="s">
        <v>24</v>
      </c>
      <c r="B16" s="1218" t="s">
        <v>47</v>
      </c>
      <c r="C16" s="1219" t="s">
        <v>40</v>
      </c>
      <c r="D16" s="1220" t="e">
        <f>F16+H16+J16</f>
        <v>#REF!</v>
      </c>
      <c r="E16" s="1224" t="e">
        <f t="shared" si="1"/>
        <v>#REF!</v>
      </c>
      <c r="F16" s="1220" t="e">
        <f>#REF!</f>
        <v>#REF!</v>
      </c>
      <c r="G16" s="1224" t="e">
        <f t="shared" si="6"/>
        <v>#REF!</v>
      </c>
      <c r="H16" s="1220" t="e">
        <f>#REF!</f>
        <v>#REF!</v>
      </c>
      <c r="I16" s="1224" t="e">
        <f t="shared" si="7"/>
        <v>#REF!</v>
      </c>
      <c r="J16" s="1220" t="e">
        <f>#REF!</f>
        <v>#REF!</v>
      </c>
      <c r="K16" s="1224" t="e">
        <f t="shared" si="2"/>
        <v>#REF!</v>
      </c>
    </row>
    <row r="17" spans="1:11" x14ac:dyDescent="0.25">
      <c r="A17" s="1217" t="s">
        <v>48</v>
      </c>
      <c r="B17" s="1218" t="s">
        <v>2174</v>
      </c>
      <c r="C17" s="1219" t="s">
        <v>40</v>
      </c>
      <c r="D17" s="1220" t="e">
        <f t="shared" si="8"/>
        <v>#REF!</v>
      </c>
      <c r="E17" s="1224" t="e">
        <f t="shared" si="1"/>
        <v>#REF!</v>
      </c>
      <c r="F17" s="1220" t="e">
        <f>F18+F19+F20</f>
        <v>#REF!</v>
      </c>
      <c r="G17" s="1224" t="e">
        <f t="shared" si="6"/>
        <v>#REF!</v>
      </c>
      <c r="H17" s="1220" t="e">
        <f>H18+H19+H20</f>
        <v>#REF!</v>
      </c>
      <c r="I17" s="1224" t="e">
        <f t="shared" si="7"/>
        <v>#REF!</v>
      </c>
      <c r="J17" s="1220" t="e">
        <f>J18+J19+J20</f>
        <v>#REF!</v>
      </c>
      <c r="K17" s="1224" t="e">
        <f t="shared" si="2"/>
        <v>#REF!</v>
      </c>
    </row>
    <row r="18" spans="1:11" x14ac:dyDescent="0.25">
      <c r="A18" s="1221" t="s">
        <v>49</v>
      </c>
      <c r="B18" s="1222" t="s">
        <v>2175</v>
      </c>
      <c r="C18" s="1223" t="s">
        <v>40</v>
      </c>
      <c r="D18" s="1224" t="e">
        <f t="shared" si="8"/>
        <v>#REF!</v>
      </c>
      <c r="E18" s="1224" t="e">
        <f t="shared" si="1"/>
        <v>#REF!</v>
      </c>
      <c r="F18" s="1224" t="e">
        <f>#REF!</f>
        <v>#REF!</v>
      </c>
      <c r="G18" s="1224" t="e">
        <f t="shared" si="6"/>
        <v>#REF!</v>
      </c>
      <c r="H18" s="1224" t="e">
        <f>#REF!</f>
        <v>#REF!</v>
      </c>
      <c r="I18" s="1224" t="e">
        <f t="shared" si="7"/>
        <v>#REF!</v>
      </c>
      <c r="J18" s="1224" t="e">
        <f>#REF!</f>
        <v>#REF!</v>
      </c>
      <c r="K18" s="1224" t="e">
        <f t="shared" si="2"/>
        <v>#REF!</v>
      </c>
    </row>
    <row r="19" spans="1:11" x14ac:dyDescent="0.25">
      <c r="A19" s="1221" t="s">
        <v>50</v>
      </c>
      <c r="B19" s="1222" t="s">
        <v>2176</v>
      </c>
      <c r="C19" s="1223" t="s">
        <v>40</v>
      </c>
      <c r="D19" s="1224" t="e">
        <f t="shared" si="8"/>
        <v>#REF!</v>
      </c>
      <c r="E19" s="1224" t="e">
        <f t="shared" si="1"/>
        <v>#REF!</v>
      </c>
      <c r="F19" s="1224" t="e">
        <f>#REF!</f>
        <v>#REF!</v>
      </c>
      <c r="G19" s="1224" t="e">
        <f t="shared" si="6"/>
        <v>#REF!</v>
      </c>
      <c r="H19" s="1224" t="e">
        <f>#REF!</f>
        <v>#REF!</v>
      </c>
      <c r="I19" s="1224" t="e">
        <f t="shared" si="7"/>
        <v>#REF!</v>
      </c>
      <c r="J19" s="1224" t="e">
        <f>#REF!</f>
        <v>#REF!</v>
      </c>
      <c r="K19" s="1224" t="e">
        <f t="shared" si="2"/>
        <v>#REF!</v>
      </c>
    </row>
    <row r="20" spans="1:11" x14ac:dyDescent="0.25">
      <c r="A20" s="1221" t="s">
        <v>51</v>
      </c>
      <c r="B20" s="1222" t="s">
        <v>82</v>
      </c>
      <c r="C20" s="1223" t="s">
        <v>40</v>
      </c>
      <c r="D20" s="1224" t="e">
        <f t="shared" si="8"/>
        <v>#REF!</v>
      </c>
      <c r="E20" s="1224" t="e">
        <f t="shared" si="1"/>
        <v>#REF!</v>
      </c>
      <c r="F20" s="1224" t="e">
        <f>#REF!-#REF!-#REF!</f>
        <v>#REF!</v>
      </c>
      <c r="G20" s="1224" t="e">
        <f t="shared" si="6"/>
        <v>#REF!</v>
      </c>
      <c r="H20" s="1224" t="e">
        <f>#REF!-#REF!-#REF!</f>
        <v>#REF!</v>
      </c>
      <c r="I20" s="1224" t="e">
        <f t="shared" si="7"/>
        <v>#REF!</v>
      </c>
      <c r="J20" s="1224" t="e">
        <f>#REF!-#REF!-#REF!</f>
        <v>#REF!</v>
      </c>
      <c r="K20" s="1224" t="e">
        <f t="shared" si="2"/>
        <v>#REF!</v>
      </c>
    </row>
    <row r="21" spans="1:11" ht="31.5" x14ac:dyDescent="0.25">
      <c r="A21" s="1217" t="s">
        <v>53</v>
      </c>
      <c r="B21" s="1218" t="s">
        <v>2177</v>
      </c>
      <c r="C21" s="1219" t="s">
        <v>40</v>
      </c>
      <c r="D21" s="1220" t="e">
        <f t="shared" si="8"/>
        <v>#REF!</v>
      </c>
      <c r="E21" s="1224" t="e">
        <f t="shared" si="1"/>
        <v>#REF!</v>
      </c>
      <c r="F21" s="1220" t="e">
        <f>SUM(F22:F24)</f>
        <v>#REF!</v>
      </c>
      <c r="G21" s="1224" t="e">
        <f t="shared" si="6"/>
        <v>#REF!</v>
      </c>
      <c r="H21" s="1220" t="e">
        <f>H22+H23+H24</f>
        <v>#REF!</v>
      </c>
      <c r="I21" s="1224" t="e">
        <f t="shared" si="7"/>
        <v>#REF!</v>
      </c>
      <c r="J21" s="1220" t="e">
        <f>SUM(J22:J24)</f>
        <v>#REF!</v>
      </c>
      <c r="K21" s="1224" t="e">
        <f t="shared" si="2"/>
        <v>#REF!</v>
      </c>
    </row>
    <row r="22" spans="1:11" x14ac:dyDescent="0.25">
      <c r="A22" s="1221" t="s">
        <v>54</v>
      </c>
      <c r="B22" s="1222" t="s">
        <v>55</v>
      </c>
      <c r="C22" s="1223" t="s">
        <v>40</v>
      </c>
      <c r="D22" s="1224" t="e">
        <f t="shared" si="8"/>
        <v>#REF!</v>
      </c>
      <c r="E22" s="1224" t="e">
        <f t="shared" si="1"/>
        <v>#REF!</v>
      </c>
      <c r="F22" s="1224" t="e">
        <f>#REF!</f>
        <v>#REF!</v>
      </c>
      <c r="G22" s="1224" t="e">
        <f t="shared" si="6"/>
        <v>#REF!</v>
      </c>
      <c r="H22" s="1224" t="e">
        <f>#REF!</f>
        <v>#REF!</v>
      </c>
      <c r="I22" s="1224" t="e">
        <f t="shared" si="7"/>
        <v>#REF!</v>
      </c>
      <c r="J22" s="1224" t="e">
        <f>#REF!</f>
        <v>#REF!</v>
      </c>
      <c r="K22" s="1224" t="e">
        <f t="shared" si="2"/>
        <v>#REF!</v>
      </c>
    </row>
    <row r="23" spans="1:11" x14ac:dyDescent="0.25">
      <c r="A23" s="1221" t="s">
        <v>56</v>
      </c>
      <c r="B23" s="1222" t="s">
        <v>2175</v>
      </c>
      <c r="C23" s="1223" t="s">
        <v>40</v>
      </c>
      <c r="D23" s="1224" t="e">
        <f t="shared" si="8"/>
        <v>#REF!</v>
      </c>
      <c r="E23" s="1224" t="e">
        <f t="shared" si="1"/>
        <v>#REF!</v>
      </c>
      <c r="F23" s="1224" t="e">
        <f>#REF!</f>
        <v>#REF!</v>
      </c>
      <c r="G23" s="1224" t="e">
        <f t="shared" si="6"/>
        <v>#REF!</v>
      </c>
      <c r="H23" s="1224" t="e">
        <f>#REF!</f>
        <v>#REF!</v>
      </c>
      <c r="I23" s="1224" t="e">
        <f t="shared" si="7"/>
        <v>#REF!</v>
      </c>
      <c r="J23" s="1224" t="e">
        <f>#REF!</f>
        <v>#REF!</v>
      </c>
      <c r="K23" s="1224" t="e">
        <f t="shared" si="2"/>
        <v>#REF!</v>
      </c>
    </row>
    <row r="24" spans="1:11" x14ac:dyDescent="0.25">
      <c r="A24" s="1221" t="s">
        <v>57</v>
      </c>
      <c r="B24" s="1222" t="s">
        <v>58</v>
      </c>
      <c r="C24" s="1223" t="s">
        <v>40</v>
      </c>
      <c r="D24" s="1224" t="e">
        <f t="shared" si="8"/>
        <v>#REF!</v>
      </c>
      <c r="E24" s="1224" t="e">
        <f t="shared" si="1"/>
        <v>#REF!</v>
      </c>
      <c r="F24" s="1224" t="e">
        <f>#REF!-#REF!-#REF!</f>
        <v>#REF!</v>
      </c>
      <c r="G24" s="1224" t="e">
        <f t="shared" si="6"/>
        <v>#REF!</v>
      </c>
      <c r="H24" s="1224" t="e">
        <f>#REF!-#REF!-#REF!</f>
        <v>#REF!</v>
      </c>
      <c r="I24" s="1224" t="e">
        <f t="shared" si="7"/>
        <v>#REF!</v>
      </c>
      <c r="J24" s="1224" t="e">
        <f>#REF!-#REF!-#REF!</f>
        <v>#REF!</v>
      </c>
      <c r="K24" s="1224" t="e">
        <f t="shared" si="2"/>
        <v>#REF!</v>
      </c>
    </row>
    <row r="25" spans="1:11" x14ac:dyDescent="0.25">
      <c r="A25" s="1217">
        <v>2</v>
      </c>
      <c r="B25" s="1218" t="s">
        <v>2178</v>
      </c>
      <c r="C25" s="1219" t="s">
        <v>40</v>
      </c>
      <c r="D25" s="1220" t="e">
        <f t="shared" si="8"/>
        <v>#REF!</v>
      </c>
      <c r="E25" s="1224" t="e">
        <f t="shared" si="1"/>
        <v>#REF!</v>
      </c>
      <c r="F25" s="1220" t="e">
        <f>F26+F27+F28</f>
        <v>#REF!</v>
      </c>
      <c r="G25" s="1224" t="e">
        <f t="shared" si="6"/>
        <v>#REF!</v>
      </c>
      <c r="H25" s="1220" t="e">
        <f>H26+H27+H28</f>
        <v>#REF!</v>
      </c>
      <c r="I25" s="1224" t="e">
        <f t="shared" si="7"/>
        <v>#REF!</v>
      </c>
      <c r="J25" s="1220" t="e">
        <f>SUM(J26:J28)</f>
        <v>#REF!</v>
      </c>
      <c r="K25" s="1224" t="e">
        <f t="shared" si="2"/>
        <v>#REF!</v>
      </c>
    </row>
    <row r="26" spans="1:11" x14ac:dyDescent="0.25">
      <c r="A26" s="1221" t="s">
        <v>25</v>
      </c>
      <c r="B26" s="1222" t="s">
        <v>55</v>
      </c>
      <c r="C26" s="1223" t="s">
        <v>40</v>
      </c>
      <c r="D26" s="1224">
        <v>2164.88</v>
      </c>
      <c r="E26" s="1224" t="e">
        <f t="shared" si="1"/>
        <v>#REF!</v>
      </c>
      <c r="F26" s="1224" t="e">
        <f>#REF!</f>
        <v>#REF!</v>
      </c>
      <c r="G26" s="1224" t="e">
        <f t="shared" si="6"/>
        <v>#REF!</v>
      </c>
      <c r="H26" s="1224" t="e">
        <f>#REF!</f>
        <v>#REF!</v>
      </c>
      <c r="I26" s="1224" t="e">
        <f t="shared" si="7"/>
        <v>#REF!</v>
      </c>
      <c r="J26" s="1224" t="e">
        <f>#REF!</f>
        <v>#REF!</v>
      </c>
      <c r="K26" s="1224" t="e">
        <f t="shared" si="2"/>
        <v>#REF!</v>
      </c>
    </row>
    <row r="27" spans="1:11" x14ac:dyDescent="0.25">
      <c r="A27" s="1221" t="s">
        <v>26</v>
      </c>
      <c r="B27" s="1222" t="s">
        <v>2175</v>
      </c>
      <c r="C27" s="1223" t="s">
        <v>40</v>
      </c>
      <c r="D27" s="1224">
        <v>476.22</v>
      </c>
      <c r="E27" s="1224" t="e">
        <f t="shared" si="1"/>
        <v>#REF!</v>
      </c>
      <c r="F27" s="1224" t="e">
        <f>#REF!</f>
        <v>#REF!</v>
      </c>
      <c r="G27" s="1224" t="e">
        <f t="shared" si="6"/>
        <v>#REF!</v>
      </c>
      <c r="H27" s="1224" t="e">
        <f>#REF!</f>
        <v>#REF!</v>
      </c>
      <c r="I27" s="1224" t="e">
        <f t="shared" si="7"/>
        <v>#REF!</v>
      </c>
      <c r="J27" s="1224" t="e">
        <f>#REF!</f>
        <v>#REF!</v>
      </c>
      <c r="K27" s="1224" t="e">
        <f t="shared" si="2"/>
        <v>#REF!</v>
      </c>
    </row>
    <row r="28" spans="1:11" x14ac:dyDescent="0.25">
      <c r="A28" s="1221" t="s">
        <v>59</v>
      </c>
      <c r="B28" s="1222" t="s">
        <v>58</v>
      </c>
      <c r="C28" s="1223" t="s">
        <v>40</v>
      </c>
      <c r="D28" s="1224" t="e">
        <f t="shared" si="8"/>
        <v>#REF!</v>
      </c>
      <c r="E28" s="1224" t="e">
        <f t="shared" si="1"/>
        <v>#REF!</v>
      </c>
      <c r="F28" s="1224" t="e">
        <f>#REF!-#REF!</f>
        <v>#REF!</v>
      </c>
      <c r="G28" s="1224" t="e">
        <f t="shared" si="6"/>
        <v>#REF!</v>
      </c>
      <c r="H28" s="1224" t="e">
        <f>#REF!-#REF!</f>
        <v>#REF!</v>
      </c>
      <c r="I28" s="1224" t="e">
        <f t="shared" si="7"/>
        <v>#REF!</v>
      </c>
      <c r="J28" s="1224" t="e">
        <f>#REF!-#REF!</f>
        <v>#REF!</v>
      </c>
      <c r="K28" s="1224" t="e">
        <f t="shared" si="2"/>
        <v>#REF!</v>
      </c>
    </row>
    <row r="29" spans="1:11" x14ac:dyDescent="0.25">
      <c r="A29" s="1217">
        <v>3</v>
      </c>
      <c r="B29" s="1218" t="s">
        <v>2179</v>
      </c>
      <c r="C29" s="1219" t="s">
        <v>40</v>
      </c>
      <c r="D29" s="1220">
        <f t="shared" si="8"/>
        <v>0</v>
      </c>
      <c r="E29" s="1224" t="e">
        <f t="shared" si="1"/>
        <v>#REF!</v>
      </c>
      <c r="F29" s="1220">
        <v>0</v>
      </c>
      <c r="G29" s="1224" t="e">
        <f t="shared" si="6"/>
        <v>#REF!</v>
      </c>
      <c r="H29" s="1220">
        <v>0</v>
      </c>
      <c r="I29" s="1224" t="e">
        <f t="shared" si="7"/>
        <v>#REF!</v>
      </c>
      <c r="J29" s="1220">
        <v>0</v>
      </c>
      <c r="K29" s="1224" t="e">
        <f t="shared" si="2"/>
        <v>#REF!</v>
      </c>
    </row>
    <row r="30" spans="1:11" x14ac:dyDescent="0.25">
      <c r="A30" s="1221" t="s">
        <v>60</v>
      </c>
      <c r="B30" s="1222" t="s">
        <v>55</v>
      </c>
      <c r="C30" s="1223" t="s">
        <v>40</v>
      </c>
      <c r="D30" s="1224">
        <f t="shared" si="8"/>
        <v>0</v>
      </c>
      <c r="E30" s="1224" t="e">
        <f t="shared" si="1"/>
        <v>#REF!</v>
      </c>
      <c r="F30" s="1224"/>
      <c r="G30" s="1224" t="e">
        <f t="shared" si="6"/>
        <v>#REF!</v>
      </c>
      <c r="H30" s="1224"/>
      <c r="I30" s="1224" t="e">
        <f t="shared" si="7"/>
        <v>#REF!</v>
      </c>
      <c r="J30" s="1224"/>
      <c r="K30" s="1224" t="e">
        <f t="shared" si="2"/>
        <v>#REF!</v>
      </c>
    </row>
    <row r="31" spans="1:11" x14ac:dyDescent="0.25">
      <c r="A31" s="1221" t="s">
        <v>61</v>
      </c>
      <c r="B31" s="1222" t="s">
        <v>2175</v>
      </c>
      <c r="C31" s="1223" t="s">
        <v>40</v>
      </c>
      <c r="D31" s="1224">
        <f t="shared" si="8"/>
        <v>0</v>
      </c>
      <c r="E31" s="1224" t="e">
        <f t="shared" si="1"/>
        <v>#REF!</v>
      </c>
      <c r="F31" s="1224"/>
      <c r="G31" s="1224" t="e">
        <f t="shared" si="6"/>
        <v>#REF!</v>
      </c>
      <c r="H31" s="1224"/>
      <c r="I31" s="1224" t="e">
        <f t="shared" si="7"/>
        <v>#REF!</v>
      </c>
      <c r="J31" s="1224"/>
      <c r="K31" s="1224" t="e">
        <f t="shared" si="2"/>
        <v>#REF!</v>
      </c>
    </row>
    <row r="32" spans="1:11" x14ac:dyDescent="0.25">
      <c r="A32" s="1221" t="s">
        <v>62</v>
      </c>
      <c r="B32" s="1222" t="s">
        <v>58</v>
      </c>
      <c r="C32" s="1223" t="s">
        <v>40</v>
      </c>
      <c r="D32" s="1224">
        <f t="shared" si="8"/>
        <v>0</v>
      </c>
      <c r="E32" s="1224" t="e">
        <f t="shared" si="1"/>
        <v>#REF!</v>
      </c>
      <c r="F32" s="1224"/>
      <c r="G32" s="1224" t="e">
        <f t="shared" si="6"/>
        <v>#REF!</v>
      </c>
      <c r="H32" s="1224"/>
      <c r="I32" s="1224" t="e">
        <f t="shared" si="7"/>
        <v>#REF!</v>
      </c>
      <c r="J32" s="1224"/>
      <c r="K32" s="1224" t="e">
        <f t="shared" si="2"/>
        <v>#REF!</v>
      </c>
    </row>
    <row r="33" spans="1:11" x14ac:dyDescent="0.25">
      <c r="A33" s="1221">
        <v>4</v>
      </c>
      <c r="B33" s="1222" t="s">
        <v>2180</v>
      </c>
      <c r="C33" s="1223" t="s">
        <v>40</v>
      </c>
      <c r="D33" s="1224">
        <f t="shared" si="8"/>
        <v>0</v>
      </c>
      <c r="E33" s="1224" t="e">
        <f t="shared" si="1"/>
        <v>#REF!</v>
      </c>
      <c r="F33" s="1224">
        <v>0</v>
      </c>
      <c r="G33" s="1224" t="e">
        <f t="shared" si="6"/>
        <v>#REF!</v>
      </c>
      <c r="H33" s="1224">
        <v>0</v>
      </c>
      <c r="I33" s="1224" t="e">
        <f t="shared" si="7"/>
        <v>#REF!</v>
      </c>
      <c r="J33" s="1224">
        <v>0</v>
      </c>
      <c r="K33" s="1224" t="e">
        <f t="shared" si="2"/>
        <v>#REF!</v>
      </c>
    </row>
    <row r="34" spans="1:11" x14ac:dyDescent="0.25">
      <c r="A34" s="1221">
        <v>5</v>
      </c>
      <c r="B34" s="1222" t="s">
        <v>5</v>
      </c>
      <c r="C34" s="1223" t="s">
        <v>40</v>
      </c>
      <c r="D34" s="1224" t="e">
        <f t="shared" si="8"/>
        <v>#REF!</v>
      </c>
      <c r="E34" s="1224" t="e">
        <f t="shared" si="1"/>
        <v>#REF!</v>
      </c>
      <c r="F34" s="1224" t="e">
        <f>#REF!</f>
        <v>#REF!</v>
      </c>
      <c r="G34" s="1224" t="e">
        <f t="shared" si="6"/>
        <v>#REF!</v>
      </c>
      <c r="H34" s="1224"/>
      <c r="I34" s="1224" t="e">
        <f t="shared" si="7"/>
        <v>#REF!</v>
      </c>
      <c r="J34" s="1224"/>
      <c r="K34" s="1224" t="e">
        <f t="shared" si="2"/>
        <v>#REF!</v>
      </c>
    </row>
    <row r="35" spans="1:11" x14ac:dyDescent="0.25">
      <c r="A35" s="1217">
        <v>6</v>
      </c>
      <c r="B35" s="1218" t="s">
        <v>63</v>
      </c>
      <c r="C35" s="1219" t="s">
        <v>40</v>
      </c>
      <c r="D35" s="1220" t="e">
        <f>F35+H35+J35</f>
        <v>#REF!</v>
      </c>
      <c r="E35" s="1224" t="e">
        <f t="shared" si="1"/>
        <v>#REF!</v>
      </c>
      <c r="F35" s="1220" t="e">
        <f>F7+F25+F34</f>
        <v>#REF!</v>
      </c>
      <c r="G35" s="1224" t="e">
        <f t="shared" si="6"/>
        <v>#REF!</v>
      </c>
      <c r="H35" s="1220" t="e">
        <f>H7+H25+H29+H33+H34</f>
        <v>#REF!</v>
      </c>
      <c r="I35" s="1224" t="e">
        <f t="shared" si="7"/>
        <v>#REF!</v>
      </c>
      <c r="J35" s="1220" t="e">
        <f>J7+J25+J29+J33+J34</f>
        <v>#REF!</v>
      </c>
      <c r="K35" s="1224" t="e">
        <f t="shared" si="2"/>
        <v>#REF!</v>
      </c>
    </row>
    <row r="36" spans="1:11" x14ac:dyDescent="0.25">
      <c r="A36" s="1221" t="s">
        <v>32</v>
      </c>
      <c r="B36" s="1225" t="s">
        <v>2181</v>
      </c>
      <c r="C36" s="1223" t="s">
        <v>40</v>
      </c>
      <c r="D36" s="1224" t="e">
        <f>F36+H36+J36</f>
        <v>#REF!</v>
      </c>
      <c r="E36" s="1224" t="e">
        <f t="shared" si="1"/>
        <v>#REF!</v>
      </c>
      <c r="F36" s="1224" t="e">
        <f>F35-F37</f>
        <v>#REF!</v>
      </c>
      <c r="G36" s="1224" t="e">
        <f t="shared" si="6"/>
        <v>#REF!</v>
      </c>
      <c r="H36" s="1224" t="e">
        <f>H35-H37</f>
        <v>#REF!</v>
      </c>
      <c r="I36" s="1224" t="e">
        <f t="shared" si="7"/>
        <v>#REF!</v>
      </c>
      <c r="J36" s="1224" t="e">
        <f>J35-J37</f>
        <v>#REF!</v>
      </c>
      <c r="K36" s="1224" t="e">
        <f t="shared" si="2"/>
        <v>#REF!</v>
      </c>
    </row>
    <row r="37" spans="1:11" x14ac:dyDescent="0.25">
      <c r="A37" s="1221" t="s">
        <v>33</v>
      </c>
      <c r="B37" s="1225" t="s">
        <v>2107</v>
      </c>
      <c r="C37" s="1223" t="s">
        <v>40</v>
      </c>
      <c r="D37" s="1224" t="e">
        <f t="shared" si="8"/>
        <v>#REF!</v>
      </c>
      <c r="E37" s="1224" t="e">
        <f t="shared" si="1"/>
        <v>#REF!</v>
      </c>
      <c r="F37" s="1224" t="e">
        <f>F9+F12-#REF!</f>
        <v>#REF!</v>
      </c>
      <c r="G37" s="1224" t="e">
        <f t="shared" si="6"/>
        <v>#REF!</v>
      </c>
      <c r="H37" s="1224" t="e">
        <f>H12</f>
        <v>#REF!</v>
      </c>
      <c r="I37" s="1224" t="e">
        <f t="shared" si="7"/>
        <v>#REF!</v>
      </c>
      <c r="J37" s="1224">
        <f>J9+J12+J13</f>
        <v>0</v>
      </c>
      <c r="K37" s="1224" t="e">
        <f t="shared" si="2"/>
        <v>#REF!</v>
      </c>
    </row>
    <row r="38" spans="1:11" x14ac:dyDescent="0.25">
      <c r="A38" s="1221"/>
      <c r="B38" s="1225" t="s">
        <v>2181</v>
      </c>
      <c r="C38" s="1223" t="s">
        <v>4</v>
      </c>
      <c r="D38" s="1226" t="e">
        <f>D36/D35</f>
        <v>#REF!</v>
      </c>
      <c r="E38" s="1224"/>
      <c r="F38" s="1226" t="e">
        <f>F36/F35</f>
        <v>#REF!</v>
      </c>
      <c r="G38" s="1224"/>
      <c r="H38" s="1226" t="e">
        <f>H36/H35</f>
        <v>#REF!</v>
      </c>
      <c r="I38" s="1224"/>
      <c r="J38" s="1226" t="e">
        <f>J36/J35</f>
        <v>#REF!</v>
      </c>
      <c r="K38" s="1224"/>
    </row>
    <row r="39" spans="1:11" x14ac:dyDescent="0.25">
      <c r="A39" s="1221"/>
      <c r="B39" s="1225" t="s">
        <v>2107</v>
      </c>
      <c r="C39" s="1223" t="s">
        <v>4</v>
      </c>
      <c r="D39" s="1226" t="e">
        <f>D37/D35</f>
        <v>#REF!</v>
      </c>
      <c r="E39" s="1224"/>
      <c r="F39" s="1226" t="e">
        <f>F37/F35</f>
        <v>#REF!</v>
      </c>
      <c r="G39" s="1224"/>
      <c r="H39" s="1226" t="e">
        <f>H37/H35</f>
        <v>#REF!</v>
      </c>
      <c r="I39" s="1224"/>
      <c r="J39" s="1226" t="e">
        <f>J37/J35</f>
        <v>#REF!</v>
      </c>
      <c r="K39" s="1224"/>
    </row>
    <row r="40" spans="1:11" ht="31.5" x14ac:dyDescent="0.25">
      <c r="A40" s="1217">
        <v>7</v>
      </c>
      <c r="B40" s="1218" t="s">
        <v>2182</v>
      </c>
      <c r="C40" s="1219" t="s">
        <v>40</v>
      </c>
      <c r="D40" s="1220" t="e">
        <f>F40+H40+J40</f>
        <v>#REF!</v>
      </c>
      <c r="E40" s="1224" t="e">
        <f t="shared" si="1"/>
        <v>#REF!</v>
      </c>
      <c r="F40" s="1220" t="e">
        <f>#REF!</f>
        <v>#REF!</v>
      </c>
      <c r="G40" s="1224" t="e">
        <f t="shared" ref="G40:G50" si="9">F40/$F$53*1000</f>
        <v>#REF!</v>
      </c>
      <c r="H40" s="1220" t="e">
        <f>H45+H44+H43+H42+H41</f>
        <v>#REF!</v>
      </c>
      <c r="I40" s="1224" t="e">
        <f t="shared" ref="I40:I50" si="10">H40/$H$51*1000</f>
        <v>#REF!</v>
      </c>
      <c r="J40" s="1220" t="e">
        <f>J45+J44+J43+J42+J41</f>
        <v>#REF!</v>
      </c>
      <c r="K40" s="1224" t="e">
        <f t="shared" si="2"/>
        <v>#REF!</v>
      </c>
    </row>
    <row r="41" spans="1:11" x14ac:dyDescent="0.25">
      <c r="A41" s="1221" t="s">
        <v>64</v>
      </c>
      <c r="B41" s="1222" t="s">
        <v>65</v>
      </c>
      <c r="C41" s="1223" t="s">
        <v>40</v>
      </c>
      <c r="D41" s="1224" t="e">
        <f t="shared" si="8"/>
        <v>#REF!</v>
      </c>
      <c r="E41" s="1224" t="e">
        <f t="shared" si="1"/>
        <v>#REF!</v>
      </c>
      <c r="F41" s="1224" t="e">
        <f>(F45+F44+F43+F42)/82*18</f>
        <v>#REF!</v>
      </c>
      <c r="G41" s="1224" t="e">
        <f t="shared" si="9"/>
        <v>#REF!</v>
      </c>
      <c r="H41" s="1224" t="e">
        <f>(H45+H44+H43+H42)/82*18</f>
        <v>#REF!</v>
      </c>
      <c r="I41" s="1224" t="e">
        <f t="shared" si="10"/>
        <v>#REF!</v>
      </c>
      <c r="J41" s="1224" t="e">
        <f>(J44+J43+J42)/85*15</f>
        <v>#REF!</v>
      </c>
      <c r="K41" s="1224" t="e">
        <f t="shared" si="2"/>
        <v>#REF!</v>
      </c>
    </row>
    <row r="42" spans="1:11" x14ac:dyDescent="0.25">
      <c r="A42" s="1221" t="s">
        <v>66</v>
      </c>
      <c r="B42" s="1222" t="s">
        <v>85</v>
      </c>
      <c r="C42" s="1223" t="s">
        <v>40</v>
      </c>
      <c r="D42" s="1224" t="e">
        <f t="shared" si="8"/>
        <v>#REF!</v>
      </c>
      <c r="E42" s="1224" t="e">
        <f t="shared" si="1"/>
        <v>#REF!</v>
      </c>
      <c r="F42" s="1224" t="e">
        <f>(F45+F44+F43)/85*15</f>
        <v>#REF!</v>
      </c>
      <c r="G42" s="1224" t="e">
        <f t="shared" si="9"/>
        <v>#REF!</v>
      </c>
      <c r="H42" s="1224" t="e">
        <f>(H45+H44+H43)/85*15</f>
        <v>#REF!</v>
      </c>
      <c r="I42" s="1224" t="e">
        <f t="shared" si="10"/>
        <v>#REF!</v>
      </c>
      <c r="J42" s="1224" t="e">
        <f>(J45+J44)/85*15</f>
        <v>#REF!</v>
      </c>
      <c r="K42" s="1224" t="e">
        <f t="shared" si="2"/>
        <v>#REF!</v>
      </c>
    </row>
    <row r="43" spans="1:11" x14ac:dyDescent="0.25">
      <c r="A43" s="1221" t="s">
        <v>68</v>
      </c>
      <c r="B43" s="1222" t="s">
        <v>86</v>
      </c>
      <c r="C43" s="1223" t="s">
        <v>40</v>
      </c>
      <c r="D43" s="1224">
        <f t="shared" si="8"/>
        <v>0</v>
      </c>
      <c r="E43" s="1224" t="e">
        <f t="shared" si="1"/>
        <v>#REF!</v>
      </c>
      <c r="F43" s="1224">
        <v>0</v>
      </c>
      <c r="G43" s="1224" t="e">
        <f t="shared" si="9"/>
        <v>#REF!</v>
      </c>
      <c r="H43" s="1224">
        <v>0</v>
      </c>
      <c r="I43" s="1224" t="e">
        <f t="shared" si="10"/>
        <v>#REF!</v>
      </c>
      <c r="J43" s="1224">
        <v>0</v>
      </c>
      <c r="K43" s="1224" t="e">
        <f t="shared" si="2"/>
        <v>#REF!</v>
      </c>
    </row>
    <row r="44" spans="1:11" ht="31.5" x14ac:dyDescent="0.25">
      <c r="A44" s="1221" t="s">
        <v>70</v>
      </c>
      <c r="B44" s="1222" t="s">
        <v>71</v>
      </c>
      <c r="C44" s="1223" t="s">
        <v>40</v>
      </c>
      <c r="D44" s="1224">
        <f t="shared" si="8"/>
        <v>0</v>
      </c>
      <c r="E44" s="1224" t="e">
        <f t="shared" si="1"/>
        <v>#REF!</v>
      </c>
      <c r="F44" s="1867"/>
      <c r="G44" s="1224" t="e">
        <f t="shared" si="9"/>
        <v>#REF!</v>
      </c>
      <c r="H44" s="1867"/>
      <c r="I44" s="1224" t="e">
        <f t="shared" si="10"/>
        <v>#REF!</v>
      </c>
      <c r="J44" s="1867"/>
      <c r="K44" s="1224" t="e">
        <f t="shared" si="2"/>
        <v>#REF!</v>
      </c>
    </row>
    <row r="45" spans="1:11" ht="31.5" x14ac:dyDescent="0.25">
      <c r="A45" s="1221" t="s">
        <v>72</v>
      </c>
      <c r="B45" s="1222" t="s">
        <v>2593</v>
      </c>
      <c r="C45" s="1223" t="s">
        <v>40</v>
      </c>
      <c r="D45" s="1224" t="e">
        <f t="shared" si="8"/>
        <v>#REF!</v>
      </c>
      <c r="E45" s="1224" t="e">
        <f t="shared" si="1"/>
        <v>#REF!</v>
      </c>
      <c r="F45" s="1224" t="e">
        <f>F35*2%</f>
        <v>#REF!</v>
      </c>
      <c r="G45" s="1224" t="e">
        <f t="shared" si="9"/>
        <v>#REF!</v>
      </c>
      <c r="H45" s="1224" t="e">
        <f>H35*2%</f>
        <v>#REF!</v>
      </c>
      <c r="I45" s="1224" t="e">
        <f t="shared" si="10"/>
        <v>#REF!</v>
      </c>
      <c r="J45" s="1224" t="e">
        <f>J35*2%</f>
        <v>#REF!</v>
      </c>
      <c r="K45" s="1224" t="e">
        <f t="shared" si="2"/>
        <v>#REF!</v>
      </c>
    </row>
    <row r="46" spans="1:11" s="173" customFormat="1" x14ac:dyDescent="0.25">
      <c r="A46" s="1217"/>
      <c r="B46" s="1868" t="s">
        <v>2181</v>
      </c>
      <c r="C46" s="1219" t="s">
        <v>40</v>
      </c>
      <c r="D46" s="1220" t="e">
        <f t="shared" si="8"/>
        <v>#REF!</v>
      </c>
      <c r="E46" s="1220" t="e">
        <f t="shared" si="1"/>
        <v>#REF!</v>
      </c>
      <c r="F46" s="1220" t="e">
        <f>F40</f>
        <v>#REF!</v>
      </c>
      <c r="G46" s="1220" t="e">
        <f t="shared" si="9"/>
        <v>#REF!</v>
      </c>
      <c r="H46" s="1220" t="e">
        <f>H40</f>
        <v>#REF!</v>
      </c>
      <c r="I46" s="1220" t="e">
        <f t="shared" si="10"/>
        <v>#REF!</v>
      </c>
      <c r="J46" s="1220" t="e">
        <f>J40</f>
        <v>#REF!</v>
      </c>
      <c r="K46" s="1220" t="e">
        <f t="shared" si="2"/>
        <v>#REF!</v>
      </c>
    </row>
    <row r="47" spans="1:11" s="173" customFormat="1" x14ac:dyDescent="0.25">
      <c r="A47" s="1217"/>
      <c r="B47" s="1868" t="s">
        <v>2107</v>
      </c>
      <c r="C47" s="1219" t="s">
        <v>40</v>
      </c>
      <c r="D47" s="1220" t="e">
        <f>F47+H47+J47</f>
        <v>#REF!</v>
      </c>
      <c r="E47" s="1220"/>
      <c r="F47" s="1220" t="e">
        <f>F37*0%</f>
        <v>#REF!</v>
      </c>
      <c r="G47" s="1220"/>
      <c r="H47" s="1220" t="e">
        <f>H37*0%</f>
        <v>#REF!</v>
      </c>
      <c r="I47" s="1220"/>
      <c r="J47" s="1220">
        <f>J37*0%</f>
        <v>0</v>
      </c>
      <c r="K47" s="1220"/>
    </row>
    <row r="48" spans="1:11" ht="31.5" x14ac:dyDescent="0.25">
      <c r="A48" s="1217">
        <v>8</v>
      </c>
      <c r="B48" s="1218" t="s">
        <v>2183</v>
      </c>
      <c r="C48" s="1219" t="s">
        <v>40</v>
      </c>
      <c r="D48" s="1220" t="e">
        <f>F48+H48+J48</f>
        <v>#REF!</v>
      </c>
      <c r="E48" s="1224" t="e">
        <f t="shared" si="1"/>
        <v>#REF!</v>
      </c>
      <c r="F48" s="1220" t="e">
        <f>F35+F40</f>
        <v>#REF!</v>
      </c>
      <c r="G48" s="1257" t="e">
        <f t="shared" si="9"/>
        <v>#REF!</v>
      </c>
      <c r="H48" s="1220" t="e">
        <f>H35+H40</f>
        <v>#REF!</v>
      </c>
      <c r="I48" s="1257" t="e">
        <f t="shared" si="10"/>
        <v>#REF!</v>
      </c>
      <c r="J48" s="1220" t="e">
        <f>J35+J40</f>
        <v>#REF!</v>
      </c>
      <c r="K48" s="1257" t="e">
        <f t="shared" si="2"/>
        <v>#REF!</v>
      </c>
    </row>
    <row r="49" spans="1:11" x14ac:dyDescent="0.25">
      <c r="A49" s="1227" t="s">
        <v>116</v>
      </c>
      <c r="B49" s="1225" t="s">
        <v>2181</v>
      </c>
      <c r="C49" s="1223" t="s">
        <v>40</v>
      </c>
      <c r="D49" s="1228" t="e">
        <f t="shared" si="8"/>
        <v>#REF!</v>
      </c>
      <c r="E49" s="1224" t="e">
        <f t="shared" si="1"/>
        <v>#REF!</v>
      </c>
      <c r="F49" s="1228" t="e">
        <f>F36+F46</f>
        <v>#REF!</v>
      </c>
      <c r="G49" s="1224" t="e">
        <f t="shared" si="9"/>
        <v>#REF!</v>
      </c>
      <c r="H49" s="1228" t="e">
        <f>H36+H46</f>
        <v>#REF!</v>
      </c>
      <c r="I49" s="1224" t="e">
        <f t="shared" si="10"/>
        <v>#REF!</v>
      </c>
      <c r="J49" s="1228" t="e">
        <f>J36+J46</f>
        <v>#REF!</v>
      </c>
      <c r="K49" s="1224" t="e">
        <f t="shared" si="2"/>
        <v>#REF!</v>
      </c>
    </row>
    <row r="50" spans="1:11" ht="16.5" thickBot="1" x14ac:dyDescent="0.3">
      <c r="A50" s="1227" t="s">
        <v>118</v>
      </c>
      <c r="B50" s="1225" t="s">
        <v>2107</v>
      </c>
      <c r="C50" s="1235" t="s">
        <v>40</v>
      </c>
      <c r="D50" s="1228" t="e">
        <f t="shared" si="8"/>
        <v>#REF!</v>
      </c>
      <c r="E50" s="1224" t="e">
        <f t="shared" si="1"/>
        <v>#REF!</v>
      </c>
      <c r="F50" s="1228" t="e">
        <f>F37+F47</f>
        <v>#REF!</v>
      </c>
      <c r="G50" s="1224" t="e">
        <f t="shared" si="9"/>
        <v>#REF!</v>
      </c>
      <c r="H50" s="1228" t="e">
        <f>H37+H47</f>
        <v>#REF!</v>
      </c>
      <c r="I50" s="1224" t="e">
        <f t="shared" si="10"/>
        <v>#REF!</v>
      </c>
      <c r="J50" s="1228">
        <f>J37+J47</f>
        <v>0</v>
      </c>
      <c r="K50" s="1224" t="e">
        <f t="shared" si="2"/>
        <v>#REF!</v>
      </c>
    </row>
    <row r="51" spans="1:11" ht="32.25" thickBot="1" x14ac:dyDescent="0.3">
      <c r="A51" s="1259" t="s">
        <v>195</v>
      </c>
      <c r="B51" s="1264" t="s">
        <v>2184</v>
      </c>
      <c r="C51" s="1229" t="s">
        <v>190</v>
      </c>
      <c r="D51" s="1230" t="e">
        <f>#REF!*1000</f>
        <v>#REF!</v>
      </c>
      <c r="E51" s="1230"/>
      <c r="F51" s="1230" t="e">
        <f>D51</f>
        <v>#REF!</v>
      </c>
      <c r="G51" s="1230"/>
      <c r="H51" s="1274" t="e">
        <f>D51</f>
        <v>#REF!</v>
      </c>
      <c r="I51" s="1243"/>
      <c r="J51" s="1274" t="e">
        <f>D51</f>
        <v>#REF!</v>
      </c>
      <c r="K51" s="1252"/>
    </row>
    <row r="52" spans="1:11" ht="32.25" thickBot="1" x14ac:dyDescent="0.3">
      <c r="A52" s="1260" t="s">
        <v>196</v>
      </c>
      <c r="B52" s="1244" t="s">
        <v>2185</v>
      </c>
      <c r="C52" s="1223" t="s">
        <v>31</v>
      </c>
      <c r="D52" s="1224" t="e">
        <f>#REF!</f>
        <v>#REF!</v>
      </c>
      <c r="E52" s="1224"/>
      <c r="F52" s="1230" t="e">
        <f t="shared" ref="F52" si="11">D52</f>
        <v>#REF!</v>
      </c>
      <c r="G52" s="1224"/>
      <c r="H52" s="1230" t="e">
        <f t="shared" ref="H52:H53" si="12">D52</f>
        <v>#REF!</v>
      </c>
      <c r="I52" s="1220"/>
      <c r="J52" s="1230" t="e">
        <f t="shared" ref="J52:J53" si="13">D52</f>
        <v>#REF!</v>
      </c>
      <c r="K52" s="1253"/>
    </row>
    <row r="53" spans="1:11" ht="31.5" x14ac:dyDescent="0.25">
      <c r="A53" s="1261">
        <v>11</v>
      </c>
      <c r="B53" s="1265" t="s">
        <v>2191</v>
      </c>
      <c r="C53" s="1233" t="s">
        <v>190</v>
      </c>
      <c r="D53" s="1234" t="e">
        <f>#REF!*1000</f>
        <v>#REF!</v>
      </c>
      <c r="E53" s="1234"/>
      <c r="F53" s="1274" t="e">
        <f>D53</f>
        <v>#REF!</v>
      </c>
      <c r="G53" s="1234"/>
      <c r="H53" s="1230" t="e">
        <f t="shared" si="12"/>
        <v>#REF!</v>
      </c>
      <c r="I53" s="1234"/>
      <c r="J53" s="1230" t="e">
        <f t="shared" si="13"/>
        <v>#REF!</v>
      </c>
      <c r="K53" s="1266"/>
    </row>
    <row r="54" spans="1:11" ht="16.5" thickBot="1" x14ac:dyDescent="0.3">
      <c r="A54" s="1262" t="s">
        <v>197</v>
      </c>
      <c r="B54" s="1267" t="s">
        <v>2186</v>
      </c>
      <c r="C54" s="1231" t="s">
        <v>2187</v>
      </c>
      <c r="D54" s="1269" t="e">
        <f>F54+H54+J54</f>
        <v>#REF!</v>
      </c>
      <c r="E54" s="1220"/>
      <c r="F54" s="1269" t="e">
        <f>F48/F53*1000</f>
        <v>#REF!</v>
      </c>
      <c r="G54" s="1220"/>
      <c r="H54" s="1269" t="e">
        <f t="shared" ref="H54:J54" si="14">H48/H51*1000</f>
        <v>#REF!</v>
      </c>
      <c r="I54" s="1220"/>
      <c r="J54" s="1269" t="e">
        <f t="shared" si="14"/>
        <v>#REF!</v>
      </c>
      <c r="K54" s="1253"/>
    </row>
    <row r="55" spans="1:11" ht="31.5" x14ac:dyDescent="0.25">
      <c r="A55" s="1260"/>
      <c r="B55" s="1244" t="s">
        <v>2188</v>
      </c>
      <c r="C55" s="1223" t="s">
        <v>2189</v>
      </c>
      <c r="D55" s="1224" t="e">
        <f t="shared" si="8"/>
        <v>#REF!</v>
      </c>
      <c r="E55" s="1224"/>
      <c r="F55" s="1224" t="e">
        <f>F49*1000/F52/12</f>
        <v>#REF!</v>
      </c>
      <c r="G55" s="1224"/>
      <c r="H55" s="1224" t="e">
        <f>H49*1000/H52/12</f>
        <v>#REF!</v>
      </c>
      <c r="I55" s="1220"/>
      <c r="J55" s="1224" t="e">
        <f>J49*1000/J52/12</f>
        <v>#REF!</v>
      </c>
      <c r="K55" s="1253"/>
    </row>
    <row r="56" spans="1:11" ht="16.5" thickBot="1" x14ac:dyDescent="0.3">
      <c r="A56" s="1263"/>
      <c r="B56" s="1268" t="s">
        <v>2190</v>
      </c>
      <c r="C56" s="1231" t="s">
        <v>2187</v>
      </c>
      <c r="D56" s="1232" t="e">
        <f t="shared" si="8"/>
        <v>#REF!</v>
      </c>
      <c r="E56" s="1232"/>
      <c r="F56" s="1232" t="e">
        <f>F50/F51*1000</f>
        <v>#REF!</v>
      </c>
      <c r="G56" s="1232"/>
      <c r="H56" s="1232" t="e">
        <f>H50/H51*1000</f>
        <v>#REF!</v>
      </c>
      <c r="I56" s="1254"/>
      <c r="J56" s="1232" t="e">
        <f>J50/J51*1000</f>
        <v>#REF!</v>
      </c>
      <c r="K56" s="1255"/>
    </row>
    <row r="57" spans="1:11" hidden="1" x14ac:dyDescent="0.25"/>
    <row r="58" spans="1:11" x14ac:dyDescent="0.25">
      <c r="A58" s="1212" t="s">
        <v>2192</v>
      </c>
    </row>
    <row r="59" spans="1:11" ht="35.450000000000003" customHeight="1" x14ac:dyDescent="0.25">
      <c r="B59" s="1251" t="s">
        <v>423</v>
      </c>
      <c r="C59" s="1238"/>
      <c r="E59" s="1239" t="s">
        <v>605</v>
      </c>
      <c r="F59" s="1239"/>
    </row>
    <row r="60" spans="1:11" x14ac:dyDescent="0.25">
      <c r="A60" s="1240"/>
      <c r="B60" s="1237" t="s">
        <v>2193</v>
      </c>
      <c r="C60" s="1241" t="s">
        <v>2194</v>
      </c>
      <c r="D60" s="1237"/>
      <c r="E60" s="1237"/>
    </row>
    <row r="61" spans="1:11" x14ac:dyDescent="0.25">
      <c r="A61" s="1240"/>
      <c r="B61" s="1242"/>
      <c r="C61" s="1242"/>
    </row>
    <row r="62" spans="1:11" x14ac:dyDescent="0.25">
      <c r="A62" s="1240"/>
      <c r="B62" s="1242"/>
      <c r="C62" s="1242"/>
    </row>
    <row r="63" spans="1:11" ht="32.450000000000003" customHeight="1" x14ac:dyDescent="0.25">
      <c r="A63" s="1240"/>
      <c r="B63" s="4006" t="s">
        <v>2762</v>
      </c>
      <c r="C63" s="4006"/>
      <c r="D63" s="4006"/>
      <c r="E63" s="4006"/>
      <c r="F63" s="4006"/>
      <c r="G63" s="4006"/>
      <c r="H63" s="4006"/>
    </row>
    <row r="64" spans="1:11" x14ac:dyDescent="0.25">
      <c r="A64" s="1240"/>
      <c r="E64" s="4007" t="s">
        <v>1721</v>
      </c>
      <c r="F64" s="4007"/>
    </row>
    <row r="65" spans="2:11" x14ac:dyDescent="0.25">
      <c r="B65" s="1271" t="s">
        <v>356</v>
      </c>
      <c r="C65" s="4005" t="s">
        <v>2206</v>
      </c>
      <c r="D65" s="4005"/>
      <c r="E65" s="4005" t="s">
        <v>2207</v>
      </c>
      <c r="F65" s="4005"/>
      <c r="G65" s="1271" t="s">
        <v>2209</v>
      </c>
      <c r="H65" s="1271" t="s">
        <v>2208</v>
      </c>
      <c r="K65" s="1212">
        <v>6235.51</v>
      </c>
    </row>
    <row r="66" spans="2:11" x14ac:dyDescent="0.25">
      <c r="B66" s="878" t="s">
        <v>2195</v>
      </c>
      <c r="C66" s="1246" t="e">
        <f>D66/D76</f>
        <v>#REF!</v>
      </c>
      <c r="D66" s="1236" t="e">
        <f>D16+D22+D26</f>
        <v>#REF!</v>
      </c>
      <c r="E66" s="1270">
        <f>F66/F$76</f>
        <v>9.8885796123719977E-2</v>
      </c>
      <c r="F66" s="1236">
        <v>16154.18</v>
      </c>
      <c r="G66" s="1273" t="e">
        <f>C66-E66</f>
        <v>#REF!</v>
      </c>
      <c r="H66" s="1236" t="e">
        <f>D66-F66</f>
        <v>#REF!</v>
      </c>
      <c r="K66" s="1212">
        <v>4011.12</v>
      </c>
    </row>
    <row r="67" spans="2:11" x14ac:dyDescent="0.25">
      <c r="B67" s="878" t="s">
        <v>2196</v>
      </c>
      <c r="C67" s="1246" t="e">
        <f>D67/D76</f>
        <v>#REF!</v>
      </c>
      <c r="D67" s="1236" t="e">
        <f>D18+D23+D27</f>
        <v>#REF!</v>
      </c>
      <c r="E67" s="1270">
        <f t="shared" ref="E67:E74" si="15">F67/F$76</f>
        <v>2.0740076022343481E-2</v>
      </c>
      <c r="F67" s="1236">
        <v>3388.14</v>
      </c>
      <c r="G67" s="1273" t="e">
        <f t="shared" ref="G67:G76" si="16">C67-E67</f>
        <v>#REF!</v>
      </c>
      <c r="H67" s="1236" t="e">
        <f t="shared" ref="H67:H76" si="17">D67-F67</f>
        <v>#REF!</v>
      </c>
      <c r="K67" s="1272">
        <f>1-K66/K65</f>
        <v>0.35672944153726005</v>
      </c>
    </row>
    <row r="68" spans="2:11" x14ac:dyDescent="0.25">
      <c r="B68" s="878" t="s">
        <v>2197</v>
      </c>
      <c r="C68" s="1246" t="e">
        <f>D68/D76</f>
        <v>#REF!</v>
      </c>
      <c r="D68" s="1236" t="e">
        <f>D9</f>
        <v>#REF!</v>
      </c>
      <c r="E68" s="1270">
        <f t="shared" si="15"/>
        <v>0.73286101156353578</v>
      </c>
      <c r="F68" s="1236">
        <v>119721.63</v>
      </c>
      <c r="G68" s="1273" t="e">
        <f t="shared" si="16"/>
        <v>#REF!</v>
      </c>
      <c r="H68" s="1236" t="e">
        <f t="shared" si="17"/>
        <v>#REF!</v>
      </c>
    </row>
    <row r="69" spans="2:11" x14ac:dyDescent="0.25">
      <c r="B69" s="878" t="s">
        <v>43</v>
      </c>
      <c r="C69" s="1246" t="e">
        <f>D69/D76</f>
        <v>#REF!</v>
      </c>
      <c r="D69" s="1236" t="e">
        <f>D12</f>
        <v>#REF!</v>
      </c>
      <c r="E69" s="1270">
        <f t="shared" si="15"/>
        <v>5.6596398283359342E-2</v>
      </c>
      <c r="F69" s="1236">
        <v>9245.7000000000007</v>
      </c>
      <c r="G69" s="1273" t="e">
        <f t="shared" si="16"/>
        <v>#REF!</v>
      </c>
      <c r="H69" s="1236" t="e">
        <f t="shared" si="17"/>
        <v>#REF!</v>
      </c>
    </row>
    <row r="70" spans="2:11" x14ac:dyDescent="0.25">
      <c r="B70" s="878" t="s">
        <v>2198</v>
      </c>
      <c r="C70" s="1246" t="e">
        <f>D70/D76</f>
        <v>#REF!</v>
      </c>
      <c r="D70" s="1236" t="e">
        <f>D13</f>
        <v>#REF!</v>
      </c>
      <c r="E70" s="1270">
        <f t="shared" si="15"/>
        <v>3.4546592832556408E-3</v>
      </c>
      <c r="F70" s="1236">
        <v>564.36</v>
      </c>
      <c r="G70" s="1273" t="e">
        <f t="shared" si="16"/>
        <v>#REF!</v>
      </c>
      <c r="H70" s="1236" t="e">
        <f t="shared" si="17"/>
        <v>#REF!</v>
      </c>
    </row>
    <row r="71" spans="2:11" x14ac:dyDescent="0.25">
      <c r="B71" s="878" t="s">
        <v>460</v>
      </c>
      <c r="C71" s="1246" t="e">
        <f>D71/D76</f>
        <v>#REF!</v>
      </c>
      <c r="D71" s="1236" t="e">
        <f>D19+ЗВВ_1ст!F37+ЗВВ_1ст!F38-ЗВВ_1ст!L37-ЗВВ_1ст!L38+Адміністративні_1ст!F36+Адміністративні_1ст!F37-Адміністративні_1ст!L36-Адміністративні_1ст!L37</f>
        <v>#REF!</v>
      </c>
      <c r="E71" s="1270">
        <f t="shared" si="15"/>
        <v>2.5722263262122638E-2</v>
      </c>
      <c r="F71" s="1236">
        <v>4202.04</v>
      </c>
      <c r="G71" s="1273" t="e">
        <f t="shared" si="16"/>
        <v>#REF!</v>
      </c>
      <c r="H71" s="1236" t="e">
        <f t="shared" si="17"/>
        <v>#REF!</v>
      </c>
    </row>
    <row r="72" spans="2:11" x14ac:dyDescent="0.25">
      <c r="B72" s="878" t="s">
        <v>2199</v>
      </c>
      <c r="C72" s="1246" t="e">
        <f>D72/D76</f>
        <v>#REF!</v>
      </c>
      <c r="D72" s="1236" t="e">
        <f>#REF!+#REF!</f>
        <v>#REF!</v>
      </c>
      <c r="E72" s="1270">
        <f t="shared" si="15"/>
        <v>6.1599398198670192E-4</v>
      </c>
      <c r="F72" s="1236">
        <v>100.63</v>
      </c>
      <c r="G72" s="1273" t="e">
        <f t="shared" si="16"/>
        <v>#REF!</v>
      </c>
      <c r="H72" s="1236" t="e">
        <f t="shared" si="17"/>
        <v>#REF!</v>
      </c>
    </row>
    <row r="73" spans="2:11" x14ac:dyDescent="0.25">
      <c r="B73" s="878" t="s">
        <v>2200</v>
      </c>
      <c r="C73" s="1246" t="e">
        <f>D73/D76</f>
        <v>#REF!</v>
      </c>
      <c r="D73" s="1236" t="e">
        <f>#REF!+#REF!+ЗВВ_1ст!G25+ЗВВ_1ст!G26-ЗВВ_1ст!L25-ЗВВ_1ст!L26+Адміністративні_1ст!F25+Адміністративні_1ст!F26-Адміністративні_1ст!L25-Адміністративні_1ст!L26</f>
        <v>#REF!</v>
      </c>
      <c r="E73" s="1270">
        <f t="shared" si="15"/>
        <v>8.0881117803757278E-3</v>
      </c>
      <c r="F73" s="1236">
        <v>1321.29</v>
      </c>
      <c r="G73" s="1273" t="e">
        <f t="shared" si="16"/>
        <v>#REF!</v>
      </c>
      <c r="H73" s="1236" t="e">
        <f t="shared" si="17"/>
        <v>#REF!</v>
      </c>
    </row>
    <row r="74" spans="2:11" x14ac:dyDescent="0.25">
      <c r="B74" s="878" t="s">
        <v>2201</v>
      </c>
      <c r="C74" s="1246" t="e">
        <f>D74/D76</f>
        <v>#REF!</v>
      </c>
      <c r="D74" s="1236" t="e">
        <f>F35+H35+J35-H15-D66-D67-D68-D69-D70-D71-D72-D73</f>
        <v>#REF!</v>
      </c>
      <c r="E74" s="1270">
        <f t="shared" si="15"/>
        <v>1.0219486312981767E-2</v>
      </c>
      <c r="F74" s="1236">
        <f>2241.6055756519-572.13</f>
        <v>1669.4755756518998</v>
      </c>
      <c r="G74" s="1273" t="e">
        <f t="shared" si="16"/>
        <v>#REF!</v>
      </c>
      <c r="H74" s="1236" t="e">
        <f t="shared" si="17"/>
        <v>#REF!</v>
      </c>
    </row>
    <row r="75" spans="2:11" x14ac:dyDescent="0.25">
      <c r="B75" s="878" t="s">
        <v>2205</v>
      </c>
      <c r="C75" s="1246" t="e">
        <f>D75/D76</f>
        <v>#REF!</v>
      </c>
      <c r="D75" s="1236" t="e">
        <f>H40+J40+F40</f>
        <v>#REF!</v>
      </c>
      <c r="E75" s="1270">
        <f>F75/F76</f>
        <v>4.2816203386318856E-2</v>
      </c>
      <c r="F75" s="1236">
        <v>6994.54</v>
      </c>
      <c r="G75" s="1273" t="e">
        <f t="shared" si="16"/>
        <v>#REF!</v>
      </c>
      <c r="H75" s="1236" t="e">
        <f t="shared" si="17"/>
        <v>#REF!</v>
      </c>
    </row>
    <row r="76" spans="2:11" x14ac:dyDescent="0.25">
      <c r="B76" s="1248" t="s">
        <v>1890</v>
      </c>
      <c r="C76" s="1249" t="e">
        <f>SUM(C66:C75)</f>
        <v>#REF!</v>
      </c>
      <c r="D76" s="1236" t="e">
        <f>D66+D67+D68+D69+D70+D71+D72+D73+D74+D75</f>
        <v>#REF!</v>
      </c>
      <c r="E76" s="1249">
        <f>SUM(E66:E75)</f>
        <v>1</v>
      </c>
      <c r="F76" s="1236">
        <f>F66+F67+F68+F69+F70+F71+F72+F73+F74+F75</f>
        <v>163361.98557565192</v>
      </c>
      <c r="G76" s="1273" t="e">
        <f t="shared" si="16"/>
        <v>#REF!</v>
      </c>
      <c r="H76" s="1236" t="e">
        <f t="shared" si="17"/>
        <v>#REF!</v>
      </c>
    </row>
    <row r="77" spans="2:11" x14ac:dyDescent="0.25">
      <c r="D77" s="1245"/>
      <c r="E77" s="1247"/>
      <c r="F77" s="1213">
        <v>163361.99</v>
      </c>
    </row>
    <row r="78" spans="2:11" x14ac:dyDescent="0.25">
      <c r="D78" s="1245"/>
      <c r="E78" s="1213"/>
      <c r="F78" s="1213">
        <f>F76-F77</f>
        <v>-4.4243480660952628E-3</v>
      </c>
    </row>
    <row r="79" spans="2:11" x14ac:dyDescent="0.25">
      <c r="B79" s="1212" t="s">
        <v>2202</v>
      </c>
      <c r="D79" s="1250"/>
      <c r="E79" s="1250"/>
      <c r="F79" s="1250"/>
      <c r="G79" s="1250"/>
      <c r="H79" s="1250"/>
      <c r="I79" s="1250"/>
      <c r="J79" s="1250"/>
      <c r="K79" s="1250"/>
    </row>
    <row r="81" spans="2:8" ht="30.6" customHeight="1" x14ac:dyDescent="0.25">
      <c r="B81" s="4006" t="s">
        <v>2761</v>
      </c>
      <c r="C81" s="4006"/>
      <c r="D81" s="4006"/>
      <c r="E81" s="4006"/>
      <c r="F81" s="4006"/>
      <c r="G81" s="4006"/>
      <c r="H81" s="4006"/>
    </row>
    <row r="82" spans="2:8" x14ac:dyDescent="0.25">
      <c r="E82" s="4007" t="s">
        <v>1721</v>
      </c>
      <c r="F82" s="4007"/>
    </row>
    <row r="83" spans="2:8" x14ac:dyDescent="0.25">
      <c r="B83" s="1271" t="s">
        <v>356</v>
      </c>
      <c r="C83" s="4005" t="s">
        <v>2206</v>
      </c>
      <c r="D83" s="4005"/>
      <c r="E83" s="4005" t="s">
        <v>2207</v>
      </c>
      <c r="F83" s="4005"/>
      <c r="G83" s="1271" t="s">
        <v>2209</v>
      </c>
      <c r="H83" s="1271" t="s">
        <v>2208</v>
      </c>
    </row>
    <row r="84" spans="2:8" x14ac:dyDescent="0.25">
      <c r="B84" s="878" t="s">
        <v>2195</v>
      </c>
      <c r="C84" s="1246">
        <f>D84/D94</f>
        <v>0.22068576524292285</v>
      </c>
      <c r="D84" s="1236">
        <f>'Д 2_Т на В'!H24+'Д 2_Т на В'!H30+'Д 2_Т на В'!H34</f>
        <v>5651.6104207890148</v>
      </c>
      <c r="E84" s="1270">
        <f>F84/F$76</f>
        <v>9.8885796123719977E-2</v>
      </c>
      <c r="F84" s="1236">
        <v>16154.18</v>
      </c>
      <c r="G84" s="1273">
        <f>C84-E84</f>
        <v>0.12179996911920288</v>
      </c>
      <c r="H84" s="1236">
        <f>D84-F84</f>
        <v>-10502.569579210985</v>
      </c>
    </row>
    <row r="85" spans="2:8" x14ac:dyDescent="0.25">
      <c r="B85" s="878" t="s">
        <v>2196</v>
      </c>
      <c r="C85" s="1246">
        <f>D85/D94</f>
        <v>4.8550868353443036E-2</v>
      </c>
      <c r="D85" s="1236">
        <f>'Д 2_Т на В'!H26+'Д 2_Т на В'!H31+'Д 2_Т на В'!H35</f>
        <v>1243.3542925735835</v>
      </c>
      <c r="E85" s="1270">
        <f t="shared" ref="E85:E92" si="18">F85/F$76</f>
        <v>2.0740076022343481E-2</v>
      </c>
      <c r="F85" s="1236">
        <v>3388.14</v>
      </c>
      <c r="G85" s="1273">
        <f t="shared" ref="G85:G94" si="19">C85-E85</f>
        <v>2.7810792331099555E-2</v>
      </c>
      <c r="H85" s="1236">
        <f t="shared" ref="H85:H94" si="20">D85-F85</f>
        <v>-2144.7857074264166</v>
      </c>
    </row>
    <row r="86" spans="2:8" x14ac:dyDescent="0.25">
      <c r="B86" s="878" t="s">
        <v>2197</v>
      </c>
      <c r="C86" s="1246">
        <f>D86/D94</f>
        <v>0.44216876949992118</v>
      </c>
      <c r="D86" s="1236">
        <f>'Д 2_Т на В'!H14</f>
        <v>11323.637583522617</v>
      </c>
      <c r="E86" s="1270">
        <f t="shared" si="18"/>
        <v>0.73286101156353578</v>
      </c>
      <c r="F86" s="1236">
        <v>119721.63</v>
      </c>
      <c r="G86" s="1273">
        <f t="shared" si="19"/>
        <v>-0.2906922420636146</v>
      </c>
      <c r="H86" s="1236">
        <f t="shared" si="20"/>
        <v>-108397.99241647738</v>
      </c>
    </row>
    <row r="87" spans="2:8" x14ac:dyDescent="0.25">
      <c r="B87" s="878" t="s">
        <v>43</v>
      </c>
      <c r="C87" s="1246">
        <f>D87/D94</f>
        <v>7.635918724337094E-3</v>
      </c>
      <c r="D87" s="1236">
        <f>'Д 2_Т на В'!H18</f>
        <v>195.55061826148037</v>
      </c>
      <c r="E87" s="1270">
        <f t="shared" si="18"/>
        <v>5.6596398283359342E-2</v>
      </c>
      <c r="F87" s="1236">
        <v>9245.7000000000007</v>
      </c>
      <c r="G87" s="1273">
        <f t="shared" si="19"/>
        <v>-4.8960479559022246E-2</v>
      </c>
      <c r="H87" s="1236">
        <f t="shared" si="20"/>
        <v>-9050.1493817385199</v>
      </c>
    </row>
    <row r="88" spans="2:8" x14ac:dyDescent="0.25">
      <c r="B88" s="878" t="s">
        <v>2198</v>
      </c>
      <c r="C88" s="1246">
        <f>D88/D94</f>
        <v>1.3917609825485362E-3</v>
      </c>
      <c r="D88" s="1236">
        <f>'Д 2_Т на В'!H22</f>
        <v>35.642039999999994</v>
      </c>
      <c r="E88" s="1270">
        <f t="shared" si="18"/>
        <v>3.4546592832556408E-3</v>
      </c>
      <c r="F88" s="1236">
        <v>564.36</v>
      </c>
      <c r="G88" s="1273">
        <f t="shared" si="19"/>
        <v>-2.0628983007071047E-3</v>
      </c>
      <c r="H88" s="1236">
        <f t="shared" si="20"/>
        <v>-528.71796000000006</v>
      </c>
    </row>
    <row r="89" spans="2:8" x14ac:dyDescent="0.25">
      <c r="B89" s="878" t="s">
        <v>460</v>
      </c>
      <c r="C89" s="1246">
        <f>D89/D94</f>
        <v>7.5739073686100417E-2</v>
      </c>
      <c r="D89" s="1236">
        <f>'Д 2_Т на В'!H27+ЗВВ_1ст!G37+ЗВВ_1ст!G38+Адміністративні_1ст!G36+Адміністративні_1ст!G37</f>
        <v>1939.6255015999459</v>
      </c>
      <c r="E89" s="1270">
        <f t="shared" si="18"/>
        <v>2.5722263262122638E-2</v>
      </c>
      <c r="F89" s="1236">
        <v>4202.04</v>
      </c>
      <c r="G89" s="1273">
        <f t="shared" si="19"/>
        <v>5.0016810423977778E-2</v>
      </c>
      <c r="H89" s="1236">
        <f t="shared" si="20"/>
        <v>-2262.4144984000541</v>
      </c>
    </row>
    <row r="90" spans="2:8" x14ac:dyDescent="0.25">
      <c r="B90" s="878" t="s">
        <v>2199</v>
      </c>
      <c r="C90" s="1246" t="e">
        <f>D90/D94</f>
        <v>#REF!</v>
      </c>
      <c r="D90" s="1236" t="e">
        <f>#REF!+#REF!</f>
        <v>#REF!</v>
      </c>
      <c r="E90" s="1270">
        <f t="shared" si="18"/>
        <v>6.1599398198670192E-4</v>
      </c>
      <c r="F90" s="1236">
        <v>100.63</v>
      </c>
      <c r="G90" s="1273" t="e">
        <f t="shared" si="19"/>
        <v>#REF!</v>
      </c>
      <c r="H90" s="1236" t="e">
        <f t="shared" si="20"/>
        <v>#REF!</v>
      </c>
    </row>
    <row r="91" spans="2:8" x14ac:dyDescent="0.25">
      <c r="B91" s="878" t="s">
        <v>2200</v>
      </c>
      <c r="C91" s="1246" t="e">
        <f>D91/D94</f>
        <v>#REF!</v>
      </c>
      <c r="D91" s="1236" t="e">
        <f>#REF!+#REF!+ЗВВ_1ст!G43+ЗВВ_1ст!G44-ЗВВ_1ст!L43-ЗВВ_1ст!L44+Адміністративні_1ст!F43+Адміністративні_1ст!F44-Адміністративні_1ст!L43-Адміністративні_1ст!L44</f>
        <v>#REF!</v>
      </c>
      <c r="E91" s="1270">
        <f t="shared" si="18"/>
        <v>8.0881117803757278E-3</v>
      </c>
      <c r="F91" s="1236">
        <v>1321.29</v>
      </c>
      <c r="G91" s="1273" t="e">
        <f t="shared" si="19"/>
        <v>#REF!</v>
      </c>
      <c r="H91" s="1236" t="e">
        <f t="shared" si="20"/>
        <v>#REF!</v>
      </c>
    </row>
    <row r="92" spans="2:8" x14ac:dyDescent="0.25">
      <c r="B92" s="878" t="s">
        <v>2201</v>
      </c>
      <c r="C92" s="1246" t="e">
        <f>D92/D94</f>
        <v>#REF!</v>
      </c>
      <c r="D92" s="1236" t="e">
        <f>D94-D84-D85-D86-D87-D88-D89-D90-D91-D93</f>
        <v>#REF!</v>
      </c>
      <c r="E92" s="1270">
        <f t="shared" si="18"/>
        <v>1.0219486312981767E-2</v>
      </c>
      <c r="F92" s="1236">
        <f>2241.6055756519-572.13</f>
        <v>1669.4755756518998</v>
      </c>
      <c r="G92" s="1273" t="e">
        <f t="shared" si="19"/>
        <v>#REF!</v>
      </c>
      <c r="H92" s="1236" t="e">
        <f t="shared" si="20"/>
        <v>#REF!</v>
      </c>
    </row>
    <row r="93" spans="2:8" x14ac:dyDescent="0.25">
      <c r="B93" s="878" t="s">
        <v>2205</v>
      </c>
      <c r="C93" s="1246">
        <f>D93/D94</f>
        <v>6.8415561186465954E-2</v>
      </c>
      <c r="D93" s="1236">
        <f>'Д 2_Т на В'!H45</f>
        <v>1752.0753915411819</v>
      </c>
      <c r="E93" s="1270">
        <f>F93/F94</f>
        <v>4.2816203386318856E-2</v>
      </c>
      <c r="F93" s="1236">
        <v>6994.54</v>
      </c>
      <c r="G93" s="1273">
        <f t="shared" si="19"/>
        <v>2.5599357800147098E-2</v>
      </c>
      <c r="H93" s="1236">
        <f t="shared" si="20"/>
        <v>-5242.4646084588185</v>
      </c>
    </row>
    <row r="94" spans="2:8" x14ac:dyDescent="0.25">
      <c r="B94" s="1248" t="s">
        <v>1890</v>
      </c>
      <c r="C94" s="1249" t="e">
        <f>SUM(C84:C93)</f>
        <v>#REF!</v>
      </c>
      <c r="D94" s="1236">
        <f>'Д 2_Т на В'!H51</f>
        <v>25609.31111514115</v>
      </c>
      <c r="E94" s="1249">
        <f>SUM(E84:E93)</f>
        <v>1</v>
      </c>
      <c r="F94" s="1236">
        <f>F84+F85+F86+F87+F88+F89+F90+F91+F92+F93</f>
        <v>163361.98557565192</v>
      </c>
      <c r="G94" s="1273" t="e">
        <f t="shared" si="19"/>
        <v>#REF!</v>
      </c>
      <c r="H94" s="1236">
        <f t="shared" si="20"/>
        <v>-137752.67446051078</v>
      </c>
    </row>
  </sheetData>
  <mergeCells count="17">
    <mergeCell ref="E82:F82"/>
    <mergeCell ref="C83:D83"/>
    <mergeCell ref="E83:F83"/>
    <mergeCell ref="B81:H81"/>
    <mergeCell ref="A1:K1"/>
    <mergeCell ref="C65:D65"/>
    <mergeCell ref="E65:F65"/>
    <mergeCell ref="E64:F64"/>
    <mergeCell ref="A3:A5"/>
    <mergeCell ref="B3:B5"/>
    <mergeCell ref="C3:C5"/>
    <mergeCell ref="D3:K3"/>
    <mergeCell ref="D4:E4"/>
    <mergeCell ref="F4:G4"/>
    <mergeCell ref="H4:I4"/>
    <mergeCell ref="J4:K4"/>
    <mergeCell ref="B63:H63"/>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sheetPr>
  <dimension ref="A1:M72"/>
  <sheetViews>
    <sheetView zoomScaleNormal="100" workbookViewId="0">
      <selection activeCell="H31" sqref="H31"/>
    </sheetView>
  </sheetViews>
  <sheetFormatPr defaultColWidth="8.85546875" defaultRowHeight="15.75" x14ac:dyDescent="0.25"/>
  <cols>
    <col min="1" max="1" width="18.7109375" style="1781" customWidth="1"/>
    <col min="2" max="2" width="11.85546875" style="2211" customWidth="1"/>
    <col min="3" max="3" width="11.28515625" style="2211" customWidth="1"/>
    <col min="4" max="4" width="12" style="2211" customWidth="1"/>
    <col min="5" max="5" width="11.7109375" style="2212" customWidth="1"/>
    <col min="6" max="6" width="11" style="58" customWidth="1"/>
    <col min="7" max="7" width="11.7109375" style="58" customWidth="1"/>
    <col min="8" max="8" width="23.140625" style="1999" customWidth="1"/>
    <col min="9" max="9" width="12.42578125" style="58" customWidth="1"/>
    <col min="10" max="10" width="10.7109375" style="58" customWidth="1"/>
    <col min="11" max="16384" width="8.85546875" style="58"/>
  </cols>
  <sheetData>
    <row r="1" spans="1:10" s="53" customFormat="1" x14ac:dyDescent="0.25">
      <c r="A1" s="15"/>
      <c r="B1" s="2207">
        <v>2021</v>
      </c>
      <c r="C1" s="2207">
        <v>2022</v>
      </c>
      <c r="D1" s="2207" t="s">
        <v>3156</v>
      </c>
      <c r="E1" s="2207" t="s">
        <v>3369</v>
      </c>
      <c r="F1" s="2201"/>
      <c r="G1" s="2202"/>
      <c r="H1" s="4122" t="s">
        <v>2910</v>
      </c>
      <c r="I1" s="2230" t="str">
        <f>E1</f>
        <v>2023-2024</v>
      </c>
      <c r="J1" s="2230" t="str">
        <f>D1</f>
        <v>2022-2023</v>
      </c>
    </row>
    <row r="2" spans="1:10" s="2203" customFormat="1" x14ac:dyDescent="0.25">
      <c r="A2" s="2205" t="s">
        <v>2876</v>
      </c>
      <c r="B2" s="2209">
        <f>SUM(B3:B11)</f>
        <v>53145.197239999987</v>
      </c>
      <c r="C2" s="2209">
        <f t="shared" ref="C2" si="0">SUM(C3:C11)</f>
        <v>51483.260549999977</v>
      </c>
      <c r="D2" s="2209">
        <f>SUM(D3:D12)</f>
        <v>100497.71</v>
      </c>
      <c r="E2" s="2209">
        <f>SUM(E3:E12)</f>
        <v>37654.188553219923</v>
      </c>
      <c r="F2" s="1878">
        <f>E2/D2-1</f>
        <v>-0.62532291976384413</v>
      </c>
      <c r="H2" s="4123"/>
      <c r="I2" s="2523">
        <f>SUM(I3:I11)</f>
        <v>91.032170152838319</v>
      </c>
      <c r="J2" s="2231">
        <v>100</v>
      </c>
    </row>
    <row r="3" spans="1:10" x14ac:dyDescent="0.25">
      <c r="A3" s="808" t="s">
        <v>2195</v>
      </c>
      <c r="B3" s="2208">
        <f t="shared" ref="B3:E11" si="1">B16+B28+B40+B52+B64</f>
        <v>12111.122290000001</v>
      </c>
      <c r="C3" s="2208">
        <f t="shared" si="1"/>
        <v>8092.2057100000002</v>
      </c>
      <c r="D3" s="2208">
        <f>D16+D28+D40+D52+D64</f>
        <v>12261.680000000002</v>
      </c>
      <c r="E3" s="2208">
        <f>E16+E28+E40+E52+E64</f>
        <v>9246.945885000001</v>
      </c>
      <c r="F3" s="1878">
        <f>E3/D3-1</f>
        <v>-0.24586631807386916</v>
      </c>
      <c r="G3" s="2370">
        <f>E3/E$2</f>
        <v>0.24557549213762744</v>
      </c>
      <c r="H3" s="2223" t="s">
        <v>2195</v>
      </c>
      <c r="I3" s="2230">
        <f>E3/E2*100</f>
        <v>24.557549213762744</v>
      </c>
      <c r="J3" s="2232">
        <f>C3/(C$2-C$12)*100</f>
        <v>15.718129783448621</v>
      </c>
    </row>
    <row r="4" spans="1:10" x14ac:dyDescent="0.25">
      <c r="A4" s="808" t="s">
        <v>2196</v>
      </c>
      <c r="B4" s="2208">
        <f t="shared" si="1"/>
        <v>2660.4837599999996</v>
      </c>
      <c r="C4" s="2208">
        <f t="shared" si="1"/>
        <v>1731.89032</v>
      </c>
      <c r="D4" s="2208">
        <f t="shared" si="1"/>
        <v>2697.58</v>
      </c>
      <c r="E4" s="2208">
        <f t="shared" si="1"/>
        <v>2034.3280947000003</v>
      </c>
      <c r="F4" s="1878">
        <f>E4/D4-1</f>
        <v>-0.24586922549099555</v>
      </c>
      <c r="G4" s="2370">
        <f>E4/E$2</f>
        <v>5.402660827027804E-2</v>
      </c>
      <c r="H4" s="2223" t="s">
        <v>2911</v>
      </c>
      <c r="I4" s="2230">
        <f>E4/(E$2)*100</f>
        <v>5.4026608270278036</v>
      </c>
      <c r="J4" s="2232">
        <f t="shared" ref="J4:J11" si="2">C4/(C$2-C$12)*100</f>
        <v>3.363987248472748</v>
      </c>
    </row>
    <row r="5" spans="1:10" x14ac:dyDescent="0.25">
      <c r="A5" s="808" t="s">
        <v>2197</v>
      </c>
      <c r="B5" s="2208">
        <f t="shared" si="1"/>
        <v>26361.535099999997</v>
      </c>
      <c r="C5" s="2208">
        <f t="shared" si="1"/>
        <v>34017.8249</v>
      </c>
      <c r="D5" s="2208">
        <f t="shared" si="1"/>
        <v>54631.040000000001</v>
      </c>
      <c r="E5" s="2208">
        <f t="shared" si="1"/>
        <v>11323.637583522617</v>
      </c>
      <c r="F5" s="1878">
        <f t="shared" ref="F5:F11" si="3">E5/D5-1</f>
        <v>-0.79272520560614224</v>
      </c>
      <c r="G5" s="2370">
        <f t="shared" ref="G5:G12" si="4">E5/E$2</f>
        <v>0.30072717056478165</v>
      </c>
      <c r="H5" s="2223" t="s">
        <v>2197</v>
      </c>
      <c r="I5" s="2230">
        <f t="shared" ref="I5:I11" si="5">E5/(E$2)*100</f>
        <v>30.072717056478165</v>
      </c>
      <c r="J5" s="2232">
        <f t="shared" si="2"/>
        <v>66.075505973368294</v>
      </c>
    </row>
    <row r="6" spans="1:10" x14ac:dyDescent="0.25">
      <c r="A6" s="808" t="s">
        <v>43</v>
      </c>
      <c r="B6" s="2208">
        <f t="shared" si="1"/>
        <v>2013.5749800000001</v>
      </c>
      <c r="C6" s="2208">
        <f t="shared" si="1"/>
        <v>1265.11743</v>
      </c>
      <c r="D6" s="2208">
        <f t="shared" si="1"/>
        <v>2476.41</v>
      </c>
      <c r="E6" s="2208">
        <f t="shared" si="1"/>
        <v>1022.5751418859157</v>
      </c>
      <c r="F6" s="1878">
        <f t="shared" si="3"/>
        <v>-0.5870735694469349</v>
      </c>
      <c r="G6" s="2370">
        <f t="shared" si="4"/>
        <v>2.7157009118404497E-2</v>
      </c>
      <c r="H6" s="2223" t="s">
        <v>43</v>
      </c>
      <c r="I6" s="2230">
        <f t="shared" si="5"/>
        <v>2.7157009118404498</v>
      </c>
      <c r="J6" s="2232">
        <f t="shared" si="2"/>
        <v>2.4573374267376322</v>
      </c>
    </row>
    <row r="7" spans="1:10" ht="31.5" x14ac:dyDescent="0.25">
      <c r="A7" s="808" t="s">
        <v>2198</v>
      </c>
      <c r="B7" s="2208">
        <f t="shared" si="1"/>
        <v>263.93989999999997</v>
      </c>
      <c r="C7" s="2208">
        <f t="shared" si="1"/>
        <v>153.88771</v>
      </c>
      <c r="D7" s="2208">
        <f t="shared" si="1"/>
        <v>514.76</v>
      </c>
      <c r="E7" s="2208">
        <f t="shared" si="1"/>
        <v>166.32064</v>
      </c>
      <c r="F7" s="1878">
        <f t="shared" si="3"/>
        <v>-0.67689672857253869</v>
      </c>
      <c r="G7" s="2370">
        <f t="shared" si="4"/>
        <v>4.4170554828163308E-3</v>
      </c>
      <c r="H7" s="2223" t="s">
        <v>2198</v>
      </c>
      <c r="I7" s="2230">
        <f t="shared" si="5"/>
        <v>0.44170554828163305</v>
      </c>
      <c r="J7" s="2232">
        <f t="shared" si="2"/>
        <v>0.29890824387578546</v>
      </c>
    </row>
    <row r="8" spans="1:10" x14ac:dyDescent="0.25">
      <c r="A8" s="808" t="s">
        <v>460</v>
      </c>
      <c r="B8" s="2208">
        <f t="shared" si="1"/>
        <v>1875.8934599999998</v>
      </c>
      <c r="C8" s="2208">
        <f t="shared" si="1"/>
        <v>1807.8513499999999</v>
      </c>
      <c r="D8" s="2208">
        <f t="shared" si="1"/>
        <v>2543.4100000000003</v>
      </c>
      <c r="E8" s="2208">
        <f t="shared" si="1"/>
        <v>2014.9898700000008</v>
      </c>
      <c r="F8" s="1878">
        <f t="shared" si="3"/>
        <v>-0.20776049870056323</v>
      </c>
      <c r="G8" s="2370">
        <f t="shared" si="4"/>
        <v>5.3513033939160348E-2</v>
      </c>
      <c r="H8" s="2223" t="s">
        <v>460</v>
      </c>
      <c r="I8" s="2230">
        <f t="shared" si="5"/>
        <v>5.3513033939160346</v>
      </c>
      <c r="J8" s="2232">
        <f t="shared" si="2"/>
        <v>3.5115323518490724</v>
      </c>
    </row>
    <row r="9" spans="1:10" x14ac:dyDescent="0.25">
      <c r="A9" s="808" t="s">
        <v>2199</v>
      </c>
      <c r="B9" s="2208">
        <f t="shared" si="1"/>
        <v>379.44909999999999</v>
      </c>
      <c r="C9" s="2208">
        <f t="shared" si="1"/>
        <v>271.49950000000001</v>
      </c>
      <c r="D9" s="2208">
        <f t="shared" si="1"/>
        <v>383.73</v>
      </c>
      <c r="E9" s="2208">
        <f t="shared" si="1"/>
        <v>281.04973000000001</v>
      </c>
      <c r="F9" s="1878">
        <f t="shared" si="3"/>
        <v>-0.26758468193782092</v>
      </c>
      <c r="G9" s="2370">
        <f t="shared" si="4"/>
        <v>7.4639699007925265E-3</v>
      </c>
      <c r="H9" s="2223" t="s">
        <v>2199</v>
      </c>
      <c r="I9" s="2230">
        <f t="shared" si="5"/>
        <v>0.74639699007925264</v>
      </c>
      <c r="J9" s="2232">
        <f t="shared" si="2"/>
        <v>0.52735490545771224</v>
      </c>
    </row>
    <row r="10" spans="1:10" x14ac:dyDescent="0.25">
      <c r="A10" s="808" t="s">
        <v>2200</v>
      </c>
      <c r="B10" s="2208">
        <f t="shared" si="1"/>
        <v>1490.63058</v>
      </c>
      <c r="C10" s="2208">
        <f t="shared" si="1"/>
        <v>386.39002000000005</v>
      </c>
      <c r="D10" s="2208">
        <f t="shared" si="1"/>
        <v>1144.2099999999998</v>
      </c>
      <c r="E10" s="2208">
        <f t="shared" si="1"/>
        <v>981.55599999999993</v>
      </c>
      <c r="F10" s="1878">
        <f t="shared" si="3"/>
        <v>-0.14215397523181927</v>
      </c>
      <c r="G10" s="2370">
        <f t="shared" si="4"/>
        <v>2.6067644469689791E-2</v>
      </c>
      <c r="H10" s="2223" t="s">
        <v>2200</v>
      </c>
      <c r="I10" s="2230">
        <f t="shared" si="5"/>
        <v>2.6067644469689792</v>
      </c>
      <c r="J10" s="2232">
        <f>C10/(C$2-C$12)*100</f>
        <v>0.75051582955734186</v>
      </c>
    </row>
    <row r="11" spans="1:10" x14ac:dyDescent="0.25">
      <c r="A11" s="808" t="s">
        <v>2201</v>
      </c>
      <c r="B11" s="2208">
        <f>B24+B36+B48+B60+B72</f>
        <v>5988.5680699999994</v>
      </c>
      <c r="C11" s="2208">
        <f t="shared" si="1"/>
        <v>3756.5936099999799</v>
      </c>
      <c r="D11" s="2208">
        <f t="shared" si="1"/>
        <v>15181.199999999999</v>
      </c>
      <c r="E11" s="2208">
        <f t="shared" si="1"/>
        <v>7206.0220483291951</v>
      </c>
      <c r="F11" s="1878">
        <f t="shared" si="3"/>
        <v>-0.52533251335011755</v>
      </c>
      <c r="G11" s="2370">
        <f t="shared" si="4"/>
        <v>0.19137371764483255</v>
      </c>
      <c r="H11" s="2223" t="s">
        <v>2201</v>
      </c>
      <c r="I11" s="2230">
        <f t="shared" si="5"/>
        <v>19.137371764483255</v>
      </c>
      <c r="J11" s="2232">
        <f t="shared" si="2"/>
        <v>7.2967282372327942</v>
      </c>
    </row>
    <row r="12" spans="1:10" x14ac:dyDescent="0.25">
      <c r="A12" s="808" t="s">
        <v>2774</v>
      </c>
      <c r="B12" s="2208"/>
      <c r="C12" s="2208"/>
      <c r="D12" s="2208">
        <f>D25+D37+D50+D62+D73</f>
        <v>8663.69</v>
      </c>
      <c r="E12" s="2208">
        <f>E25+E37+E49+E61+E73</f>
        <v>3376.7635597821932</v>
      </c>
      <c r="F12" s="1878"/>
      <c r="G12" s="2370">
        <f t="shared" si="4"/>
        <v>8.9678298471616805E-2</v>
      </c>
      <c r="H12" s="2229" t="s">
        <v>2774</v>
      </c>
    </row>
    <row r="13" spans="1:10" x14ac:dyDescent="0.25">
      <c r="A13" s="808" t="s">
        <v>2129</v>
      </c>
      <c r="B13" s="2208"/>
      <c r="C13" s="2208"/>
      <c r="D13" s="2208"/>
      <c r="E13" s="2210"/>
      <c r="F13" s="1497"/>
      <c r="G13" s="2204"/>
    </row>
    <row r="14" spans="1:10" s="53" customFormat="1" x14ac:dyDescent="0.25">
      <c r="A14" s="15"/>
      <c r="B14" s="2207">
        <f>B1</f>
        <v>2021</v>
      </c>
      <c r="C14" s="2207">
        <f>C1</f>
        <v>2022</v>
      </c>
      <c r="D14" s="2207" t="str">
        <f>D1</f>
        <v>2022-2023</v>
      </c>
      <c r="E14" s="2207" t="s">
        <v>3156</v>
      </c>
      <c r="F14" s="2201"/>
      <c r="G14" s="2202"/>
      <c r="H14" s="2181"/>
    </row>
    <row r="15" spans="1:10" x14ac:dyDescent="0.25">
      <c r="A15" s="2205" t="s">
        <v>1839</v>
      </c>
      <c r="B15" s="2209">
        <f>SUM(B16:B25)</f>
        <v>37690.845695999989</v>
      </c>
      <c r="C15" s="2209">
        <f t="shared" ref="C15:E15" si="6">SUM(C16:C25)</f>
        <v>41665.449539999987</v>
      </c>
      <c r="D15" s="2209">
        <f t="shared" si="6"/>
        <v>67516.94</v>
      </c>
      <c r="E15" s="2209">
        <f t="shared" si="6"/>
        <v>19934.384574720101</v>
      </c>
      <c r="F15" s="1878">
        <f>E15/D15-1</f>
        <v>-0.70474988092291946</v>
      </c>
      <c r="G15" s="2204"/>
      <c r="H15" s="2224"/>
    </row>
    <row r="16" spans="1:10" x14ac:dyDescent="0.25">
      <c r="A16" s="808" t="s">
        <v>2195</v>
      </c>
      <c r="B16" s="2208">
        <f>Виробництво_Транспортування_1ст!C28</f>
        <v>4389.8774199999998</v>
      </c>
      <c r="C16" s="2208">
        <f>Виробництво_Транспортування_1ст!D28</f>
        <v>3114.2224300000003</v>
      </c>
      <c r="D16" s="2208">
        <f>Виробництво_Транспортування_1ст!E28</f>
        <v>5029.51</v>
      </c>
      <c r="E16" s="2208">
        <f>Виробництво_Транспортування_1ст!F28</f>
        <v>2967.8816200000001</v>
      </c>
      <c r="F16" s="1878">
        <f>E16/D16-1</f>
        <v>-0.40990640837775449</v>
      </c>
      <c r="G16" s="2204"/>
    </row>
    <row r="17" spans="1:8" x14ac:dyDescent="0.25">
      <c r="A17" s="808" t="s">
        <v>2196</v>
      </c>
      <c r="B17" s="2208">
        <f>Виробництво_Транспортування_1ст!C31</f>
        <v>978.33874000000003</v>
      </c>
      <c r="C17" s="2208">
        <f>Виробництво_Транспортування_1ст!D31</f>
        <v>662.13454999999999</v>
      </c>
      <c r="D17" s="2208">
        <f>Виробництво_Транспортування_1ст!E31</f>
        <v>1106.49</v>
      </c>
      <c r="E17" s="2208">
        <f>Виробництво_Транспортування_1ст!F31</f>
        <v>652.93395640000006</v>
      </c>
      <c r="F17" s="1878">
        <f t="shared" ref="F17:F24" si="7">E17/D17-1</f>
        <v>-0.40990523511283428</v>
      </c>
      <c r="G17" s="2204"/>
    </row>
    <row r="18" spans="1:8" x14ac:dyDescent="0.25">
      <c r="A18" s="808" t="s">
        <v>2197</v>
      </c>
      <c r="B18" s="2208">
        <f>Виробництво_Транспортування_1ст!C11</f>
        <v>26361.535099999997</v>
      </c>
      <c r="C18" s="2208">
        <f>Виробництво_Транспортування_1ст!D11</f>
        <v>34017.8249</v>
      </c>
      <c r="D18" s="2208">
        <f>Виробництво_Транспортування_1ст!E11</f>
        <v>54631.040000000001</v>
      </c>
      <c r="E18" s="2208">
        <f>Виробництво_Транспортування_1ст!F11</f>
        <v>11323.637583522617</v>
      </c>
      <c r="F18" s="1878">
        <f t="shared" si="7"/>
        <v>-0.79272520560614224</v>
      </c>
      <c r="G18" s="2204"/>
    </row>
    <row r="19" spans="1:8" x14ac:dyDescent="0.25">
      <c r="A19" s="808" t="s">
        <v>43</v>
      </c>
      <c r="B19" s="2208">
        <f>Виробництво_Транспортування_1ст!C15</f>
        <v>395.66899599999999</v>
      </c>
      <c r="C19" s="2208">
        <f>Виробництво_Транспортування_1ст!D15</f>
        <v>229.16951999999998</v>
      </c>
      <c r="D19" s="2208">
        <f>Виробництво_Транспортування_1ст!E15</f>
        <v>466.11</v>
      </c>
      <c r="E19" s="2208">
        <f>Виробництво_Транспортування_1ст!F15</f>
        <v>195.55061826148037</v>
      </c>
      <c r="F19" s="1878">
        <f t="shared" si="7"/>
        <v>-0.58046251257969073</v>
      </c>
      <c r="G19" s="2204"/>
    </row>
    <row r="20" spans="1:8" ht="31.5" x14ac:dyDescent="0.25">
      <c r="A20" s="808" t="s">
        <v>2198</v>
      </c>
      <c r="B20" s="2208">
        <f>Виробництво_Транспортування_1ст!C16</f>
        <v>51.019899999999993</v>
      </c>
      <c r="C20" s="2208">
        <f>Виробництво_Транспортування_1ст!D16</f>
        <v>29.32291</v>
      </c>
      <c r="D20" s="2208">
        <f>Виробництво_Транспортування_1ст!E16</f>
        <v>38.79</v>
      </c>
      <c r="E20" s="2208">
        <f>Виробництво_Транспортування_1ст!F16</f>
        <v>35.642039999999994</v>
      </c>
      <c r="F20" s="1878">
        <f t="shared" si="7"/>
        <v>-8.1153905645785174E-2</v>
      </c>
      <c r="G20" s="2204"/>
    </row>
    <row r="21" spans="1:8" x14ac:dyDescent="0.25">
      <c r="A21" s="808" t="s">
        <v>460</v>
      </c>
      <c r="B21" s="2208">
        <f>Виробництво_Транспортування_1ст!C32</f>
        <v>1500.2456599999998</v>
      </c>
      <c r="C21" s="2208">
        <f>Виробництво_Транспортування_1ст!D32</f>
        <v>1484.04414</v>
      </c>
      <c r="D21" s="2208">
        <f>Виробництво_Транспортування_1ст!E32</f>
        <v>2255</v>
      </c>
      <c r="E21" s="2208">
        <f>Виробництво_Транспортування_1ст!F32</f>
        <v>1904.3854900000008</v>
      </c>
      <c r="F21" s="1878">
        <f t="shared" si="7"/>
        <v>-0.15548315299334781</v>
      </c>
      <c r="G21" s="2204"/>
    </row>
    <row r="22" spans="1:8" x14ac:dyDescent="0.25">
      <c r="A22" s="808" t="s">
        <v>2199</v>
      </c>
      <c r="B22" s="2208">
        <f>Виробництво_Транспортування_1ст!C70</f>
        <v>321.37909999999999</v>
      </c>
      <c r="C22" s="2208">
        <f>Виробництво_Транспортування_1ст!D70</f>
        <v>242.66550000000001</v>
      </c>
      <c r="D22" s="2208">
        <f>Виробництво_Транспортування_1ст!E70</f>
        <v>319.43</v>
      </c>
      <c r="E22" s="2208">
        <f>Виробництво_Транспортування_1ст!F70</f>
        <v>244.1</v>
      </c>
      <c r="F22" s="1878">
        <v>0</v>
      </c>
      <c r="G22" s="2204"/>
    </row>
    <row r="23" spans="1:8" x14ac:dyDescent="0.25">
      <c r="A23" s="808" t="s">
        <v>2200</v>
      </c>
      <c r="B23" s="2208">
        <f>Виробництво_Транспортування_1ст!C34</f>
        <v>1011.10698</v>
      </c>
      <c r="C23" s="2208">
        <f>Виробництво_Транспортування_1ст!D34</f>
        <v>0</v>
      </c>
      <c r="D23" s="2208">
        <f>Виробництво_Транспортування_1ст!E34</f>
        <v>740.1</v>
      </c>
      <c r="E23" s="2208">
        <f>Виробництво_Транспортування_1ст!F34</f>
        <v>500</v>
      </c>
      <c r="F23" s="1878">
        <f t="shared" si="7"/>
        <v>-0.32441561951087694</v>
      </c>
      <c r="G23" s="2204"/>
    </row>
    <row r="24" spans="1:8" x14ac:dyDescent="0.25">
      <c r="A24" s="808" t="s">
        <v>2201</v>
      </c>
      <c r="B24" s="2208">
        <f>Виробництво_Транспортування_1ст!C9-Виробництво_Транспортування_1ст!C11-Виробництво_Транспортування_1ст!C15-Виробництво_Транспортування_1ст!C16-Виробництво_Транспортування_1ст!C28-Виробництво_Транспортування_1ст!C31-Виробництво_Транспортування_1ст!C32-Виробництво_Транспортування_1ст!C34-Виробництво_Транспортування_1ст!C70</f>
        <v>2681.6738</v>
      </c>
      <c r="C24" s="2208">
        <f>Виробництво_Транспортування_1ст!D9-Виробництво_Транспортування_1ст!D11-Виробництво_Транспортування_1ст!D15-Виробництво_Транспортування_1ст!D16-Виробництво_Транспортування_1ст!D28-Виробництво_Транспортування_1ст!D31-Виробництво_Транспортування_1ст!D32-Виробництво_Транспортування_1ст!D34-Виробництво_Транспортування_1ст!D70</f>
        <v>1886.0655899999801</v>
      </c>
      <c r="D24" s="2208">
        <f>Виробництво_Транспортування_1ст!E9-Виробництво_Транспортування_1ст!E11-Виробництво_Транспортування_1ст!E15-Виробництво_Транспортування_1ст!E16-Виробництво_Транспортування_1ст!E28-Виробництво_Транспортування_1ст!E31-Виробництво_Транспортування_1ст!E32-Виробництво_Транспортування_1ст!E34-Виробництво_Транспортування_1ст!E70</f>
        <v>2930.4700000000003</v>
      </c>
      <c r="E24" s="2208">
        <f>Виробництво_Транспортування_1ст!F9-Виробництво_Транспортування_1ст!F11-Виробництво_Транспортування_1ст!F15-Виробництво_Транспортування_1ст!F16-Виробництво_Транспортування_1ст!F28-Виробництво_Транспортування_1ст!F31-Виробництво_Транспортування_1ст!F32-Виробництво_Транспортування_1ст!F34-Виробництво_Транспортування_1ст!F70</f>
        <v>2110.2532665360018</v>
      </c>
      <c r="F24" s="1878">
        <f t="shared" si="7"/>
        <v>-0.27989255425375392</v>
      </c>
      <c r="G24" s="2204"/>
    </row>
    <row r="25" spans="1:8" x14ac:dyDescent="0.25">
      <c r="A25" s="808" t="s">
        <v>2883</v>
      </c>
      <c r="B25" s="2208">
        <f>'Д 2_Т на В'!E42</f>
        <v>0</v>
      </c>
      <c r="C25" s="2208">
        <f>'Д 2_Т на В'!F42</f>
        <v>0</v>
      </c>
      <c r="D25" s="2208">
        <f>'Д 2_Т на В'!G42</f>
        <v>0</v>
      </c>
      <c r="E25" s="2208">
        <f>'Д 2_Т на В'!H42</f>
        <v>0</v>
      </c>
      <c r="F25" s="1878">
        <v>0</v>
      </c>
      <c r="G25" s="2204"/>
    </row>
    <row r="26" spans="1:8" x14ac:dyDescent="0.25">
      <c r="A26" s="808"/>
      <c r="B26" s="2208"/>
      <c r="C26" s="2208"/>
      <c r="D26" s="2208"/>
      <c r="E26" s="2208"/>
      <c r="F26" s="1497"/>
      <c r="G26" s="2204"/>
    </row>
    <row r="27" spans="1:8" ht="31.5" x14ac:dyDescent="0.25">
      <c r="A27" s="2205" t="s">
        <v>1840</v>
      </c>
      <c r="B27" s="2209">
        <f>SUM(B28:B37)</f>
        <v>8220.3460240000004</v>
      </c>
      <c r="C27" s="2209">
        <f t="shared" ref="C27:D27" si="8">SUM(C28:C37)</f>
        <v>5219.7268000000004</v>
      </c>
      <c r="D27" s="2209">
        <f t="shared" si="8"/>
        <v>26564.130000000005</v>
      </c>
      <c r="E27" s="2209">
        <f>SUM(E28:E37)</f>
        <v>12186.40345122866</v>
      </c>
      <c r="F27" s="1878">
        <f>E27/D27-1</f>
        <v>-0.54124590373452253</v>
      </c>
      <c r="G27" s="2204">
        <f>сведено!D5+сведено!E5</f>
        <v>8809.639891446468</v>
      </c>
      <c r="H27" s="2224">
        <f>E27-G27</f>
        <v>3376.7635597821918</v>
      </c>
    </row>
    <row r="28" spans="1:8" x14ac:dyDescent="0.25">
      <c r="A28" s="808" t="s">
        <v>2195</v>
      </c>
      <c r="B28" s="2208">
        <f>Виробництво_Транспортування_1ст!C115</f>
        <v>2897.5093500000003</v>
      </c>
      <c r="C28" s="2208">
        <f>Виробництво_Транспортування_1ст!D115</f>
        <v>1892.82411</v>
      </c>
      <c r="D28" s="2208">
        <f>Виробництво_Транспортування_1ст!E115</f>
        <v>3023.13</v>
      </c>
      <c r="E28" s="2208">
        <f>Виробництво_Транспортування_1ст!F115</f>
        <v>2505.9224250000002</v>
      </c>
      <c r="F28" s="1878">
        <f>E28/D28-1</f>
        <v>-0.17108347143523428</v>
      </c>
      <c r="G28" s="2204"/>
    </row>
    <row r="29" spans="1:8" x14ac:dyDescent="0.25">
      <c r="A29" s="808" t="s">
        <v>2196</v>
      </c>
      <c r="B29" s="2208">
        <f>Виробництво_Транспортування_1ст!C118</f>
        <v>641.78502000000003</v>
      </c>
      <c r="C29" s="2208">
        <f>Виробництво_Транспортування_1ст!D118</f>
        <v>425.07799</v>
      </c>
      <c r="D29" s="2208">
        <f>Виробництво_Транспортування_1ст!E118</f>
        <v>665.09</v>
      </c>
      <c r="E29" s="2208">
        <f>Виробництво_Транспортування_1ст!F118</f>
        <v>551.30293349999999</v>
      </c>
      <c r="F29" s="1878">
        <f t="shared" ref="F29:F37" si="9">E29/D29-1</f>
        <v>-0.17108521628651763</v>
      </c>
      <c r="G29" s="2204"/>
    </row>
    <row r="30" spans="1:8" x14ac:dyDescent="0.25">
      <c r="A30" s="808" t="s">
        <v>2197</v>
      </c>
      <c r="B30" s="2208">
        <f>0</f>
        <v>0</v>
      </c>
      <c r="C30" s="2208">
        <f>0</f>
        <v>0</v>
      </c>
      <c r="D30" s="2208">
        <f>0</f>
        <v>0</v>
      </c>
      <c r="E30" s="2208">
        <f>0</f>
        <v>0</v>
      </c>
      <c r="F30" s="1878"/>
      <c r="G30" s="2204"/>
    </row>
    <row r="31" spans="1:8" x14ac:dyDescent="0.25">
      <c r="A31" s="808" t="s">
        <v>43</v>
      </c>
      <c r="B31" s="2208">
        <f>Виробництво_Транспортування_1ст!C102</f>
        <v>1582.4759839999999</v>
      </c>
      <c r="C31" s="2208">
        <f>Виробництво_Транспортування_1ст!D102</f>
        <v>994.13666000000001</v>
      </c>
      <c r="D31" s="2208">
        <f>Виробництво_Транспортування_1ст!E102</f>
        <v>1966.1499999999999</v>
      </c>
      <c r="E31" s="2208">
        <f>Виробництво_Транспортування_1ст!F102</f>
        <v>766.73664866527542</v>
      </c>
      <c r="F31" s="1878">
        <f t="shared" si="9"/>
        <v>-0.61003145809563075</v>
      </c>
      <c r="G31" s="2204"/>
    </row>
    <row r="32" spans="1:8" ht="31.5" x14ac:dyDescent="0.25">
      <c r="A32" s="808" t="s">
        <v>2198</v>
      </c>
      <c r="B32" s="2208">
        <f>Виробництво_Транспортування_1ст!C103</f>
        <v>210.97</v>
      </c>
      <c r="C32" s="2208">
        <f>Виробництво_Транспортування_1ст!D103</f>
        <v>119.67381</v>
      </c>
      <c r="D32" s="2208">
        <f>Виробництво_Транспортування_1ст!E103</f>
        <v>473.91</v>
      </c>
      <c r="E32" s="2208">
        <f>Виробництво_Транспортування_1ст!F103</f>
        <v>125.57159999999999</v>
      </c>
      <c r="F32" s="1878">
        <f t="shared" si="9"/>
        <v>-0.73503070203203147</v>
      </c>
    </row>
    <row r="33" spans="1:8" x14ac:dyDescent="0.25">
      <c r="A33" s="808" t="s">
        <v>460</v>
      </c>
      <c r="B33" s="2208">
        <f>Виробництво_Транспортування_1ст!C119</f>
        <v>286.92779999999999</v>
      </c>
      <c r="C33" s="2208">
        <f>Виробництво_Транспортування_1ст!D119</f>
        <v>286.81142</v>
      </c>
      <c r="D33" s="2208">
        <f>Виробництво_Транспортування_1ст!E119</f>
        <v>227.88</v>
      </c>
      <c r="E33" s="2208">
        <f>Виробництво_Транспортування_1ст!F119</f>
        <v>64.960380000000015</v>
      </c>
      <c r="F33" s="1878">
        <f t="shared" si="9"/>
        <v>-0.71493601895734593</v>
      </c>
    </row>
    <row r="34" spans="1:8" x14ac:dyDescent="0.25">
      <c r="A34" s="808" t="s">
        <v>2199</v>
      </c>
      <c r="B34" s="2208">
        <f>Виробництво_Транспортування_1ст!C156</f>
        <v>0</v>
      </c>
      <c r="C34" s="2208">
        <f>Виробництво_Транспортування_1ст!D156</f>
        <v>0</v>
      </c>
      <c r="D34" s="2208">
        <f>Виробництво_Транспортування_1ст!E156</f>
        <v>0</v>
      </c>
      <c r="E34" s="2208">
        <f>Виробництво_Транспортування_1ст!F156</f>
        <v>0</v>
      </c>
      <c r="F34" s="1878">
        <v>0</v>
      </c>
    </row>
    <row r="35" spans="1:8" x14ac:dyDescent="0.25">
      <c r="A35" s="808" t="s">
        <v>2200</v>
      </c>
      <c r="B35" s="2208">
        <f>Виробництво_Транспортування_1ст!C121</f>
        <v>372.29359999999997</v>
      </c>
      <c r="C35" s="2208">
        <f>Виробництво_Транспортування_1ст!D121</f>
        <v>244.26667</v>
      </c>
      <c r="D35" s="2208">
        <f>Виробництво_Транспортування_1ст!E121</f>
        <v>300</v>
      </c>
      <c r="E35" s="2208">
        <f>Виробництво_Транспортування_1ст!F121</f>
        <v>300</v>
      </c>
      <c r="F35" s="1878">
        <v>0</v>
      </c>
    </row>
    <row r="36" spans="1:8" x14ac:dyDescent="0.25">
      <c r="A36" s="808" t="s">
        <v>2201</v>
      </c>
      <c r="B36" s="2208">
        <f>Виробництво_Транспортування_1ст!C100-Виробництво_Транспортування_1ст!C102-Виробництво_Транспортування_1ст!C103-Виробництво_Транспортування_1ст!C115-Виробництво_Транспортування_1ст!C118-Виробництво_Транспортування_1ст!C119-Виробництво_Транспортування_1ст!C121</f>
        <v>2228.38427</v>
      </c>
      <c r="C36" s="2208">
        <f>Виробництво_Транспортування_1ст!D100-Виробництво_Транспортування_1ст!D102-Виробництво_Транспортування_1ст!D103-Виробництво_Транспортування_1ст!D115-Виробництво_Транспортування_1ст!D118-Виробництво_Транспортування_1ст!D119-Виробництво_Транспортування_1ст!D121</f>
        <v>1256.93614</v>
      </c>
      <c r="D36" s="2208">
        <f>Виробництво_Транспортування_1ст!E100-Виробництво_Транспортування_1ст!E102-Виробництво_Транспортування_1ст!E103-Виробництво_Транспортування_1ст!E115-Виробництво_Транспортування_1ст!E118-Виробництво_Транспортування_1ст!E119-Виробництво_Транспортування_1ст!E121</f>
        <v>11244.28</v>
      </c>
      <c r="E36" s="2208">
        <f>Виробництво_Транспортування_1ст!F100-Виробництво_Транспортування_1ст!F102-Виробництво_Транспортування_1ст!F103-Виробництво_Транспортування_1ст!F115-Виробництво_Транспортування_1ст!F118-Виробництво_Транспортування_1ст!F119-Виробництво_Транспортування_1ст!F121</f>
        <v>4495.1459042811921</v>
      </c>
      <c r="F36" s="1878">
        <f t="shared" si="9"/>
        <v>-0.60022821343107857</v>
      </c>
    </row>
    <row r="37" spans="1:8" x14ac:dyDescent="0.25">
      <c r="A37" s="808" t="s">
        <v>2774</v>
      </c>
      <c r="B37" s="2208"/>
      <c r="C37" s="2208"/>
      <c r="D37" s="2208">
        <f>Виробництво_Транспортування_1ст!E114</f>
        <v>8663.69</v>
      </c>
      <c r="E37" s="2208">
        <f>Виробництво_Транспортування_1ст!F114</f>
        <v>3376.7635597821932</v>
      </c>
      <c r="F37" s="1878">
        <f t="shared" si="9"/>
        <v>-0.61023956769203502</v>
      </c>
    </row>
    <row r="38" spans="1:8" x14ac:dyDescent="0.25">
      <c r="A38" s="808"/>
      <c r="B38" s="2208"/>
      <c r="C38" s="2208"/>
      <c r="D38" s="2208"/>
      <c r="E38" s="2210"/>
      <c r="F38" s="1497"/>
    </row>
    <row r="39" spans="1:8" x14ac:dyDescent="0.25">
      <c r="A39" s="2205" t="s">
        <v>2138</v>
      </c>
      <c r="B39" s="2209">
        <f>SUM(B40:B48)</f>
        <v>845.76552000000027</v>
      </c>
      <c r="C39" s="2209">
        <f t="shared" ref="C39" si="10">SUM(C40:C48)</f>
        <v>865.52</v>
      </c>
      <c r="D39" s="2209">
        <f t="shared" ref="D39" si="11">SUM(D40:D48)</f>
        <v>914.12000000000012</v>
      </c>
      <c r="E39" s="2209">
        <f t="shared" ref="E39" si="12">SUM(E40:E48)</f>
        <v>452.39715326115987</v>
      </c>
      <c r="F39" s="1878">
        <f>E39/D39-1</f>
        <v>-0.50510091316111683</v>
      </c>
      <c r="G39" s="2204">
        <f>сведено!F5</f>
        <v>452.39715326115993</v>
      </c>
      <c r="H39" s="2224">
        <f>E39-G39</f>
        <v>0</v>
      </c>
    </row>
    <row r="40" spans="1:8" x14ac:dyDescent="0.25">
      <c r="A40" s="808" t="s">
        <v>2195</v>
      </c>
      <c r="B40" s="2208">
        <f>Постачання_1ст!C21</f>
        <v>553.53552000000002</v>
      </c>
      <c r="C40" s="2208">
        <f>Постачання_1ст!D21</f>
        <v>627.33000000000004</v>
      </c>
      <c r="D40" s="2208">
        <f>Постачання_1ст!E21</f>
        <v>612.30999999999995</v>
      </c>
      <c r="E40" s="2208">
        <f>Постачання_1ст!F21</f>
        <v>297.08970999999997</v>
      </c>
      <c r="F40" s="1878">
        <f>E40/D40-1</f>
        <v>-0.51480506606130882</v>
      </c>
    </row>
    <row r="41" spans="1:8" x14ac:dyDescent="0.25">
      <c r="A41" s="808" t="s">
        <v>2196</v>
      </c>
      <c r="B41" s="2208">
        <f>Постачання_1ст!C24</f>
        <v>125.51</v>
      </c>
      <c r="C41" s="2208">
        <f>Постачання_1ст!D24</f>
        <v>127.56</v>
      </c>
      <c r="D41" s="2208">
        <f>Постачання_1ст!E24</f>
        <v>134.71</v>
      </c>
      <c r="E41" s="2208">
        <f>Постачання_1ст!F24</f>
        <v>65.3597362</v>
      </c>
      <c r="F41" s="1878">
        <f t="shared" ref="F41:F48" si="13">E41/D41-1</f>
        <v>-0.51481154925395289</v>
      </c>
    </row>
    <row r="42" spans="1:8" x14ac:dyDescent="0.25">
      <c r="A42" s="808" t="s">
        <v>2197</v>
      </c>
      <c r="B42" s="2208">
        <v>0</v>
      </c>
      <c r="C42" s="2208">
        <v>0</v>
      </c>
      <c r="D42" s="2208">
        <v>0</v>
      </c>
      <c r="E42" s="2208">
        <v>0</v>
      </c>
      <c r="F42" s="1878"/>
    </row>
    <row r="43" spans="1:8" x14ac:dyDescent="0.25">
      <c r="A43" s="808" t="s">
        <v>43</v>
      </c>
      <c r="B43" s="2208">
        <f>Постачання_1ст!C30</f>
        <v>1.32</v>
      </c>
      <c r="C43" s="2208">
        <f>Постачання_1ст!D30</f>
        <v>3.24</v>
      </c>
      <c r="D43" s="2208">
        <f>Постачання_1ст!E30</f>
        <v>1.94</v>
      </c>
      <c r="E43" s="2208">
        <f>Постачання_1ст!F30</f>
        <v>3.2029240991599996</v>
      </c>
      <c r="F43" s="1878"/>
    </row>
    <row r="44" spans="1:8" ht="31.5" x14ac:dyDescent="0.25">
      <c r="A44" s="808" t="s">
        <v>2198</v>
      </c>
      <c r="B44" s="2208">
        <f>Постачання_1ст!C29</f>
        <v>0.19</v>
      </c>
      <c r="C44" s="2208">
        <f>Постачання_1ст!D29</f>
        <v>0.39</v>
      </c>
      <c r="D44" s="2208">
        <f>Постачання_1ст!E29</f>
        <v>0.28000000000000003</v>
      </c>
      <c r="E44" s="2208">
        <f>Постачання_1ст!F29</f>
        <v>0.14000000000000001</v>
      </c>
      <c r="F44" s="1878"/>
    </row>
    <row r="45" spans="1:8" x14ac:dyDescent="0.25">
      <c r="A45" s="808" t="s">
        <v>460</v>
      </c>
      <c r="B45" s="2208">
        <f>Постачання_1ст!C25</f>
        <v>7.51</v>
      </c>
      <c r="C45" s="2208">
        <f>Постачання_1ст!D25</f>
        <v>0</v>
      </c>
      <c r="D45" s="2208">
        <f>Постачання_1ст!E25</f>
        <v>0</v>
      </c>
      <c r="E45" s="2208">
        <f>Постачання_1ст!F25</f>
        <v>0</v>
      </c>
      <c r="F45" s="1878" t="e">
        <f t="shared" si="13"/>
        <v>#DIV/0!</v>
      </c>
    </row>
    <row r="46" spans="1:8" x14ac:dyDescent="0.25">
      <c r="A46" s="808" t="s">
        <v>2199</v>
      </c>
      <c r="B46" s="2208">
        <f>Постачання_1ст!C58</f>
        <v>1.87</v>
      </c>
      <c r="C46" s="2208">
        <f>Постачання_1ст!D58</f>
        <v>2.89</v>
      </c>
      <c r="D46" s="2208">
        <f>Постачання_1ст!E58</f>
        <v>1.99</v>
      </c>
      <c r="E46" s="2208">
        <f>Постачання_1ст!F58</f>
        <v>3.0547300000000002</v>
      </c>
      <c r="F46" s="1878"/>
    </row>
    <row r="47" spans="1:8" x14ac:dyDescent="0.25">
      <c r="A47" s="808" t="s">
        <v>2200</v>
      </c>
      <c r="B47" s="2208">
        <f>Постачання_1ст!C27</f>
        <v>0</v>
      </c>
      <c r="C47" s="2208">
        <f>Постачання_1ст!D27</f>
        <v>0</v>
      </c>
      <c r="D47" s="2208">
        <f>Постачання_1ст!E27</f>
        <v>0</v>
      </c>
      <c r="E47" s="2208">
        <f>Постачання_1ст!F27</f>
        <v>0</v>
      </c>
      <c r="F47" s="1878"/>
    </row>
    <row r="48" spans="1:8" x14ac:dyDescent="0.25">
      <c r="A48" s="808" t="s">
        <v>2201</v>
      </c>
      <c r="B48" s="2208">
        <f>Постачання_1ст!C9-Постачання_1ст!C21-Постачання_1ст!C24-Постачання_1ст!C25-Постачання_1ст!C29-Постачання_1ст!C30-Постачання_1ст!C58</f>
        <v>155.83000000000015</v>
      </c>
      <c r="C48" s="2208">
        <f>Постачання_1ст!D9-Постачання_1ст!D21-Постачання_1ст!D24-Постачання_1ст!D25-Постачання_1ст!D29-Постачання_1ст!D30-Постачання_1ст!D58</f>
        <v>104.10999999999994</v>
      </c>
      <c r="D48" s="2208">
        <f>Постачання_1ст!E9-Постачання_1ст!E21-Постачання_1ст!E24-Постачання_1ст!E25-Постачання_1ст!E29-Постачання_1ст!E30-Постачання_1ст!E58</f>
        <v>162.89000000000004</v>
      </c>
      <c r="E48" s="2208">
        <f>Постачання_1ст!F9-Постачання_1ст!F21-Постачання_1ст!F24-Постачання_1ст!F25-Постачання_1ст!F29-Постачання_1ст!F30-Постачання_1ст!F58</f>
        <v>83.550052961999953</v>
      </c>
      <c r="F48" s="1878">
        <f t="shared" si="13"/>
        <v>-0.48707684350175007</v>
      </c>
    </row>
    <row r="49" spans="1:13" x14ac:dyDescent="0.25">
      <c r="A49" s="808"/>
      <c r="B49" s="2208"/>
      <c r="C49" s="2208"/>
      <c r="D49" s="2208"/>
      <c r="E49" s="2208"/>
      <c r="F49" s="1878"/>
    </row>
    <row r="50" spans="1:13" x14ac:dyDescent="0.25">
      <c r="A50" s="808"/>
      <c r="B50" s="2208"/>
      <c r="C50" s="2208"/>
      <c r="D50" s="2208"/>
      <c r="E50" s="2213" t="s">
        <v>2882</v>
      </c>
      <c r="F50" s="1841" t="s">
        <v>2877</v>
      </c>
      <c r="G50" s="1841" t="s">
        <v>2878</v>
      </c>
      <c r="H50" s="2225" t="s">
        <v>2880</v>
      </c>
      <c r="I50" s="1841" t="s">
        <v>2881</v>
      </c>
      <c r="J50" s="1841" t="s">
        <v>2879</v>
      </c>
    </row>
    <row r="51" spans="1:13" ht="31.5" x14ac:dyDescent="0.25">
      <c r="A51" s="2205" t="s">
        <v>1841</v>
      </c>
      <c r="B51" s="2209">
        <f>SUM(B52:B60)</f>
        <v>5040.0499999999984</v>
      </c>
      <c r="C51" s="2209">
        <f t="shared" ref="C51:E51" si="14">SUM(C52:C60)</f>
        <v>2778.9912099999997</v>
      </c>
      <c r="D51" s="2209">
        <f t="shared" si="14"/>
        <v>3934.04</v>
      </c>
      <c r="E51" s="2209">
        <f t="shared" si="14"/>
        <v>3888.8889964600012</v>
      </c>
      <c r="F51" s="2209">
        <f t="shared" ref="F51" si="15">SUM(F52:F60)</f>
        <v>3002.4645812406711</v>
      </c>
      <c r="G51" s="2209">
        <f t="shared" ref="G51" si="16">SUM(G52:G60)</f>
        <v>818.2855457082386</v>
      </c>
      <c r="H51" s="2226">
        <f t="shared" ref="H51" si="17">SUM(H52:H60)</f>
        <v>296.76719981972008</v>
      </c>
      <c r="I51" s="2209">
        <f t="shared" ref="I51" si="18">SUM(I52:I60)</f>
        <v>521.51834588851841</v>
      </c>
      <c r="J51" s="2209">
        <f t="shared" ref="J51" si="19">SUM(J52:J60)</f>
        <v>68.138869511090121</v>
      </c>
      <c r="L51" s="2204">
        <f>сведено!G6</f>
        <v>3888.8889964600003</v>
      </c>
      <c r="M51" s="2204">
        <f>L51-E51</f>
        <v>0</v>
      </c>
    </row>
    <row r="52" spans="1:13" x14ac:dyDescent="0.25">
      <c r="A52" s="808" t="s">
        <v>2195</v>
      </c>
      <c r="B52" s="2208">
        <f>ЗВВ_1ст!C21</f>
        <v>3430.62</v>
      </c>
      <c r="C52" s="2208">
        <f>ЗВВ_1ст!D21</f>
        <v>1929.58917</v>
      </c>
      <c r="D52" s="2208">
        <f>ЗВВ_1ст!E21</f>
        <v>2620.0300000000002</v>
      </c>
      <c r="E52" s="2208">
        <f>ЗВВ_1ст!F21</f>
        <v>2816.3291200000003</v>
      </c>
      <c r="F52" s="2208">
        <f>ЗВВ_1ст!G21</f>
        <v>2174.381536632704</v>
      </c>
      <c r="G52" s="2208">
        <f>ЗВВ_1ст!H21</f>
        <v>592.60148925593217</v>
      </c>
      <c r="H52" s="2208">
        <f>ЗВВ_1ст!I21</f>
        <v>214.91847863848719</v>
      </c>
      <c r="I52" s="2208">
        <f>ЗВВ_1ст!J21</f>
        <v>377.68301061744489</v>
      </c>
      <c r="J52" s="2208">
        <f>ЗВВ_1ст!K21</f>
        <v>49.346094111364039</v>
      </c>
    </row>
    <row r="53" spans="1:13" x14ac:dyDescent="0.25">
      <c r="A53" s="808" t="s">
        <v>2196</v>
      </c>
      <c r="B53" s="2208">
        <f>ЗВВ_1ст!C23</f>
        <v>732.79</v>
      </c>
      <c r="C53" s="2208">
        <f>ЗВВ_1ст!D23</f>
        <v>403.83378000000005</v>
      </c>
      <c r="D53" s="2208">
        <f>ЗВВ_1ст!E23</f>
        <v>576.41</v>
      </c>
      <c r="E53" s="2208">
        <f>ЗВВ_1ст!F23</f>
        <v>619.59240640000007</v>
      </c>
      <c r="F53" s="2208">
        <f>ЗВВ_1ст!G23</f>
        <v>478.36393805919488</v>
      </c>
      <c r="G53" s="2208">
        <f>ЗВВ_1ст!H23</f>
        <v>130.37232763630507</v>
      </c>
      <c r="H53" s="2208">
        <f>ЗВВ_1ст!I23</f>
        <v>47.282065300467181</v>
      </c>
      <c r="I53" s="2208">
        <f>ЗВВ_1ст!J23</f>
        <v>83.090262335837878</v>
      </c>
      <c r="J53" s="2208">
        <f>ЗВВ_1ст!K23</f>
        <v>10.856140704500088</v>
      </c>
    </row>
    <row r="54" spans="1:13" x14ac:dyDescent="0.25">
      <c r="A54" s="808" t="s">
        <v>2197</v>
      </c>
      <c r="B54" s="2208">
        <f>ЗВВ_1ст!F82</f>
        <v>0</v>
      </c>
      <c r="C54" s="2208">
        <f>ЗВВ_1ст!G82</f>
        <v>0</v>
      </c>
      <c r="D54" s="2208">
        <f>ЗВВ_1ст!H82</f>
        <v>0</v>
      </c>
      <c r="E54" s="2208">
        <f>ЗВВ_1ст!I82</f>
        <v>0</v>
      </c>
      <c r="F54" s="2208">
        <f>ЗВВ_1ст!J82</f>
        <v>0</v>
      </c>
      <c r="G54" s="2208">
        <f>ЗВВ_1ст!K82</f>
        <v>0</v>
      </c>
      <c r="H54" s="2208">
        <f>ЗВВ_1ст!L82</f>
        <v>0</v>
      </c>
      <c r="I54" s="2208">
        <f>ЗВВ_1ст!M82</f>
        <v>0</v>
      </c>
      <c r="J54" s="2208">
        <f>ЗВВ_1ст!N82</f>
        <v>0</v>
      </c>
    </row>
    <row r="55" spans="1:13" x14ac:dyDescent="0.25">
      <c r="A55" s="808" t="s">
        <v>43</v>
      </c>
      <c r="B55" s="2208">
        <f>ЗВВ_1ст!C28</f>
        <v>18.71</v>
      </c>
      <c r="C55" s="2208">
        <f>ЗВВ_1ст!D28</f>
        <v>19.109249999999999</v>
      </c>
      <c r="D55" s="2208">
        <f>ЗВВ_1ст!E28</f>
        <v>23.09</v>
      </c>
      <c r="E55" s="2208">
        <f>ЗВВ_1ст!F28</f>
        <v>31.433950860000003</v>
      </c>
      <c r="F55" s="2208">
        <f>ЗВВ_1ст!G28</f>
        <v>24.268968384420816</v>
      </c>
      <c r="G55" s="2208">
        <f>ЗВВ_1ст!H28</f>
        <v>6.6142149227338134</v>
      </c>
      <c r="H55" s="2208">
        <f>ЗВВ_1ст!I28</f>
        <v>2.398773938902484</v>
      </c>
      <c r="I55" s="2208">
        <f>ЗВВ_1ст!J28</f>
        <v>4.2154409838313285</v>
      </c>
      <c r="J55" s="2208">
        <f>ЗВВ_1ст!K28</f>
        <v>0.55076755284536938</v>
      </c>
      <c r="K55" s="2208"/>
    </row>
    <row r="56" spans="1:13" ht="31.5" x14ac:dyDescent="0.25">
      <c r="A56" s="808" t="s">
        <v>2198</v>
      </c>
      <c r="B56" s="2208">
        <f>ЗВВ_1ст!C27</f>
        <v>0.69000000000000006</v>
      </c>
      <c r="C56" s="2208">
        <f>ЗВВ_1ст!D27</f>
        <v>3.6519899999999996</v>
      </c>
      <c r="D56" s="2208">
        <f>ЗВВ_1ст!E27</f>
        <v>0.56000000000000005</v>
      </c>
      <c r="E56" s="2208">
        <f>ЗВВ_1ст!F27</f>
        <v>3.8479999999999999</v>
      </c>
      <c r="F56" s="2208">
        <f>ЗВВ_1ст!G27</f>
        <v>2.9708957286081121</v>
      </c>
      <c r="G56" s="2208">
        <f>ЗВВ_1ст!H27</f>
        <v>0.80968183528806692</v>
      </c>
      <c r="H56" s="2208">
        <f>ЗВВ_1ст!I27</f>
        <v>0.2936468965675782</v>
      </c>
      <c r="I56" s="2208">
        <f>ЗВВ_1ст!J27</f>
        <v>0.51603493872048867</v>
      </c>
      <c r="J56" s="2208">
        <f>ЗВВ_1ст!K27</f>
        <v>6.7422436103820413E-2</v>
      </c>
    </row>
    <row r="57" spans="1:13" x14ac:dyDescent="0.25">
      <c r="A57" s="808" t="s">
        <v>460</v>
      </c>
      <c r="B57" s="2208">
        <f>ЗВВ_1ст!C37</f>
        <v>59.46</v>
      </c>
      <c r="C57" s="2208">
        <f>ЗВВ_1ст!D37</f>
        <v>20.794790000000003</v>
      </c>
      <c r="D57" s="2208">
        <f>ЗВВ_1ст!E37</f>
        <v>35.75</v>
      </c>
      <c r="E57" s="2208">
        <f>ЗВВ_1ст!F37</f>
        <v>24.291</v>
      </c>
      <c r="F57" s="2208">
        <f>ЗВВ_1ст!G37</f>
        <v>18.754165317988477</v>
      </c>
      <c r="G57" s="2208">
        <f>ЗВВ_1ст!H37</f>
        <v>5.1112217933946038</v>
      </c>
      <c r="H57" s="2208">
        <f>ЗВВ_1ст!I37</f>
        <v>1.8536841903646162</v>
      </c>
      <c r="I57" s="2208">
        <f>ЗВВ_1ст!J37</f>
        <v>3.257537603029987</v>
      </c>
      <c r="J57" s="2208">
        <f>ЗВВ_1ст!K37</f>
        <v>0.42561288861691837</v>
      </c>
    </row>
    <row r="58" spans="1:13" x14ac:dyDescent="0.25">
      <c r="A58" s="808" t="s">
        <v>2199</v>
      </c>
      <c r="B58" s="2208">
        <f>ЗВВ_1ст!C65</f>
        <v>6.33</v>
      </c>
      <c r="C58" s="2208">
        <f>ЗВВ_1ст!D65</f>
        <v>0.99</v>
      </c>
      <c r="D58" s="2208">
        <f>ЗВВ_1ст!E65</f>
        <v>5.54</v>
      </c>
      <c r="E58" s="2208">
        <f>ЗВВ_1ст!F65</f>
        <v>1.0049999999999999</v>
      </c>
      <c r="F58" s="2208">
        <f>ЗВВ_1ст!G65</f>
        <v>0.77592261103200433</v>
      </c>
      <c r="G58" s="2208">
        <f>ЗВВ_1ст!H65</f>
        <v>0.21146835874857256</v>
      </c>
      <c r="H58" s="2208">
        <f>ЗВВ_1ст!I65</f>
        <v>7.6693121374848253E-2</v>
      </c>
      <c r="I58" s="2208">
        <f>ЗВВ_1ст!J65</f>
        <v>0.13477523737372429</v>
      </c>
      <c r="J58" s="2208">
        <f>ЗВВ_1ст!K65</f>
        <v>1.760903021942295E-2</v>
      </c>
    </row>
    <row r="59" spans="1:13" x14ac:dyDescent="0.25">
      <c r="A59" s="808" t="s">
        <v>2200</v>
      </c>
      <c r="B59" s="2208">
        <f>ЗВВ_1ст!C25</f>
        <v>33.58</v>
      </c>
      <c r="C59" s="2208">
        <f>ЗВВ_1ст!D25</f>
        <v>5.89635</v>
      </c>
      <c r="D59" s="2208">
        <f>ЗВВ_1ст!E25</f>
        <v>20.260000000000002</v>
      </c>
      <c r="E59" s="2208">
        <f>ЗВВ_1ст!F25</f>
        <v>6.891</v>
      </c>
      <c r="F59" s="2208">
        <f>ЗВВ_1ст!G25</f>
        <v>5.3202813060910863</v>
      </c>
      <c r="G59" s="2208">
        <f>ЗВВ_1ст!H25</f>
        <v>1.4499785672999141</v>
      </c>
      <c r="H59" s="2208">
        <f>ЗВВ_1ст!I25</f>
        <v>0.52586298447172075</v>
      </c>
      <c r="I59" s="2208">
        <f>ЗВВ_1ст!J25</f>
        <v>0.92411558282819317</v>
      </c>
      <c r="J59" s="2208">
        <f>ЗВВ_1ст!K25</f>
        <v>0.12074012660899858</v>
      </c>
    </row>
    <row r="60" spans="1:13" x14ac:dyDescent="0.25">
      <c r="A60" s="808" t="s">
        <v>2201</v>
      </c>
      <c r="B60" s="2208">
        <f>ЗВВ_1ст!C8-ЗВВ_1ст!C21-ЗВВ_1ст!C23-ЗВВ_1ст!C25-ЗВВ_1ст!C27-ЗВВ_1ст!C28-ЗВВ_1ст!C37-ЗВВ_1ст!C65</f>
        <v>757.86999999999921</v>
      </c>
      <c r="C60" s="2208">
        <f>ЗВВ_1ст!D8-ЗВВ_1ст!D21-ЗВВ_1ст!D23-ЗВВ_1ст!D25-ЗВВ_1ст!D27-ЗВВ_1ст!D28-ЗВВ_1ст!D37-ЗВВ_1ст!D65</f>
        <v>395.12588000000017</v>
      </c>
      <c r="D60" s="2208">
        <f>ЗВВ_1ст!E8-ЗВВ_1ст!E21-ЗВВ_1ст!E23-ЗВВ_1ст!E25-ЗВВ_1ст!E27-ЗВВ_1ст!E28-ЗВВ_1ст!E37-ЗВВ_1ст!E65</f>
        <v>652.39999999999986</v>
      </c>
      <c r="E60" s="2208">
        <f>ЗВВ_1ст!F8-ЗВВ_1ст!F21-ЗВВ_1ст!F23-ЗВВ_1ст!F25-ЗВВ_1ст!F27-ЗВВ_1ст!F28-ЗВВ_1ст!F37-ЗВВ_1ст!F65</f>
        <v>385.49851920000032</v>
      </c>
      <c r="F60" s="2208">
        <f>ЗВВ_1ст!G8-ЗВВ_1ст!G21-ЗВВ_1ст!G23-ЗВВ_1ст!G25-ЗВВ_1ст!G27-ЗВВ_1ст!G28-ЗВВ_1ст!G37-ЗВВ_1ст!G65</f>
        <v>297.6288732006318</v>
      </c>
      <c r="G60" s="2208">
        <f>ЗВВ_1ст!H8-ЗВВ_1ст!H21-ЗВВ_1ст!H23-ЗВВ_1ст!H25-ЗВВ_1ст!H27-ЗВВ_1ст!H28-ЗВВ_1ст!H37-ЗВВ_1ст!H65</f>
        <v>81.115163338536405</v>
      </c>
      <c r="H60" s="2208">
        <f>ЗВВ_1ст!I8-ЗВВ_1ст!I21-ЗВВ_1ст!I23-ЗВВ_1ст!I25-ЗВВ_1ст!I27-ЗВВ_1ст!I28-ЗВВ_1ст!I37-ЗВВ_1ст!I65</f>
        <v>29.417994749084514</v>
      </c>
      <c r="I60" s="2208">
        <f>ЗВВ_1ст!J8-ЗВВ_1ст!J21-ЗВВ_1ст!J23-ЗВВ_1ст!J25-ЗВВ_1ст!J27-ЗВВ_1ст!J28-ЗВВ_1ст!J37-ЗВВ_1ст!J65</f>
        <v>51.69716858945192</v>
      </c>
      <c r="J60" s="2208">
        <f>ЗВВ_1ст!K8-ЗВВ_1ст!K21-ЗВВ_1ст!K23-ЗВВ_1ст!K25-ЗВВ_1ст!K27-ЗВВ_1ст!K28-ЗВВ_1ст!K37-ЗВВ_1ст!K65</f>
        <v>6.7544826608314503</v>
      </c>
    </row>
    <row r="61" spans="1:13" x14ac:dyDescent="0.25">
      <c r="A61" s="808"/>
      <c r="B61" s="2208"/>
      <c r="C61" s="2208"/>
      <c r="D61" s="2208"/>
      <c r="E61" s="2208"/>
      <c r="F61" s="2208"/>
      <c r="G61" s="2208"/>
      <c r="H61" s="2227"/>
      <c r="I61" s="2208"/>
      <c r="J61" s="2208"/>
    </row>
    <row r="62" spans="1:13" x14ac:dyDescent="0.25">
      <c r="A62" s="808"/>
      <c r="B62" s="2208"/>
      <c r="C62" s="2208"/>
      <c r="D62" s="2208"/>
      <c r="E62" s="2213" t="s">
        <v>2882</v>
      </c>
      <c r="F62" s="1841" t="s">
        <v>2877</v>
      </c>
      <c r="G62" s="1841" t="s">
        <v>2878</v>
      </c>
      <c r="H62" s="2225" t="s">
        <v>2880</v>
      </c>
      <c r="I62" s="1841" t="s">
        <v>2881</v>
      </c>
      <c r="J62" s="1841" t="s">
        <v>2879</v>
      </c>
    </row>
    <row r="63" spans="1:13" x14ac:dyDescent="0.25">
      <c r="A63" s="2205" t="s">
        <v>1842</v>
      </c>
      <c r="B63" s="2209">
        <f>SUM(B64:B72)</f>
        <v>1348.19</v>
      </c>
      <c r="C63" s="2209">
        <f t="shared" ref="C63" si="20">SUM(C64:C72)</f>
        <v>953.57299999999998</v>
      </c>
      <c r="D63" s="2209">
        <f t="shared" ref="D63" si="21">SUM(D64:D72)</f>
        <v>1568.4799999999998</v>
      </c>
      <c r="E63" s="2209">
        <f t="shared" ref="E63" si="22">SUM(E64:E72)</f>
        <v>1192.11437755</v>
      </c>
      <c r="F63" s="2206">
        <f t="shared" ref="F63" si="23">SUM(F64:F72)</f>
        <v>920.38656763919244</v>
      </c>
      <c r="G63" s="2206">
        <f t="shared" ref="G63" si="24">SUM(G64:G72)</f>
        <v>250.84026951350717</v>
      </c>
      <c r="H63" s="2228">
        <f t="shared" ref="H63" si="25">SUM(H64:H72)</f>
        <v>90.972112089695358</v>
      </c>
      <c r="I63" s="2206">
        <f t="shared" ref="I63" si="26">SUM(I64:I72)</f>
        <v>159.86815742381179</v>
      </c>
      <c r="J63" s="2206">
        <f t="shared" ref="J63" si="27">SUM(J64:J72)</f>
        <v>20.887540397300036</v>
      </c>
      <c r="L63" s="2204">
        <f>сведено!G7</f>
        <v>1192.11437755</v>
      </c>
      <c r="M63" s="2204">
        <f>E63-L63</f>
        <v>0</v>
      </c>
    </row>
    <row r="64" spans="1:13" x14ac:dyDescent="0.25">
      <c r="A64" s="808" t="s">
        <v>2195</v>
      </c>
      <c r="B64" s="2208">
        <f>Адміністративні_1ст!C21</f>
        <v>839.58</v>
      </c>
      <c r="C64" s="2208">
        <f>Адміністративні_1ст!D21</f>
        <v>528.24</v>
      </c>
      <c r="D64" s="2208">
        <f>Адміністративні_1ст!E21</f>
        <v>976.7</v>
      </c>
      <c r="E64" s="2208">
        <f>Адміністративні_1ст!F21</f>
        <v>659.72301000000004</v>
      </c>
      <c r="F64" s="2208">
        <f>Адміністративні_1ст!G21</f>
        <v>509.34726415631161</v>
      </c>
      <c r="G64" s="2208">
        <f>Адміністративні_1ст!H21</f>
        <v>138.81645985409767</v>
      </c>
      <c r="H64" s="2208">
        <f>Адміністративні_1ст!I21</f>
        <v>50.344494407671881</v>
      </c>
      <c r="I64" s="2208">
        <f>Адміністративні_1ст!J21</f>
        <v>88.47196544642577</v>
      </c>
      <c r="J64" s="2208">
        <f>Адміністративні_1ст!K21</f>
        <v>11.559285989590718</v>
      </c>
    </row>
    <row r="65" spans="1:10" x14ac:dyDescent="0.25">
      <c r="A65" s="808" t="s">
        <v>2196</v>
      </c>
      <c r="B65" s="2208">
        <f>Адміністративні_1ст!C23</f>
        <v>182.06</v>
      </c>
      <c r="C65" s="2208">
        <f>Адміністративні_1ст!D23</f>
        <v>113.28400000000001</v>
      </c>
      <c r="D65" s="2208">
        <f>Адміністративні_1ст!E23</f>
        <v>214.88</v>
      </c>
      <c r="E65" s="2208">
        <f>Адміністративні_1ст!F23</f>
        <v>145.13906220000001</v>
      </c>
      <c r="F65" s="2208">
        <f>Адміністративні_1ст!G23</f>
        <v>112.05639811438856</v>
      </c>
      <c r="G65" s="2208">
        <f>Адміністративні_1ст!H23</f>
        <v>30.539621167901487</v>
      </c>
      <c r="H65" s="2208">
        <f>Адміністративні_1ст!I23</f>
        <v>11.075788769687813</v>
      </c>
      <c r="I65" s="2208">
        <f>Адміністративні_1ст!J23</f>
        <v>19.463832398213668</v>
      </c>
      <c r="J65" s="2208">
        <f>Адміністративні_1ст!K23</f>
        <v>2.5430429177099581</v>
      </c>
    </row>
    <row r="66" spans="1:10" x14ac:dyDescent="0.25">
      <c r="A66" s="808" t="s">
        <v>2197</v>
      </c>
      <c r="B66" s="2208">
        <v>0</v>
      </c>
      <c r="C66" s="2208">
        <v>0</v>
      </c>
      <c r="D66" s="2208">
        <v>0</v>
      </c>
      <c r="E66" s="2208">
        <v>0</v>
      </c>
      <c r="F66" s="2208">
        <v>0</v>
      </c>
      <c r="G66" s="2208">
        <v>0</v>
      </c>
      <c r="H66" s="2208">
        <v>0</v>
      </c>
      <c r="I66" s="2208">
        <v>0</v>
      </c>
      <c r="J66" s="2208">
        <v>0</v>
      </c>
    </row>
    <row r="67" spans="1:10" x14ac:dyDescent="0.25">
      <c r="A67" s="808" t="s">
        <v>43</v>
      </c>
      <c r="B67" s="2208">
        <f>Адміністративні_1ст!C28</f>
        <v>15.4</v>
      </c>
      <c r="C67" s="2208">
        <f>Адміністративні_1ст!D28</f>
        <v>19.462</v>
      </c>
      <c r="D67" s="2208">
        <f>Адміністративні_1ст!E28</f>
        <v>19.12</v>
      </c>
      <c r="E67" s="2208">
        <f>Адміністративні_1ст!F28</f>
        <v>25.651</v>
      </c>
      <c r="F67" s="2208">
        <f>Адміністративні_1ст!G28</f>
        <v>19.804170045355168</v>
      </c>
      <c r="G67" s="2208">
        <f>Адміністративні_1ст!H28</f>
        <v>5.3973879306066026</v>
      </c>
      <c r="H67" s="2208">
        <f>Адміністративні_1ст!I28</f>
        <v>1.9574679168022218</v>
      </c>
      <c r="I67" s="2208">
        <f>Адміністративні_1ст!J28</f>
        <v>3.4399200138043802</v>
      </c>
      <c r="J67" s="2208">
        <f>Адміністративні_1ст!K28</f>
        <v>0.44944202403822703</v>
      </c>
    </row>
    <row r="68" spans="1:10" ht="31.5" x14ac:dyDescent="0.25">
      <c r="A68" s="808" t="s">
        <v>2198</v>
      </c>
      <c r="B68" s="2208">
        <f>Адміністративні_1ст!C27</f>
        <v>1.07</v>
      </c>
      <c r="C68" s="2208">
        <f>Адміністративні_1ст!D27</f>
        <v>0.84899999999999998</v>
      </c>
      <c r="D68" s="2208">
        <f>Адміністративні_1ст!E27</f>
        <v>1.22</v>
      </c>
      <c r="E68" s="2208">
        <f>Адміністративні_1ст!F27</f>
        <v>1.119</v>
      </c>
      <c r="F68" s="2208">
        <f>Адміністративні_1ст!G27</f>
        <v>0.86393771317891832</v>
      </c>
      <c r="G68" s="2208">
        <f>Адміністративні_1ст!H27</f>
        <v>0.23545581436781365</v>
      </c>
      <c r="H68" s="2208">
        <f>Адміністративні_1ст!I27</f>
        <v>8.5392639620353442E-2</v>
      </c>
      <c r="I68" s="2208">
        <f>Адміністративні_1ст!J27</f>
        <v>0.1500631747474602</v>
      </c>
      <c r="J68" s="2208">
        <f>Адміністративні_1ст!K27</f>
        <v>1.9606472453267944E-2</v>
      </c>
    </row>
    <row r="69" spans="1:10" x14ac:dyDescent="0.25">
      <c r="A69" s="808" t="s">
        <v>460</v>
      </c>
      <c r="B69" s="2208">
        <f>Адміністративні_1ст!C36</f>
        <v>21.75</v>
      </c>
      <c r="C69" s="2208">
        <f>Адміністративні_1ст!D36</f>
        <v>16.201000000000001</v>
      </c>
      <c r="D69" s="2208">
        <f>Адміністративні_1ст!E36</f>
        <v>24.78</v>
      </c>
      <c r="E69" s="2208">
        <f>Адміністративні_1ст!F36</f>
        <v>21.353000000000002</v>
      </c>
      <c r="F69" s="2208">
        <f>Адміністративні_1ст!G36</f>
        <v>16.485846281956608</v>
      </c>
      <c r="G69" s="2208">
        <f>Адміністративні_1ст!H36</f>
        <v>4.4930187705057421</v>
      </c>
      <c r="H69" s="2208">
        <f>Адміністративні_1ст!I36</f>
        <v>1.6294808166339654</v>
      </c>
      <c r="I69" s="2208">
        <f>Адміністративні_1ст!J36</f>
        <v>2.8635379538717762</v>
      </c>
      <c r="J69" s="2208">
        <f>Адміністративні_1ст!K36</f>
        <v>0.37413494753765009</v>
      </c>
    </row>
    <row r="70" spans="1:10" x14ac:dyDescent="0.25">
      <c r="A70" s="808" t="s">
        <v>2199</v>
      </c>
      <c r="B70" s="2208">
        <f>Адміністративні_1ст!C57</f>
        <v>49.87</v>
      </c>
      <c r="C70" s="2208">
        <f>Адміністративні_1ст!D57</f>
        <v>24.954000000000001</v>
      </c>
      <c r="D70" s="2208">
        <f>Адміністративні_1ст!E57</f>
        <v>56.77</v>
      </c>
      <c r="E70" s="2208">
        <f>Адміністративні_1ст!F57</f>
        <v>32.89</v>
      </c>
      <c r="F70" s="2208">
        <f>Адміністративні_1ст!G57</f>
        <v>25.393129031684204</v>
      </c>
      <c r="G70" s="2208">
        <f>Адміністративні_1ст!H57</f>
        <v>6.9205913624284108</v>
      </c>
      <c r="H70" s="2208">
        <f>Адміністративні_1ст!I57</f>
        <v>2.5098873253918006</v>
      </c>
      <c r="I70" s="2208">
        <f>Адміністративні_1ст!J57</f>
        <v>4.4107040370366093</v>
      </c>
      <c r="J70" s="2208">
        <f>Адміністративні_1ст!K57</f>
        <v>0.57627960588738403</v>
      </c>
    </row>
    <row r="71" spans="1:10" x14ac:dyDescent="0.25">
      <c r="A71" s="808" t="s">
        <v>2200</v>
      </c>
      <c r="B71" s="2208">
        <f>Адміністративні_1ст!C25</f>
        <v>73.650000000000006</v>
      </c>
      <c r="C71" s="2208">
        <f>Адміністративні_1ст!D25</f>
        <v>136.227</v>
      </c>
      <c r="D71" s="2208">
        <f>Адміністративні_1ст!E25</f>
        <v>83.85</v>
      </c>
      <c r="E71" s="2208">
        <f>Адміністративні_1ст!F25</f>
        <v>174.66499999999999</v>
      </c>
      <c r="F71" s="2208">
        <f>Адміністративні_1ст!G25</f>
        <v>134.85226154816422</v>
      </c>
      <c r="G71" s="2208">
        <f>Адміністративні_1ст!H25</f>
        <v>36.75235908539247</v>
      </c>
      <c r="H71" s="2208">
        <f>Адміністративні_1ст!I25</f>
        <v>13.3289592486944</v>
      </c>
      <c r="I71" s="2208">
        <f>Адміністративні_1ст!J25</f>
        <v>23.423399836698064</v>
      </c>
      <c r="J71" s="2208">
        <f>Адміністративні_1ст!K25</f>
        <v>3.0603793664432937</v>
      </c>
    </row>
    <row r="72" spans="1:10" x14ac:dyDescent="0.25">
      <c r="A72" s="808" t="s">
        <v>2201</v>
      </c>
      <c r="B72" s="2208">
        <f>Адміністративні_1ст!C8-Адміністративні_1ст!C21-Адміністративні_1ст!C23-Адміністративні_1ст!C25-Адміністративні_1ст!C28-Адміністративні_1ст!C27-Адміністративні_1ст!C36-Адміністративні_1ст!C57</f>
        <v>164.81</v>
      </c>
      <c r="C72" s="2208">
        <f>Адміністративні_1ст!D8-Адміністративні_1ст!D21-Адміністративні_1ст!D23-Адміністративні_1ст!D25-Адміністративні_1ст!D28-Адміністративні_1ст!D27-Адміністративні_1ст!D36-Адміністративні_1ст!D57</f>
        <v>114.35599999999999</v>
      </c>
      <c r="D72" s="2208">
        <f>Адміністративні_1ст!E8-Адміністративні_1ст!E21-Адміністративні_1ст!E23-Адміністративні_1ст!E25-Адміністративні_1ст!E28-Адміністративні_1ст!E27-Адміністративні_1ст!E36-Адміністративні_1ст!E57</f>
        <v>191.16000000000014</v>
      </c>
      <c r="E72" s="2208">
        <f>Адміністративні_1ст!F8-Адміністративні_1ст!F21-Адміністративні_1ст!F23-Адміністративні_1ст!F25-Адміністративні_1ст!F28-Адміністративні_1ст!F27-Адміністративні_1ст!F36-Адміністративні_1ст!F57</f>
        <v>131.57430535000015</v>
      </c>
      <c r="F72" s="2208">
        <f>Адміністративні_1ст!G8-Адміністративні_1ст!G21-Адміністративні_1ст!G23-Адміністративні_1ст!G25-Адміністративні_1ст!G28-Адміністративні_1ст!G27-Адміністративні_1ст!G36-Адміністративні_1ст!G57</f>
        <v>101.58356074815336</v>
      </c>
      <c r="G72" s="2208">
        <f>Адміністративні_1ст!H8-Адміністративні_1ст!H21-Адміністративні_1ст!H23-Адміністративні_1ст!H25-Адміністративні_1ст!H28-Адміністративні_1ст!H27-Адміністративні_1ст!H36-Адміністративні_1ст!H57</f>
        <v>27.685375528206968</v>
      </c>
      <c r="H72" s="2208">
        <f>Адміністративні_1ст!I8-Адміністративні_1ст!I21-Адміністративні_1ст!I23-Адміністративні_1ст!I25-Адміністративні_1ст!I28-Адміністративні_1ст!I27-Адміністративні_1ст!I36-Адміністративні_1ст!I57</f>
        <v>10.040640965192924</v>
      </c>
      <c r="I72" s="2208">
        <f>Адміністративні_1ст!J8-Адміністративні_1ст!J21-Адміністративні_1ст!J23-Адміністративні_1ст!J25-Адміністративні_1ст!J28-Адміністративні_1ст!J27-Адміністративні_1ст!J36-Адміністративні_1ст!J57</f>
        <v>17.644734563014069</v>
      </c>
      <c r="J72" s="2208">
        <f>Адміністративні_1ст!K8-Адміністративні_1ст!K21-Адміністративні_1ст!K23-Адміністративні_1ст!K25-Адміністративні_1ст!K28-Адміністративні_1ст!K27-Адміністративні_1ст!K36-Адміністративні_1ст!K57</f>
        <v>2.3053690736395378</v>
      </c>
    </row>
  </sheetData>
  <mergeCells count="1">
    <mergeCell ref="H1:H2"/>
  </mergeCells>
  <pageMargins left="0.7" right="0.7" top="0.75" bottom="0.75" header="0.3" footer="0.3"/>
  <pageSetup paperSize="9" scale="66" orientation="landscape" r:id="rId1"/>
  <rowBreaks count="1" manualBreakCount="1">
    <brk id="29"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AS90"/>
  <sheetViews>
    <sheetView view="pageBreakPreview" topLeftCell="B40" zoomScaleNormal="110" zoomScaleSheetLayoutView="100" workbookViewId="0">
      <selection activeCell="X46" sqref="X46"/>
    </sheetView>
  </sheetViews>
  <sheetFormatPr defaultColWidth="9.140625" defaultRowHeight="15" x14ac:dyDescent="0.25"/>
  <cols>
    <col min="1" max="1" width="5" style="135" hidden="1" customWidth="1"/>
    <col min="2" max="2" width="6.28515625" style="135" customWidth="1"/>
    <col min="3" max="3" width="39.7109375" style="118" customWidth="1"/>
    <col min="4" max="4" width="8.28515625" style="118" customWidth="1"/>
    <col min="5" max="5" width="9.85546875" style="118" bestFit="1" customWidth="1"/>
    <col min="6" max="6" width="8.85546875" style="118" bestFit="1" customWidth="1"/>
    <col min="7" max="7" width="10" style="118" bestFit="1" customWidth="1"/>
    <col min="8" max="8" width="7.5703125" style="118" bestFit="1" customWidth="1"/>
    <col min="9" max="9" width="8.85546875" style="118" customWidth="1"/>
    <col min="10" max="10" width="9" style="118" bestFit="1" customWidth="1"/>
    <col min="11" max="11" width="9.85546875" style="118" customWidth="1"/>
    <col min="12" max="12" width="8.7109375" style="118" customWidth="1"/>
    <col min="13" max="13" width="6.28515625" style="118" customWidth="1"/>
    <col min="14" max="14" width="6.140625" style="118" bestFit="1" customWidth="1"/>
    <col min="15" max="15" width="7.42578125" style="118" bestFit="1" customWidth="1"/>
    <col min="16" max="16" width="8.28515625" style="118" customWidth="1"/>
    <col min="17" max="17" width="9.28515625" style="118" customWidth="1"/>
    <col min="18" max="18" width="8.140625" style="118" bestFit="1" customWidth="1"/>
    <col min="19" max="19" width="9.140625" style="118" customWidth="1"/>
    <col min="20" max="20" width="7.42578125" style="118" customWidth="1"/>
    <col min="21" max="21" width="8.140625" style="118" bestFit="1" customWidth="1"/>
    <col min="22" max="22" width="10" style="118" bestFit="1" customWidth="1"/>
    <col min="23" max="23" width="9" style="118" bestFit="1" customWidth="1"/>
    <col min="24" max="24" width="8.42578125" style="118" customWidth="1"/>
    <col min="25" max="25" width="13.7109375" style="156" customWidth="1"/>
    <col min="26" max="26" width="10.140625" style="118" customWidth="1"/>
    <col min="27" max="27" width="9.140625" style="118"/>
    <col min="28" max="28" width="12.140625" style="2038" bestFit="1" customWidth="1"/>
    <col min="29" max="29" width="9.85546875" style="2038" customWidth="1"/>
    <col min="30" max="30" width="10.140625" style="2038" customWidth="1"/>
    <col min="31" max="31" width="10.28515625" style="2038" customWidth="1"/>
    <col min="32" max="32" width="13.7109375" style="2038" customWidth="1"/>
    <col min="33" max="33" width="9.140625" style="118"/>
    <col min="34" max="38" width="10.7109375" style="2053" bestFit="1" customWidth="1"/>
    <col min="39" max="39" width="5.7109375" style="2053" customWidth="1"/>
    <col min="40" max="41" width="10.7109375" style="118" bestFit="1" customWidth="1"/>
    <col min="42" max="16384" width="9.140625" style="118"/>
  </cols>
  <sheetData>
    <row r="1" spans="1:45" s="114" customFormat="1" ht="32.450000000000003" customHeight="1" x14ac:dyDescent="0.25">
      <c r="A1" s="112"/>
      <c r="B1" s="2766"/>
      <c r="C1" s="2767"/>
      <c r="D1" s="2764"/>
      <c r="E1" s="2764"/>
      <c r="F1" s="2764"/>
      <c r="G1" s="2764"/>
      <c r="H1" s="2764"/>
      <c r="I1" s="2764"/>
      <c r="J1" s="2764"/>
      <c r="K1" s="2764"/>
      <c r="L1" s="2764"/>
      <c r="M1" s="2764"/>
      <c r="N1" s="2764"/>
      <c r="O1" s="2764"/>
      <c r="P1" s="2819"/>
      <c r="Q1" s="2819"/>
      <c r="R1" s="2819"/>
      <c r="S1" s="3718" t="s">
        <v>3238</v>
      </c>
      <c r="T1" s="3718"/>
      <c r="U1" s="3718"/>
      <c r="V1" s="3718"/>
      <c r="W1" s="3718"/>
      <c r="X1" s="3718"/>
      <c r="Y1" s="852" t="s">
        <v>644</v>
      </c>
      <c r="AB1" s="2036"/>
      <c r="AC1" s="2036"/>
      <c r="AD1" s="2036"/>
      <c r="AE1" s="2036"/>
      <c r="AF1" s="2036"/>
      <c r="AH1" s="2051"/>
      <c r="AI1" s="2051"/>
      <c r="AJ1" s="2051"/>
      <c r="AK1" s="2051"/>
      <c r="AL1" s="2051"/>
      <c r="AM1" s="2051"/>
    </row>
    <row r="2" spans="1:45" s="114" customFormat="1" ht="13.9" customHeight="1" x14ac:dyDescent="0.25">
      <c r="A2" s="112"/>
      <c r="B2" s="2766"/>
      <c r="C2" s="2767"/>
      <c r="D2" s="2764"/>
      <c r="E2" s="2764"/>
      <c r="F2" s="2764"/>
      <c r="G2" s="2764"/>
      <c r="H2" s="2764"/>
      <c r="I2" s="2764"/>
      <c r="J2" s="2764"/>
      <c r="K2" s="2764"/>
      <c r="L2" s="2764"/>
      <c r="M2" s="2764"/>
      <c r="N2" s="2764"/>
      <c r="O2" s="2764"/>
      <c r="P2" s="2819"/>
      <c r="Q2" s="2819"/>
      <c r="R2" s="2819"/>
      <c r="S2" s="3732" t="str">
        <f>'Вхідні дані'!F1</f>
        <v>станом на 01.08.2023 року</v>
      </c>
      <c r="T2" s="3732"/>
      <c r="U2" s="3732"/>
      <c r="V2" s="3732"/>
      <c r="W2" s="3732"/>
      <c r="X2" s="3732"/>
      <c r="Y2" s="852"/>
      <c r="AB2" s="2036"/>
      <c r="AC2" s="2036"/>
      <c r="AD2" s="2036"/>
      <c r="AE2" s="2036"/>
      <c r="AF2" s="2036"/>
      <c r="AH2" s="2051"/>
      <c r="AI2" s="2051"/>
      <c r="AJ2" s="2051"/>
      <c r="AK2" s="2051"/>
      <c r="AL2" s="2051"/>
      <c r="AM2" s="2051"/>
    </row>
    <row r="3" spans="1:45" s="114" customFormat="1" x14ac:dyDescent="0.25">
      <c r="A3" s="112"/>
      <c r="B3" s="2766"/>
      <c r="C3" s="3719" t="s">
        <v>451</v>
      </c>
      <c r="D3" s="3719"/>
      <c r="E3" s="3719"/>
      <c r="F3" s="3719"/>
      <c r="G3" s="3719"/>
      <c r="H3" s="3719"/>
      <c r="I3" s="3719"/>
      <c r="J3" s="3719"/>
      <c r="K3" s="3719"/>
      <c r="L3" s="3719"/>
      <c r="M3" s="3719"/>
      <c r="N3" s="3719"/>
      <c r="O3" s="3719"/>
      <c r="P3" s="3719"/>
      <c r="Q3" s="3719"/>
      <c r="R3" s="3719"/>
      <c r="S3" s="3719"/>
      <c r="T3" s="3719"/>
      <c r="U3" s="3719"/>
      <c r="V3" s="3719"/>
      <c r="W3" s="3719"/>
      <c r="X3" s="3719"/>
      <c r="Y3" s="852"/>
      <c r="AB3" s="2036"/>
      <c r="AC3" s="2036"/>
      <c r="AD3" s="2036"/>
      <c r="AE3" s="2036"/>
      <c r="AF3" s="2036"/>
      <c r="AH3" s="2051"/>
      <c r="AI3" s="2051"/>
      <c r="AJ3" s="2051"/>
      <c r="AK3" s="2051"/>
      <c r="AL3" s="2051"/>
      <c r="AM3" s="2051"/>
    </row>
    <row r="4" spans="1:45" s="114" customFormat="1" x14ac:dyDescent="0.25">
      <c r="A4" s="112"/>
      <c r="B4" s="2766"/>
      <c r="C4" s="3720" t="s">
        <v>1927</v>
      </c>
      <c r="D4" s="3720"/>
      <c r="E4" s="3720"/>
      <c r="F4" s="3720"/>
      <c r="G4" s="3720"/>
      <c r="H4" s="3720"/>
      <c r="I4" s="3720"/>
      <c r="J4" s="3720"/>
      <c r="K4" s="3720"/>
      <c r="L4" s="3720"/>
      <c r="M4" s="3720"/>
      <c r="N4" s="3720"/>
      <c r="O4" s="3720"/>
      <c r="P4" s="3720"/>
      <c r="Q4" s="3720"/>
      <c r="R4" s="3720"/>
      <c r="S4" s="3720"/>
      <c r="T4" s="3720"/>
      <c r="U4" s="3720"/>
      <c r="V4" s="3720"/>
      <c r="W4" s="3720"/>
      <c r="X4" s="3720"/>
      <c r="Y4" s="852"/>
      <c r="AB4" s="2036"/>
      <c r="AC4" s="2036"/>
      <c r="AD4" s="2036"/>
      <c r="AE4" s="2036"/>
      <c r="AF4" s="2036"/>
      <c r="AH4" s="2051"/>
      <c r="AI4" s="2051"/>
      <c r="AJ4" s="2051"/>
      <c r="AK4" s="2051"/>
      <c r="AL4" s="2051"/>
      <c r="AM4" s="2051"/>
    </row>
    <row r="5" spans="1:45" s="114" customFormat="1" x14ac:dyDescent="0.25">
      <c r="A5" s="112"/>
      <c r="B5" s="2766"/>
      <c r="C5" s="2764"/>
      <c r="D5" s="2868"/>
      <c r="E5" s="2868"/>
      <c r="F5" s="2868"/>
      <c r="G5" s="2868"/>
      <c r="H5" s="2868"/>
      <c r="I5" s="2868"/>
      <c r="J5" s="2868"/>
      <c r="K5" s="2868"/>
      <c r="L5" s="2868"/>
      <c r="M5" s="2868"/>
      <c r="N5" s="2868"/>
      <c r="O5" s="2868"/>
      <c r="P5" s="2868"/>
      <c r="Q5" s="2868"/>
      <c r="R5" s="2868"/>
      <c r="S5" s="2868"/>
      <c r="T5" s="2868"/>
      <c r="U5" s="2868"/>
      <c r="V5" s="2868"/>
      <c r="W5" s="2868"/>
      <c r="X5" s="2868"/>
      <c r="Y5" s="852"/>
      <c r="AB5" s="2036"/>
      <c r="AC5" s="2036"/>
      <c r="AD5" s="2036"/>
      <c r="AE5" s="2036"/>
      <c r="AF5" s="2036"/>
      <c r="AH5" s="2051"/>
      <c r="AI5" s="2051"/>
      <c r="AJ5" s="2051"/>
      <c r="AK5" s="2051"/>
      <c r="AL5" s="2051"/>
      <c r="AM5" s="2051"/>
    </row>
    <row r="6" spans="1:45" s="117" customFormat="1" ht="15.75" thickBot="1" x14ac:dyDescent="0.3">
      <c r="A6" s="116"/>
      <c r="B6" s="2881"/>
      <c r="C6" s="2882"/>
      <c r="D6" s="3721" t="s">
        <v>221</v>
      </c>
      <c r="E6" s="3721"/>
      <c r="F6" s="3721"/>
      <c r="G6" s="3721"/>
      <c r="H6" s="3721"/>
      <c r="I6" s="3721"/>
      <c r="J6" s="3721"/>
      <c r="K6" s="3721"/>
      <c r="L6" s="3721"/>
      <c r="M6" s="3721"/>
      <c r="N6" s="3721"/>
      <c r="O6" s="3721"/>
      <c r="P6" s="3721"/>
      <c r="Q6" s="3721"/>
      <c r="R6" s="3721"/>
      <c r="S6" s="3721"/>
      <c r="T6" s="3721"/>
      <c r="U6" s="3721"/>
      <c r="V6" s="3721"/>
      <c r="W6" s="3721"/>
      <c r="X6" s="3721"/>
      <c r="Y6" s="852"/>
      <c r="Z6" s="114"/>
      <c r="AA6" s="114"/>
      <c r="AB6" s="2036"/>
      <c r="AC6" s="2036"/>
      <c r="AD6" s="2037"/>
      <c r="AE6" s="2037"/>
      <c r="AF6" s="2037"/>
      <c r="AH6" s="2052"/>
      <c r="AI6" s="2052"/>
      <c r="AJ6" s="2052"/>
      <c r="AK6" s="2052"/>
      <c r="AL6" s="2052"/>
      <c r="AM6" s="2052"/>
    </row>
    <row r="7" spans="1:45" ht="16.5" customHeight="1" x14ac:dyDescent="0.25">
      <c r="A7" s="3722" t="s">
        <v>7</v>
      </c>
      <c r="B7" s="3723" t="s">
        <v>7</v>
      </c>
      <c r="C7" s="3726" t="s">
        <v>8</v>
      </c>
      <c r="D7" s="3729" t="s">
        <v>35</v>
      </c>
      <c r="E7" s="3707" t="s">
        <v>36</v>
      </c>
      <c r="F7" s="3708"/>
      <c r="G7" s="3708"/>
      <c r="H7" s="3709"/>
      <c r="I7" s="3707" t="s">
        <v>37</v>
      </c>
      <c r="J7" s="3708"/>
      <c r="K7" s="3708"/>
      <c r="L7" s="3709"/>
      <c r="M7" s="3707" t="s">
        <v>171</v>
      </c>
      <c r="N7" s="3708"/>
      <c r="O7" s="3708"/>
      <c r="P7" s="3709"/>
      <c r="Q7" s="3707" t="s">
        <v>38</v>
      </c>
      <c r="R7" s="3708"/>
      <c r="S7" s="3708"/>
      <c r="T7" s="3709"/>
      <c r="U7" s="3707" t="s">
        <v>39</v>
      </c>
      <c r="V7" s="3708"/>
      <c r="W7" s="3708"/>
      <c r="X7" s="3709"/>
      <c r="Y7" s="852"/>
      <c r="Z7" s="114"/>
      <c r="AA7" s="114"/>
      <c r="AB7" s="2036"/>
      <c r="AC7" s="2036"/>
    </row>
    <row r="8" spans="1:45" ht="24.6" customHeight="1" x14ac:dyDescent="0.25">
      <c r="A8" s="3722"/>
      <c r="B8" s="3724"/>
      <c r="C8" s="3727"/>
      <c r="D8" s="3730"/>
      <c r="E8" s="3710"/>
      <c r="F8" s="3711"/>
      <c r="G8" s="3711"/>
      <c r="H8" s="3712"/>
      <c r="I8" s="3710"/>
      <c r="J8" s="3711"/>
      <c r="K8" s="3711"/>
      <c r="L8" s="3712"/>
      <c r="M8" s="3710"/>
      <c r="N8" s="3711"/>
      <c r="O8" s="3711"/>
      <c r="P8" s="3712"/>
      <c r="Q8" s="3710"/>
      <c r="R8" s="3711"/>
      <c r="S8" s="3711"/>
      <c r="T8" s="3712"/>
      <c r="U8" s="3710"/>
      <c r="V8" s="3711"/>
      <c r="W8" s="3711"/>
      <c r="X8" s="3712"/>
    </row>
    <row r="9" spans="1:45" ht="73.5" x14ac:dyDescent="0.25">
      <c r="A9" s="3722"/>
      <c r="B9" s="3724"/>
      <c r="C9" s="3727"/>
      <c r="D9" s="3730"/>
      <c r="E9" s="2883" t="s">
        <v>222</v>
      </c>
      <c r="F9" s="2730" t="s">
        <v>223</v>
      </c>
      <c r="G9" s="2730" t="s">
        <v>224</v>
      </c>
      <c r="H9" s="2732" t="s">
        <v>458</v>
      </c>
      <c r="I9" s="2883" t="s">
        <v>222</v>
      </c>
      <c r="J9" s="2730" t="s">
        <v>223</v>
      </c>
      <c r="K9" s="2730" t="s">
        <v>224</v>
      </c>
      <c r="L9" s="2732" t="s">
        <v>458</v>
      </c>
      <c r="M9" s="2883" t="s">
        <v>222</v>
      </c>
      <c r="N9" s="2730" t="s">
        <v>223</v>
      </c>
      <c r="O9" s="2730" t="s">
        <v>224</v>
      </c>
      <c r="P9" s="2732" t="s">
        <v>458</v>
      </c>
      <c r="Q9" s="2883" t="s">
        <v>222</v>
      </c>
      <c r="R9" s="2730" t="s">
        <v>223</v>
      </c>
      <c r="S9" s="2730" t="s">
        <v>224</v>
      </c>
      <c r="T9" s="2732" t="s">
        <v>458</v>
      </c>
      <c r="U9" s="2883" t="s">
        <v>222</v>
      </c>
      <c r="V9" s="2730" t="s">
        <v>223</v>
      </c>
      <c r="W9" s="2730" t="s">
        <v>224</v>
      </c>
      <c r="X9" s="2732" t="s">
        <v>458</v>
      </c>
    </row>
    <row r="10" spans="1:45" ht="54" customHeight="1" x14ac:dyDescent="0.25">
      <c r="A10" s="119"/>
      <c r="B10" s="3725"/>
      <c r="C10" s="3728"/>
      <c r="D10" s="3731"/>
      <c r="E10" s="2729">
        <f>'Вхідні дані'!$F$8</f>
        <v>2021</v>
      </c>
      <c r="F10" s="2730">
        <f>'Вхідні дані'!$F$7</f>
        <v>2022</v>
      </c>
      <c r="G10" s="2731" t="str">
        <f>'Вхідні дані'!$F$9</f>
        <v xml:space="preserve">Ріш. № 297 від 25.10.2022 </v>
      </c>
      <c r="H10" s="2732" t="str">
        <f>'Вхідні дані'!$F$6</f>
        <v>2023-2024</v>
      </c>
      <c r="I10" s="2729">
        <f>'Вхідні дані'!$F$8</f>
        <v>2021</v>
      </c>
      <c r="J10" s="2730">
        <f>'Вхідні дані'!$F$7</f>
        <v>2022</v>
      </c>
      <c r="K10" s="2731" t="str">
        <f>'Вхідні дані'!$F$9</f>
        <v xml:space="preserve">Ріш. № 297 від 25.10.2022 </v>
      </c>
      <c r="L10" s="2732" t="str">
        <f>'Вхідні дані'!$F$6</f>
        <v>2023-2024</v>
      </c>
      <c r="M10" s="2729">
        <f>'Вхідні дані'!$F$8</f>
        <v>2021</v>
      </c>
      <c r="N10" s="2730">
        <f>'Вхідні дані'!$F$7</f>
        <v>2022</v>
      </c>
      <c r="O10" s="2731" t="str">
        <f>'Вхідні дані'!$F$9</f>
        <v xml:space="preserve">Ріш. № 297 від 25.10.2022 </v>
      </c>
      <c r="P10" s="2732" t="str">
        <f>'Вхідні дані'!$F$6</f>
        <v>2023-2024</v>
      </c>
      <c r="Q10" s="2729">
        <f>'Вхідні дані'!$F$8</f>
        <v>2021</v>
      </c>
      <c r="R10" s="2730">
        <f>'Вхідні дані'!$F$7</f>
        <v>2022</v>
      </c>
      <c r="S10" s="2731" t="str">
        <f>'Вхідні дані'!$F$9</f>
        <v xml:space="preserve">Ріш. № 297 від 25.10.2022 </v>
      </c>
      <c r="T10" s="2732" t="str">
        <f>'Вхідні дані'!$F$6</f>
        <v>2023-2024</v>
      </c>
      <c r="U10" s="2729">
        <f>'Вхідні дані'!$F$8</f>
        <v>2021</v>
      </c>
      <c r="V10" s="2730">
        <f>'Вхідні дані'!$F$7</f>
        <v>2022</v>
      </c>
      <c r="W10" s="2731" t="str">
        <f>'Вхідні дані'!$F$9</f>
        <v xml:space="preserve">Ріш. № 297 від 25.10.2022 </v>
      </c>
      <c r="X10" s="2732" t="str">
        <f>'Вхідні дані'!$F$6</f>
        <v>2023-2024</v>
      </c>
    </row>
    <row r="11" spans="1:45" x14ac:dyDescent="0.25">
      <c r="A11" s="120">
        <v>1</v>
      </c>
      <c r="B11" s="2884">
        <v>1</v>
      </c>
      <c r="C11" s="2873">
        <v>2</v>
      </c>
      <c r="D11" s="2885">
        <v>3</v>
      </c>
      <c r="E11" s="2886">
        <v>4</v>
      </c>
      <c r="F11" s="2771">
        <v>5</v>
      </c>
      <c r="G11" s="2873">
        <v>6</v>
      </c>
      <c r="H11" s="2887">
        <v>7</v>
      </c>
      <c r="I11" s="2886">
        <v>8</v>
      </c>
      <c r="J11" s="2771">
        <v>9</v>
      </c>
      <c r="K11" s="2873">
        <v>10</v>
      </c>
      <c r="L11" s="2887">
        <v>11</v>
      </c>
      <c r="M11" s="2886">
        <v>12</v>
      </c>
      <c r="N11" s="2771">
        <v>13</v>
      </c>
      <c r="O11" s="2873">
        <v>14</v>
      </c>
      <c r="P11" s="2887">
        <v>15</v>
      </c>
      <c r="Q11" s="2886">
        <v>16</v>
      </c>
      <c r="R11" s="2771">
        <v>17</v>
      </c>
      <c r="S11" s="2873">
        <v>18</v>
      </c>
      <c r="T11" s="2887">
        <v>19</v>
      </c>
      <c r="U11" s="2886">
        <v>20</v>
      </c>
      <c r="V11" s="2771">
        <v>21</v>
      </c>
      <c r="W11" s="2873">
        <v>22</v>
      </c>
      <c r="X11" s="2887">
        <v>23</v>
      </c>
      <c r="Y11" s="852"/>
    </row>
    <row r="12" spans="1:45" s="123" customFormat="1" x14ac:dyDescent="0.25">
      <c r="A12" s="121">
        <v>1</v>
      </c>
      <c r="B12" s="2888">
        <v>1</v>
      </c>
      <c r="C12" s="2740" t="s">
        <v>225</v>
      </c>
      <c r="D12" s="2750" t="s">
        <v>40</v>
      </c>
      <c r="E12" s="2716">
        <f>E13+E24+E25+E29</f>
        <v>40476.255695999993</v>
      </c>
      <c r="F12" s="2714">
        <f t="shared" ref="F12:X12" si="0">F13+F24+F25+F29</f>
        <v>43541.759539999985</v>
      </c>
      <c r="G12" s="2714">
        <f>G13+G24+G25+G29</f>
        <v>70936.5</v>
      </c>
      <c r="H12" s="2712">
        <f t="shared" si="0"/>
        <v>22936.849155960776</v>
      </c>
      <c r="I12" s="2716">
        <f t="shared" si="0"/>
        <v>0</v>
      </c>
      <c r="J12" s="2714">
        <f t="shared" si="0"/>
        <v>0</v>
      </c>
      <c r="K12" s="2714">
        <f>K13+K24+K25+K29</f>
        <v>0</v>
      </c>
      <c r="L12" s="2712">
        <f t="shared" si="0"/>
        <v>0</v>
      </c>
      <c r="M12" s="2716">
        <f t="shared" si="0"/>
        <v>0</v>
      </c>
      <c r="N12" s="2714">
        <f t="shared" si="0"/>
        <v>0</v>
      </c>
      <c r="O12" s="2714">
        <v>0</v>
      </c>
      <c r="P12" s="2915">
        <f t="shared" si="0"/>
        <v>0</v>
      </c>
      <c r="Q12" s="2716">
        <f t="shared" si="0"/>
        <v>892.99620759061168</v>
      </c>
      <c r="R12" s="2722">
        <f t="shared" si="0"/>
        <v>1567.0426713121421</v>
      </c>
      <c r="S12" s="2714">
        <f t="shared" si="0"/>
        <v>0</v>
      </c>
      <c r="T12" s="2712">
        <f>T13+T24+T25+T29</f>
        <v>0</v>
      </c>
      <c r="U12" s="2716">
        <f t="shared" si="0"/>
        <v>40413.813476909061</v>
      </c>
      <c r="V12" s="2714">
        <f t="shared" si="0"/>
        <v>39079.290887419324</v>
      </c>
      <c r="W12" s="2714">
        <f t="shared" si="0"/>
        <v>70936.5</v>
      </c>
      <c r="X12" s="2712">
        <f t="shared" si="0"/>
        <v>22936.849155960776</v>
      </c>
      <c r="Y12" s="853"/>
      <c r="AB12" s="1055">
        <f t="shared" ref="AB12:AB51" si="1">H12/H$58*1000</f>
        <v>5106.3891896633568</v>
      </c>
      <c r="AC12" s="1055"/>
      <c r="AD12" s="1055"/>
      <c r="AE12" s="1055">
        <v>0</v>
      </c>
      <c r="AF12" s="1055">
        <f>X12/X$58*1000</f>
        <v>5106.3891896633568</v>
      </c>
      <c r="AH12" s="2056"/>
      <c r="AI12" s="2054"/>
      <c r="AJ12" s="2054"/>
      <c r="AK12" s="2054"/>
      <c r="AL12" s="2054"/>
      <c r="AM12" s="2054"/>
      <c r="AN12" s="2923"/>
      <c r="AO12" s="2923"/>
      <c r="AP12" s="2923"/>
      <c r="AQ12" s="2923"/>
      <c r="AR12" s="2923"/>
      <c r="AS12" s="2919"/>
    </row>
    <row r="13" spans="1:45" x14ac:dyDescent="0.25">
      <c r="A13" s="124" t="s">
        <v>23</v>
      </c>
      <c r="B13" s="2889" t="s">
        <v>23</v>
      </c>
      <c r="C13" s="2740" t="s">
        <v>226</v>
      </c>
      <c r="D13" s="2871" t="s">
        <v>40</v>
      </c>
      <c r="E13" s="2703">
        <f>E14+E18+E19+E22+E23</f>
        <v>26999.075995999996</v>
      </c>
      <c r="F13" s="2701">
        <f>F14+F18+F19+F22+F23</f>
        <v>34406.110289999982</v>
      </c>
      <c r="G13" s="2701">
        <f t="shared" ref="G13:X13" si="2">G14+G18+G19+G22+G23</f>
        <v>55382.93</v>
      </c>
      <c r="H13" s="2702">
        <f t="shared" si="2"/>
        <v>11700.190826664102</v>
      </c>
      <c r="I13" s="2703">
        <f t="shared" si="2"/>
        <v>0</v>
      </c>
      <c r="J13" s="2701">
        <f t="shared" si="2"/>
        <v>0</v>
      </c>
      <c r="K13" s="2701">
        <f t="shared" si="2"/>
        <v>0</v>
      </c>
      <c r="L13" s="2702">
        <f t="shared" si="2"/>
        <v>0</v>
      </c>
      <c r="M13" s="2703">
        <f t="shared" si="2"/>
        <v>0</v>
      </c>
      <c r="N13" s="2701">
        <f t="shared" si="2"/>
        <v>0</v>
      </c>
      <c r="O13" s="2701">
        <v>0</v>
      </c>
      <c r="P13" s="2911">
        <f t="shared" si="2"/>
        <v>0</v>
      </c>
      <c r="Q13" s="2717">
        <f>Q14+Q18+Q19+Q22+Q23</f>
        <v>590.8701264911133</v>
      </c>
      <c r="R13" s="2705">
        <f t="shared" si="2"/>
        <v>630.75647549027894</v>
      </c>
      <c r="S13" s="2701">
        <f t="shared" si="2"/>
        <v>0</v>
      </c>
      <c r="T13" s="2702">
        <f t="shared" si="2"/>
        <v>0</v>
      </c>
      <c r="U13" s="2703">
        <f t="shared" si="2"/>
        <v>26999.075995999996</v>
      </c>
      <c r="V13" s="2701">
        <f>V14+V18+V19+V22+V23</f>
        <v>30879.927833241189</v>
      </c>
      <c r="W13" s="2701">
        <f t="shared" si="2"/>
        <v>55382.93</v>
      </c>
      <c r="X13" s="2702">
        <f t="shared" si="2"/>
        <v>11700.190826664102</v>
      </c>
      <c r="AB13" s="1055">
        <f t="shared" si="1"/>
        <v>2604.7922950545876</v>
      </c>
      <c r="AC13" s="1055"/>
      <c r="AD13" s="1055"/>
      <c r="AE13" s="1055">
        <v>0</v>
      </c>
      <c r="AF13" s="1055">
        <f t="shared" ref="AF13:AF51" si="3">X13/X$58*1000</f>
        <v>2604.7922950545876</v>
      </c>
      <c r="AH13" s="2056"/>
      <c r="AI13" s="2054"/>
      <c r="AJ13" s="2054"/>
      <c r="AK13" s="2054"/>
      <c r="AL13" s="2054"/>
      <c r="AN13" s="2923"/>
      <c r="AO13" s="2923"/>
      <c r="AP13" s="2923"/>
      <c r="AQ13" s="2923"/>
      <c r="AR13" s="2923"/>
      <c r="AS13" s="2734"/>
    </row>
    <row r="14" spans="1:45" x14ac:dyDescent="0.25">
      <c r="A14" s="124" t="s">
        <v>41</v>
      </c>
      <c r="B14" s="2890" t="s">
        <v>41</v>
      </c>
      <c r="C14" s="2736" t="s">
        <v>454</v>
      </c>
      <c r="D14" s="2870" t="s">
        <v>40</v>
      </c>
      <c r="E14" s="2703">
        <f>E15+E16+E17</f>
        <v>26361.535099999997</v>
      </c>
      <c r="F14" s="2701">
        <f>F15+F16+F17</f>
        <v>34017.8249</v>
      </c>
      <c r="G14" s="2701">
        <f>Виробництво_Транспортування_1ст!E11</f>
        <v>54631.040000000001</v>
      </c>
      <c r="H14" s="2702">
        <f t="shared" ref="H14:H17" si="4">L14+P14+T14+X14</f>
        <v>11323.637583522617</v>
      </c>
      <c r="I14" s="2704">
        <v>0</v>
      </c>
      <c r="J14" s="2704">
        <v>0</v>
      </c>
      <c r="K14" s="2704">
        <f>K15+K16+K17</f>
        <v>0</v>
      </c>
      <c r="L14" s="2723">
        <f>L15+L16+L17</f>
        <v>0</v>
      </c>
      <c r="M14" s="2704">
        <v>0</v>
      </c>
      <c r="N14" s="2704">
        <v>0</v>
      </c>
      <c r="O14" s="2704">
        <v>0</v>
      </c>
      <c r="P14" s="2909">
        <f>P15+P16+P17</f>
        <v>0</v>
      </c>
      <c r="Q14" s="2703">
        <f t="shared" ref="Q14:Q17" si="5">Q15+Q19+Q20+Q23+Q24</f>
        <v>576.57798698293846</v>
      </c>
      <c r="R14" s="2721">
        <f>590.962232</f>
        <v>590.96223199999997</v>
      </c>
      <c r="S14" s="2704">
        <f>S15+S16+S17</f>
        <v>0</v>
      </c>
      <c r="T14" s="2723">
        <f>T15+T16+T17</f>
        <v>0</v>
      </c>
      <c r="U14" s="2704">
        <f>U15+U16+U17</f>
        <v>26361.535099999997</v>
      </c>
      <c r="V14" s="2704">
        <f>F14*(V55/F55)</f>
        <v>30531.436686731497</v>
      </c>
      <c r="W14" s="2704">
        <f>W15+W16+W17</f>
        <v>54631.040000000001</v>
      </c>
      <c r="X14" s="2723">
        <f>X15+X16+X17</f>
        <v>11323.637583522617</v>
      </c>
      <c r="Y14" s="860"/>
      <c r="AB14" s="1055">
        <f t="shared" si="1"/>
        <v>2520.9609284603375</v>
      </c>
      <c r="AC14" s="1055"/>
      <c r="AD14" s="1055"/>
      <c r="AE14" s="1055">
        <v>0</v>
      </c>
      <c r="AF14" s="1055">
        <f t="shared" si="3"/>
        <v>2520.9609284603375</v>
      </c>
      <c r="AH14" s="2056"/>
      <c r="AI14" s="2054"/>
      <c r="AJ14" s="2054"/>
      <c r="AK14" s="2054"/>
      <c r="AL14" s="2054"/>
      <c r="AN14" s="2923"/>
      <c r="AO14" s="2923"/>
      <c r="AP14" s="2923"/>
      <c r="AQ14" s="2923"/>
      <c r="AR14" s="2923"/>
      <c r="AS14" s="2734"/>
    </row>
    <row r="15" spans="1:45" x14ac:dyDescent="0.25">
      <c r="A15" s="124"/>
      <c r="B15" s="2890" t="s">
        <v>455</v>
      </c>
      <c r="C15" s="2737" t="s">
        <v>440</v>
      </c>
      <c r="D15" s="2870" t="s">
        <v>40</v>
      </c>
      <c r="E15" s="2703">
        <f>Виробництво_Транспортування_1ст!C12</f>
        <v>24699.193239999997</v>
      </c>
      <c r="F15" s="2701">
        <f>Виробництво_Транспортування_1ст!$D$12</f>
        <v>31922.780019999998</v>
      </c>
      <c r="G15" s="2701">
        <f>Виробництво_Транспортування_1ст!E12</f>
        <v>52940.37</v>
      </c>
      <c r="H15" s="2702">
        <f t="shared" si="4"/>
        <v>10876.769957878316</v>
      </c>
      <c r="I15" s="2704">
        <v>0</v>
      </c>
      <c r="J15" s="2704">
        <v>0</v>
      </c>
      <c r="K15" s="2704">
        <v>0</v>
      </c>
      <c r="L15" s="2702">
        <f>Виробництво_Транспортування_1ст!G12</f>
        <v>0</v>
      </c>
      <c r="M15" s="2704">
        <v>0</v>
      </c>
      <c r="N15" s="2704">
        <v>0</v>
      </c>
      <c r="O15" s="2701">
        <v>0</v>
      </c>
      <c r="P15" s="2911">
        <f>Виробництво_Транспортування_1ст!H12</f>
        <v>0</v>
      </c>
      <c r="Q15" s="2703">
        <f t="shared" si="5"/>
        <v>473.88900760828659</v>
      </c>
      <c r="R15" s="2721">
        <v>553.71</v>
      </c>
      <c r="S15" s="2704">
        <v>0</v>
      </c>
      <c r="T15" s="2702">
        <f>Виробництво_Транспортування_1ст!I12</f>
        <v>0</v>
      </c>
      <c r="U15" s="2703">
        <f>Виробництво_Транспортування_1ст!C12</f>
        <v>24699.193239999997</v>
      </c>
      <c r="V15" s="2704">
        <f>F15*$V$55/$F$55</f>
        <v>28651.106880295782</v>
      </c>
      <c r="W15" s="2704">
        <v>52940.37</v>
      </c>
      <c r="X15" s="2702">
        <f>Виробництво_Транспортування_1ст!J12</f>
        <v>10876.769957878316</v>
      </c>
      <c r="Y15" s="860"/>
      <c r="AB15" s="1055">
        <f t="shared" si="1"/>
        <v>2421.4755982266697</v>
      </c>
      <c r="AC15" s="1055"/>
      <c r="AD15" s="1055"/>
      <c r="AE15" s="1055">
        <v>0</v>
      </c>
      <c r="AF15" s="1055">
        <f t="shared" si="3"/>
        <v>2421.4755982266697</v>
      </c>
      <c r="AH15" s="2056"/>
      <c r="AI15" s="2054"/>
      <c r="AJ15" s="2054"/>
      <c r="AK15" s="2054"/>
      <c r="AL15" s="2054"/>
      <c r="AN15" s="2923"/>
      <c r="AO15" s="2923"/>
      <c r="AP15" s="2923"/>
      <c r="AQ15" s="2923"/>
      <c r="AR15" s="2923"/>
      <c r="AS15" s="2734"/>
    </row>
    <row r="16" spans="1:45" x14ac:dyDescent="0.25">
      <c r="A16" s="124"/>
      <c r="B16" s="2890" t="s">
        <v>456</v>
      </c>
      <c r="C16" s="2737" t="s">
        <v>1850</v>
      </c>
      <c r="D16" s="2870" t="s">
        <v>40</v>
      </c>
      <c r="E16" s="2703">
        <f>Виробництво_Транспортування_1ст!C13</f>
        <v>215.83750000000001</v>
      </c>
      <c r="F16" s="2701">
        <f>Виробництво_Транспортування_1ст!D13</f>
        <v>81.10311999999999</v>
      </c>
      <c r="G16" s="2701">
        <f>Виробництво_Транспортування_1ст!E13</f>
        <v>236.45</v>
      </c>
      <c r="H16" s="2702">
        <f t="shared" si="4"/>
        <v>49.758825604933058</v>
      </c>
      <c r="I16" s="2704">
        <v>0</v>
      </c>
      <c r="J16" s="2704">
        <v>0</v>
      </c>
      <c r="K16" s="2704">
        <v>0</v>
      </c>
      <c r="L16" s="2702">
        <f>Виробництво_Транспортування_1ст!G13</f>
        <v>0</v>
      </c>
      <c r="M16" s="2704">
        <v>0</v>
      </c>
      <c r="N16" s="2704">
        <v>0</v>
      </c>
      <c r="O16" s="2701">
        <v>0</v>
      </c>
      <c r="P16" s="2911">
        <f>Виробництво_Транспортування_1ст!H13</f>
        <v>0</v>
      </c>
      <c r="Q16" s="2703">
        <f t="shared" si="5"/>
        <v>234.20514559972708</v>
      </c>
      <c r="R16" s="2721">
        <f>F16*($R$55/$F$55)</f>
        <v>8.312023548198729</v>
      </c>
      <c r="S16" s="2704">
        <v>0</v>
      </c>
      <c r="T16" s="2702">
        <f>Виробництво_Транспортування_1ст!I13</f>
        <v>0</v>
      </c>
      <c r="U16" s="2703">
        <f>Виробництво_Транспортування_1ст!C13</f>
        <v>215.83750000000001</v>
      </c>
      <c r="V16" s="2704">
        <f>F16*$V$55/$F$55</f>
        <v>72.791096451801252</v>
      </c>
      <c r="W16" s="2704">
        <v>236.45</v>
      </c>
      <c r="X16" s="2702">
        <f>Виробництво_Транспортування_1ст!J13</f>
        <v>49.758825604933058</v>
      </c>
      <c r="Y16" s="860"/>
      <c r="AB16" s="1055">
        <f t="shared" si="1"/>
        <v>11.07771723272386</v>
      </c>
      <c r="AC16" s="1055"/>
      <c r="AD16" s="1055"/>
      <c r="AE16" s="1055">
        <v>0</v>
      </c>
      <c r="AF16" s="1055">
        <f t="shared" si="3"/>
        <v>11.07771723272386</v>
      </c>
      <c r="AH16" s="2056"/>
      <c r="AI16" s="2054"/>
      <c r="AJ16" s="2054"/>
      <c r="AK16" s="2054"/>
      <c r="AL16" s="2054"/>
      <c r="AN16" s="2923"/>
      <c r="AO16" s="2923"/>
      <c r="AP16" s="2923"/>
      <c r="AQ16" s="2923"/>
      <c r="AR16" s="2923"/>
      <c r="AS16" s="2734"/>
    </row>
    <row r="17" spans="1:45" x14ac:dyDescent="0.25">
      <c r="A17" s="124"/>
      <c r="B17" s="2890" t="s">
        <v>457</v>
      </c>
      <c r="C17" s="2737" t="s">
        <v>1851</v>
      </c>
      <c r="D17" s="2870" t="s">
        <v>40</v>
      </c>
      <c r="E17" s="2703">
        <f>Виробництво_Транспортування_1ст!C14</f>
        <v>1446.5043600000001</v>
      </c>
      <c r="F17" s="2701">
        <f>Виробництво_Транспортування_1ст!D14</f>
        <v>2013.9417599999999</v>
      </c>
      <c r="G17" s="2701">
        <f>Виробництво_Транспортування_1ст!E14</f>
        <v>1454.22</v>
      </c>
      <c r="H17" s="2702">
        <f t="shared" si="4"/>
        <v>397.1088000393691</v>
      </c>
      <c r="I17" s="2704">
        <v>0</v>
      </c>
      <c r="J17" s="2704">
        <v>0</v>
      </c>
      <c r="K17" s="2704">
        <v>0</v>
      </c>
      <c r="L17" s="2702">
        <f>Виробництво_Транспортування_1ст!G14</f>
        <v>0</v>
      </c>
      <c r="M17" s="2704">
        <v>0</v>
      </c>
      <c r="N17" s="2704">
        <v>0</v>
      </c>
      <c r="O17" s="2701">
        <v>0</v>
      </c>
      <c r="P17" s="2911">
        <f>Виробництво_Транспортування_1ст!H14</f>
        <v>0</v>
      </c>
      <c r="Q17" s="2703">
        <f t="shared" si="5"/>
        <v>69.856063720475134</v>
      </c>
      <c r="R17" s="2721">
        <f>F17*$R$55/$F$55</f>
        <v>206.40305001608809</v>
      </c>
      <c r="S17" s="2704">
        <v>0</v>
      </c>
      <c r="T17" s="2702">
        <f>Виробництво_Транспортування_1ст!I14</f>
        <v>0</v>
      </c>
      <c r="U17" s="2703">
        <f>Виробництво_Транспортування_1ст!C14</f>
        <v>1446.5043600000001</v>
      </c>
      <c r="V17" s="2704">
        <f>F17*$V$55/$F$55</f>
        <v>1807.538709983912</v>
      </c>
      <c r="W17" s="2704">
        <v>1454.22</v>
      </c>
      <c r="X17" s="2702">
        <f>Виробництво_Транспортування_1ст!J14</f>
        <v>397.1088000393691</v>
      </c>
      <c r="Y17" s="860"/>
      <c r="AB17" s="1055">
        <f t="shared" si="1"/>
        <v>88.407613000944565</v>
      </c>
      <c r="AC17" s="1055"/>
      <c r="AD17" s="1055"/>
      <c r="AE17" s="1055">
        <v>0</v>
      </c>
      <c r="AF17" s="1055">
        <f t="shared" si="3"/>
        <v>88.407613000944565</v>
      </c>
      <c r="AH17" s="2056"/>
      <c r="AI17" s="2054"/>
      <c r="AJ17" s="2054"/>
      <c r="AK17" s="2054"/>
      <c r="AL17" s="2054"/>
      <c r="AN17" s="2923"/>
      <c r="AO17" s="2923"/>
      <c r="AP17" s="2923"/>
      <c r="AQ17" s="2923"/>
      <c r="AR17" s="2923"/>
      <c r="AS17" s="2734"/>
    </row>
    <row r="18" spans="1:45" x14ac:dyDescent="0.25">
      <c r="A18" s="124" t="s">
        <v>124</v>
      </c>
      <c r="B18" s="2890" t="s">
        <v>42</v>
      </c>
      <c r="C18" s="2738" t="s">
        <v>43</v>
      </c>
      <c r="D18" s="2870" t="s">
        <v>40</v>
      </c>
      <c r="E18" s="2703">
        <f>Виробництво_Транспортування_1ст!C15</f>
        <v>395.66899599999999</v>
      </c>
      <c r="F18" s="2701">
        <f>Виробництво_Транспортування_1ст!D15</f>
        <v>229.16951999999998</v>
      </c>
      <c r="G18" s="2701">
        <f>Виробництво_Транспортування_1ст!E15</f>
        <v>466.11</v>
      </c>
      <c r="H18" s="2702">
        <f>L18+P18+T18+X18</f>
        <v>195.55061826148037</v>
      </c>
      <c r="I18" s="2703">
        <f>E18*($I$55/$E$55)</f>
        <v>0</v>
      </c>
      <c r="J18" s="2701">
        <f>F18*($J$55/$F$55)</f>
        <v>0</v>
      </c>
      <c r="K18" s="2701">
        <v>0</v>
      </c>
      <c r="L18" s="2702">
        <f>Виробництво_Транспортування_1ст!G15</f>
        <v>0</v>
      </c>
      <c r="M18" s="2719">
        <f>E18*($M$55/$E$55)</f>
        <v>0</v>
      </c>
      <c r="N18" s="2704">
        <f>F18*($N$55/$F$55)</f>
        <v>0</v>
      </c>
      <c r="O18" s="2701">
        <v>0</v>
      </c>
      <c r="P18" s="2911">
        <f>Виробництво_Транспортування_1ст!H15</f>
        <v>0</v>
      </c>
      <c r="Q18" s="2720">
        <f>E18*$Q$55/$E$55</f>
        <v>8.8699509715710843</v>
      </c>
      <c r="R18" s="2721">
        <f>F18*($R$55/$F$55)</f>
        <v>23.486919452289868</v>
      </c>
      <c r="S18" s="2704">
        <v>0</v>
      </c>
      <c r="T18" s="2702">
        <f>Виробництво_Транспортування_1ст!I15</f>
        <v>0</v>
      </c>
      <c r="U18" s="2720">
        <f>Виробництво_Транспортування_1ст!C15</f>
        <v>395.66899599999999</v>
      </c>
      <c r="V18" s="2704">
        <f>F18*$V$55/$F$55</f>
        <v>205.68260054771011</v>
      </c>
      <c r="W18" s="2704">
        <v>466.11</v>
      </c>
      <c r="X18" s="2702">
        <f>Виробництво_Транспортування_1ст!J15</f>
        <v>195.55061826148037</v>
      </c>
      <c r="Y18" s="118"/>
      <c r="AB18" s="1055">
        <f t="shared" si="1"/>
        <v>43.535080007399642</v>
      </c>
      <c r="AC18" s="1055"/>
      <c r="AD18" s="1055"/>
      <c r="AE18" s="1055">
        <v>0</v>
      </c>
      <c r="AF18" s="1055">
        <f t="shared" si="3"/>
        <v>43.535080007399642</v>
      </c>
      <c r="AH18" s="2056"/>
      <c r="AI18" s="2054"/>
      <c r="AJ18" s="2054"/>
      <c r="AK18" s="2054"/>
      <c r="AL18" s="2054"/>
      <c r="AN18" s="2923"/>
      <c r="AO18" s="2923"/>
      <c r="AP18" s="2923"/>
      <c r="AQ18" s="2923"/>
      <c r="AR18" s="2923"/>
      <c r="AS18" s="2734"/>
    </row>
    <row r="19" spans="1:45" ht="54.6" customHeight="1" x14ac:dyDescent="0.25">
      <c r="A19" s="124"/>
      <c r="B19" s="2891" t="s">
        <v>44</v>
      </c>
      <c r="C19" s="2739" t="s">
        <v>1928</v>
      </c>
      <c r="D19" s="2870" t="s">
        <v>40</v>
      </c>
      <c r="E19" s="2703">
        <v>0</v>
      </c>
      <c r="F19" s="2701">
        <v>0</v>
      </c>
      <c r="G19" s="2701">
        <v>0</v>
      </c>
      <c r="H19" s="2702">
        <f>H20+H21</f>
        <v>0</v>
      </c>
      <c r="I19" s="2703">
        <f>I20+I21</f>
        <v>0</v>
      </c>
      <c r="J19" s="2701">
        <f>J20+J21</f>
        <v>0</v>
      </c>
      <c r="K19" s="2701">
        <v>0</v>
      </c>
      <c r="L19" s="2702">
        <f>L20+L21</f>
        <v>0</v>
      </c>
      <c r="M19" s="2703">
        <f t="shared" ref="M19:X19" si="6">M20+M21</f>
        <v>0</v>
      </c>
      <c r="N19" s="2701">
        <f t="shared" si="6"/>
        <v>0</v>
      </c>
      <c r="O19" s="2701">
        <v>0</v>
      </c>
      <c r="P19" s="2911">
        <f t="shared" si="6"/>
        <v>0</v>
      </c>
      <c r="Q19" s="2703">
        <f t="shared" si="6"/>
        <v>0</v>
      </c>
      <c r="R19" s="2705">
        <f t="shared" si="6"/>
        <v>0</v>
      </c>
      <c r="S19" s="2701">
        <v>0</v>
      </c>
      <c r="T19" s="2702">
        <f t="shared" si="6"/>
        <v>0</v>
      </c>
      <c r="U19" s="2703">
        <f t="shared" si="6"/>
        <v>0</v>
      </c>
      <c r="V19" s="2701">
        <f t="shared" si="6"/>
        <v>0</v>
      </c>
      <c r="W19" s="2701">
        <v>0</v>
      </c>
      <c r="X19" s="2702">
        <f t="shared" si="6"/>
        <v>0</v>
      </c>
      <c r="Y19" s="860"/>
      <c r="AB19" s="1055">
        <f t="shared" si="1"/>
        <v>0</v>
      </c>
      <c r="AC19" s="1055"/>
      <c r="AD19" s="1055"/>
      <c r="AE19" s="1055">
        <v>0</v>
      </c>
      <c r="AF19" s="1055">
        <f t="shared" si="3"/>
        <v>0</v>
      </c>
      <c r="AH19" s="2056"/>
      <c r="AI19" s="2054"/>
      <c r="AJ19" s="2054"/>
      <c r="AK19" s="2054"/>
      <c r="AL19" s="2054"/>
      <c r="AN19" s="2923"/>
      <c r="AO19" s="2923"/>
      <c r="AP19" s="2923"/>
      <c r="AQ19" s="2923"/>
      <c r="AR19" s="2923"/>
      <c r="AS19" s="2734"/>
    </row>
    <row r="20" spans="1:45" x14ac:dyDescent="0.25">
      <c r="A20" s="124"/>
      <c r="B20" s="2891" t="s">
        <v>561</v>
      </c>
      <c r="C20" s="2739" t="s">
        <v>562</v>
      </c>
      <c r="D20" s="2870" t="s">
        <v>40</v>
      </c>
      <c r="E20" s="2703">
        <v>0</v>
      </c>
      <c r="F20" s="2701">
        <v>0</v>
      </c>
      <c r="G20" s="2701">
        <v>0</v>
      </c>
      <c r="H20" s="2702">
        <f>L20+P20+T20+X20</f>
        <v>0</v>
      </c>
      <c r="I20" s="2720">
        <v>0</v>
      </c>
      <c r="J20" s="2704">
        <v>0</v>
      </c>
      <c r="K20" s="2704">
        <v>0</v>
      </c>
      <c r="L20" s="2702">
        <v>0</v>
      </c>
      <c r="M20" s="2720">
        <v>0</v>
      </c>
      <c r="N20" s="2704">
        <v>0</v>
      </c>
      <c r="O20" s="2701">
        <v>0</v>
      </c>
      <c r="P20" s="2911">
        <v>0</v>
      </c>
      <c r="Q20" s="2720">
        <v>0</v>
      </c>
      <c r="R20" s="2721">
        <v>0</v>
      </c>
      <c r="S20" s="2704">
        <v>0</v>
      </c>
      <c r="T20" s="2702">
        <v>0</v>
      </c>
      <c r="U20" s="2720">
        <v>0</v>
      </c>
      <c r="V20" s="2704">
        <v>0</v>
      </c>
      <c r="W20" s="2704">
        <v>0</v>
      </c>
      <c r="X20" s="2702">
        <v>0</v>
      </c>
      <c r="Y20" s="860"/>
      <c r="AB20" s="1055">
        <f t="shared" si="1"/>
        <v>0</v>
      </c>
      <c r="AC20" s="1055"/>
      <c r="AD20" s="1055"/>
      <c r="AE20" s="1055">
        <v>0</v>
      </c>
      <c r="AF20" s="1055">
        <f t="shared" si="3"/>
        <v>0</v>
      </c>
      <c r="AH20" s="2056"/>
      <c r="AI20" s="2054"/>
      <c r="AJ20" s="2054"/>
      <c r="AK20" s="2054"/>
      <c r="AL20" s="2054"/>
      <c r="AN20" s="2923"/>
      <c r="AO20" s="2923"/>
      <c r="AP20" s="2923"/>
      <c r="AQ20" s="2923"/>
      <c r="AR20" s="2923"/>
      <c r="AS20" s="2734"/>
    </row>
    <row r="21" spans="1:45" ht="22.9" customHeight="1" x14ac:dyDescent="0.25">
      <c r="A21" s="124"/>
      <c r="B21" s="2891" t="s">
        <v>563</v>
      </c>
      <c r="C21" s="2739" t="s">
        <v>564</v>
      </c>
      <c r="D21" s="2870" t="s">
        <v>40</v>
      </c>
      <c r="E21" s="2703">
        <v>0</v>
      </c>
      <c r="F21" s="2701">
        <v>0</v>
      </c>
      <c r="G21" s="2701">
        <v>0</v>
      </c>
      <c r="H21" s="2702">
        <f>L21+P21+T21+X21</f>
        <v>0</v>
      </c>
      <c r="I21" s="2720">
        <v>0</v>
      </c>
      <c r="J21" s="2704">
        <v>0</v>
      </c>
      <c r="K21" s="2704">
        <v>0</v>
      </c>
      <c r="L21" s="2702">
        <v>0</v>
      </c>
      <c r="M21" s="2720">
        <v>0</v>
      </c>
      <c r="N21" s="2704">
        <v>0</v>
      </c>
      <c r="O21" s="2701">
        <v>0</v>
      </c>
      <c r="P21" s="2911">
        <v>0</v>
      </c>
      <c r="Q21" s="2720">
        <v>0</v>
      </c>
      <c r="R21" s="2721">
        <v>0</v>
      </c>
      <c r="S21" s="2704">
        <v>0</v>
      </c>
      <c r="T21" s="2702">
        <v>0</v>
      </c>
      <c r="U21" s="2720">
        <v>0</v>
      </c>
      <c r="V21" s="2704">
        <v>0</v>
      </c>
      <c r="W21" s="2704">
        <v>0</v>
      </c>
      <c r="X21" s="2702">
        <v>0</v>
      </c>
      <c r="Y21" s="860"/>
      <c r="AB21" s="1055">
        <f t="shared" si="1"/>
        <v>0</v>
      </c>
      <c r="AC21" s="1055"/>
      <c r="AD21" s="1055"/>
      <c r="AE21" s="1055">
        <v>0</v>
      </c>
      <c r="AF21" s="1055">
        <f t="shared" si="3"/>
        <v>0</v>
      </c>
      <c r="AH21" s="2056"/>
      <c r="AI21" s="2054"/>
      <c r="AJ21" s="2054"/>
      <c r="AK21" s="2054"/>
      <c r="AL21" s="2054"/>
      <c r="AN21" s="2923"/>
      <c r="AO21" s="2923"/>
      <c r="AP21" s="2923"/>
      <c r="AQ21" s="2923"/>
      <c r="AR21" s="2923"/>
      <c r="AS21" s="2734"/>
    </row>
    <row r="22" spans="1:45" ht="27" customHeight="1" x14ac:dyDescent="0.25">
      <c r="A22" s="124" t="s">
        <v>44</v>
      </c>
      <c r="B22" s="2891" t="s">
        <v>45</v>
      </c>
      <c r="C22" s="2740" t="s">
        <v>1623</v>
      </c>
      <c r="D22" s="2871" t="s">
        <v>40</v>
      </c>
      <c r="E22" s="2703">
        <f>Виробництво_Транспортування_1ст!C16</f>
        <v>51.019899999999993</v>
      </c>
      <c r="F22" s="2701">
        <f>Виробництво_Транспортування_1ст!D16</f>
        <v>29.32291</v>
      </c>
      <c r="G22" s="2701">
        <f>Виробництво_Транспортування_1ст!E16</f>
        <v>38.79</v>
      </c>
      <c r="H22" s="2702">
        <f>L22+P22+T22+X22</f>
        <v>35.642039999999994</v>
      </c>
      <c r="I22" s="2703">
        <f>E22*($I$55/$E$55)</f>
        <v>0</v>
      </c>
      <c r="J22" s="2701">
        <f>F22*($J$55/$F$55)</f>
        <v>0</v>
      </c>
      <c r="K22" s="2701">
        <v>0</v>
      </c>
      <c r="L22" s="2702">
        <f>Виробництво_Транспортування_1ст!G16</f>
        <v>0</v>
      </c>
      <c r="M22" s="2719">
        <f>E22*($M$55/$E$55)</f>
        <v>0</v>
      </c>
      <c r="N22" s="2704">
        <f>F22*($N$55/$F$55)</f>
        <v>0</v>
      </c>
      <c r="O22" s="2705">
        <v>0</v>
      </c>
      <c r="P22" s="2916">
        <f>Виробництво_Транспортування_1ст!H16</f>
        <v>0</v>
      </c>
      <c r="Q22" s="2720">
        <f>E22*$Q$55/$E$55</f>
        <v>1.1437439277513155</v>
      </c>
      <c r="R22" s="2721">
        <f>F22*($R$55/$F$55)</f>
        <v>3.0052200016683948</v>
      </c>
      <c r="S22" s="2704">
        <v>0</v>
      </c>
      <c r="T22" s="2702">
        <f>Виробництво_Транспортування_1ст!I16</f>
        <v>0</v>
      </c>
      <c r="U22" s="2720">
        <f>Виробництво_Транспортування_1ст!C16</f>
        <v>51.019899999999993</v>
      </c>
      <c r="V22" s="2704">
        <f>F22*$V$55/$F$55</f>
        <v>26.317689998331605</v>
      </c>
      <c r="W22" s="2701">
        <v>38.79</v>
      </c>
      <c r="X22" s="2702">
        <f>Виробництво_Транспортування_1ст!J16</f>
        <v>35.642039999999994</v>
      </c>
      <c r="Y22" s="157"/>
      <c r="AB22" s="1055">
        <f t="shared" si="1"/>
        <v>7.9349228185620539</v>
      </c>
      <c r="AC22" s="1055"/>
      <c r="AD22" s="1055"/>
      <c r="AE22" s="1055">
        <v>0</v>
      </c>
      <c r="AF22" s="1055">
        <f t="shared" si="3"/>
        <v>7.9349228185620539</v>
      </c>
      <c r="AH22" s="2056"/>
      <c r="AI22" s="2054"/>
      <c r="AJ22" s="2054"/>
      <c r="AK22" s="2054"/>
      <c r="AL22" s="2054"/>
      <c r="AN22" s="2923"/>
      <c r="AO22" s="2923"/>
      <c r="AP22" s="2923"/>
      <c r="AQ22" s="2923"/>
      <c r="AR22" s="2923"/>
      <c r="AS22" s="2734"/>
    </row>
    <row r="23" spans="1:45" ht="15" customHeight="1" x14ac:dyDescent="0.25">
      <c r="A23" s="124"/>
      <c r="B23" s="2891" t="s">
        <v>46</v>
      </c>
      <c r="C23" s="2552" t="s">
        <v>598</v>
      </c>
      <c r="D23" s="2871" t="s">
        <v>40</v>
      </c>
      <c r="E23" s="2703">
        <f>Виробництво_Транспортування_1ст!C10-Виробництво_Транспортування_1ст!C11-Виробництво_Транспортування_1ст!C15-Виробництво_Транспортування_1ст!C16</f>
        <v>190.85199999999861</v>
      </c>
      <c r="F23" s="2701">
        <f>Виробництво_Транспортування_1ст!D10-Виробництво_Транспортування_1ст!D11-Виробництво_Транспортування_1ст!D15-Виробництво_Транспортування_1ст!D16</f>
        <v>129.79295999997547</v>
      </c>
      <c r="G23" s="2701">
        <f>Виробництво_Транспортування_1ст!E10-Виробництво_Транспортування_1ст!E11-Виробництво_Транспортування_1ст!E15-Виробництво_Транспортування_1ст!E16</f>
        <v>246.98999999999941</v>
      </c>
      <c r="H23" s="2702">
        <f>L23+P23+T23+X23</f>
        <v>145.36058488000276</v>
      </c>
      <c r="I23" s="2703">
        <f>E23*($I$55/$E$55)</f>
        <v>0</v>
      </c>
      <c r="J23" s="2701">
        <f>F23*($J$55/$F$55)</f>
        <v>0</v>
      </c>
      <c r="K23" s="2701">
        <v>0</v>
      </c>
      <c r="L23" s="2702">
        <f>Виробництво_Транспортування_1ст!G10-Виробництво_Транспортування_1ст!G11-Виробництво_Транспортування_1ст!G15-Виробництво_Транспортування_1ст!G16</f>
        <v>0</v>
      </c>
      <c r="M23" s="2719">
        <f>E23*($M$55/$E$55)</f>
        <v>0</v>
      </c>
      <c r="N23" s="2704">
        <f>F23*($N$55/$F$55)</f>
        <v>0</v>
      </c>
      <c r="O23" s="2701">
        <v>0</v>
      </c>
      <c r="P23" s="2911">
        <f>Виробництво_Транспортування_1ст!H10-Виробництво_Транспортування_1ст!H11-Виробництво_Транспортування_1ст!H15-Виробництво_Транспортування_1ст!H16</f>
        <v>0</v>
      </c>
      <c r="Q23" s="2720">
        <f>E23*$Q$55/$E$55</f>
        <v>4.2784446088524781</v>
      </c>
      <c r="R23" s="2721">
        <f>F23*$R$55/$F$55</f>
        <v>13.30210403632082</v>
      </c>
      <c r="S23" s="2704">
        <v>0</v>
      </c>
      <c r="T23" s="2702">
        <f>Виробництво_Транспортування_1ст!I10-Виробництво_Транспортування_1ст!I11-Виробництво_Транспортування_1ст!I15-Виробництво_Транспортування_1ст!I16</f>
        <v>0</v>
      </c>
      <c r="U23" s="2720">
        <f>Виробництво_Транспортування_1ст!C10-Виробництво_Транспортування_1ст!C11-Виробництво_Транспортування_1ст!C15-Виробництво_Транспортування_1ст!C16</f>
        <v>190.85199999999861</v>
      </c>
      <c r="V23" s="2704">
        <f>F23*$V$55/$F$55</f>
        <v>116.49085596365464</v>
      </c>
      <c r="W23" s="2701">
        <v>246.99</v>
      </c>
      <c r="X23" s="2702">
        <f>Виробництво_Транспортування_1ст!J10-Виробництво_Транспортування_1ст!J11-Виробництво_Транспортування_1ст!J15-Виробництво_Транспортування_1ст!J16</f>
        <v>145.36058488000276</v>
      </c>
      <c r="Y23" s="157"/>
      <c r="AB23" s="1055">
        <f t="shared" si="1"/>
        <v>32.361363768287681</v>
      </c>
      <c r="AC23" s="1055"/>
      <c r="AD23" s="1055"/>
      <c r="AE23" s="1055">
        <v>0</v>
      </c>
      <c r="AF23" s="1055">
        <f t="shared" si="3"/>
        <v>32.361363768287681</v>
      </c>
      <c r="AH23" s="2056"/>
      <c r="AI23" s="2054"/>
      <c r="AJ23" s="2054"/>
      <c r="AK23" s="2054"/>
      <c r="AL23" s="2054"/>
      <c r="AN23" s="2923"/>
      <c r="AO23" s="2923"/>
      <c r="AP23" s="2923"/>
      <c r="AQ23" s="2923"/>
      <c r="AR23" s="2923"/>
      <c r="AS23" s="2734"/>
    </row>
    <row r="24" spans="1:45" x14ac:dyDescent="0.25">
      <c r="A24" s="124" t="s">
        <v>24</v>
      </c>
      <c r="B24" s="2889" t="s">
        <v>24</v>
      </c>
      <c r="C24" s="2740" t="s">
        <v>47</v>
      </c>
      <c r="D24" s="2871" t="s">
        <v>40</v>
      </c>
      <c r="E24" s="2703">
        <f>Виробництво_Транспортування_1ст!C28</f>
        <v>4389.8774199999998</v>
      </c>
      <c r="F24" s="2701">
        <f>Виробництво_Транспортування_1ст!D28</f>
        <v>3114.2224300000003</v>
      </c>
      <c r="G24" s="2701">
        <f>Виробництво_Транспортування_1ст!E28</f>
        <v>5029.51</v>
      </c>
      <c r="H24" s="2702">
        <f>L24+P24+T24+X24</f>
        <v>2967.8816200000001</v>
      </c>
      <c r="I24" s="2703">
        <f>E24*($I$55/$E$55)</f>
        <v>0</v>
      </c>
      <c r="J24" s="2701">
        <f>F24*($J$55/$F$55)</f>
        <v>0</v>
      </c>
      <c r="K24" s="2701">
        <v>0</v>
      </c>
      <c r="L24" s="2702">
        <f>Виробництво_Транспортування_1ст!G28</f>
        <v>0</v>
      </c>
      <c r="M24" s="2719">
        <f>E24*($M$55/$E$55)</f>
        <v>0</v>
      </c>
      <c r="N24" s="2704">
        <f>F24*($N$55/$F$55)</f>
        <v>0</v>
      </c>
      <c r="O24" s="2701">
        <v>0</v>
      </c>
      <c r="P24" s="2911">
        <f>Виробництво_Транспортування_1ст!H28</f>
        <v>0</v>
      </c>
      <c r="Q24" s="2720">
        <f>E24*$Q$55/$E$55</f>
        <v>98.410534765799468</v>
      </c>
      <c r="R24" s="2721">
        <f>F24*$R$55/$F$55</f>
        <v>319.167624778044</v>
      </c>
      <c r="S24" s="2704">
        <v>0</v>
      </c>
      <c r="T24" s="2702">
        <f>Виробництво_Транспортування_1ст!I28</f>
        <v>0</v>
      </c>
      <c r="U24" s="2720">
        <f>Виробництво_Транспортування_1ст!C28</f>
        <v>4389.8774199999998</v>
      </c>
      <c r="V24" s="2704">
        <f>F24*$V$55/$F$55</f>
        <v>2795.054805221956</v>
      </c>
      <c r="W24" s="2701">
        <v>5029.51</v>
      </c>
      <c r="X24" s="2702">
        <f>Виробництво_Транспортування_1ст!J28</f>
        <v>2967.8816200000001</v>
      </c>
      <c r="AB24" s="1055">
        <f t="shared" si="1"/>
        <v>660.73411031829028</v>
      </c>
      <c r="AC24" s="1055"/>
      <c r="AD24" s="1055"/>
      <c r="AE24" s="1055">
        <v>0</v>
      </c>
      <c r="AF24" s="1055">
        <f t="shared" si="3"/>
        <v>660.73411031829028</v>
      </c>
      <c r="AH24" s="2056"/>
      <c r="AI24" s="2054"/>
      <c r="AJ24" s="2054"/>
      <c r="AK24" s="2054"/>
      <c r="AL24" s="2054"/>
      <c r="AN24" s="2923"/>
      <c r="AO24" s="2923"/>
      <c r="AP24" s="2923"/>
      <c r="AQ24" s="2923"/>
      <c r="AR24" s="2923"/>
      <c r="AS24" s="2734"/>
    </row>
    <row r="25" spans="1:45" x14ac:dyDescent="0.25">
      <c r="A25" s="124" t="s">
        <v>48</v>
      </c>
      <c r="B25" s="2889" t="s">
        <v>48</v>
      </c>
      <c r="C25" s="2740" t="s">
        <v>227</v>
      </c>
      <c r="D25" s="2871" t="s">
        <v>40</v>
      </c>
      <c r="E25" s="2703">
        <f>Виробництво_Транспортування_1ст!C30</f>
        <v>6301.8922799999991</v>
      </c>
      <c r="F25" s="2701">
        <f>Виробництво_Транспортування_1ст!D30</f>
        <v>4145.1168200000002</v>
      </c>
      <c r="G25" s="2701">
        <f>Виробництво_Транспортування_1ст!E30</f>
        <v>7104.5000000000009</v>
      </c>
      <c r="H25" s="2702">
        <f t="shared" ref="H25:X25" si="7">H26+H27+H28</f>
        <v>5266.3121280560008</v>
      </c>
      <c r="I25" s="2703">
        <f t="shared" si="7"/>
        <v>0</v>
      </c>
      <c r="J25" s="2701">
        <f t="shared" si="7"/>
        <v>0</v>
      </c>
      <c r="K25" s="2701">
        <v>0</v>
      </c>
      <c r="L25" s="2702">
        <f t="shared" si="7"/>
        <v>0</v>
      </c>
      <c r="M25" s="2703">
        <f t="shared" si="7"/>
        <v>0</v>
      </c>
      <c r="N25" s="2701">
        <f t="shared" si="7"/>
        <v>0</v>
      </c>
      <c r="O25" s="2701">
        <v>0</v>
      </c>
      <c r="P25" s="2911">
        <f t="shared" si="7"/>
        <v>0</v>
      </c>
      <c r="Q25" s="2703">
        <f t="shared" si="7"/>
        <v>141.27332724276005</v>
      </c>
      <c r="R25" s="2705">
        <f t="shared" si="7"/>
        <v>424.8210009414513</v>
      </c>
      <c r="S25" s="2701">
        <v>0</v>
      </c>
      <c r="T25" s="2702">
        <f t="shared" si="7"/>
        <v>0</v>
      </c>
      <c r="U25" s="2703">
        <f>Виробництво_Транспортування_1ст!C30</f>
        <v>6301.8922799999991</v>
      </c>
      <c r="V25" s="2701">
        <f t="shared" si="7"/>
        <v>3720.2958190585491</v>
      </c>
      <c r="W25" s="2701">
        <f t="shared" si="7"/>
        <v>7104.5</v>
      </c>
      <c r="X25" s="2702">
        <f t="shared" si="7"/>
        <v>5266.3121280560008</v>
      </c>
      <c r="AB25" s="1055">
        <f t="shared" si="1"/>
        <v>1172.4295319398568</v>
      </c>
      <c r="AC25" s="1055"/>
      <c r="AD25" s="1055"/>
      <c r="AE25" s="1055">
        <v>0</v>
      </c>
      <c r="AF25" s="1055">
        <f t="shared" si="3"/>
        <v>1172.4295319398568</v>
      </c>
      <c r="AH25" s="2056"/>
      <c r="AI25" s="2054"/>
      <c r="AJ25" s="2054"/>
      <c r="AK25" s="2054"/>
      <c r="AL25" s="2054"/>
      <c r="AN25" s="2923"/>
      <c r="AO25" s="2923"/>
      <c r="AP25" s="2923"/>
      <c r="AQ25" s="2923"/>
      <c r="AR25" s="2923"/>
      <c r="AS25" s="2734"/>
    </row>
    <row r="26" spans="1:45" ht="22.5" x14ac:dyDescent="0.25">
      <c r="A26" s="124" t="s">
        <v>49</v>
      </c>
      <c r="B26" s="2890" t="s">
        <v>49</v>
      </c>
      <c r="C26" s="2736" t="s">
        <v>452</v>
      </c>
      <c r="D26" s="2870" t="s">
        <v>40</v>
      </c>
      <c r="E26" s="2703">
        <f>Виробництво_Транспортування_1ст!C31</f>
        <v>978.33874000000003</v>
      </c>
      <c r="F26" s="2701">
        <f>Виробництво_Транспортування_1ст!D31</f>
        <v>662.13454999999999</v>
      </c>
      <c r="G26" s="2701">
        <f>Виробництво_Транспортування_1ст!E31</f>
        <v>1106.49</v>
      </c>
      <c r="H26" s="2702">
        <f>L26+P26+T26+X26</f>
        <v>652.93395640000006</v>
      </c>
      <c r="I26" s="2703">
        <f>E26*($I$55/$E$55)</f>
        <v>0</v>
      </c>
      <c r="J26" s="2701">
        <f>F26*($J$55/$F$55)</f>
        <v>0</v>
      </c>
      <c r="K26" s="2701">
        <v>0</v>
      </c>
      <c r="L26" s="2702">
        <f>Виробництво_Транспортування_1ст!G31</f>
        <v>0</v>
      </c>
      <c r="M26" s="2719">
        <f>E26*($M$55/$E$55)</f>
        <v>0</v>
      </c>
      <c r="N26" s="2704">
        <f>F26*($N$55/$F$55)</f>
        <v>0</v>
      </c>
      <c r="O26" s="2701">
        <v>0</v>
      </c>
      <c r="P26" s="2911">
        <f>Виробництво_Транспортування_1ст!H31</f>
        <v>0</v>
      </c>
      <c r="Q26" s="2720">
        <f>E26*$Q$55/$E$55</f>
        <v>21.932010708740574</v>
      </c>
      <c r="R26" s="2721">
        <f>F26*$R$55/$F$55</f>
        <v>67.86024966334179</v>
      </c>
      <c r="S26" s="2704">
        <v>0</v>
      </c>
      <c r="T26" s="2702">
        <f>Виробництво_Транспортування_1ст!I31</f>
        <v>0</v>
      </c>
      <c r="U26" s="2720">
        <f>Виробництво_Транспортування_1ст!C31</f>
        <v>978.33874000000003</v>
      </c>
      <c r="V26" s="2704">
        <f>F26*$V$55/$F$55</f>
        <v>594.27430033665814</v>
      </c>
      <c r="W26" s="2701">
        <v>1106.49</v>
      </c>
      <c r="X26" s="2702">
        <f>Виробництво_Транспортування_1ст!J31</f>
        <v>652.93395640000006</v>
      </c>
      <c r="AB26" s="1055">
        <f t="shared" si="1"/>
        <v>145.36150427002389</v>
      </c>
      <c r="AC26" s="1055"/>
      <c r="AD26" s="1055"/>
      <c r="AE26" s="1055">
        <v>0</v>
      </c>
      <c r="AF26" s="1055">
        <f t="shared" si="3"/>
        <v>145.36150427002389</v>
      </c>
      <c r="AH26" s="2056"/>
      <c r="AI26" s="2054"/>
      <c r="AJ26" s="2054"/>
      <c r="AK26" s="2054"/>
      <c r="AL26" s="2054"/>
      <c r="AN26" s="2923"/>
      <c r="AO26" s="2923"/>
      <c r="AP26" s="2923"/>
      <c r="AQ26" s="2923"/>
      <c r="AR26" s="2923"/>
      <c r="AS26" s="2734"/>
    </row>
    <row r="27" spans="1:45" x14ac:dyDescent="0.25">
      <c r="A27" s="124" t="s">
        <v>50</v>
      </c>
      <c r="B27" s="2890" t="s">
        <v>50</v>
      </c>
      <c r="C27" s="2738" t="s">
        <v>453</v>
      </c>
      <c r="D27" s="2870" t="s">
        <v>40</v>
      </c>
      <c r="E27" s="2703">
        <f>Виробництво_Транспортування_1ст!C32+Виробництво_Транспортування_1ст!C33</f>
        <v>1500.2456599999998</v>
      </c>
      <c r="F27" s="2701">
        <f>Виробництво_Транспортування_1ст!D32+Виробництво_Транспортування_1ст!D33</f>
        <v>1484.04414</v>
      </c>
      <c r="G27" s="2701">
        <f>Виробництво_Транспортування_1ст!E32+Виробництво_Транспортування_1ст!E33</f>
        <v>2255</v>
      </c>
      <c r="H27" s="2702">
        <f>L27+P27+T27+X27</f>
        <v>1904.3854900000008</v>
      </c>
      <c r="I27" s="2703">
        <f>E27*($I$55/$E$55)</f>
        <v>0</v>
      </c>
      <c r="J27" s="2701">
        <f>F27*($J$55/$F$55)</f>
        <v>0</v>
      </c>
      <c r="K27" s="2701">
        <v>0</v>
      </c>
      <c r="L27" s="2702">
        <f>Виробництво_Транспортування_1ст!G32+Виробництво_Транспортування_1ст!G33</f>
        <v>0</v>
      </c>
      <c r="M27" s="2719">
        <f>E27*($M$55/$E$55)</f>
        <v>0</v>
      </c>
      <c r="N27" s="2704">
        <f>F27*($N$55/$F$55)</f>
        <v>0</v>
      </c>
      <c r="O27" s="2701">
        <v>0</v>
      </c>
      <c r="P27" s="2911">
        <f>Виробництво_Транспортування_1ст!H32+Виробництво_Транспортування_1ст!H33</f>
        <v>0</v>
      </c>
      <c r="Q27" s="2720">
        <f>E27*$Q$55/$E$55</f>
        <v>33.63191350355968</v>
      </c>
      <c r="R27" s="2721">
        <f>F27*$R$55/$F$55</f>
        <v>152.09537978620713</v>
      </c>
      <c r="S27" s="2704">
        <v>0</v>
      </c>
      <c r="T27" s="2702">
        <f>Виробництво_Транспортування_1ст!I32+Виробництво_Транспортування_1ст!I33</f>
        <v>0</v>
      </c>
      <c r="U27" s="2720">
        <f>Виробництво_Транспортування_1ст!C32</f>
        <v>1500.2456599999998</v>
      </c>
      <c r="V27" s="2704">
        <f>F27*$V$55/$F$55</f>
        <v>1331.9487602137929</v>
      </c>
      <c r="W27" s="2701">
        <v>2255</v>
      </c>
      <c r="X27" s="2702">
        <f>Виробництво_Транспортування_1ст!J32+Виробництво_Транспортування_1ст!J33</f>
        <v>1904.3854900000008</v>
      </c>
      <c r="AB27" s="1055">
        <f t="shared" si="1"/>
        <v>423.96989285516446</v>
      </c>
      <c r="AC27" s="1055"/>
      <c r="AD27" s="1055"/>
      <c r="AE27" s="1055">
        <v>0</v>
      </c>
      <c r="AF27" s="1055">
        <f t="shared" si="3"/>
        <v>423.96989285516446</v>
      </c>
      <c r="AH27" s="2056"/>
      <c r="AI27" s="2054"/>
      <c r="AJ27" s="2054"/>
      <c r="AK27" s="2054"/>
      <c r="AL27" s="2054"/>
      <c r="AN27" s="2923"/>
      <c r="AO27" s="2923"/>
      <c r="AP27" s="2923"/>
      <c r="AQ27" s="2923"/>
      <c r="AR27" s="2923"/>
      <c r="AS27" s="2734"/>
    </row>
    <row r="28" spans="1:45" x14ac:dyDescent="0.25">
      <c r="A28" s="124" t="s">
        <v>125</v>
      </c>
      <c r="B28" s="2890" t="s">
        <v>51</v>
      </c>
      <c r="C28" s="2738" t="s">
        <v>52</v>
      </c>
      <c r="D28" s="2870" t="s">
        <v>40</v>
      </c>
      <c r="E28" s="2703">
        <f>E25-E26-E27</f>
        <v>3823.3078799999994</v>
      </c>
      <c r="F28" s="2701">
        <f>F25-F26-F27</f>
        <v>1998.9381300000005</v>
      </c>
      <c r="G28" s="2701">
        <f>G25-G26-G27</f>
        <v>3743.0100000000011</v>
      </c>
      <c r="H28" s="2702">
        <f>L28+P28+T28+X28</f>
        <v>2708.9926816560001</v>
      </c>
      <c r="I28" s="2703">
        <f>E28*($I$55/$E$55)</f>
        <v>0</v>
      </c>
      <c r="J28" s="2701">
        <f>F28*($J$55/$F$55)</f>
        <v>0</v>
      </c>
      <c r="K28" s="2701">
        <v>0</v>
      </c>
      <c r="L28" s="2702">
        <f>Виробництво_Транспортування_1ст!G30-Виробництво_Транспортування_1ст!G31-Виробництво_Транспортування_1ст!G32-Виробництво_Транспортування_1ст!G33</f>
        <v>0</v>
      </c>
      <c r="M28" s="2719">
        <f>E28*($M$55/$E$55)</f>
        <v>0</v>
      </c>
      <c r="N28" s="2704">
        <f>F28*($N$55/$F$55)</f>
        <v>0</v>
      </c>
      <c r="O28" s="2701">
        <v>0</v>
      </c>
      <c r="P28" s="2911">
        <f>Виробництво_Транспортування_1ст!H30-Виробництво_Транспортування_1ст!H31-Виробництво_Транспортування_1ст!H32-Виробництво_Транспортування_1ст!H33</f>
        <v>0</v>
      </c>
      <c r="Q28" s="2720">
        <f>E28*$Q$55/$E$55</f>
        <v>85.709403030459782</v>
      </c>
      <c r="R28" s="2721">
        <f>F28*$R$55/$F$55</f>
        <v>204.86537149190238</v>
      </c>
      <c r="S28" s="2704">
        <v>0</v>
      </c>
      <c r="T28" s="2702">
        <f>Виробництво_Транспортування_1ст!I30-Виробництво_Транспортування_1ст!I31-Виробництво_Транспортування_1ст!I32-Виробництво_Транспортування_1ст!I33</f>
        <v>0</v>
      </c>
      <c r="U28" s="2720">
        <f>U25-U26-U27</f>
        <v>3823.3078799999994</v>
      </c>
      <c r="V28" s="2704">
        <f>F28*$V$55/$F$55</f>
        <v>1794.0727585080981</v>
      </c>
      <c r="W28" s="2701">
        <v>3743.01</v>
      </c>
      <c r="X28" s="2702">
        <f>Виробництво_Транспортування_1ст!J30-Виробництво_Транспортування_1ст!J31-Виробництво_Транспортування_1ст!J32-Виробництво_Транспортування_1ст!J33</f>
        <v>2708.9926816560001</v>
      </c>
      <c r="Y28" s="864"/>
      <c r="AB28" s="1055">
        <f t="shared" si="1"/>
        <v>603.09813481466847</v>
      </c>
      <c r="AC28" s="1055"/>
      <c r="AD28" s="1055"/>
      <c r="AE28" s="1055">
        <v>0</v>
      </c>
      <c r="AF28" s="1055">
        <f t="shared" si="3"/>
        <v>603.09813481466847</v>
      </c>
      <c r="AH28" s="2056"/>
      <c r="AI28" s="2054"/>
      <c r="AJ28" s="2054"/>
      <c r="AK28" s="2054"/>
      <c r="AL28" s="2054"/>
      <c r="AN28" s="2923"/>
      <c r="AO28" s="2923"/>
      <c r="AP28" s="2923"/>
      <c r="AQ28" s="2923"/>
      <c r="AR28" s="2923"/>
      <c r="AS28" s="2734"/>
    </row>
    <row r="29" spans="1:45" s="123" customFormat="1" x14ac:dyDescent="0.25">
      <c r="A29" s="121" t="s">
        <v>53</v>
      </c>
      <c r="B29" s="2892" t="s">
        <v>53</v>
      </c>
      <c r="C29" s="2741" t="s">
        <v>228</v>
      </c>
      <c r="D29" s="2742" t="s">
        <v>40</v>
      </c>
      <c r="E29" s="2716">
        <f>E30+E31+E32</f>
        <v>2785.41</v>
      </c>
      <c r="F29" s="2714">
        <f>F30+F31+F32</f>
        <v>1876.31</v>
      </c>
      <c r="G29" s="2714">
        <f>G30+G31+G32</f>
        <v>3419.5600000000004</v>
      </c>
      <c r="H29" s="2712">
        <f>ЗВВ_1ст!G8</f>
        <v>3002.4645812406711</v>
      </c>
      <c r="I29" s="2716">
        <f t="shared" ref="I29:W29" si="8">I30+I31+I32</f>
        <v>0</v>
      </c>
      <c r="J29" s="2714">
        <f t="shared" si="8"/>
        <v>0</v>
      </c>
      <c r="K29" s="2714">
        <v>0</v>
      </c>
      <c r="L29" s="2712">
        <f t="shared" si="8"/>
        <v>0</v>
      </c>
      <c r="M29" s="2716">
        <f t="shared" si="8"/>
        <v>0</v>
      </c>
      <c r="N29" s="2714">
        <f t="shared" si="8"/>
        <v>0</v>
      </c>
      <c r="O29" s="2714">
        <v>0</v>
      </c>
      <c r="P29" s="2915">
        <f t="shared" si="8"/>
        <v>0</v>
      </c>
      <c r="Q29" s="2716">
        <f t="shared" si="8"/>
        <v>62.442219090938877</v>
      </c>
      <c r="R29" s="2722">
        <f t="shared" si="8"/>
        <v>192.29757010236796</v>
      </c>
      <c r="S29" s="2714">
        <f t="shared" si="8"/>
        <v>0</v>
      </c>
      <c r="T29" s="2712">
        <f t="shared" si="8"/>
        <v>0</v>
      </c>
      <c r="U29" s="2716">
        <f t="shared" si="8"/>
        <v>2722.9677809090613</v>
      </c>
      <c r="V29" s="2714">
        <f t="shared" si="8"/>
        <v>1684.0124298976323</v>
      </c>
      <c r="W29" s="2714">
        <f t="shared" si="8"/>
        <v>3419.5600000000004</v>
      </c>
      <c r="X29" s="2712">
        <f>X30+X31+X32</f>
        <v>3002.4645812406711</v>
      </c>
      <c r="Y29" s="1763"/>
      <c r="AB29" s="1055">
        <f t="shared" si="1"/>
        <v>668.43325235062196</v>
      </c>
      <c r="AC29" s="1055"/>
      <c r="AD29" s="1055"/>
      <c r="AE29" s="1055">
        <v>0</v>
      </c>
      <c r="AF29" s="1055">
        <f t="shared" si="3"/>
        <v>668.43325235062196</v>
      </c>
      <c r="AH29" s="2056"/>
      <c r="AI29" s="2054"/>
      <c r="AJ29" s="2054"/>
      <c r="AK29" s="2054"/>
      <c r="AL29" s="2054"/>
      <c r="AM29" s="2054"/>
      <c r="AN29" s="2923"/>
      <c r="AO29" s="2923"/>
      <c r="AP29" s="2923"/>
      <c r="AQ29" s="2923"/>
      <c r="AR29" s="2923"/>
      <c r="AS29" s="2919"/>
    </row>
    <row r="30" spans="1:45" x14ac:dyDescent="0.25">
      <c r="A30" s="124" t="s">
        <v>54</v>
      </c>
      <c r="B30" s="2890" t="s">
        <v>54</v>
      </c>
      <c r="C30" s="2738" t="s">
        <v>55</v>
      </c>
      <c r="D30" s="2907" t="s">
        <v>40</v>
      </c>
      <c r="E30" s="2718">
        <v>1999.66</v>
      </c>
      <c r="F30" s="2701">
        <v>1306.1400000000001</v>
      </c>
      <c r="G30" s="2701">
        <v>2277.36</v>
      </c>
      <c r="H30" s="2702">
        <f>ЗВВ_1ст!G21</f>
        <v>2174.381536632704</v>
      </c>
      <c r="I30" s="2703">
        <f>E30*($I$55/$E$55)</f>
        <v>0</v>
      </c>
      <c r="J30" s="2701">
        <f>F30*($J$55/$F$55)</f>
        <v>0</v>
      </c>
      <c r="K30" s="2701">
        <v>0</v>
      </c>
      <c r="L30" s="2702">
        <f>H30*Виробництво_Транспортування_1ст!$G$6</f>
        <v>0</v>
      </c>
      <c r="M30" s="2719">
        <f>E30*($M$55/$E$55)</f>
        <v>0</v>
      </c>
      <c r="N30" s="2704">
        <f>F30*($N$55/$F$55)</f>
        <v>0</v>
      </c>
      <c r="O30" s="2701">
        <v>0</v>
      </c>
      <c r="P30" s="2911">
        <f>H30*Виробництво_Транспортування_1ст!$H$6</f>
        <v>0</v>
      </c>
      <c r="Q30" s="2720">
        <f>E30*$Q$55/$E$55</f>
        <v>44.827586541078993</v>
      </c>
      <c r="R30" s="2721">
        <f>F30*$R$55/$F$55</f>
        <v>133.86250044689143</v>
      </c>
      <c r="S30" s="2704">
        <v>0</v>
      </c>
      <c r="T30" s="2702">
        <f>H30*Виробництво_Транспортування_1ст!$I$6</f>
        <v>0</v>
      </c>
      <c r="U30" s="2720">
        <f>E30*$U$55/$E$55</f>
        <v>1954.8324134589213</v>
      </c>
      <c r="V30" s="2704">
        <f>F30*$V$55/$F$55</f>
        <v>1172.2774995531088</v>
      </c>
      <c r="W30" s="2704">
        <v>2277.36</v>
      </c>
      <c r="X30" s="2702">
        <f>H30*Виробництво_Транспортування_1ст!$J$6</f>
        <v>2174.381536632704</v>
      </c>
      <c r="Y30" s="864"/>
      <c r="AB30" s="1055">
        <f t="shared" si="1"/>
        <v>484.07862376246891</v>
      </c>
      <c r="AC30" s="1055"/>
      <c r="AD30" s="1055"/>
      <c r="AE30" s="1055">
        <v>0</v>
      </c>
      <c r="AF30" s="1055">
        <f t="shared" si="3"/>
        <v>484.07862376246891</v>
      </c>
      <c r="AH30" s="2056"/>
      <c r="AI30" s="2054"/>
      <c r="AJ30" s="2054"/>
      <c r="AK30" s="2054"/>
      <c r="AL30" s="2054"/>
      <c r="AN30" s="2923"/>
      <c r="AO30" s="2923"/>
      <c r="AP30" s="2923"/>
      <c r="AQ30" s="2923"/>
      <c r="AR30" s="2923"/>
      <c r="AS30" s="2734"/>
    </row>
    <row r="31" spans="1:45" ht="22.5" x14ac:dyDescent="0.25">
      <c r="A31" s="124" t="s">
        <v>56</v>
      </c>
      <c r="B31" s="2890" t="s">
        <v>56</v>
      </c>
      <c r="C31" s="2736" t="s">
        <v>452</v>
      </c>
      <c r="D31" s="2907" t="s">
        <v>40</v>
      </c>
      <c r="E31" s="2718">
        <v>415.25</v>
      </c>
      <c r="F31" s="2701">
        <v>273.07</v>
      </c>
      <c r="G31" s="2701">
        <v>501.02</v>
      </c>
      <c r="H31" s="2702">
        <f>ЗВВ_1ст!G23</f>
        <v>478.36393805919488</v>
      </c>
      <c r="I31" s="2703">
        <f>E31*($I$55/$E$55)</f>
        <v>0</v>
      </c>
      <c r="J31" s="2701">
        <f>F31*($J$55/$F$55)</f>
        <v>0</v>
      </c>
      <c r="K31" s="2701">
        <v>0</v>
      </c>
      <c r="L31" s="2702">
        <f>H31*Виробництво_Транспортування_1ст!$G$6</f>
        <v>0</v>
      </c>
      <c r="M31" s="2719">
        <f>E31*($M$55/$E$55)</f>
        <v>0</v>
      </c>
      <c r="N31" s="2704">
        <f>F31*($N$55/$F$55)</f>
        <v>0</v>
      </c>
      <c r="O31" s="2701">
        <v>0</v>
      </c>
      <c r="P31" s="2911">
        <f>H31*Виробництво_Транспортування_1ст!$H$6</f>
        <v>0</v>
      </c>
      <c r="Q31" s="2720">
        <f>E31*$Q$55/$E$55</f>
        <v>9.3089101703204786</v>
      </c>
      <c r="R31" s="2721">
        <f>F31*$R$55/$F$55</f>
        <v>27.986152324431256</v>
      </c>
      <c r="S31" s="2704">
        <v>0</v>
      </c>
      <c r="T31" s="2702">
        <f>H31*Виробництво_Транспортування_1ст!$I$6</f>
        <v>0</v>
      </c>
      <c r="U31" s="2720">
        <f>E31*$U$55/$E$55</f>
        <v>405.94108982967953</v>
      </c>
      <c r="V31" s="2704">
        <f>F31*$V$55/$F$55</f>
        <v>245.08384767556876</v>
      </c>
      <c r="W31" s="2704">
        <v>501.02</v>
      </c>
      <c r="X31" s="2702">
        <f>H31*Виробництво_Транспортування_1ст!$J$6</f>
        <v>478.36393805919488</v>
      </c>
      <c r="AB31" s="1055">
        <f t="shared" si="1"/>
        <v>106.49729722774316</v>
      </c>
      <c r="AC31" s="1055"/>
      <c r="AD31" s="1055"/>
      <c r="AE31" s="1055">
        <v>0</v>
      </c>
      <c r="AF31" s="1055">
        <f t="shared" si="3"/>
        <v>106.49729722774316</v>
      </c>
      <c r="AH31" s="2056"/>
      <c r="AI31" s="2054"/>
      <c r="AJ31" s="2054"/>
      <c r="AK31" s="2054"/>
      <c r="AL31" s="2054"/>
      <c r="AN31" s="2923"/>
      <c r="AO31" s="2923"/>
      <c r="AP31" s="2923"/>
      <c r="AQ31" s="2923"/>
      <c r="AR31" s="2923"/>
      <c r="AS31" s="2734"/>
    </row>
    <row r="32" spans="1:45" x14ac:dyDescent="0.25">
      <c r="A32" s="124" t="s">
        <v>57</v>
      </c>
      <c r="B32" s="2890" t="s">
        <v>57</v>
      </c>
      <c r="C32" s="2738" t="s">
        <v>58</v>
      </c>
      <c r="D32" s="2907" t="s">
        <v>40</v>
      </c>
      <c r="E32" s="2718">
        <v>370.5</v>
      </c>
      <c r="F32" s="2701">
        <v>297.10000000000002</v>
      </c>
      <c r="G32" s="2701">
        <f>610.11+31.07</f>
        <v>641.18000000000006</v>
      </c>
      <c r="H32" s="2702">
        <f>H29-H30-H31</f>
        <v>349.71910654877229</v>
      </c>
      <c r="I32" s="2703">
        <f>E32*($I$55/$E$55)</f>
        <v>0</v>
      </c>
      <c r="J32" s="2701">
        <f>F32*($J$55/$F$55)</f>
        <v>0</v>
      </c>
      <c r="K32" s="2701">
        <v>0</v>
      </c>
      <c r="L32" s="2702">
        <f>H32*Виробництво_Транспортування_1ст!$G$6</f>
        <v>0</v>
      </c>
      <c r="M32" s="2719">
        <f>E32*($M$55/$E$55)</f>
        <v>0</v>
      </c>
      <c r="N32" s="2704">
        <f>F32*($N$55/$F$55)</f>
        <v>0</v>
      </c>
      <c r="O32" s="2701">
        <v>0</v>
      </c>
      <c r="P32" s="2911">
        <f>H32*Виробництво_Транспортування_1ст!$H$6</f>
        <v>0</v>
      </c>
      <c r="Q32" s="2720">
        <f>E32*$Q$55/$E$55</f>
        <v>8.3057223795394037</v>
      </c>
      <c r="R32" s="2721">
        <f>F32*$R$55/$F$55</f>
        <v>30.448917331045251</v>
      </c>
      <c r="S32" s="2704">
        <v>0</v>
      </c>
      <c r="T32" s="2702">
        <f>H32*Виробництво_Транспортування_1ст!$I$6</f>
        <v>0</v>
      </c>
      <c r="U32" s="2720">
        <f>E32*$U$55/$E$55</f>
        <v>362.19427762046064</v>
      </c>
      <c r="V32" s="2704">
        <f>F32*$V$55/$F$55</f>
        <v>266.65108266895476</v>
      </c>
      <c r="W32" s="2704">
        <f>31.07+610.11</f>
        <v>641.18000000000006</v>
      </c>
      <c r="X32" s="2702">
        <f>H32*Виробництво_Транспортування_1ст!$J$6</f>
        <v>349.71910654877229</v>
      </c>
      <c r="Y32" s="864"/>
      <c r="AB32" s="1055">
        <f t="shared" si="1"/>
        <v>77.857331360410001</v>
      </c>
      <c r="AC32" s="1055"/>
      <c r="AD32" s="1055"/>
      <c r="AE32" s="1055">
        <v>0</v>
      </c>
      <c r="AF32" s="1055">
        <f t="shared" si="3"/>
        <v>77.857331360410001</v>
      </c>
      <c r="AH32" s="2056"/>
      <c r="AI32" s="2054"/>
      <c r="AJ32" s="2054"/>
      <c r="AK32" s="2054"/>
      <c r="AL32" s="2054"/>
      <c r="AN32" s="2923"/>
      <c r="AO32" s="2923"/>
      <c r="AP32" s="2923"/>
      <c r="AQ32" s="2923"/>
      <c r="AR32" s="2923"/>
      <c r="AS32" s="2734"/>
    </row>
    <row r="33" spans="1:45" s="123" customFormat="1" x14ac:dyDescent="0.25">
      <c r="A33" s="121">
        <v>2</v>
      </c>
      <c r="B33" s="2892">
        <v>2</v>
      </c>
      <c r="C33" s="2741" t="s">
        <v>229</v>
      </c>
      <c r="D33" s="2742" t="s">
        <v>40</v>
      </c>
      <c r="E33" s="2716">
        <f>E34+E35+E36</f>
        <v>681.93000000000006</v>
      </c>
      <c r="F33" s="2714">
        <f>F34+F35+F36</f>
        <v>563.66999999999996</v>
      </c>
      <c r="G33" s="2714">
        <f>G34+G35+G36</f>
        <v>1363.33</v>
      </c>
      <c r="H33" s="2712">
        <f>Адміністративні_1ст!G8</f>
        <v>920.38656763919266</v>
      </c>
      <c r="I33" s="2716">
        <f t="shared" ref="I33:X33" si="9">I34+I35+I36</f>
        <v>0</v>
      </c>
      <c r="J33" s="2714">
        <f t="shared" si="9"/>
        <v>0</v>
      </c>
      <c r="K33" s="2914">
        <f t="shared" si="9"/>
        <v>0</v>
      </c>
      <c r="L33" s="2712">
        <f t="shared" si="9"/>
        <v>0</v>
      </c>
      <c r="M33" s="2716">
        <f t="shared" si="9"/>
        <v>0</v>
      </c>
      <c r="N33" s="2714">
        <f t="shared" si="9"/>
        <v>0</v>
      </c>
      <c r="O33" s="2714">
        <v>0</v>
      </c>
      <c r="P33" s="2915">
        <f t="shared" si="9"/>
        <v>0</v>
      </c>
      <c r="Q33" s="2716">
        <f t="shared" si="9"/>
        <v>15.287236875247791</v>
      </c>
      <c r="R33" s="2722">
        <f t="shared" si="9"/>
        <v>57.768903507203895</v>
      </c>
      <c r="S33" s="2714">
        <f t="shared" si="9"/>
        <v>0</v>
      </c>
      <c r="T33" s="2712">
        <f t="shared" si="9"/>
        <v>0</v>
      </c>
      <c r="U33" s="2716">
        <f t="shared" si="9"/>
        <v>666.64276312475226</v>
      </c>
      <c r="V33" s="2714">
        <f t="shared" si="9"/>
        <v>505.90109649279611</v>
      </c>
      <c r="W33" s="2714">
        <f t="shared" si="9"/>
        <v>1363.33</v>
      </c>
      <c r="X33" s="2712">
        <f t="shared" si="9"/>
        <v>920.38656763919266</v>
      </c>
      <c r="Y33" s="1763"/>
      <c r="AB33" s="1055">
        <f t="shared" si="1"/>
        <v>204.90399476175429</v>
      </c>
      <c r="AC33" s="1055"/>
      <c r="AD33" s="1055"/>
      <c r="AE33" s="1055">
        <v>0</v>
      </c>
      <c r="AF33" s="1055">
        <f t="shared" si="3"/>
        <v>204.90399476175429</v>
      </c>
      <c r="AH33" s="2056"/>
      <c r="AI33" s="2054"/>
      <c r="AJ33" s="2054"/>
      <c r="AK33" s="2054"/>
      <c r="AL33" s="2054"/>
      <c r="AM33" s="2054"/>
      <c r="AN33" s="2923"/>
      <c r="AO33" s="2923"/>
      <c r="AP33" s="2923"/>
      <c r="AQ33" s="2923"/>
      <c r="AR33" s="2923"/>
      <c r="AS33" s="2919"/>
    </row>
    <row r="34" spans="1:45" x14ac:dyDescent="0.25">
      <c r="A34" s="124" t="s">
        <v>25</v>
      </c>
      <c r="B34" s="2890" t="s">
        <v>25</v>
      </c>
      <c r="C34" s="2738" t="s">
        <v>55</v>
      </c>
      <c r="D34" s="2907" t="s">
        <v>40</v>
      </c>
      <c r="E34" s="2718">
        <v>439.58</v>
      </c>
      <c r="F34" s="2701">
        <v>298.75</v>
      </c>
      <c r="G34" s="2701">
        <v>848.97</v>
      </c>
      <c r="H34" s="2701">
        <f>Адміністративні_1ст!G21</f>
        <v>509.34726415631161</v>
      </c>
      <c r="I34" s="2703">
        <f>E34*($I$55/$E$55)</f>
        <v>0</v>
      </c>
      <c r="J34" s="2701">
        <f>F34*($J$55/$F$55)</f>
        <v>0</v>
      </c>
      <c r="K34" s="2701">
        <v>0</v>
      </c>
      <c r="L34" s="2702">
        <f>H34*Виробництво_Транспортування_1ст!$G$6</f>
        <v>0</v>
      </c>
      <c r="M34" s="2719">
        <f>E34*($M$55/$E$55)</f>
        <v>0</v>
      </c>
      <c r="N34" s="2704">
        <f>F34*($N$55/$F$55)</f>
        <v>0</v>
      </c>
      <c r="O34" s="2701">
        <v>0</v>
      </c>
      <c r="P34" s="2911">
        <f>H34*Виробництво_Транспортування_1ст!$H$6</f>
        <v>0</v>
      </c>
      <c r="Q34" s="2720">
        <f>E34*$Q$55/$E$55</f>
        <v>9.8543304820456985</v>
      </c>
      <c r="R34" s="2721">
        <f>F34*$R$55/$F$55</f>
        <v>30.61802104560676</v>
      </c>
      <c r="S34" s="2704">
        <v>0</v>
      </c>
      <c r="T34" s="2702">
        <f>H34*Виробництво_Транспортування_1ст!$I$6</f>
        <v>0</v>
      </c>
      <c r="U34" s="2720">
        <f>E34*$U$55/$E$55</f>
        <v>429.72566951795432</v>
      </c>
      <c r="V34" s="2704">
        <f>F34*$V$55/$F$55</f>
        <v>268.13197895439322</v>
      </c>
      <c r="W34" s="2704">
        <v>848.97</v>
      </c>
      <c r="X34" s="2702">
        <f>H34*Виробництво_Транспортування_1ст!$J$6</f>
        <v>509.34726415631161</v>
      </c>
      <c r="Y34" s="864"/>
      <c r="AB34" s="1055">
        <f t="shared" si="1"/>
        <v>113.39505900689387</v>
      </c>
      <c r="AC34" s="1055"/>
      <c r="AD34" s="1055"/>
      <c r="AE34" s="1055">
        <v>0</v>
      </c>
      <c r="AF34" s="1055">
        <f t="shared" si="3"/>
        <v>113.39505900689387</v>
      </c>
      <c r="AH34" s="2056"/>
      <c r="AI34" s="2054"/>
      <c r="AJ34" s="2054"/>
      <c r="AK34" s="2054"/>
      <c r="AL34" s="2054"/>
      <c r="AN34" s="2923"/>
      <c r="AO34" s="2923"/>
      <c r="AP34" s="2923"/>
      <c r="AQ34" s="2923"/>
      <c r="AR34" s="2923"/>
      <c r="AS34" s="2734"/>
    </row>
    <row r="35" spans="1:45" ht="22.5" x14ac:dyDescent="0.25">
      <c r="A35" s="124" t="s">
        <v>26</v>
      </c>
      <c r="B35" s="2890" t="s">
        <v>26</v>
      </c>
      <c r="C35" s="2736" t="s">
        <v>452</v>
      </c>
      <c r="D35" s="2907" t="s">
        <v>40</v>
      </c>
      <c r="E35" s="2718">
        <v>95.05</v>
      </c>
      <c r="F35" s="2701">
        <v>67.64</v>
      </c>
      <c r="G35" s="2701">
        <v>186.77</v>
      </c>
      <c r="H35" s="2701">
        <f>Адміністративні_1ст!G23</f>
        <v>112.05639811438856</v>
      </c>
      <c r="I35" s="2703">
        <f>E35*($I$55/$E$55)</f>
        <v>0</v>
      </c>
      <c r="J35" s="2701">
        <f>F35*($J$55/$F$55)</f>
        <v>0</v>
      </c>
      <c r="K35" s="2701">
        <v>0</v>
      </c>
      <c r="L35" s="2702">
        <f>H35*Виробництво_Транспортування_1ст!$G$6</f>
        <v>0</v>
      </c>
      <c r="M35" s="2719">
        <f>E35*($M$55/$E$55)</f>
        <v>0</v>
      </c>
      <c r="N35" s="2704">
        <f>F35*($N$55/$F$55)</f>
        <v>0</v>
      </c>
      <c r="O35" s="2701">
        <v>0</v>
      </c>
      <c r="P35" s="2911">
        <f>H35*Виробництво_Транспортування_1ст!$H$6</f>
        <v>0</v>
      </c>
      <c r="Q35" s="2720">
        <f>E35*$Q$55/$E$55</f>
        <v>2.1307932852232669</v>
      </c>
      <c r="R35" s="2721">
        <f>F35*$R$55/$F$55</f>
        <v>6.9322274260245731</v>
      </c>
      <c r="S35" s="2704">
        <v>0</v>
      </c>
      <c r="T35" s="2702">
        <f>H35*Виробництво_Транспортування_1ст!$I$6</f>
        <v>0</v>
      </c>
      <c r="U35" s="2720">
        <f>E35*$U$55/$E$55</f>
        <v>92.919206714776735</v>
      </c>
      <c r="V35" s="2704">
        <f>F35*$V$55/$F$55</f>
        <v>60.707772573975426</v>
      </c>
      <c r="W35" s="2704">
        <v>186.77</v>
      </c>
      <c r="X35" s="2702">
        <f>H35*Виробництво_Транспортування_1ст!$J$6</f>
        <v>112.05639811438856</v>
      </c>
      <c r="AB35" s="1055">
        <f t="shared" si="1"/>
        <v>24.94691298151665</v>
      </c>
      <c r="AC35" s="1055"/>
      <c r="AD35" s="1055"/>
      <c r="AE35" s="1055">
        <v>0</v>
      </c>
      <c r="AF35" s="1055">
        <f t="shared" si="3"/>
        <v>24.94691298151665</v>
      </c>
      <c r="AH35" s="2056"/>
      <c r="AI35" s="2054"/>
      <c r="AJ35" s="2054"/>
      <c r="AK35" s="2054"/>
      <c r="AL35" s="2054"/>
      <c r="AN35" s="2923"/>
      <c r="AO35" s="2923"/>
      <c r="AP35" s="2923"/>
      <c r="AQ35" s="2923"/>
      <c r="AR35" s="2923"/>
      <c r="AS35" s="2734"/>
    </row>
    <row r="36" spans="1:45" x14ac:dyDescent="0.25">
      <c r="A36" s="124" t="s">
        <v>59</v>
      </c>
      <c r="B36" s="2890" t="s">
        <v>59</v>
      </c>
      <c r="C36" s="2743" t="s">
        <v>58</v>
      </c>
      <c r="D36" s="2907" t="s">
        <v>40</v>
      </c>
      <c r="E36" s="2718">
        <v>147.30000000000001</v>
      </c>
      <c r="F36" s="2701">
        <v>197.28</v>
      </c>
      <c r="G36" s="2701">
        <f>21.54+306.05</f>
        <v>327.59000000000003</v>
      </c>
      <c r="H36" s="2701">
        <f>Адміністративні_1ст!G9+Адміністративні_1ст!G24+Адміністративні_1ст!G36+Адміністративні_1ст!G38</f>
        <v>298.9829053684926</v>
      </c>
      <c r="I36" s="2703">
        <f>E36*($I$55/$E$55)</f>
        <v>0</v>
      </c>
      <c r="J36" s="2701">
        <f>F36*($J$55/$F$55)</f>
        <v>0</v>
      </c>
      <c r="K36" s="2701">
        <v>0</v>
      </c>
      <c r="L36" s="2702">
        <f>H36*Виробництво_Транспортування_1ст!$G$6</f>
        <v>0</v>
      </c>
      <c r="M36" s="2719">
        <f>E36*($M$55/$E$55)</f>
        <v>0</v>
      </c>
      <c r="N36" s="2704">
        <f>F36*($N$55/$F$55)</f>
        <v>0</v>
      </c>
      <c r="O36" s="2701">
        <v>0</v>
      </c>
      <c r="P36" s="2911">
        <f>H36*Виробництво_Транспортування_1ст!$H$6</f>
        <v>0</v>
      </c>
      <c r="Q36" s="2720">
        <f>E36*$Q$55/$E$55</f>
        <v>3.302113107978824</v>
      </c>
      <c r="R36" s="2721">
        <f>F36*$R$55/$F$55</f>
        <v>20.21865503557256</v>
      </c>
      <c r="S36" s="2704">
        <v>0</v>
      </c>
      <c r="T36" s="2702">
        <f>H36*Виробництво_Транспортування_1ст!$I$6</f>
        <v>0</v>
      </c>
      <c r="U36" s="2720">
        <f>E36*$U$55/$E$55</f>
        <v>143.9978868920212</v>
      </c>
      <c r="V36" s="2704">
        <f>F36*$V$55/$F$55</f>
        <v>177.06134496442743</v>
      </c>
      <c r="W36" s="2704">
        <f>21.54+306.05</f>
        <v>327.59000000000003</v>
      </c>
      <c r="X36" s="2702">
        <f>H36*Виробництво_Транспортування_1ст!$J$6</f>
        <v>298.9829053684926</v>
      </c>
      <c r="Y36" s="864"/>
      <c r="AB36" s="1055">
        <f t="shared" si="1"/>
        <v>66.562022773343813</v>
      </c>
      <c r="AC36" s="1055"/>
      <c r="AD36" s="1055"/>
      <c r="AE36" s="1055">
        <v>0</v>
      </c>
      <c r="AF36" s="1055">
        <f t="shared" si="3"/>
        <v>66.562022773343813</v>
      </c>
      <c r="AH36" s="2056"/>
      <c r="AI36" s="2054"/>
      <c r="AJ36" s="2054"/>
      <c r="AK36" s="2054"/>
      <c r="AL36" s="2054"/>
      <c r="AN36" s="2923"/>
      <c r="AO36" s="2923"/>
      <c r="AP36" s="2923"/>
      <c r="AQ36" s="2923"/>
      <c r="AR36" s="2923"/>
      <c r="AS36" s="2734"/>
    </row>
    <row r="37" spans="1:45" x14ac:dyDescent="0.25">
      <c r="A37" s="124"/>
      <c r="B37" s="2889" t="s">
        <v>181</v>
      </c>
      <c r="C37" s="2740" t="s">
        <v>230</v>
      </c>
      <c r="D37" s="2870" t="s">
        <v>40</v>
      </c>
      <c r="E37" s="2703">
        <f>E38+E39+E40</f>
        <v>0</v>
      </c>
      <c r="F37" s="2701">
        <f>F38+F39+F40</f>
        <v>0</v>
      </c>
      <c r="G37" s="2701">
        <f>G38+G39+G40</f>
        <v>0</v>
      </c>
      <c r="H37" s="2702">
        <v>0</v>
      </c>
      <c r="I37" s="2703">
        <f t="shared" ref="I37:X37" si="10">I38+I39+I40</f>
        <v>0</v>
      </c>
      <c r="J37" s="2701">
        <f t="shared" si="10"/>
        <v>0</v>
      </c>
      <c r="K37" s="2701">
        <v>0</v>
      </c>
      <c r="L37" s="2702">
        <f t="shared" si="10"/>
        <v>0</v>
      </c>
      <c r="M37" s="2703">
        <f t="shared" si="10"/>
        <v>0</v>
      </c>
      <c r="N37" s="2701">
        <f t="shared" si="10"/>
        <v>0</v>
      </c>
      <c r="O37" s="2701">
        <v>0</v>
      </c>
      <c r="P37" s="2911">
        <f>H37*Виробництво_Транспортування_1ст!$H$6</f>
        <v>0</v>
      </c>
      <c r="Q37" s="2703">
        <f t="shared" si="10"/>
        <v>0</v>
      </c>
      <c r="R37" s="2705">
        <f t="shared" si="10"/>
        <v>0</v>
      </c>
      <c r="S37" s="2701">
        <f t="shared" si="10"/>
        <v>0</v>
      </c>
      <c r="T37" s="2702">
        <f t="shared" si="10"/>
        <v>0</v>
      </c>
      <c r="U37" s="2703">
        <f t="shared" si="10"/>
        <v>0</v>
      </c>
      <c r="V37" s="2701">
        <f t="shared" si="10"/>
        <v>0</v>
      </c>
      <c r="W37" s="2701">
        <f t="shared" si="10"/>
        <v>0</v>
      </c>
      <c r="X37" s="2702">
        <f t="shared" si="10"/>
        <v>0</v>
      </c>
      <c r="Y37" s="864"/>
      <c r="AB37" s="1055">
        <f t="shared" si="1"/>
        <v>0</v>
      </c>
      <c r="AC37" s="1055"/>
      <c r="AD37" s="1055"/>
      <c r="AE37" s="1055">
        <v>0</v>
      </c>
      <c r="AF37" s="1055">
        <f t="shared" si="3"/>
        <v>0</v>
      </c>
      <c r="AH37" s="2056"/>
      <c r="AI37" s="2054"/>
      <c r="AJ37" s="2054"/>
      <c r="AK37" s="2054"/>
      <c r="AL37" s="2054"/>
      <c r="AN37" s="2923"/>
      <c r="AO37" s="2923"/>
      <c r="AP37" s="2923"/>
      <c r="AQ37" s="2923"/>
      <c r="AR37" s="2923"/>
      <c r="AS37" s="2734"/>
    </row>
    <row r="38" spans="1:45" x14ac:dyDescent="0.25">
      <c r="A38" s="124"/>
      <c r="B38" s="2889" t="s">
        <v>60</v>
      </c>
      <c r="C38" s="2740" t="s">
        <v>55</v>
      </c>
      <c r="D38" s="2870" t="s">
        <v>40</v>
      </c>
      <c r="E38" s="2717">
        <v>0</v>
      </c>
      <c r="F38" s="2701">
        <v>0</v>
      </c>
      <c r="G38" s="2701">
        <v>0</v>
      </c>
      <c r="H38" s="2718">
        <v>0</v>
      </c>
      <c r="I38" s="2717">
        <v>0</v>
      </c>
      <c r="J38" s="2701">
        <v>0</v>
      </c>
      <c r="K38" s="2701">
        <v>0</v>
      </c>
      <c r="L38" s="2718">
        <v>0</v>
      </c>
      <c r="M38" s="2717">
        <v>0</v>
      </c>
      <c r="N38" s="2701">
        <v>0</v>
      </c>
      <c r="O38" s="2701">
        <v>0</v>
      </c>
      <c r="P38" s="2911">
        <f>H38*Виробництво_Транспортування_1ст!$H$6</f>
        <v>0</v>
      </c>
      <c r="Q38" s="2717">
        <v>0</v>
      </c>
      <c r="R38" s="2705">
        <v>0</v>
      </c>
      <c r="S38" s="2701">
        <v>0</v>
      </c>
      <c r="T38" s="2718">
        <v>0</v>
      </c>
      <c r="U38" s="2717">
        <v>0</v>
      </c>
      <c r="V38" s="2701">
        <v>0</v>
      </c>
      <c r="W38" s="2701">
        <v>0</v>
      </c>
      <c r="X38" s="2702">
        <v>0</v>
      </c>
      <c r="Y38" s="864"/>
      <c r="AB38" s="1055">
        <f t="shared" si="1"/>
        <v>0</v>
      </c>
      <c r="AC38" s="1055"/>
      <c r="AD38" s="1055"/>
      <c r="AE38" s="1055">
        <v>0</v>
      </c>
      <c r="AF38" s="1055">
        <f t="shared" si="3"/>
        <v>0</v>
      </c>
      <c r="AH38" s="2056"/>
      <c r="AI38" s="2054"/>
      <c r="AJ38" s="2054"/>
      <c r="AK38" s="2054"/>
      <c r="AL38" s="2054"/>
      <c r="AN38" s="2923"/>
      <c r="AO38" s="2923"/>
      <c r="AP38" s="2923"/>
      <c r="AQ38" s="2923"/>
      <c r="AR38" s="2923"/>
      <c r="AS38" s="2734"/>
    </row>
    <row r="39" spans="1:45" ht="22.5" x14ac:dyDescent="0.25">
      <c r="A39" s="124"/>
      <c r="B39" s="2889" t="s">
        <v>61</v>
      </c>
      <c r="C39" s="2736" t="s">
        <v>452</v>
      </c>
      <c r="D39" s="2870" t="s">
        <v>40</v>
      </c>
      <c r="E39" s="2913">
        <v>0</v>
      </c>
      <c r="F39" s="2701">
        <v>0</v>
      </c>
      <c r="G39" s="2701">
        <v>0</v>
      </c>
      <c r="H39" s="2718">
        <v>0</v>
      </c>
      <c r="I39" s="2717">
        <v>0</v>
      </c>
      <c r="J39" s="2701">
        <v>0</v>
      </c>
      <c r="K39" s="2701">
        <v>0</v>
      </c>
      <c r="L39" s="2718">
        <v>0</v>
      </c>
      <c r="M39" s="2717">
        <v>0</v>
      </c>
      <c r="N39" s="2701">
        <v>0</v>
      </c>
      <c r="O39" s="2701">
        <v>0</v>
      </c>
      <c r="P39" s="2911">
        <f>H39*Виробництво_Транспортування_1ст!$H$6</f>
        <v>0</v>
      </c>
      <c r="Q39" s="2717">
        <v>0</v>
      </c>
      <c r="R39" s="2705">
        <v>0</v>
      </c>
      <c r="S39" s="2701">
        <v>0</v>
      </c>
      <c r="T39" s="2718">
        <v>0</v>
      </c>
      <c r="U39" s="2717">
        <v>0</v>
      </c>
      <c r="V39" s="2701">
        <v>0</v>
      </c>
      <c r="W39" s="2701">
        <v>0</v>
      </c>
      <c r="X39" s="2702">
        <v>0</v>
      </c>
      <c r="AB39" s="1055">
        <f t="shared" si="1"/>
        <v>0</v>
      </c>
      <c r="AC39" s="1055"/>
      <c r="AD39" s="1055"/>
      <c r="AE39" s="1055">
        <v>0</v>
      </c>
      <c r="AF39" s="1055">
        <f t="shared" si="3"/>
        <v>0</v>
      </c>
      <c r="AH39" s="2056"/>
      <c r="AI39" s="2054"/>
      <c r="AJ39" s="2054"/>
      <c r="AK39" s="2054"/>
      <c r="AL39" s="2054"/>
      <c r="AN39" s="2923"/>
      <c r="AO39" s="2923"/>
      <c r="AP39" s="2923"/>
      <c r="AQ39" s="2923"/>
      <c r="AR39" s="2923"/>
      <c r="AS39" s="2734"/>
    </row>
    <row r="40" spans="1:45" x14ac:dyDescent="0.25">
      <c r="A40" s="124"/>
      <c r="B40" s="2889" t="s">
        <v>62</v>
      </c>
      <c r="C40" s="2740" t="s">
        <v>58</v>
      </c>
      <c r="D40" s="2870" t="s">
        <v>40</v>
      </c>
      <c r="E40" s="2703">
        <v>0</v>
      </c>
      <c r="F40" s="2701">
        <v>0</v>
      </c>
      <c r="G40" s="2701">
        <v>0</v>
      </c>
      <c r="H40" s="2718">
        <v>0</v>
      </c>
      <c r="I40" s="2717">
        <v>0</v>
      </c>
      <c r="J40" s="2701">
        <v>0</v>
      </c>
      <c r="K40" s="2701">
        <v>0</v>
      </c>
      <c r="L40" s="2718">
        <v>0</v>
      </c>
      <c r="M40" s="2717">
        <v>0</v>
      </c>
      <c r="N40" s="2701">
        <v>0</v>
      </c>
      <c r="O40" s="2701">
        <v>0</v>
      </c>
      <c r="P40" s="2911">
        <f>H40*Виробництво_Транспортування_1ст!$H$6</f>
        <v>0</v>
      </c>
      <c r="Q40" s="2717">
        <v>0</v>
      </c>
      <c r="R40" s="2705">
        <v>0</v>
      </c>
      <c r="S40" s="2701">
        <v>0</v>
      </c>
      <c r="T40" s="2718">
        <v>0</v>
      </c>
      <c r="U40" s="2717">
        <v>0</v>
      </c>
      <c r="V40" s="2701">
        <v>0</v>
      </c>
      <c r="W40" s="2701">
        <v>0</v>
      </c>
      <c r="X40" s="2702">
        <v>0</v>
      </c>
      <c r="AB40" s="1055">
        <f t="shared" si="1"/>
        <v>0</v>
      </c>
      <c r="AC40" s="1055"/>
      <c r="AD40" s="1055"/>
      <c r="AE40" s="1055">
        <v>0</v>
      </c>
      <c r="AF40" s="1055">
        <f t="shared" si="3"/>
        <v>0</v>
      </c>
      <c r="AH40" s="2056"/>
      <c r="AI40" s="2054"/>
      <c r="AJ40" s="2054"/>
      <c r="AK40" s="2054"/>
      <c r="AL40" s="2054"/>
      <c r="AN40" s="2923"/>
      <c r="AO40" s="2923"/>
      <c r="AP40" s="2923"/>
      <c r="AQ40" s="2923"/>
      <c r="AR40" s="2923"/>
      <c r="AS40" s="2734"/>
    </row>
    <row r="41" spans="1:45" x14ac:dyDescent="0.25">
      <c r="A41" s="124" t="s">
        <v>181</v>
      </c>
      <c r="B41" s="2890" t="s">
        <v>182</v>
      </c>
      <c r="C41" s="2736" t="s">
        <v>183</v>
      </c>
      <c r="D41" s="2870" t="s">
        <v>40</v>
      </c>
      <c r="E41" s="2703">
        <v>0</v>
      </c>
      <c r="F41" s="2701">
        <v>0</v>
      </c>
      <c r="G41" s="2701">
        <v>0</v>
      </c>
      <c r="H41" s="2702">
        <v>0</v>
      </c>
      <c r="I41" s="2703">
        <f>E41*($I$55/$E$55)</f>
        <v>0</v>
      </c>
      <c r="J41" s="2701">
        <f>F41*($J$55/$F$55)</f>
        <v>0</v>
      </c>
      <c r="K41" s="2701">
        <v>0</v>
      </c>
      <c r="L41" s="2702">
        <f>H41*$L$58/$H$58</f>
        <v>0</v>
      </c>
      <c r="M41" s="2719">
        <f>E41*($M$55/$E$55)</f>
        <v>0</v>
      </c>
      <c r="N41" s="2704">
        <f>F41*($N$55/$F$55)</f>
        <v>0</v>
      </c>
      <c r="O41" s="2701">
        <v>0</v>
      </c>
      <c r="P41" s="2911">
        <f>H41*Виробництво_Транспортування_1ст!$H$6</f>
        <v>0</v>
      </c>
      <c r="Q41" s="2720">
        <f>E41*$Q$55/$E$55</f>
        <v>0</v>
      </c>
      <c r="R41" s="2721">
        <f>F41*$R$55/$F$55</f>
        <v>0</v>
      </c>
      <c r="S41" s="2704">
        <f>G41*$S$55/$G$55</f>
        <v>0</v>
      </c>
      <c r="T41" s="2702">
        <f>H41*$T$58/$H$58</f>
        <v>0</v>
      </c>
      <c r="U41" s="2720">
        <f>E41*$U$55/$E$55</f>
        <v>0</v>
      </c>
      <c r="V41" s="2704">
        <f>F41*$V$55/$F$55</f>
        <v>0</v>
      </c>
      <c r="W41" s="2704">
        <f>G41*$W$55/$G$55</f>
        <v>0</v>
      </c>
      <c r="X41" s="2723">
        <v>0</v>
      </c>
      <c r="AB41" s="1055">
        <f t="shared" si="1"/>
        <v>0</v>
      </c>
      <c r="AC41" s="1055"/>
      <c r="AD41" s="1055"/>
      <c r="AE41" s="1055">
        <v>0</v>
      </c>
      <c r="AF41" s="1055">
        <f t="shared" si="3"/>
        <v>0</v>
      </c>
      <c r="AH41" s="2056"/>
      <c r="AI41" s="2054"/>
      <c r="AJ41" s="2054"/>
      <c r="AK41" s="2054"/>
      <c r="AL41" s="2054"/>
      <c r="AN41" s="2923"/>
      <c r="AO41" s="2923"/>
      <c r="AP41" s="2923"/>
      <c r="AQ41" s="2923"/>
      <c r="AR41" s="2923"/>
      <c r="AS41" s="2734"/>
    </row>
    <row r="42" spans="1:45" x14ac:dyDescent="0.25">
      <c r="A42" s="124" t="s">
        <v>182</v>
      </c>
      <c r="B42" s="2890" t="s">
        <v>177</v>
      </c>
      <c r="C42" s="2738" t="s">
        <v>5</v>
      </c>
      <c r="D42" s="2907" t="s">
        <v>40</v>
      </c>
      <c r="E42" s="2718"/>
      <c r="F42" s="2701"/>
      <c r="G42" s="2701"/>
      <c r="H42" s="2702"/>
      <c r="I42" s="2703">
        <f>E42*($I$55/$E$55)</f>
        <v>0</v>
      </c>
      <c r="J42" s="2701">
        <f>F42*($J$55/$F$55)</f>
        <v>0</v>
      </c>
      <c r="K42" s="2701">
        <v>0</v>
      </c>
      <c r="L42" s="2702">
        <f>H42*Виробництво_Транспортування_1ст!$G$6</f>
        <v>0</v>
      </c>
      <c r="M42" s="2719">
        <f>E42*($M$55/$E$55)</f>
        <v>0</v>
      </c>
      <c r="N42" s="2704">
        <f>F42*($N$55/$F$55)</f>
        <v>0</v>
      </c>
      <c r="O42" s="2701">
        <v>0</v>
      </c>
      <c r="P42" s="2911">
        <f>H42*Виробництво_Транспортування_1ст!$H$6</f>
        <v>0</v>
      </c>
      <c r="Q42" s="2720">
        <f>E42*$Q$55/$E$55</f>
        <v>0</v>
      </c>
      <c r="R42" s="2721">
        <f>F42*$R$55/$F$55</f>
        <v>0</v>
      </c>
      <c r="S42" s="2704">
        <v>0</v>
      </c>
      <c r="T42" s="2702">
        <f>H42*$T$58/$H$58</f>
        <v>0</v>
      </c>
      <c r="U42" s="2720">
        <f>E42*$U$55/$E$55</f>
        <v>0</v>
      </c>
      <c r="V42" s="2704">
        <f>F42*$V$55/$F$55</f>
        <v>0</v>
      </c>
      <c r="W42" s="2704"/>
      <c r="X42" s="2702">
        <f>H42*$X$58/$H$58</f>
        <v>0</v>
      </c>
      <c r="AB42" s="1055">
        <f t="shared" si="1"/>
        <v>0</v>
      </c>
      <c r="AC42" s="1055"/>
      <c r="AD42" s="1055"/>
      <c r="AE42" s="1055">
        <v>0</v>
      </c>
      <c r="AF42" s="1055">
        <f t="shared" si="3"/>
        <v>0</v>
      </c>
      <c r="AH42" s="2056"/>
      <c r="AI42" s="2054"/>
      <c r="AJ42" s="2054"/>
      <c r="AK42" s="2054"/>
      <c r="AL42" s="2054"/>
      <c r="AN42" s="2923"/>
      <c r="AO42" s="2923"/>
      <c r="AP42" s="2923"/>
      <c r="AQ42" s="2923"/>
      <c r="AR42" s="2923"/>
      <c r="AS42" s="2734"/>
    </row>
    <row r="43" spans="1:45" s="123" customFormat="1" x14ac:dyDescent="0.25">
      <c r="A43" s="121" t="s">
        <v>177</v>
      </c>
      <c r="B43" s="2892" t="s">
        <v>178</v>
      </c>
      <c r="C43" s="2741" t="s">
        <v>184</v>
      </c>
      <c r="D43" s="2908" t="s">
        <v>40</v>
      </c>
      <c r="E43" s="2715">
        <f>E42+E41+E37+E33+E12</f>
        <v>41158.185695999993</v>
      </c>
      <c r="F43" s="2714">
        <f t="shared" ref="F43:W43" si="11">F42+F41+F37+F33+F12</f>
        <v>44105.429539999983</v>
      </c>
      <c r="G43" s="2714">
        <f t="shared" si="11"/>
        <v>72299.83</v>
      </c>
      <c r="H43" s="2712">
        <f>H42+H41+H37+H33+H12</f>
        <v>23857.23572359997</v>
      </c>
      <c r="I43" s="2716">
        <f t="shared" si="11"/>
        <v>0</v>
      </c>
      <c r="J43" s="2714">
        <f t="shared" si="11"/>
        <v>0</v>
      </c>
      <c r="K43" s="2714">
        <f>K42+K41+K37+K33+K12</f>
        <v>0</v>
      </c>
      <c r="L43" s="2712">
        <f t="shared" si="11"/>
        <v>0</v>
      </c>
      <c r="M43" s="2716">
        <f t="shared" si="11"/>
        <v>0</v>
      </c>
      <c r="N43" s="2714">
        <f t="shared" si="11"/>
        <v>0</v>
      </c>
      <c r="O43" s="2714">
        <v>0</v>
      </c>
      <c r="P43" s="2915">
        <f>P42+P41+P37+P33+P12</f>
        <v>0</v>
      </c>
      <c r="Q43" s="2716">
        <f t="shared" si="11"/>
        <v>908.28344446585947</v>
      </c>
      <c r="R43" s="2722">
        <f>R42+R41+R37+R33+R12</f>
        <v>1624.8115748193461</v>
      </c>
      <c r="S43" s="2714">
        <v>0</v>
      </c>
      <c r="T43" s="2712">
        <f>T42+T41+T37+T33+T12</f>
        <v>0</v>
      </c>
      <c r="U43" s="2716">
        <f t="shared" si="11"/>
        <v>41080.456240033811</v>
      </c>
      <c r="V43" s="2714">
        <f>V42+V41+V37+V33+V12</f>
        <v>39585.191983912118</v>
      </c>
      <c r="W43" s="2714">
        <f t="shared" si="11"/>
        <v>72299.83</v>
      </c>
      <c r="X43" s="2712">
        <f>X42+X41+X37+X33+X12</f>
        <v>23857.23572359997</v>
      </c>
      <c r="Y43" s="874">
        <f>Виробництво_Транспортування_1ст!F9+ЗВВ_1ст!G8+Адміністративні_1ст!G8</f>
        <v>23857.235723599966</v>
      </c>
      <c r="Z43" s="876">
        <f>Y43-H43+H42</f>
        <v>-3.637978807091713E-12</v>
      </c>
      <c r="AB43" s="1055">
        <f t="shared" si="1"/>
        <v>5311.2931844251116</v>
      </c>
      <c r="AC43" s="1055"/>
      <c r="AD43" s="1055"/>
      <c r="AE43" s="1055">
        <v>0</v>
      </c>
      <c r="AF43" s="1055">
        <f t="shared" si="3"/>
        <v>5311.2931844251116</v>
      </c>
      <c r="AH43" s="2056"/>
      <c r="AI43" s="2054"/>
      <c r="AJ43" s="2054"/>
      <c r="AK43" s="2054"/>
      <c r="AL43" s="2054"/>
      <c r="AM43" s="2054"/>
      <c r="AN43" s="2923"/>
      <c r="AO43" s="2923"/>
      <c r="AP43" s="2923"/>
      <c r="AQ43" s="2923"/>
      <c r="AR43" s="2923"/>
      <c r="AS43" s="2919"/>
    </row>
    <row r="44" spans="1:45" s="123" customFormat="1" ht="21" x14ac:dyDescent="0.25">
      <c r="A44" s="121" t="s">
        <v>178</v>
      </c>
      <c r="B44" s="2892" t="s">
        <v>179</v>
      </c>
      <c r="C44" s="2741" t="s">
        <v>2748</v>
      </c>
      <c r="D44" s="2742" t="s">
        <v>40</v>
      </c>
      <c r="E44" s="2703">
        <v>0</v>
      </c>
      <c r="F44" s="2701">
        <v>0</v>
      </c>
      <c r="G44" s="2701">
        <v>0</v>
      </c>
      <c r="H44" s="2702">
        <f>L44+P44+T44+X44</f>
        <v>0</v>
      </c>
      <c r="I44" s="2703">
        <v>0</v>
      </c>
      <c r="J44" s="2701">
        <v>0</v>
      </c>
      <c r="K44" s="2704">
        <v>0</v>
      </c>
      <c r="L44" s="2702">
        <v>0</v>
      </c>
      <c r="M44" s="2703">
        <v>0</v>
      </c>
      <c r="N44" s="2701">
        <v>0</v>
      </c>
      <c r="O44" s="2704">
        <v>0</v>
      </c>
      <c r="P44" s="2909">
        <v>0</v>
      </c>
      <c r="Q44" s="2703">
        <v>0</v>
      </c>
      <c r="R44" s="2705">
        <v>0</v>
      </c>
      <c r="S44" s="2704">
        <v>0</v>
      </c>
      <c r="T44" s="2702">
        <v>0</v>
      </c>
      <c r="U44" s="2703">
        <v>0</v>
      </c>
      <c r="V44" s="2701">
        <v>0</v>
      </c>
      <c r="W44" s="2704">
        <v>0</v>
      </c>
      <c r="X44" s="2702">
        <v>0</v>
      </c>
      <c r="Y44" s="1144">
        <f>H44-L44-P44-T44-X44</f>
        <v>0</v>
      </c>
      <c r="AB44" s="1055">
        <f t="shared" si="1"/>
        <v>0</v>
      </c>
      <c r="AC44" s="1055"/>
      <c r="AD44" s="1055"/>
      <c r="AE44" s="1055">
        <v>0</v>
      </c>
      <c r="AF44" s="1055">
        <f t="shared" si="3"/>
        <v>0</v>
      </c>
      <c r="AH44" s="2056"/>
      <c r="AI44" s="2054"/>
      <c r="AJ44" s="2054"/>
      <c r="AK44" s="2054"/>
      <c r="AL44" s="2054"/>
      <c r="AM44" s="2054"/>
      <c r="AN44" s="2923"/>
      <c r="AO44" s="2923"/>
      <c r="AP44" s="2923"/>
      <c r="AQ44" s="2923"/>
      <c r="AR44" s="2923"/>
      <c r="AS44" s="2919"/>
    </row>
    <row r="45" spans="1:45" s="123" customFormat="1" x14ac:dyDescent="0.25">
      <c r="A45" s="121">
        <v>7</v>
      </c>
      <c r="B45" s="2892" t="s">
        <v>180</v>
      </c>
      <c r="C45" s="2744" t="s">
        <v>232</v>
      </c>
      <c r="D45" s="2742" t="s">
        <v>40</v>
      </c>
      <c r="E45" s="2724">
        <f>I45+M45+Q45+U45</f>
        <v>0</v>
      </c>
      <c r="F45" s="2725">
        <f>J45+N45+R45+V45</f>
        <v>0</v>
      </c>
      <c r="G45" s="2726">
        <f>G46+G47+G48+G49+G50</f>
        <v>4123.9799999999996</v>
      </c>
      <c r="H45" s="2727">
        <f>H46+H47+H48+H49+H50</f>
        <v>1752.0753915411819</v>
      </c>
      <c r="I45" s="2724"/>
      <c r="J45" s="2725"/>
      <c r="K45" s="2726">
        <f>K46+K47+K48+K49+K50</f>
        <v>0</v>
      </c>
      <c r="L45" s="2727">
        <f>L46+L47+L48+L49+L50</f>
        <v>0</v>
      </c>
      <c r="M45" s="2724"/>
      <c r="N45" s="2725"/>
      <c r="O45" s="2726">
        <v>0</v>
      </c>
      <c r="P45" s="2910">
        <f>P46+P47+P48+P49+P50</f>
        <v>0</v>
      </c>
      <c r="Q45" s="2724"/>
      <c r="R45" s="2728"/>
      <c r="S45" s="2726">
        <f>S46+S47+S48+S49+S50</f>
        <v>0</v>
      </c>
      <c r="T45" s="2727">
        <f>T46+T47+T48+T49+T50</f>
        <v>0</v>
      </c>
      <c r="U45" s="2724"/>
      <c r="V45" s="2725"/>
      <c r="W45" s="2726">
        <f>W46+W47+W48+W49+W50</f>
        <v>4123.9799999999996</v>
      </c>
      <c r="X45" s="2727">
        <f>X46+X47+X48+X49+X50</f>
        <v>1752.0753915411819</v>
      </c>
      <c r="Y45" s="875"/>
      <c r="Z45" s="875"/>
      <c r="AA45" s="875"/>
      <c r="AB45" s="1055">
        <f t="shared" si="1"/>
        <v>390.06137146418024</v>
      </c>
      <c r="AC45" s="1055"/>
      <c r="AD45" s="1055"/>
      <c r="AE45" s="1055">
        <v>0</v>
      </c>
      <c r="AF45" s="1055">
        <f t="shared" si="3"/>
        <v>390.06137146418024</v>
      </c>
      <c r="AH45" s="2056"/>
      <c r="AI45" s="2054"/>
      <c r="AJ45" s="2054"/>
      <c r="AK45" s="2054"/>
      <c r="AL45" s="2054"/>
      <c r="AM45" s="2054"/>
      <c r="AN45" s="2923"/>
      <c r="AO45" s="2923"/>
      <c r="AP45" s="2923"/>
      <c r="AQ45" s="2923"/>
      <c r="AR45" s="2923"/>
      <c r="AS45" s="2919"/>
    </row>
    <row r="46" spans="1:45" x14ac:dyDescent="0.25">
      <c r="A46" s="124" t="s">
        <v>64</v>
      </c>
      <c r="B46" s="2890" t="s">
        <v>116</v>
      </c>
      <c r="C46" s="2738" t="s">
        <v>65</v>
      </c>
      <c r="D46" s="2870" t="s">
        <v>40</v>
      </c>
      <c r="E46" s="2706" t="s">
        <v>234</v>
      </c>
      <c r="F46" s="2707" t="s">
        <v>234</v>
      </c>
      <c r="G46" s="2701">
        <f>K46+O46+S46+W46</f>
        <v>520.55999999999995</v>
      </c>
      <c r="H46" s="2702">
        <f>L46+P46+T46+X46</f>
        <v>171.77209720991979</v>
      </c>
      <c r="I46" s="2706" t="s">
        <v>234</v>
      </c>
      <c r="J46" s="2707" t="s">
        <v>234</v>
      </c>
      <c r="K46" s="2701">
        <v>0</v>
      </c>
      <c r="L46" s="2702">
        <f>(L47+L48+L49+L50)/(100%-'Вхідні дані'!$D$47)-(L47+L48+L49+L50)</f>
        <v>0</v>
      </c>
      <c r="M46" s="2706" t="s">
        <v>234</v>
      </c>
      <c r="N46" s="2707" t="s">
        <v>234</v>
      </c>
      <c r="O46" s="2701">
        <v>0</v>
      </c>
      <c r="P46" s="2911">
        <f>(P47+P48+P49+P50)/(100%-'Вхідні дані'!$D$47)-(P47+P48+P49+P50)</f>
        <v>0</v>
      </c>
      <c r="Q46" s="2706" t="s">
        <v>234</v>
      </c>
      <c r="R46" s="2708" t="s">
        <v>234</v>
      </c>
      <c r="S46" s="2704">
        <v>0</v>
      </c>
      <c r="T46" s="2702">
        <f>T50*'Вхідні дані'!D47</f>
        <v>0</v>
      </c>
      <c r="U46" s="2706" t="s">
        <v>234</v>
      </c>
      <c r="V46" s="2707" t="s">
        <v>234</v>
      </c>
      <c r="W46" s="2704">
        <v>520.55999999999995</v>
      </c>
      <c r="X46" s="2702">
        <f>X50*'Вхідні дані'!D47</f>
        <v>171.77209720991979</v>
      </c>
      <c r="AB46" s="1055">
        <f t="shared" si="1"/>
        <v>38.241310927860809</v>
      </c>
      <c r="AC46" s="1055"/>
      <c r="AD46" s="1055"/>
      <c r="AE46" s="1055">
        <v>0</v>
      </c>
      <c r="AF46" s="1055">
        <f t="shared" si="3"/>
        <v>38.241310927860809</v>
      </c>
      <c r="AH46" s="2056"/>
      <c r="AI46" s="2054"/>
      <c r="AJ46" s="2054"/>
      <c r="AK46" s="2054"/>
      <c r="AL46" s="2054"/>
      <c r="AN46" s="2923"/>
      <c r="AO46" s="2923"/>
      <c r="AP46" s="2923"/>
      <c r="AQ46" s="2923"/>
      <c r="AR46" s="2923"/>
      <c r="AS46" s="2734"/>
    </row>
    <row r="47" spans="1:45" x14ac:dyDescent="0.25">
      <c r="A47" s="124" t="s">
        <v>66</v>
      </c>
      <c r="B47" s="2890" t="s">
        <v>118</v>
      </c>
      <c r="C47" s="2738" t="s">
        <v>67</v>
      </c>
      <c r="D47" s="2870" t="s">
        <v>40</v>
      </c>
      <c r="E47" s="2706" t="s">
        <v>234</v>
      </c>
      <c r="F47" s="2707" t="s">
        <v>234</v>
      </c>
      <c r="G47" s="2701">
        <f t="shared" ref="G47:G50" si="12">K47+O47+S47+W47</f>
        <v>711.43</v>
      </c>
      <c r="H47" s="2702">
        <f>L47+P47+T47+X47</f>
        <v>626.01386538726319</v>
      </c>
      <c r="I47" s="2706" t="s">
        <v>234</v>
      </c>
      <c r="J47" s="2707" t="s">
        <v>234</v>
      </c>
      <c r="K47" s="2704">
        <v>0</v>
      </c>
      <c r="L47" s="2702">
        <f>(L49+L50)/(100%-'Вхідні дані'!$D$48)*'Вхідні дані'!$D$48</f>
        <v>0</v>
      </c>
      <c r="M47" s="2706" t="s">
        <v>234</v>
      </c>
      <c r="N47" s="2707" t="s">
        <v>234</v>
      </c>
      <c r="O47" s="2704">
        <v>0</v>
      </c>
      <c r="P47" s="2911">
        <f>(P49+P50)/(100%-'Вхідні дані'!$D$48)*'Вхідні дані'!$D$48</f>
        <v>0</v>
      </c>
      <c r="Q47" s="2706" t="s">
        <v>234</v>
      </c>
      <c r="R47" s="2708" t="s">
        <v>234</v>
      </c>
      <c r="S47" s="2704">
        <v>0</v>
      </c>
      <c r="T47" s="2702">
        <f>(T50-T46)*'Вхідні дані'!D48</f>
        <v>0</v>
      </c>
      <c r="U47" s="2706" t="s">
        <v>234</v>
      </c>
      <c r="V47" s="2707" t="s">
        <v>234</v>
      </c>
      <c r="W47" s="2704">
        <v>711.43</v>
      </c>
      <c r="X47" s="2702">
        <f>(X50-X46)*'Вхідні дані'!D48</f>
        <v>626.01386538726319</v>
      </c>
      <c r="AB47" s="1055">
        <f t="shared" si="1"/>
        <v>139.36833315931494</v>
      </c>
      <c r="AC47" s="1055"/>
      <c r="AD47" s="1055"/>
      <c r="AE47" s="1055">
        <v>0</v>
      </c>
      <c r="AF47" s="1055">
        <f t="shared" si="3"/>
        <v>139.36833315931494</v>
      </c>
      <c r="AH47" s="2056"/>
      <c r="AI47" s="2054"/>
      <c r="AJ47" s="2054"/>
      <c r="AK47" s="2054"/>
      <c r="AL47" s="2054"/>
      <c r="AN47" s="2923"/>
      <c r="AO47" s="2923"/>
      <c r="AP47" s="2923"/>
      <c r="AQ47" s="2923"/>
      <c r="AR47" s="2923"/>
      <c r="AS47" s="2734"/>
    </row>
    <row r="48" spans="1:45" x14ac:dyDescent="0.25">
      <c r="A48" s="124" t="s">
        <v>68</v>
      </c>
      <c r="B48" s="2890" t="s">
        <v>120</v>
      </c>
      <c r="C48" s="2738" t="s">
        <v>69</v>
      </c>
      <c r="D48" s="2870" t="s">
        <v>40</v>
      </c>
      <c r="E48" s="2706" t="s">
        <v>234</v>
      </c>
      <c r="F48" s="2707" t="s">
        <v>234</v>
      </c>
      <c r="G48" s="2701">
        <f t="shared" si="12"/>
        <v>0</v>
      </c>
      <c r="H48" s="2702">
        <v>0</v>
      </c>
      <c r="I48" s="2706" t="s">
        <v>234</v>
      </c>
      <c r="J48" s="2707" t="s">
        <v>234</v>
      </c>
      <c r="K48" s="2704">
        <v>0</v>
      </c>
      <c r="L48" s="2702">
        <f>H48*$L$58/$H$58</f>
        <v>0</v>
      </c>
      <c r="M48" s="2706" t="s">
        <v>234</v>
      </c>
      <c r="N48" s="2707" t="s">
        <v>234</v>
      </c>
      <c r="O48" s="2704">
        <v>0</v>
      </c>
      <c r="P48" s="2911">
        <f>H48*$P$58/$H$58</f>
        <v>0</v>
      </c>
      <c r="Q48" s="2706" t="s">
        <v>234</v>
      </c>
      <c r="R48" s="2708" t="s">
        <v>234</v>
      </c>
      <c r="S48" s="2704">
        <v>0</v>
      </c>
      <c r="T48" s="2702">
        <f>H48*$T$58/$H$58</f>
        <v>0</v>
      </c>
      <c r="U48" s="2706" t="s">
        <v>234</v>
      </c>
      <c r="V48" s="2707" t="s">
        <v>234</v>
      </c>
      <c r="W48" s="2704">
        <v>0</v>
      </c>
      <c r="X48" s="2702">
        <f>H48*$X$58/$H$58</f>
        <v>0</v>
      </c>
      <c r="AB48" s="1055">
        <f t="shared" si="1"/>
        <v>0</v>
      </c>
      <c r="AC48" s="1055"/>
      <c r="AD48" s="1055"/>
      <c r="AE48" s="1055">
        <v>0</v>
      </c>
      <c r="AF48" s="1055">
        <f t="shared" si="3"/>
        <v>0</v>
      </c>
      <c r="AH48" s="2056"/>
      <c r="AI48" s="2054"/>
      <c r="AJ48" s="2054"/>
      <c r="AK48" s="2054"/>
      <c r="AL48" s="2054"/>
      <c r="AN48" s="2923"/>
      <c r="AO48" s="2923"/>
      <c r="AP48" s="2923"/>
      <c r="AQ48" s="2923"/>
      <c r="AR48" s="2923"/>
      <c r="AS48" s="2734"/>
    </row>
    <row r="49" spans="1:45" x14ac:dyDescent="0.25">
      <c r="A49" s="124" t="s">
        <v>70</v>
      </c>
      <c r="B49" s="2890" t="s">
        <v>122</v>
      </c>
      <c r="C49" s="2738" t="s">
        <v>71</v>
      </c>
      <c r="D49" s="2870" t="s">
        <v>40</v>
      </c>
      <c r="E49" s="2706" t="s">
        <v>234</v>
      </c>
      <c r="F49" s="2707" t="s">
        <v>234</v>
      </c>
      <c r="G49" s="2701">
        <f t="shared" si="12"/>
        <v>0</v>
      </c>
      <c r="H49" s="2702">
        <v>0</v>
      </c>
      <c r="I49" s="2706" t="s">
        <v>234</v>
      </c>
      <c r="J49" s="2707" t="s">
        <v>234</v>
      </c>
      <c r="K49" s="2704">
        <v>0</v>
      </c>
      <c r="L49" s="2702">
        <f>H49*$L$58/$H$58</f>
        <v>0</v>
      </c>
      <c r="M49" s="2706" t="s">
        <v>234</v>
      </c>
      <c r="N49" s="2707" t="s">
        <v>234</v>
      </c>
      <c r="O49" s="2704">
        <v>0</v>
      </c>
      <c r="P49" s="2911">
        <f>H49*$P$58/$H$58</f>
        <v>0</v>
      </c>
      <c r="Q49" s="2706" t="s">
        <v>234</v>
      </c>
      <c r="R49" s="2708" t="s">
        <v>234</v>
      </c>
      <c r="S49" s="2704">
        <v>0</v>
      </c>
      <c r="T49" s="2702">
        <f>H49*$T$58/$H$58</f>
        <v>0</v>
      </c>
      <c r="U49" s="2706" t="s">
        <v>234</v>
      </c>
      <c r="V49" s="2707" t="s">
        <v>234</v>
      </c>
      <c r="W49" s="2704">
        <v>0</v>
      </c>
      <c r="X49" s="2702">
        <f>H49*$X$58/$H$58</f>
        <v>0</v>
      </c>
      <c r="AB49" s="1055">
        <f t="shared" si="1"/>
        <v>0</v>
      </c>
      <c r="AC49" s="1055"/>
      <c r="AD49" s="1055"/>
      <c r="AE49" s="1055">
        <v>0</v>
      </c>
      <c r="AF49" s="1055">
        <f t="shared" si="3"/>
        <v>0</v>
      </c>
      <c r="AH49" s="2056"/>
      <c r="AI49" s="2054"/>
      <c r="AJ49" s="2054"/>
      <c r="AK49" s="2054"/>
      <c r="AL49" s="2054"/>
      <c r="AN49" s="2923"/>
      <c r="AO49" s="2923"/>
      <c r="AP49" s="2923"/>
      <c r="AQ49" s="2923"/>
      <c r="AR49" s="2923"/>
      <c r="AS49" s="2734"/>
    </row>
    <row r="50" spans="1:45" x14ac:dyDescent="0.25">
      <c r="A50" s="124" t="s">
        <v>72</v>
      </c>
      <c r="B50" s="2890" t="s">
        <v>233</v>
      </c>
      <c r="C50" s="2738" t="s">
        <v>3432</v>
      </c>
      <c r="D50" s="2870" t="s">
        <v>40</v>
      </c>
      <c r="E50" s="2706" t="s">
        <v>234</v>
      </c>
      <c r="F50" s="2707" t="s">
        <v>234</v>
      </c>
      <c r="G50" s="2701">
        <f t="shared" si="12"/>
        <v>2891.99</v>
      </c>
      <c r="H50" s="2702">
        <f>L50+P50+T50+X50</f>
        <v>954.28942894399881</v>
      </c>
      <c r="I50" s="2706" t="s">
        <v>234</v>
      </c>
      <c r="J50" s="2707" t="s">
        <v>234</v>
      </c>
      <c r="K50" s="2701">
        <v>0</v>
      </c>
      <c r="L50" s="2702">
        <f>L43*'Вхідні дані'!$D$46</f>
        <v>0</v>
      </c>
      <c r="M50" s="2706" t="s">
        <v>234</v>
      </c>
      <c r="N50" s="2707" t="s">
        <v>234</v>
      </c>
      <c r="O50" s="2701">
        <v>0</v>
      </c>
      <c r="P50" s="2911">
        <f>P43*'Вхідні дані'!$D$46</f>
        <v>0</v>
      </c>
      <c r="Q50" s="2706" t="s">
        <v>234</v>
      </c>
      <c r="R50" s="2708" t="s">
        <v>234</v>
      </c>
      <c r="S50" s="2704">
        <v>0</v>
      </c>
      <c r="T50" s="2702">
        <f>T43*'Вхідні дані'!$D$46</f>
        <v>0</v>
      </c>
      <c r="U50" s="2706" t="s">
        <v>234</v>
      </c>
      <c r="V50" s="2707" t="s">
        <v>234</v>
      </c>
      <c r="W50" s="2704">
        <v>2891.99</v>
      </c>
      <c r="X50" s="2702">
        <f>X43*'Вхідні дані'!$D$46</f>
        <v>954.28942894399881</v>
      </c>
      <c r="Y50" s="2112"/>
      <c r="AB50" s="1055">
        <f t="shared" si="1"/>
        <v>212.45172737700446</v>
      </c>
      <c r="AC50" s="1055"/>
      <c r="AD50" s="1055"/>
      <c r="AE50" s="1055">
        <v>0</v>
      </c>
      <c r="AF50" s="1055">
        <f t="shared" si="3"/>
        <v>212.45172737700446</v>
      </c>
      <c r="AH50" s="2056"/>
      <c r="AI50" s="2054"/>
      <c r="AJ50" s="2054"/>
      <c r="AK50" s="2054"/>
      <c r="AL50" s="2054"/>
      <c r="AN50" s="2923"/>
      <c r="AO50" s="2923"/>
      <c r="AP50" s="2923"/>
      <c r="AQ50" s="2923"/>
      <c r="AR50" s="2923"/>
      <c r="AS50" s="2734"/>
    </row>
    <row r="51" spans="1:45" s="123" customFormat="1" ht="22.9" customHeight="1" x14ac:dyDescent="0.25">
      <c r="A51" s="121">
        <v>8</v>
      </c>
      <c r="B51" s="2892" t="s">
        <v>195</v>
      </c>
      <c r="C51" s="2741" t="s">
        <v>73</v>
      </c>
      <c r="D51" s="2742" t="s">
        <v>40</v>
      </c>
      <c r="E51" s="2711">
        <f>E43+E44+E45</f>
        <v>41158.185695999993</v>
      </c>
      <c r="F51" s="2709">
        <f t="shared" ref="F51:W51" si="13">F43+F44+F45</f>
        <v>44105.429539999983</v>
      </c>
      <c r="G51" s="2709">
        <f t="shared" si="13"/>
        <v>76423.81</v>
      </c>
      <c r="H51" s="2710">
        <f>H43+H44+H45</f>
        <v>25609.31111514115</v>
      </c>
      <c r="I51" s="2711">
        <f>I43+I44+I45</f>
        <v>0</v>
      </c>
      <c r="J51" s="2709">
        <f t="shared" si="13"/>
        <v>0</v>
      </c>
      <c r="K51" s="2709">
        <f>K43+K44+K45</f>
        <v>0</v>
      </c>
      <c r="L51" s="2710">
        <f t="shared" si="13"/>
        <v>0</v>
      </c>
      <c r="M51" s="2711">
        <f t="shared" si="13"/>
        <v>0</v>
      </c>
      <c r="N51" s="2709">
        <f t="shared" si="13"/>
        <v>0</v>
      </c>
      <c r="O51" s="2709">
        <v>0</v>
      </c>
      <c r="P51" s="2912">
        <f>P43+P44+P45</f>
        <v>0</v>
      </c>
      <c r="Q51" s="2711">
        <f t="shared" si="13"/>
        <v>908.28344446585947</v>
      </c>
      <c r="R51" s="2709">
        <f t="shared" si="13"/>
        <v>1624.8115748193461</v>
      </c>
      <c r="S51" s="2709">
        <f>S43+S44+S45</f>
        <v>0</v>
      </c>
      <c r="T51" s="2710">
        <f>T43+T44+T45</f>
        <v>0</v>
      </c>
      <c r="U51" s="2711">
        <f t="shared" si="13"/>
        <v>41080.456240033811</v>
      </c>
      <c r="V51" s="2709">
        <f>V43+V44+V45</f>
        <v>39585.191983912118</v>
      </c>
      <c r="W51" s="2709">
        <f t="shared" si="13"/>
        <v>76423.81</v>
      </c>
      <c r="X51" s="2710">
        <f>X43+X44+X45</f>
        <v>25609.31111514115</v>
      </c>
      <c r="Y51" s="156"/>
      <c r="AB51" s="1055">
        <f t="shared" si="1"/>
        <v>5701.3545558892911</v>
      </c>
      <c r="AC51" s="1055"/>
      <c r="AD51" s="1055"/>
      <c r="AE51" s="1055">
        <v>0</v>
      </c>
      <c r="AF51" s="1055">
        <f t="shared" si="3"/>
        <v>5701.3545558892911</v>
      </c>
      <c r="AH51" s="2056"/>
      <c r="AI51" s="2054"/>
      <c r="AJ51" s="2054"/>
      <c r="AK51" s="2054"/>
      <c r="AL51" s="2054"/>
      <c r="AM51" s="2054"/>
      <c r="AN51" s="2923"/>
      <c r="AO51" s="2923"/>
      <c r="AP51" s="2923"/>
      <c r="AQ51" s="2923"/>
      <c r="AR51" s="2923"/>
      <c r="AS51" s="2919"/>
    </row>
    <row r="52" spans="1:45" s="123" customFormat="1" x14ac:dyDescent="0.25">
      <c r="A52" s="121">
        <v>9</v>
      </c>
      <c r="B52" s="2892" t="s">
        <v>196</v>
      </c>
      <c r="C52" s="2745" t="s">
        <v>235</v>
      </c>
      <c r="D52" s="2742" t="s">
        <v>74</v>
      </c>
      <c r="E52" s="2713">
        <f>E51/E58*1000</f>
        <v>3825.0426522208245</v>
      </c>
      <c r="F52" s="2714">
        <f>F51/F58*1000</f>
        <v>32498.805974328356</v>
      </c>
      <c r="G52" s="2707" t="s">
        <v>234</v>
      </c>
      <c r="H52" s="2712">
        <f>H51/H58*1000</f>
        <v>5701.3545558892911</v>
      </c>
      <c r="I52" s="2713">
        <v>0</v>
      </c>
      <c r="J52" s="2714">
        <v>0</v>
      </c>
      <c r="K52" s="2715">
        <v>0</v>
      </c>
      <c r="L52" s="2712">
        <v>0</v>
      </c>
      <c r="M52" s="2713">
        <v>0</v>
      </c>
      <c r="N52" s="2714">
        <v>0</v>
      </c>
      <c r="O52" s="2714">
        <v>0</v>
      </c>
      <c r="P52" s="2915">
        <v>0</v>
      </c>
      <c r="Q52" s="2716">
        <f>Q51/Q58*1000</f>
        <v>4235.6064375389824</v>
      </c>
      <c r="R52" s="2714">
        <f>R51/R58*1000</f>
        <v>17309.167730045232</v>
      </c>
      <c r="S52" s="2714">
        <v>0</v>
      </c>
      <c r="T52" s="2712">
        <v>0</v>
      </c>
      <c r="U52" s="2716">
        <f>U51/U58*1000</f>
        <v>3895.4513657192529</v>
      </c>
      <c r="V52" s="2714">
        <f>V51/V58*1000</f>
        <v>31335.495961997134</v>
      </c>
      <c r="W52" s="2714">
        <f>W51/W58*1000</f>
        <v>7163.2726706933463</v>
      </c>
      <c r="X52" s="2712">
        <f>X51/X58*1000</f>
        <v>5701.3545558892911</v>
      </c>
      <c r="Y52" s="2917"/>
      <c r="Z52" s="2918"/>
      <c r="AA52" s="118"/>
      <c r="AB52" s="1055"/>
      <c r="AC52" s="1055"/>
      <c r="AD52" s="1055"/>
      <c r="AE52" s="1055"/>
      <c r="AF52" s="1055"/>
      <c r="AH52" s="2054"/>
      <c r="AI52" s="2054"/>
      <c r="AJ52" s="2054"/>
      <c r="AK52" s="2054"/>
      <c r="AL52" s="2054"/>
      <c r="AM52" s="2054"/>
    </row>
    <row r="53" spans="1:45" s="123" customFormat="1" x14ac:dyDescent="0.25">
      <c r="A53" s="121"/>
      <c r="B53" s="2889" t="s">
        <v>89</v>
      </c>
      <c r="C53" s="2740" t="s">
        <v>236</v>
      </c>
      <c r="D53" s="2742" t="s">
        <v>74</v>
      </c>
      <c r="E53" s="2717">
        <f>E14/E51*1000</f>
        <v>640.49312801856502</v>
      </c>
      <c r="F53" s="2701">
        <f>F14/F55*1000</f>
        <v>40539.397828703535</v>
      </c>
      <c r="G53" s="2707" t="s">
        <v>234</v>
      </c>
      <c r="H53" s="2712">
        <f>H14/H58*1000</f>
        <v>2520.9609284603375</v>
      </c>
      <c r="I53" s="2717">
        <v>0</v>
      </c>
      <c r="J53" s="2701">
        <v>0</v>
      </c>
      <c r="K53" s="2718">
        <v>0</v>
      </c>
      <c r="L53" s="2712">
        <v>0</v>
      </c>
      <c r="M53" s="2717">
        <v>0</v>
      </c>
      <c r="N53" s="2701">
        <v>0</v>
      </c>
      <c r="O53" s="2701">
        <v>0</v>
      </c>
      <c r="P53" s="2915">
        <v>0</v>
      </c>
      <c r="Q53" s="2703">
        <f>Q14/Q58*1000</f>
        <v>2688.7613644046746</v>
      </c>
      <c r="R53" s="2701">
        <f>R14/R55*1000</f>
        <v>6871.6538604651159</v>
      </c>
      <c r="S53" s="2701">
        <v>0</v>
      </c>
      <c r="T53" s="2712">
        <v>0</v>
      </c>
      <c r="U53" s="2703">
        <f>U14/U58*1000</f>
        <v>2499.7307066827866</v>
      </c>
      <c r="V53" s="2701">
        <f>V14/V55*1000</f>
        <v>40539.397828703542</v>
      </c>
      <c r="W53" s="2701">
        <f>W14/W58*1000</f>
        <v>5120.6166743526001</v>
      </c>
      <c r="X53" s="3626">
        <f>X14/X58*1000</f>
        <v>2520.9609284603375</v>
      </c>
      <c r="Y53" s="2917"/>
      <c r="Z53" s="2919"/>
      <c r="AB53" s="1055"/>
      <c r="AC53" s="1055"/>
      <c r="AD53" s="1055"/>
      <c r="AE53" s="1055"/>
      <c r="AF53" s="1055"/>
      <c r="AH53" s="2054"/>
      <c r="AI53" s="2054"/>
      <c r="AJ53" s="2054"/>
      <c r="AK53" s="2054"/>
      <c r="AL53" s="2054"/>
      <c r="AM53" s="2054"/>
    </row>
    <row r="54" spans="1:45" s="123" customFormat="1" x14ac:dyDescent="0.25">
      <c r="A54" s="121"/>
      <c r="B54" s="2889" t="s">
        <v>91</v>
      </c>
      <c r="C54" s="2740" t="s">
        <v>237</v>
      </c>
      <c r="D54" s="2742" t="s">
        <v>74</v>
      </c>
      <c r="E54" s="2717">
        <f>(E43-E14)/E51*1000</f>
        <v>359.50687198143493</v>
      </c>
      <c r="F54" s="2701">
        <f>(F43-F14)/F55*1000</f>
        <v>12021.503986271477</v>
      </c>
      <c r="G54" s="2707" t="s">
        <v>234</v>
      </c>
      <c r="H54" s="2712">
        <f>(H43-H14)/H58*1000</f>
        <v>2790.332255964774</v>
      </c>
      <c r="I54" s="2717">
        <v>0</v>
      </c>
      <c r="J54" s="2701">
        <v>0</v>
      </c>
      <c r="K54" s="2718">
        <v>0</v>
      </c>
      <c r="L54" s="2712">
        <v>0</v>
      </c>
      <c r="M54" s="2717">
        <v>0</v>
      </c>
      <c r="N54" s="2701">
        <v>0</v>
      </c>
      <c r="O54" s="2701">
        <v>0</v>
      </c>
      <c r="P54" s="2915">
        <v>0</v>
      </c>
      <c r="Q54" s="2703">
        <f>(Q43-Q14)/Q58*1000</f>
        <v>1546.845073134308</v>
      </c>
      <c r="R54" s="2701">
        <f>(R43-R14)/R55*1000</f>
        <v>12021.503986271466</v>
      </c>
      <c r="S54" s="2701">
        <v>0</v>
      </c>
      <c r="T54" s="2712">
        <v>0</v>
      </c>
      <c r="U54" s="2703">
        <f>(U43-U14)/U58*1000</f>
        <v>1395.720659036466</v>
      </c>
      <c r="V54" s="2701">
        <f>(V43-V14)/V55*1000</f>
        <v>12021.503986271457</v>
      </c>
      <c r="W54" s="2701">
        <f>(W43-W14)/W58*1000</f>
        <v>1656.1116297554374</v>
      </c>
      <c r="X54" s="3626">
        <f>(X43-X14)/X58*1000</f>
        <v>2790.332255964774</v>
      </c>
      <c r="Y54" s="2917"/>
      <c r="Z54" s="2919"/>
      <c r="AB54" s="1055"/>
      <c r="AC54" s="1055"/>
      <c r="AD54" s="1055"/>
      <c r="AE54" s="1055"/>
      <c r="AF54" s="1055"/>
      <c r="AH54" s="2054"/>
      <c r="AI54" s="2054"/>
      <c r="AJ54" s="2054"/>
      <c r="AK54" s="2054"/>
      <c r="AL54" s="2054"/>
      <c r="AM54" s="2054"/>
    </row>
    <row r="55" spans="1:45" s="123" customFormat="1" ht="21" x14ac:dyDescent="0.25">
      <c r="A55" s="121">
        <v>10</v>
      </c>
      <c r="B55" s="2893" t="s">
        <v>197</v>
      </c>
      <c r="C55" s="2746" t="s">
        <v>565</v>
      </c>
      <c r="D55" s="2742" t="s">
        <v>22</v>
      </c>
      <c r="E55" s="2703">
        <f t="shared" ref="E55:H56" si="14">I55+M55+Q55+U55</f>
        <v>8853.31</v>
      </c>
      <c r="F55" s="2701">
        <f>J55+N55+R55+V55</f>
        <v>839.13</v>
      </c>
      <c r="G55" s="2701">
        <f t="shared" si="14"/>
        <v>9459.3799999999992</v>
      </c>
      <c r="H55" s="2702">
        <f t="shared" si="14"/>
        <v>3899.5202521466663</v>
      </c>
      <c r="I55" s="2703">
        <f>'Д 7_РП'!E75</f>
        <v>0</v>
      </c>
      <c r="J55" s="2701">
        <f>'Д 7_РП'!F75</f>
        <v>0</v>
      </c>
      <c r="K55" s="2704">
        <f>'Д 4_Т на П'!F48</f>
        <v>0</v>
      </c>
      <c r="L55" s="2702">
        <f>'Д 7_РП'!G75</f>
        <v>0</v>
      </c>
      <c r="M55" s="2703">
        <f>'Д 7_РП'!E83</f>
        <v>0</v>
      </c>
      <c r="N55" s="2701">
        <f>'Д 7_РП'!F83</f>
        <v>0</v>
      </c>
      <c r="O55" s="2701">
        <v>0</v>
      </c>
      <c r="P55" s="2911">
        <f>'Д 7_РП'!G83</f>
        <v>0</v>
      </c>
      <c r="Q55" s="2703">
        <f>'Д 7_РП'!E87</f>
        <v>198.47</v>
      </c>
      <c r="R55" s="2705">
        <f>'Д 7_РП'!F87</f>
        <v>86</v>
      </c>
      <c r="S55" s="2704">
        <v>0</v>
      </c>
      <c r="T55" s="2702">
        <f>'Д 7_РП'!G87</f>
        <v>0</v>
      </c>
      <c r="U55" s="2703">
        <f>'Д 7_РП'!E91</f>
        <v>8654.84</v>
      </c>
      <c r="V55" s="2701">
        <f>'Д 7_РП'!F91</f>
        <v>753.13</v>
      </c>
      <c r="W55" s="2704">
        <f>'Д 4_Т на П'!F51</f>
        <v>9459.3799999999992</v>
      </c>
      <c r="X55" s="2702">
        <f>'Д 7_РП'!G91</f>
        <v>3899.5202521466663</v>
      </c>
      <c r="Y55" s="2917"/>
      <c r="Z55" s="2919"/>
      <c r="AB55" s="1055"/>
      <c r="AC55" s="1055"/>
      <c r="AD55" s="1055"/>
      <c r="AE55" s="1055"/>
      <c r="AF55" s="1055"/>
      <c r="AH55" s="2054"/>
      <c r="AI55" s="2054"/>
      <c r="AJ55" s="2054"/>
      <c r="AK55" s="2054"/>
      <c r="AL55" s="2054"/>
      <c r="AM55" s="2054"/>
    </row>
    <row r="56" spans="1:45" s="123" customFormat="1" ht="15" customHeight="1" x14ac:dyDescent="0.25">
      <c r="A56" s="121">
        <v>11</v>
      </c>
      <c r="B56" s="2893" t="s">
        <v>198</v>
      </c>
      <c r="C56" s="2747" t="s">
        <v>76</v>
      </c>
      <c r="D56" s="2742" t="s">
        <v>22</v>
      </c>
      <c r="E56" s="2703">
        <f t="shared" si="14"/>
        <v>0</v>
      </c>
      <c r="F56" s="2701">
        <f t="shared" si="14"/>
        <v>0</v>
      </c>
      <c r="G56" s="2701">
        <f t="shared" si="14"/>
        <v>0</v>
      </c>
      <c r="H56" s="2702">
        <f t="shared" si="14"/>
        <v>0</v>
      </c>
      <c r="I56" s="2720">
        <v>0</v>
      </c>
      <c r="J56" s="2704">
        <v>0</v>
      </c>
      <c r="K56" s="2704">
        <v>0</v>
      </c>
      <c r="L56" s="2723">
        <v>0</v>
      </c>
      <c r="M56" s="2720">
        <v>0</v>
      </c>
      <c r="N56" s="2704">
        <v>0</v>
      </c>
      <c r="O56" s="2704">
        <v>0</v>
      </c>
      <c r="P56" s="2909">
        <v>0</v>
      </c>
      <c r="Q56" s="2720">
        <v>0</v>
      </c>
      <c r="R56" s="2721">
        <v>0</v>
      </c>
      <c r="S56" s="2704">
        <v>0</v>
      </c>
      <c r="T56" s="2723">
        <v>0</v>
      </c>
      <c r="U56" s="2720">
        <v>0</v>
      </c>
      <c r="V56" s="2704">
        <v>0</v>
      </c>
      <c r="W56" s="2704">
        <v>0</v>
      </c>
      <c r="X56" s="2723">
        <v>0</v>
      </c>
      <c r="Y56" s="2917"/>
      <c r="Z56" s="2919"/>
      <c r="AB56" s="1055"/>
      <c r="AC56" s="1055"/>
      <c r="AD56" s="1055"/>
      <c r="AE56" s="1055"/>
      <c r="AF56" s="1055"/>
      <c r="AH56" s="2054"/>
      <c r="AI56" s="2054"/>
      <c r="AJ56" s="2054"/>
      <c r="AK56" s="2054"/>
      <c r="AL56" s="2054"/>
      <c r="AM56" s="2054"/>
    </row>
    <row r="57" spans="1:45" s="123" customFormat="1" x14ac:dyDescent="0.25">
      <c r="A57" s="121">
        <v>12</v>
      </c>
      <c r="B57" s="2893" t="s">
        <v>199</v>
      </c>
      <c r="C57" s="2748" t="s">
        <v>77</v>
      </c>
      <c r="D57" s="2742" t="s">
        <v>74</v>
      </c>
      <c r="E57" s="2720">
        <v>0</v>
      </c>
      <c r="F57" s="2704">
        <v>0</v>
      </c>
      <c r="G57" s="2704">
        <v>0</v>
      </c>
      <c r="H57" s="2723">
        <v>0</v>
      </c>
      <c r="I57" s="2720">
        <v>0</v>
      </c>
      <c r="J57" s="2704">
        <v>0</v>
      </c>
      <c r="K57" s="2704">
        <v>0</v>
      </c>
      <c r="L57" s="2723">
        <v>0</v>
      </c>
      <c r="M57" s="2720">
        <v>0</v>
      </c>
      <c r="N57" s="2704">
        <v>0</v>
      </c>
      <c r="O57" s="2704">
        <v>0</v>
      </c>
      <c r="P57" s="2909">
        <v>0</v>
      </c>
      <c r="Q57" s="2720">
        <v>0</v>
      </c>
      <c r="R57" s="2721">
        <v>0</v>
      </c>
      <c r="S57" s="2704">
        <v>0</v>
      </c>
      <c r="T57" s="2723">
        <v>0</v>
      </c>
      <c r="U57" s="2720">
        <v>0</v>
      </c>
      <c r="V57" s="2704">
        <v>0</v>
      </c>
      <c r="W57" s="2704">
        <v>0</v>
      </c>
      <c r="X57" s="2723">
        <v>0</v>
      </c>
      <c r="Y57" s="2917"/>
      <c r="Z57" s="2919"/>
      <c r="AB57" s="1055"/>
      <c r="AC57" s="1055"/>
      <c r="AD57" s="1055"/>
      <c r="AE57" s="1055"/>
      <c r="AF57" s="1055"/>
      <c r="AH57" s="2054"/>
      <c r="AI57" s="2054"/>
      <c r="AJ57" s="2054"/>
      <c r="AK57" s="2054"/>
      <c r="AL57" s="2054"/>
      <c r="AM57" s="2054"/>
    </row>
    <row r="58" spans="1:45" s="123" customFormat="1" ht="21" x14ac:dyDescent="0.25">
      <c r="A58" s="121">
        <v>13</v>
      </c>
      <c r="B58" s="2893" t="s">
        <v>200</v>
      </c>
      <c r="C58" s="2749" t="s">
        <v>1984</v>
      </c>
      <c r="D58" s="2750" t="s">
        <v>22</v>
      </c>
      <c r="E58" s="2703">
        <f>I58+M58+Q58+U58</f>
        <v>10760.19</v>
      </c>
      <c r="F58" s="2701">
        <f>J58+N58+R58+V58</f>
        <v>1357.1399999999999</v>
      </c>
      <c r="G58" s="2701">
        <f>K58+O58+S58+W58</f>
        <v>10685.22</v>
      </c>
      <c r="H58" s="2702">
        <f>L58+P58+T58+X58</f>
        <v>4491.7941629656525</v>
      </c>
      <c r="I58" s="2703">
        <f>'Д 7_РП'!E27</f>
        <v>0</v>
      </c>
      <c r="J58" s="2701">
        <f>'Д 7_РП'!F27</f>
        <v>0</v>
      </c>
      <c r="K58" s="2704">
        <v>0</v>
      </c>
      <c r="L58" s="2702">
        <f>'Д 7_РП'!G27</f>
        <v>0</v>
      </c>
      <c r="M58" s="2703">
        <f>'Д 7_РП'!E30</f>
        <v>0</v>
      </c>
      <c r="N58" s="2701">
        <f>'Д 7_РП'!F30</f>
        <v>0</v>
      </c>
      <c r="O58" s="2701">
        <v>16.38</v>
      </c>
      <c r="P58" s="2911">
        <f>'Д 7_РП'!G30</f>
        <v>0</v>
      </c>
      <c r="Q58" s="2703">
        <f>'Д 7_РП'!E33</f>
        <v>214.44</v>
      </c>
      <c r="R58" s="2705">
        <f>'Д 7_РП'!F33</f>
        <v>93.87</v>
      </c>
      <c r="S58" s="2704">
        <v>0</v>
      </c>
      <c r="T58" s="2702">
        <f>'Д 7_РП'!G33</f>
        <v>0</v>
      </c>
      <c r="U58" s="2703">
        <f>'Д 7_РП'!E36</f>
        <v>10545.75</v>
      </c>
      <c r="V58" s="2701">
        <f>'Д 7_РП'!F36</f>
        <v>1263.27</v>
      </c>
      <c r="W58" s="2704">
        <v>10668.84</v>
      </c>
      <c r="X58" s="2702">
        <f>'Д 7_РП'!G36</f>
        <v>4491.7941629656525</v>
      </c>
      <c r="Y58" s="2917" t="s">
        <v>3442</v>
      </c>
      <c r="Z58" s="2919"/>
      <c r="AB58" s="1055">
        <f>H58</f>
        <v>4491.7941629656525</v>
      </c>
      <c r="AC58" s="1055"/>
      <c r="AD58" s="1055"/>
      <c r="AE58" s="1055">
        <f>T58</f>
        <v>0</v>
      </c>
      <c r="AF58" s="1055">
        <f>X58</f>
        <v>4491.7941629656525</v>
      </c>
      <c r="AG58" s="1055">
        <f>AB58-AC58-AD58-AE58-AF58</f>
        <v>0</v>
      </c>
      <c r="AH58" s="2054"/>
      <c r="AI58" s="2054"/>
      <c r="AJ58" s="2054"/>
      <c r="AK58" s="2054"/>
      <c r="AL58" s="2054"/>
      <c r="AM58" s="2054"/>
    </row>
    <row r="59" spans="1:45" s="123" customFormat="1" ht="21.75" thickBot="1" x14ac:dyDescent="0.3">
      <c r="A59" s="121">
        <v>14</v>
      </c>
      <c r="B59" s="2894" t="s">
        <v>201</v>
      </c>
      <c r="C59" s="2751" t="s">
        <v>238</v>
      </c>
      <c r="D59" s="2752" t="s">
        <v>74</v>
      </c>
      <c r="E59" s="2895">
        <f>E43/E55*1000</f>
        <v>4648.9037090082684</v>
      </c>
      <c r="F59" s="2896">
        <f t="shared" ref="F59" si="15">F43/F55*1000</f>
        <v>52560.901814975012</v>
      </c>
      <c r="G59" s="2897">
        <f>G43/G58*1000</f>
        <v>6766.3398601058288</v>
      </c>
      <c r="H59" s="2897">
        <f>H43/H58*1000</f>
        <v>5311.2931844251116</v>
      </c>
      <c r="I59" s="2895">
        <v>0</v>
      </c>
      <c r="J59" s="2896">
        <v>0</v>
      </c>
      <c r="K59" s="2897">
        <v>0</v>
      </c>
      <c r="L59" s="2897">
        <v>0</v>
      </c>
      <c r="M59" s="2895">
        <v>0</v>
      </c>
      <c r="N59" s="2896">
        <v>0</v>
      </c>
      <c r="O59" s="2897">
        <v>0</v>
      </c>
      <c r="P59" s="2897">
        <v>0</v>
      </c>
      <c r="Q59" s="2898">
        <f>Q43/Q55*1000</f>
        <v>4576.4268880226709</v>
      </c>
      <c r="R59" s="2896">
        <f>R43/R55*1000</f>
        <v>18893.157846736583</v>
      </c>
      <c r="S59" s="2896">
        <v>0</v>
      </c>
      <c r="T59" s="3627">
        <v>0</v>
      </c>
      <c r="U59" s="2898">
        <f>U43/U55*1000</f>
        <v>4746.5298307113489</v>
      </c>
      <c r="V59" s="2896">
        <f>V43/V55*1000</f>
        <v>52560.901814974997</v>
      </c>
      <c r="W59" s="2896">
        <f>W43/W58*1000</f>
        <v>6776.7283041080382</v>
      </c>
      <c r="X59" s="3627">
        <f>X43/X58*1000</f>
        <v>5311.2931844251116</v>
      </c>
      <c r="Y59" s="1143"/>
      <c r="AB59" s="1055"/>
      <c r="AC59" s="1055"/>
      <c r="AD59" s="1055"/>
      <c r="AE59" s="1055"/>
      <c r="AF59" s="1055"/>
      <c r="AH59" s="2054"/>
      <c r="AI59" s="2054"/>
      <c r="AJ59" s="2054"/>
      <c r="AK59" s="2054"/>
      <c r="AL59" s="2054"/>
      <c r="AM59" s="2054"/>
    </row>
    <row r="60" spans="1:45" s="123" customFormat="1" x14ac:dyDescent="0.25">
      <c r="A60" s="132"/>
      <c r="B60" s="2899"/>
      <c r="C60" s="2900"/>
      <c r="D60" s="2901"/>
      <c r="E60" s="2902"/>
      <c r="F60" s="2902"/>
      <c r="G60" s="2902"/>
      <c r="H60" s="2902"/>
      <c r="I60" s="2902"/>
      <c r="J60" s="2902"/>
      <c r="K60" s="2902"/>
      <c r="L60" s="2902"/>
      <c r="M60" s="2902"/>
      <c r="N60" s="2902"/>
      <c r="O60" s="2902"/>
      <c r="P60" s="2902"/>
      <c r="Q60" s="2902"/>
      <c r="R60" s="2902"/>
      <c r="S60" s="2902"/>
      <c r="T60" s="2902"/>
      <c r="U60" s="2902"/>
      <c r="V60" s="2902"/>
      <c r="W60" s="2902"/>
      <c r="X60" s="2902"/>
      <c r="Y60" s="1144"/>
      <c r="AB60" s="1055"/>
      <c r="AC60" s="1055"/>
      <c r="AD60" s="1055"/>
      <c r="AE60" s="1055"/>
      <c r="AF60" s="1055"/>
      <c r="AH60" s="2054"/>
      <c r="AI60" s="2054"/>
      <c r="AJ60" s="2054"/>
      <c r="AK60" s="2054"/>
      <c r="AL60" s="2054"/>
      <c r="AM60" s="2054"/>
    </row>
    <row r="61" spans="1:45" x14ac:dyDescent="0.25">
      <c r="A61" s="134"/>
      <c r="B61" s="2903"/>
      <c r="C61" s="3713" t="s">
        <v>239</v>
      </c>
      <c r="D61" s="3713"/>
      <c r="E61" s="3713"/>
      <c r="F61" s="3713"/>
      <c r="G61" s="3713"/>
      <c r="H61" s="3713"/>
      <c r="I61" s="3713"/>
      <c r="J61" s="3713"/>
      <c r="K61" s="3713"/>
      <c r="L61" s="3713"/>
      <c r="M61" s="3713"/>
      <c r="N61" s="3713"/>
      <c r="O61" s="3713"/>
      <c r="P61" s="3713"/>
      <c r="Q61" s="3713"/>
      <c r="R61" s="3713"/>
      <c r="S61" s="3713"/>
      <c r="T61" s="3713"/>
      <c r="U61" s="3713"/>
      <c r="V61" s="3713"/>
      <c r="W61" s="3713"/>
      <c r="X61" s="3713"/>
    </row>
    <row r="62" spans="1:45" ht="15" customHeight="1" x14ac:dyDescent="0.25">
      <c r="B62" s="2904"/>
      <c r="C62" s="3714" t="s">
        <v>185</v>
      </c>
      <c r="D62" s="3714"/>
      <c r="E62" s="3714"/>
      <c r="F62" s="3714"/>
      <c r="G62" s="3714"/>
      <c r="H62" s="3714"/>
      <c r="I62" s="3714"/>
      <c r="J62" s="3714"/>
      <c r="K62" s="3714"/>
      <c r="L62" s="3714"/>
      <c r="M62" s="3714"/>
      <c r="N62" s="3714"/>
      <c r="O62" s="3714"/>
      <c r="P62" s="3714"/>
      <c r="Q62" s="2733"/>
      <c r="R62" s="2733"/>
      <c r="S62" s="2733"/>
      <c r="T62" s="2733"/>
      <c r="U62" s="2734"/>
      <c r="V62" s="2734"/>
      <c r="W62" s="2734"/>
      <c r="X62" s="2734"/>
    </row>
    <row r="63" spans="1:45" ht="15" customHeight="1" x14ac:dyDescent="0.25">
      <c r="B63" s="2904"/>
      <c r="C63" s="2733"/>
      <c r="D63" s="2733"/>
      <c r="E63" s="2733"/>
      <c r="F63" s="2733"/>
      <c r="G63" s="2733"/>
      <c r="H63" s="2733"/>
      <c r="I63" s="2733"/>
      <c r="J63" s="2733"/>
      <c r="K63" s="2733"/>
      <c r="L63" s="2733"/>
      <c r="M63" s="2733"/>
      <c r="N63" s="2733"/>
      <c r="O63" s="2733"/>
      <c r="P63" s="2733"/>
      <c r="Q63" s="2733"/>
      <c r="R63" s="2733"/>
      <c r="S63" s="2733"/>
      <c r="T63" s="2733"/>
      <c r="U63" s="2734"/>
      <c r="V63" s="2734"/>
      <c r="W63" s="2734"/>
      <c r="X63" s="2734"/>
    </row>
    <row r="64" spans="1:45" ht="15" customHeight="1" x14ac:dyDescent="0.25">
      <c r="B64" s="2904"/>
      <c r="C64" s="2733"/>
      <c r="D64" s="2733"/>
      <c r="E64" s="2733"/>
      <c r="F64" s="2733"/>
      <c r="G64" s="2733"/>
      <c r="H64" s="2733"/>
      <c r="I64" s="2733"/>
      <c r="J64" s="2733"/>
      <c r="K64" s="2733"/>
      <c r="L64" s="2733"/>
      <c r="M64" s="2733"/>
      <c r="N64" s="2733"/>
      <c r="O64" s="2733"/>
      <c r="P64" s="2733"/>
      <c r="Q64" s="2733"/>
      <c r="R64" s="2733"/>
      <c r="S64" s="2733"/>
      <c r="T64" s="2733"/>
      <c r="U64" s="2734"/>
      <c r="V64" s="2734"/>
      <c r="W64" s="2734"/>
      <c r="X64" s="2734"/>
    </row>
    <row r="65" spans="1:39" ht="15" customHeight="1" x14ac:dyDescent="0.25">
      <c r="B65" s="2904"/>
      <c r="C65" s="2733"/>
      <c r="D65" s="2733"/>
      <c r="E65" s="2733"/>
      <c r="F65" s="2733"/>
      <c r="G65" s="2733"/>
      <c r="H65" s="2733"/>
      <c r="I65" s="2733"/>
      <c r="J65" s="2733"/>
      <c r="K65" s="2733"/>
      <c r="L65" s="2733"/>
      <c r="M65" s="2733"/>
      <c r="N65" s="2733"/>
      <c r="O65" s="2733"/>
      <c r="P65" s="2733"/>
      <c r="Q65" s="2733"/>
      <c r="R65" s="2733"/>
      <c r="S65" s="2733"/>
      <c r="T65" s="2733"/>
      <c r="U65" s="2734"/>
      <c r="V65" s="2734"/>
      <c r="W65" s="2734"/>
      <c r="X65" s="2734"/>
    </row>
    <row r="66" spans="1:39" ht="15" customHeight="1" x14ac:dyDescent="0.25">
      <c r="B66" s="2904"/>
      <c r="C66" s="2733"/>
      <c r="D66" s="2733"/>
      <c r="E66" s="2733"/>
      <c r="F66" s="2733"/>
      <c r="G66" s="2733"/>
      <c r="H66" s="2733"/>
      <c r="I66" s="2733"/>
      <c r="J66" s="2733"/>
      <c r="K66" s="2733"/>
      <c r="L66" s="2733"/>
      <c r="M66" s="2733"/>
      <c r="N66" s="2733"/>
      <c r="O66" s="2733"/>
      <c r="P66" s="2733"/>
      <c r="Q66" s="2733"/>
      <c r="R66" s="2733"/>
      <c r="S66" s="2733"/>
      <c r="T66" s="2733"/>
      <c r="U66" s="2734"/>
      <c r="V66" s="2734"/>
      <c r="W66" s="2734"/>
      <c r="X66" s="2734"/>
    </row>
    <row r="67" spans="1:39" ht="15" customHeight="1" x14ac:dyDescent="0.25">
      <c r="B67" s="2904"/>
      <c r="C67" s="2733"/>
      <c r="D67" s="2733"/>
      <c r="E67" s="2733"/>
      <c r="F67" s="2733"/>
      <c r="G67" s="2733"/>
      <c r="H67" s="2733"/>
      <c r="I67" s="2733"/>
      <c r="J67" s="2733"/>
      <c r="K67" s="2733"/>
      <c r="L67" s="2733"/>
      <c r="M67" s="2733"/>
      <c r="N67" s="2733"/>
      <c r="O67" s="2733"/>
      <c r="P67" s="2733"/>
      <c r="Q67" s="2733"/>
      <c r="R67" s="2733"/>
      <c r="S67" s="2733"/>
      <c r="T67" s="2733"/>
      <c r="U67" s="2734"/>
      <c r="V67" s="2734"/>
      <c r="W67" s="2734"/>
      <c r="X67" s="2734"/>
    </row>
    <row r="68" spans="1:39" ht="15" customHeight="1" x14ac:dyDescent="0.25">
      <c r="B68" s="2904"/>
      <c r="C68" s="2733"/>
      <c r="D68" s="2733"/>
      <c r="E68" s="2733"/>
      <c r="F68" s="2733"/>
      <c r="G68" s="2733"/>
      <c r="H68" s="2733"/>
      <c r="I68" s="2733"/>
      <c r="J68" s="2733"/>
      <c r="K68" s="2733"/>
      <c r="L68" s="2733"/>
      <c r="M68" s="2733"/>
      <c r="N68" s="2733"/>
      <c r="O68" s="2733"/>
      <c r="P68" s="2733"/>
      <c r="Q68" s="2733"/>
      <c r="R68" s="2733"/>
      <c r="S68" s="2733"/>
      <c r="T68" s="2733"/>
      <c r="U68" s="2734"/>
      <c r="V68" s="2734"/>
      <c r="W68" s="2734"/>
      <c r="X68" s="2734"/>
    </row>
    <row r="69" spans="1:39" ht="15" customHeight="1" x14ac:dyDescent="0.25">
      <c r="B69" s="2904"/>
      <c r="C69" s="2733"/>
      <c r="D69" s="2733"/>
      <c r="E69" s="2733"/>
      <c r="F69" s="2733"/>
      <c r="G69" s="2733"/>
      <c r="H69" s="2733"/>
      <c r="I69" s="2733"/>
      <c r="J69" s="2734"/>
      <c r="K69" s="2734"/>
      <c r="L69" s="2734"/>
      <c r="M69" s="2734"/>
      <c r="N69" s="2733"/>
      <c r="O69" s="2735"/>
      <c r="P69" s="2733"/>
      <c r="Q69" s="2734"/>
      <c r="R69" s="2734"/>
      <c r="S69" s="2734"/>
      <c r="T69" s="2734"/>
      <c r="U69" s="2734"/>
      <c r="V69" s="2734"/>
      <c r="W69" s="2734"/>
      <c r="X69" s="2734"/>
    </row>
    <row r="70" spans="1:39" s="137" customFormat="1" ht="35.25" customHeight="1" x14ac:dyDescent="0.25">
      <c r="A70" s="136"/>
      <c r="B70" s="2905"/>
      <c r="C70" s="3717" t="str">
        <f>'Вхідні дані'!B14</f>
        <v>Заступник начальника Адміністрації морського порту Чорноморськ з технічних питань та розвитку</v>
      </c>
      <c r="D70" s="3717"/>
      <c r="E70" s="3717"/>
      <c r="F70" s="3717"/>
      <c r="G70" s="3652"/>
      <c r="H70" s="3652"/>
      <c r="I70" s="2699"/>
      <c r="J70" s="3715" t="s">
        <v>241</v>
      </c>
      <c r="K70" s="3716"/>
      <c r="L70" s="3716"/>
      <c r="M70" s="3716"/>
      <c r="N70" s="2699"/>
      <c r="O70" s="2699"/>
      <c r="P70" s="2699"/>
      <c r="Q70" s="2700" t="str">
        <f>'Вхідні дані'!F14</f>
        <v>Віталій ЛІПСКИЙ</v>
      </c>
      <c r="R70" s="2877"/>
      <c r="S70" s="2877"/>
      <c r="T70" s="2877"/>
      <c r="U70" s="2699"/>
      <c r="V70" s="2699"/>
      <c r="W70" s="2699"/>
      <c r="X70" s="2699"/>
      <c r="Y70" s="854"/>
      <c r="AB70" s="2039"/>
      <c r="AC70" s="2039"/>
      <c r="AD70" s="2039"/>
      <c r="AE70" s="2039"/>
      <c r="AF70" s="2039"/>
      <c r="AH70" s="2055"/>
      <c r="AI70" s="2055"/>
      <c r="AJ70" s="2055"/>
      <c r="AK70" s="2055"/>
      <c r="AL70" s="2055"/>
      <c r="AM70" s="2055"/>
    </row>
    <row r="71" spans="1:39" s="137" customFormat="1" ht="15.75" x14ac:dyDescent="0.25">
      <c r="A71" s="136"/>
      <c r="B71" s="2905"/>
      <c r="C71" s="2906" t="s">
        <v>242</v>
      </c>
      <c r="D71" s="2699"/>
      <c r="E71" s="2699"/>
      <c r="F71" s="2699"/>
      <c r="G71" s="2699"/>
      <c r="H71" s="2699"/>
      <c r="I71" s="2699"/>
      <c r="J71" s="3705" t="s">
        <v>220</v>
      </c>
      <c r="K71" s="3705"/>
      <c r="L71" s="3705"/>
      <c r="M71" s="3705"/>
      <c r="N71" s="2699"/>
      <c r="O71" s="2699"/>
      <c r="P71" s="2699"/>
      <c r="Q71" s="3706" t="s">
        <v>240</v>
      </c>
      <c r="R71" s="3706"/>
      <c r="S71" s="3706"/>
      <c r="T71" s="3706"/>
      <c r="U71" s="2699"/>
      <c r="V71" s="2699"/>
      <c r="W71" s="2699"/>
      <c r="X71" s="2699"/>
      <c r="Y71" s="854"/>
      <c r="AB71" s="2039"/>
      <c r="AC71" s="2039"/>
      <c r="AD71" s="2039"/>
      <c r="AE71" s="2039"/>
      <c r="AF71" s="2039"/>
      <c r="AH71" s="2055"/>
      <c r="AI71" s="2055"/>
      <c r="AJ71" s="2055"/>
      <c r="AK71" s="2055"/>
      <c r="AL71" s="2055"/>
      <c r="AM71" s="2055"/>
    </row>
    <row r="72" spans="1:39" x14ac:dyDescent="0.25">
      <c r="C72"/>
      <c r="D72"/>
      <c r="E72"/>
      <c r="F72"/>
      <c r="G72"/>
      <c r="H72"/>
      <c r="I72"/>
      <c r="J72"/>
      <c r="K72"/>
      <c r="L72"/>
      <c r="M72"/>
      <c r="N72"/>
      <c r="O72"/>
      <c r="P72"/>
      <c r="Q72"/>
      <c r="R72"/>
      <c r="S72"/>
      <c r="T72"/>
      <c r="U72"/>
      <c r="V72"/>
      <c r="W72"/>
      <c r="X72"/>
      <c r="Y72" s="855"/>
    </row>
    <row r="73" spans="1:39" x14ac:dyDescent="0.25">
      <c r="C73"/>
      <c r="D73"/>
      <c r="E73"/>
      <c r="F73"/>
      <c r="G73"/>
      <c r="H73"/>
      <c r="I73"/>
      <c r="J73"/>
      <c r="K73"/>
      <c r="L73"/>
      <c r="M73"/>
      <c r="N73"/>
      <c r="O73"/>
      <c r="P73"/>
      <c r="Q73"/>
      <c r="R73"/>
      <c r="S73"/>
      <c r="T73"/>
      <c r="U73"/>
      <c r="V73"/>
      <c r="W73"/>
      <c r="X73"/>
      <c r="Y73" s="855"/>
    </row>
    <row r="74" spans="1:39" s="114" customFormat="1" x14ac:dyDescent="0.25">
      <c r="A74" s="112"/>
      <c r="B74" s="112"/>
      <c r="C74" s="879" t="s">
        <v>2422</v>
      </c>
      <c r="D74" s="879"/>
      <c r="E74" s="879"/>
      <c r="F74" s="879"/>
      <c r="G74" s="879"/>
      <c r="H74" s="879"/>
      <c r="I74" s="879"/>
      <c r="J74" s="879"/>
      <c r="K74" s="879"/>
      <c r="L74" s="879"/>
      <c r="M74" s="879"/>
      <c r="N74" s="879"/>
      <c r="O74" s="879"/>
      <c r="P74" s="879"/>
      <c r="Q74" s="879"/>
      <c r="R74" s="879"/>
      <c r="S74" s="879"/>
      <c r="T74" s="879"/>
      <c r="U74" s="879"/>
      <c r="V74" s="879"/>
      <c r="W74" s="879"/>
      <c r="X74" s="879"/>
      <c r="Y74" s="158"/>
      <c r="AB74" s="2036"/>
      <c r="AC74" s="2036"/>
      <c r="AD74" s="2036"/>
      <c r="AE74" s="2036"/>
      <c r="AF74" s="2036"/>
      <c r="AH74" s="2051"/>
      <c r="AI74" s="2051"/>
      <c r="AJ74" s="2051"/>
      <c r="AK74" s="2051"/>
      <c r="AL74" s="2051"/>
      <c r="AM74" s="2051"/>
    </row>
    <row r="75" spans="1:39" x14ac:dyDescent="0.25">
      <c r="C75"/>
      <c r="D75"/>
      <c r="E75"/>
      <c r="F75"/>
      <c r="G75"/>
      <c r="H75"/>
      <c r="I75"/>
      <c r="J75"/>
      <c r="K75"/>
      <c r="L75"/>
      <c r="M75"/>
      <c r="N75"/>
      <c r="O75"/>
      <c r="P75"/>
    </row>
    <row r="76" spans="1:39" x14ac:dyDescent="0.25">
      <c r="C76"/>
      <c r="D76"/>
      <c r="E76" s="2734"/>
      <c r="F76" s="2734"/>
      <c r="G76" s="2734"/>
      <c r="H76" s="2734"/>
      <c r="I76" s="2734"/>
      <c r="J76" s="2734"/>
      <c r="K76" s="2734"/>
      <c r="L76" s="2918"/>
      <c r="M76" s="2734"/>
      <c r="N76" s="2734"/>
      <c r="O76" s="2734"/>
      <c r="P76" s="2734"/>
      <c r="Q76" s="2734"/>
      <c r="R76" s="2734"/>
      <c r="S76" s="2734"/>
      <c r="T76" s="2734"/>
      <c r="U76" s="2734"/>
      <c r="V76" s="2734"/>
      <c r="W76" s="2734"/>
      <c r="X76" s="2734"/>
      <c r="Y76" s="2917"/>
    </row>
    <row r="77" spans="1:39" x14ac:dyDescent="0.25">
      <c r="C77"/>
      <c r="D77"/>
      <c r="E77" s="2734"/>
      <c r="F77" s="2734"/>
      <c r="G77" s="2734"/>
      <c r="H77" s="2734"/>
      <c r="I77" s="2734"/>
      <c r="J77" s="2734"/>
      <c r="K77" s="2734"/>
      <c r="L77" s="2918"/>
      <c r="M77" s="2734"/>
      <c r="N77" s="2734"/>
      <c r="O77" s="2734"/>
      <c r="P77" s="2734"/>
      <c r="Q77" s="2734"/>
      <c r="R77" s="2734"/>
      <c r="S77" s="2734"/>
      <c r="T77" s="2734"/>
      <c r="U77" s="2734"/>
      <c r="V77" s="2734"/>
      <c r="W77" s="2734"/>
      <c r="X77" s="2734"/>
      <c r="Y77" s="2917"/>
    </row>
    <row r="78" spans="1:39" x14ac:dyDescent="0.25">
      <c r="C78"/>
      <c r="D78"/>
      <c r="E78" s="2561"/>
      <c r="F78" s="2561"/>
      <c r="G78" s="2561"/>
      <c r="H78" s="2561"/>
      <c r="I78" s="2561"/>
      <c r="J78" s="2561"/>
      <c r="K78" s="2561"/>
      <c r="L78" s="2561"/>
      <c r="M78" s="2561"/>
      <c r="N78" s="2561"/>
      <c r="O78" s="2561"/>
      <c r="P78" s="2561"/>
      <c r="Q78" s="2734"/>
      <c r="R78" s="2734"/>
      <c r="S78" s="2734"/>
      <c r="T78" s="2734"/>
      <c r="U78" s="2734"/>
      <c r="V78" s="2734"/>
      <c r="W78" s="2734"/>
      <c r="X78" s="2734"/>
      <c r="Y78" s="2917"/>
    </row>
    <row r="79" spans="1:39" x14ac:dyDescent="0.25">
      <c r="C79"/>
      <c r="D79"/>
      <c r="E79" s="2920"/>
      <c r="F79" s="2920"/>
      <c r="G79" s="2920"/>
      <c r="H79" s="2920"/>
      <c r="I79" s="2920"/>
      <c r="J79" s="2920"/>
      <c r="K79" s="2920"/>
      <c r="L79" s="2920"/>
      <c r="M79" s="2920"/>
      <c r="N79" s="2920"/>
      <c r="O79" s="2920"/>
      <c r="P79" s="2920"/>
      <c r="Q79" s="2920"/>
      <c r="R79" s="2920"/>
      <c r="S79" s="2920"/>
      <c r="T79" s="2920"/>
      <c r="U79" s="2920"/>
      <c r="V79" s="2921"/>
      <c r="W79" s="2920"/>
      <c r="X79" s="2920"/>
      <c r="Y79" s="2917"/>
    </row>
    <row r="80" spans="1:39" x14ac:dyDescent="0.25">
      <c r="C80"/>
      <c r="D80"/>
      <c r="E80" s="2922"/>
      <c r="F80" s="2922"/>
      <c r="G80" s="2922"/>
      <c r="H80" s="2922"/>
      <c r="I80" s="2922"/>
      <c r="J80" s="2922"/>
      <c r="K80" s="2922"/>
      <c r="L80" s="2922"/>
      <c r="M80" s="2922"/>
      <c r="N80" s="2922"/>
      <c r="O80" s="2922"/>
      <c r="P80" s="2922"/>
      <c r="Q80" s="2922"/>
      <c r="R80" s="2922"/>
      <c r="S80" s="2922"/>
      <c r="T80" s="2922"/>
      <c r="U80" s="2922"/>
      <c r="V80" s="2922"/>
      <c r="W80" s="2922"/>
      <c r="X80" s="2922"/>
      <c r="Y80" s="2917"/>
    </row>
    <row r="81" spans="3:25" x14ac:dyDescent="0.25">
      <c r="C81"/>
      <c r="D81"/>
      <c r="E81" s="2561"/>
      <c r="F81" s="2561"/>
      <c r="G81" s="2561"/>
      <c r="H81" s="2561"/>
      <c r="I81" s="2561"/>
      <c r="J81" s="2561"/>
      <c r="K81" s="2561"/>
      <c r="L81" s="2561"/>
      <c r="M81" s="2561"/>
      <c r="N81" s="2561"/>
      <c r="O81" s="2561"/>
      <c r="P81" s="2561"/>
      <c r="Q81" s="2734"/>
      <c r="R81" s="2734"/>
      <c r="S81" s="2734"/>
      <c r="T81" s="2561"/>
      <c r="U81" s="2734"/>
      <c r="V81" s="2734"/>
      <c r="W81" s="2734"/>
      <c r="X81" s="2561"/>
      <c r="Y81" s="2917"/>
    </row>
    <row r="82" spans="3:25" x14ac:dyDescent="0.25">
      <c r="C82"/>
      <c r="D82"/>
      <c r="E82"/>
      <c r="F82"/>
      <c r="G82"/>
      <c r="H82"/>
      <c r="I82"/>
      <c r="J82"/>
      <c r="K82"/>
      <c r="L82"/>
      <c r="M82"/>
      <c r="N82"/>
      <c r="O82"/>
      <c r="P82"/>
    </row>
    <row r="83" spans="3:25" x14ac:dyDescent="0.25">
      <c r="C83"/>
      <c r="D83"/>
      <c r="E83"/>
      <c r="F83"/>
      <c r="G83"/>
      <c r="H83"/>
      <c r="I83"/>
      <c r="J83"/>
      <c r="K83"/>
      <c r="L83"/>
      <c r="M83"/>
      <c r="N83"/>
      <c r="O83"/>
      <c r="P83"/>
    </row>
    <row r="84" spans="3:25" x14ac:dyDescent="0.25">
      <c r="C84"/>
      <c r="D84"/>
      <c r="E84"/>
      <c r="F84"/>
      <c r="G84"/>
      <c r="H84"/>
      <c r="I84"/>
      <c r="J84"/>
      <c r="K84"/>
      <c r="L84"/>
      <c r="M84"/>
      <c r="N84"/>
      <c r="O84"/>
      <c r="P84"/>
    </row>
    <row r="85" spans="3:25" x14ac:dyDescent="0.25">
      <c r="C85"/>
      <c r="D85"/>
      <c r="E85"/>
      <c r="F85"/>
      <c r="G85"/>
      <c r="H85"/>
      <c r="I85"/>
      <c r="J85"/>
      <c r="K85"/>
      <c r="L85"/>
      <c r="M85"/>
      <c r="N85"/>
      <c r="O85"/>
      <c r="P85"/>
    </row>
    <row r="86" spans="3:25" x14ac:dyDescent="0.25">
      <c r="C86"/>
      <c r="D86"/>
      <c r="E86"/>
      <c r="F86"/>
      <c r="G86"/>
      <c r="H86"/>
      <c r="I86"/>
      <c r="J86"/>
      <c r="K86"/>
      <c r="L86"/>
      <c r="M86"/>
      <c r="N86"/>
      <c r="O86"/>
      <c r="P86"/>
    </row>
    <row r="87" spans="3:25" x14ac:dyDescent="0.25">
      <c r="C87"/>
      <c r="D87"/>
      <c r="E87"/>
      <c r="F87"/>
      <c r="G87"/>
      <c r="H87"/>
      <c r="I87"/>
      <c r="J87"/>
      <c r="K87"/>
      <c r="L87"/>
      <c r="M87"/>
      <c r="N87"/>
      <c r="O87"/>
      <c r="P87"/>
    </row>
    <row r="88" spans="3:25" x14ac:dyDescent="0.25">
      <c r="C88"/>
      <c r="D88"/>
      <c r="E88"/>
      <c r="F88"/>
      <c r="G88"/>
      <c r="H88"/>
      <c r="I88"/>
      <c r="J88"/>
      <c r="K88"/>
      <c r="L88"/>
      <c r="M88"/>
      <c r="N88"/>
      <c r="O88"/>
      <c r="P88"/>
    </row>
    <row r="89" spans="3:25" x14ac:dyDescent="0.25">
      <c r="C89"/>
      <c r="D89"/>
      <c r="E89"/>
      <c r="F89"/>
      <c r="G89"/>
      <c r="H89"/>
      <c r="I89"/>
      <c r="J89"/>
      <c r="K89"/>
      <c r="L89"/>
      <c r="M89"/>
      <c r="N89"/>
      <c r="O89"/>
      <c r="P89"/>
    </row>
    <row r="90" spans="3:25" x14ac:dyDescent="0.25">
      <c r="C90"/>
      <c r="D90"/>
      <c r="E90"/>
      <c r="F90"/>
      <c r="G90"/>
      <c r="H90"/>
      <c r="I90"/>
      <c r="J90"/>
      <c r="K90"/>
      <c r="L90"/>
      <c r="M90"/>
      <c r="N90"/>
      <c r="O90"/>
      <c r="P90"/>
    </row>
  </sheetData>
  <mergeCells count="20">
    <mergeCell ref="S1:X1"/>
    <mergeCell ref="C3:X3"/>
    <mergeCell ref="C4:X4"/>
    <mergeCell ref="D6:X6"/>
    <mergeCell ref="A7:A9"/>
    <mergeCell ref="B7:B10"/>
    <mergeCell ref="C7:C10"/>
    <mergeCell ref="D7:D10"/>
    <mergeCell ref="E7:H8"/>
    <mergeCell ref="I7:L8"/>
    <mergeCell ref="S2:X2"/>
    <mergeCell ref="J71:M71"/>
    <mergeCell ref="Q71:T71"/>
    <mergeCell ref="M7:P8"/>
    <mergeCell ref="Q7:T8"/>
    <mergeCell ref="U7:X8"/>
    <mergeCell ref="C61:X61"/>
    <mergeCell ref="C62:P62"/>
    <mergeCell ref="J70:M70"/>
    <mergeCell ref="C70:F70"/>
  </mergeCells>
  <conditionalFormatting sqref="C1:C2">
    <cfRule type="containsText" dxfId="50" priority="1" operator="containsText" text="Для корек">
      <formula>NOT(ISERROR(SEARCH("Для корек",C1)))</formula>
    </cfRule>
  </conditionalFormatting>
  <pageMargins left="0.43307086614173229" right="0.27559055118110237" top="0.78740157480314965" bottom="0.23622047244094491" header="0.62992125984251968" footer="0.31496062992125984"/>
  <pageSetup paperSize="9" scale="62" fitToHeight="0" orientation="landscape" r:id="rId1"/>
  <headerFooter differentFirst="1">
    <oddHeader>&amp;Rпродовження додатку 2</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2" tint="-0.499984740745262"/>
    <pageSetUpPr fitToPage="1"/>
  </sheetPr>
  <dimension ref="B1:X298"/>
  <sheetViews>
    <sheetView topLeftCell="A34" workbookViewId="0">
      <selection activeCell="G69" sqref="G69"/>
    </sheetView>
  </sheetViews>
  <sheetFormatPr defaultColWidth="9.140625" defaultRowHeight="12.75" x14ac:dyDescent="0.2"/>
  <cols>
    <col min="1" max="1" width="4" style="252" customWidth="1"/>
    <col min="2" max="2" width="31.140625" style="250" customWidth="1"/>
    <col min="3" max="3" width="19.42578125" style="309" customWidth="1"/>
    <col min="4" max="4" width="10.85546875" style="250" customWidth="1"/>
    <col min="5" max="5" width="9.28515625" style="250" customWidth="1"/>
    <col min="6" max="6" width="12.42578125" style="250" customWidth="1"/>
    <col min="7" max="7" width="12" style="250" customWidth="1"/>
    <col min="8" max="8" width="11.28515625" style="250" customWidth="1"/>
    <col min="9" max="9" width="11.42578125" style="250" customWidth="1"/>
    <col min="10" max="10" width="8.85546875" style="250" bestFit="1" customWidth="1"/>
    <col min="11" max="11" width="12.7109375" style="250" customWidth="1"/>
    <col min="12" max="12" width="9.5703125" style="250" bestFit="1" customWidth="1"/>
    <col min="13" max="13" width="10.28515625" style="250" customWidth="1"/>
    <col min="14" max="15" width="8.85546875" style="251" hidden="1" customWidth="1"/>
    <col min="16" max="16" width="10.28515625" style="251" hidden="1" customWidth="1"/>
    <col min="17" max="17" width="10.7109375" style="251" hidden="1" customWidth="1"/>
    <col min="18" max="19" width="8.85546875" style="251" hidden="1" customWidth="1"/>
    <col min="20" max="21" width="9.140625" style="252" hidden="1" customWidth="1"/>
    <col min="22" max="22" width="9.140625" style="252" customWidth="1"/>
    <col min="23" max="257" width="9.140625" style="252"/>
    <col min="258" max="258" width="34.7109375" style="252" customWidth="1"/>
    <col min="259" max="259" width="22" style="252" customWidth="1"/>
    <col min="260" max="260" width="11.140625" style="252" customWidth="1"/>
    <col min="261" max="261" width="8.42578125" style="252" customWidth="1"/>
    <col min="262" max="262" width="12.42578125" style="252" customWidth="1"/>
    <col min="263" max="263" width="10.85546875" style="252" customWidth="1"/>
    <col min="264" max="264" width="11.28515625" style="252" customWidth="1"/>
    <col min="265" max="266" width="11.42578125" style="252" customWidth="1"/>
    <col min="267" max="267" width="12.7109375" style="252" customWidth="1"/>
    <col min="268" max="268" width="9.5703125" style="252" bestFit="1" customWidth="1"/>
    <col min="269" max="269" width="12.7109375" style="252" customWidth="1"/>
    <col min="270" max="278" width="0" style="252" hidden="1" customWidth="1"/>
    <col min="279" max="513" width="9.140625" style="252"/>
    <col min="514" max="514" width="34.7109375" style="252" customWidth="1"/>
    <col min="515" max="515" width="22" style="252" customWidth="1"/>
    <col min="516" max="516" width="11.140625" style="252" customWidth="1"/>
    <col min="517" max="517" width="8.42578125" style="252" customWidth="1"/>
    <col min="518" max="518" width="12.42578125" style="252" customWidth="1"/>
    <col min="519" max="519" width="10.85546875" style="252" customWidth="1"/>
    <col min="520" max="520" width="11.28515625" style="252" customWidth="1"/>
    <col min="521" max="522" width="11.42578125" style="252" customWidth="1"/>
    <col min="523" max="523" width="12.7109375" style="252" customWidth="1"/>
    <col min="524" max="524" width="9.5703125" style="252" bestFit="1" customWidth="1"/>
    <col min="525" max="525" width="12.7109375" style="252" customWidth="1"/>
    <col min="526" max="534" width="0" style="252" hidden="1" customWidth="1"/>
    <col min="535" max="769" width="9.140625" style="252"/>
    <col min="770" max="770" width="34.7109375" style="252" customWidth="1"/>
    <col min="771" max="771" width="22" style="252" customWidth="1"/>
    <col min="772" max="772" width="11.140625" style="252" customWidth="1"/>
    <col min="773" max="773" width="8.42578125" style="252" customWidth="1"/>
    <col min="774" max="774" width="12.42578125" style="252" customWidth="1"/>
    <col min="775" max="775" width="10.85546875" style="252" customWidth="1"/>
    <col min="776" max="776" width="11.28515625" style="252" customWidth="1"/>
    <col min="777" max="778" width="11.42578125" style="252" customWidth="1"/>
    <col min="779" max="779" width="12.7109375" style="252" customWidth="1"/>
    <col min="780" max="780" width="9.5703125" style="252" bestFit="1" customWidth="1"/>
    <col min="781" max="781" width="12.7109375" style="252" customWidth="1"/>
    <col min="782" max="790" width="0" style="252" hidden="1" customWidth="1"/>
    <col min="791" max="1025" width="9.140625" style="252"/>
    <col min="1026" max="1026" width="34.7109375" style="252" customWidth="1"/>
    <col min="1027" max="1027" width="22" style="252" customWidth="1"/>
    <col min="1028" max="1028" width="11.140625" style="252" customWidth="1"/>
    <col min="1029" max="1029" width="8.42578125" style="252" customWidth="1"/>
    <col min="1030" max="1030" width="12.42578125" style="252" customWidth="1"/>
    <col min="1031" max="1031" width="10.85546875" style="252" customWidth="1"/>
    <col min="1032" max="1032" width="11.28515625" style="252" customWidth="1"/>
    <col min="1033" max="1034" width="11.42578125" style="252" customWidth="1"/>
    <col min="1035" max="1035" width="12.7109375" style="252" customWidth="1"/>
    <col min="1036" max="1036" width="9.5703125" style="252" bestFit="1" customWidth="1"/>
    <col min="1037" max="1037" width="12.7109375" style="252" customWidth="1"/>
    <col min="1038" max="1046" width="0" style="252" hidden="1" customWidth="1"/>
    <col min="1047" max="1281" width="9.140625" style="252"/>
    <col min="1282" max="1282" width="34.7109375" style="252" customWidth="1"/>
    <col min="1283" max="1283" width="22" style="252" customWidth="1"/>
    <col min="1284" max="1284" width="11.140625" style="252" customWidth="1"/>
    <col min="1285" max="1285" width="8.42578125" style="252" customWidth="1"/>
    <col min="1286" max="1286" width="12.42578125" style="252" customWidth="1"/>
    <col min="1287" max="1287" width="10.85546875" style="252" customWidth="1"/>
    <col min="1288" max="1288" width="11.28515625" style="252" customWidth="1"/>
    <col min="1289" max="1290" width="11.42578125" style="252" customWidth="1"/>
    <col min="1291" max="1291" width="12.7109375" style="252" customWidth="1"/>
    <col min="1292" max="1292" width="9.5703125" style="252" bestFit="1" customWidth="1"/>
    <col min="1293" max="1293" width="12.7109375" style="252" customWidth="1"/>
    <col min="1294" max="1302" width="0" style="252" hidden="1" customWidth="1"/>
    <col min="1303" max="1537" width="9.140625" style="252"/>
    <col min="1538" max="1538" width="34.7109375" style="252" customWidth="1"/>
    <col min="1539" max="1539" width="22" style="252" customWidth="1"/>
    <col min="1540" max="1540" width="11.140625" style="252" customWidth="1"/>
    <col min="1541" max="1541" width="8.42578125" style="252" customWidth="1"/>
    <col min="1542" max="1542" width="12.42578125" style="252" customWidth="1"/>
    <col min="1543" max="1543" width="10.85546875" style="252" customWidth="1"/>
    <col min="1544" max="1544" width="11.28515625" style="252" customWidth="1"/>
    <col min="1545" max="1546" width="11.42578125" style="252" customWidth="1"/>
    <col min="1547" max="1547" width="12.7109375" style="252" customWidth="1"/>
    <col min="1548" max="1548" width="9.5703125" style="252" bestFit="1" customWidth="1"/>
    <col min="1549" max="1549" width="12.7109375" style="252" customWidth="1"/>
    <col min="1550" max="1558" width="0" style="252" hidden="1" customWidth="1"/>
    <col min="1559" max="1793" width="9.140625" style="252"/>
    <col min="1794" max="1794" width="34.7109375" style="252" customWidth="1"/>
    <col min="1795" max="1795" width="22" style="252" customWidth="1"/>
    <col min="1796" max="1796" width="11.140625" style="252" customWidth="1"/>
    <col min="1797" max="1797" width="8.42578125" style="252" customWidth="1"/>
    <col min="1798" max="1798" width="12.42578125" style="252" customWidth="1"/>
    <col min="1799" max="1799" width="10.85546875" style="252" customWidth="1"/>
    <col min="1800" max="1800" width="11.28515625" style="252" customWidth="1"/>
    <col min="1801" max="1802" width="11.42578125" style="252" customWidth="1"/>
    <col min="1803" max="1803" width="12.7109375" style="252" customWidth="1"/>
    <col min="1804" max="1804" width="9.5703125" style="252" bestFit="1" customWidth="1"/>
    <col min="1805" max="1805" width="12.7109375" style="252" customWidth="1"/>
    <col min="1806" max="1814" width="0" style="252" hidden="1" customWidth="1"/>
    <col min="1815" max="2049" width="9.140625" style="252"/>
    <col min="2050" max="2050" width="34.7109375" style="252" customWidth="1"/>
    <col min="2051" max="2051" width="22" style="252" customWidth="1"/>
    <col min="2052" max="2052" width="11.140625" style="252" customWidth="1"/>
    <col min="2053" max="2053" width="8.42578125" style="252" customWidth="1"/>
    <col min="2054" max="2054" width="12.42578125" style="252" customWidth="1"/>
    <col min="2055" max="2055" width="10.85546875" style="252" customWidth="1"/>
    <col min="2056" max="2056" width="11.28515625" style="252" customWidth="1"/>
    <col min="2057" max="2058" width="11.42578125" style="252" customWidth="1"/>
    <col min="2059" max="2059" width="12.7109375" style="252" customWidth="1"/>
    <col min="2060" max="2060" width="9.5703125" style="252" bestFit="1" customWidth="1"/>
    <col min="2061" max="2061" width="12.7109375" style="252" customWidth="1"/>
    <col min="2062" max="2070" width="0" style="252" hidden="1" customWidth="1"/>
    <col min="2071" max="2305" width="9.140625" style="252"/>
    <col min="2306" max="2306" width="34.7109375" style="252" customWidth="1"/>
    <col min="2307" max="2307" width="22" style="252" customWidth="1"/>
    <col min="2308" max="2308" width="11.140625" style="252" customWidth="1"/>
    <col min="2309" max="2309" width="8.42578125" style="252" customWidth="1"/>
    <col min="2310" max="2310" width="12.42578125" style="252" customWidth="1"/>
    <col min="2311" max="2311" width="10.85546875" style="252" customWidth="1"/>
    <col min="2312" max="2312" width="11.28515625" style="252" customWidth="1"/>
    <col min="2313" max="2314" width="11.42578125" style="252" customWidth="1"/>
    <col min="2315" max="2315" width="12.7109375" style="252" customWidth="1"/>
    <col min="2316" max="2316" width="9.5703125" style="252" bestFit="1" customWidth="1"/>
    <col min="2317" max="2317" width="12.7109375" style="252" customWidth="1"/>
    <col min="2318" max="2326" width="0" style="252" hidden="1" customWidth="1"/>
    <col min="2327" max="2561" width="9.140625" style="252"/>
    <col min="2562" max="2562" width="34.7109375" style="252" customWidth="1"/>
    <col min="2563" max="2563" width="22" style="252" customWidth="1"/>
    <col min="2564" max="2564" width="11.140625" style="252" customWidth="1"/>
    <col min="2565" max="2565" width="8.42578125" style="252" customWidth="1"/>
    <col min="2566" max="2566" width="12.42578125" style="252" customWidth="1"/>
    <col min="2567" max="2567" width="10.85546875" style="252" customWidth="1"/>
    <col min="2568" max="2568" width="11.28515625" style="252" customWidth="1"/>
    <col min="2569" max="2570" width="11.42578125" style="252" customWidth="1"/>
    <col min="2571" max="2571" width="12.7109375" style="252" customWidth="1"/>
    <col min="2572" max="2572" width="9.5703125" style="252" bestFit="1" customWidth="1"/>
    <col min="2573" max="2573" width="12.7109375" style="252" customWidth="1"/>
    <col min="2574" max="2582" width="0" style="252" hidden="1" customWidth="1"/>
    <col min="2583" max="2817" width="9.140625" style="252"/>
    <col min="2818" max="2818" width="34.7109375" style="252" customWidth="1"/>
    <col min="2819" max="2819" width="22" style="252" customWidth="1"/>
    <col min="2820" max="2820" width="11.140625" style="252" customWidth="1"/>
    <col min="2821" max="2821" width="8.42578125" style="252" customWidth="1"/>
    <col min="2822" max="2822" width="12.42578125" style="252" customWidth="1"/>
    <col min="2823" max="2823" width="10.85546875" style="252" customWidth="1"/>
    <col min="2824" max="2824" width="11.28515625" style="252" customWidth="1"/>
    <col min="2825" max="2826" width="11.42578125" style="252" customWidth="1"/>
    <col min="2827" max="2827" width="12.7109375" style="252" customWidth="1"/>
    <col min="2828" max="2828" width="9.5703125" style="252" bestFit="1" customWidth="1"/>
    <col min="2829" max="2829" width="12.7109375" style="252" customWidth="1"/>
    <col min="2830" max="2838" width="0" style="252" hidden="1" customWidth="1"/>
    <col min="2839" max="3073" width="9.140625" style="252"/>
    <col min="3074" max="3074" width="34.7109375" style="252" customWidth="1"/>
    <col min="3075" max="3075" width="22" style="252" customWidth="1"/>
    <col min="3076" max="3076" width="11.140625" style="252" customWidth="1"/>
    <col min="3077" max="3077" width="8.42578125" style="252" customWidth="1"/>
    <col min="3078" max="3078" width="12.42578125" style="252" customWidth="1"/>
    <col min="3079" max="3079" width="10.85546875" style="252" customWidth="1"/>
    <col min="3080" max="3080" width="11.28515625" style="252" customWidth="1"/>
    <col min="3081" max="3082" width="11.42578125" style="252" customWidth="1"/>
    <col min="3083" max="3083" width="12.7109375" style="252" customWidth="1"/>
    <col min="3084" max="3084" width="9.5703125" style="252" bestFit="1" customWidth="1"/>
    <col min="3085" max="3085" width="12.7109375" style="252" customWidth="1"/>
    <col min="3086" max="3094" width="0" style="252" hidden="1" customWidth="1"/>
    <col min="3095" max="3329" width="9.140625" style="252"/>
    <col min="3330" max="3330" width="34.7109375" style="252" customWidth="1"/>
    <col min="3331" max="3331" width="22" style="252" customWidth="1"/>
    <col min="3332" max="3332" width="11.140625" style="252" customWidth="1"/>
    <col min="3333" max="3333" width="8.42578125" style="252" customWidth="1"/>
    <col min="3334" max="3334" width="12.42578125" style="252" customWidth="1"/>
    <col min="3335" max="3335" width="10.85546875" style="252" customWidth="1"/>
    <col min="3336" max="3336" width="11.28515625" style="252" customWidth="1"/>
    <col min="3337" max="3338" width="11.42578125" style="252" customWidth="1"/>
    <col min="3339" max="3339" width="12.7109375" style="252" customWidth="1"/>
    <col min="3340" max="3340" width="9.5703125" style="252" bestFit="1" customWidth="1"/>
    <col min="3341" max="3341" width="12.7109375" style="252" customWidth="1"/>
    <col min="3342" max="3350" width="0" style="252" hidden="1" customWidth="1"/>
    <col min="3351" max="3585" width="9.140625" style="252"/>
    <col min="3586" max="3586" width="34.7109375" style="252" customWidth="1"/>
    <col min="3587" max="3587" width="22" style="252" customWidth="1"/>
    <col min="3588" max="3588" width="11.140625" style="252" customWidth="1"/>
    <col min="3589" max="3589" width="8.42578125" style="252" customWidth="1"/>
    <col min="3590" max="3590" width="12.42578125" style="252" customWidth="1"/>
    <col min="3591" max="3591" width="10.85546875" style="252" customWidth="1"/>
    <col min="3592" max="3592" width="11.28515625" style="252" customWidth="1"/>
    <col min="3593" max="3594" width="11.42578125" style="252" customWidth="1"/>
    <col min="3595" max="3595" width="12.7109375" style="252" customWidth="1"/>
    <col min="3596" max="3596" width="9.5703125" style="252" bestFit="1" customWidth="1"/>
    <col min="3597" max="3597" width="12.7109375" style="252" customWidth="1"/>
    <col min="3598" max="3606" width="0" style="252" hidden="1" customWidth="1"/>
    <col min="3607" max="3841" width="9.140625" style="252"/>
    <col min="3842" max="3842" width="34.7109375" style="252" customWidth="1"/>
    <col min="3843" max="3843" width="22" style="252" customWidth="1"/>
    <col min="3844" max="3844" width="11.140625" style="252" customWidth="1"/>
    <col min="3845" max="3845" width="8.42578125" style="252" customWidth="1"/>
    <col min="3846" max="3846" width="12.42578125" style="252" customWidth="1"/>
    <col min="3847" max="3847" width="10.85546875" style="252" customWidth="1"/>
    <col min="3848" max="3848" width="11.28515625" style="252" customWidth="1"/>
    <col min="3849" max="3850" width="11.42578125" style="252" customWidth="1"/>
    <col min="3851" max="3851" width="12.7109375" style="252" customWidth="1"/>
    <col min="3852" max="3852" width="9.5703125" style="252" bestFit="1" customWidth="1"/>
    <col min="3853" max="3853" width="12.7109375" style="252" customWidth="1"/>
    <col min="3854" max="3862" width="0" style="252" hidden="1" customWidth="1"/>
    <col min="3863" max="4097" width="9.140625" style="252"/>
    <col min="4098" max="4098" width="34.7109375" style="252" customWidth="1"/>
    <col min="4099" max="4099" width="22" style="252" customWidth="1"/>
    <col min="4100" max="4100" width="11.140625" style="252" customWidth="1"/>
    <col min="4101" max="4101" width="8.42578125" style="252" customWidth="1"/>
    <col min="4102" max="4102" width="12.42578125" style="252" customWidth="1"/>
    <col min="4103" max="4103" width="10.85546875" style="252" customWidth="1"/>
    <col min="4104" max="4104" width="11.28515625" style="252" customWidth="1"/>
    <col min="4105" max="4106" width="11.42578125" style="252" customWidth="1"/>
    <col min="4107" max="4107" width="12.7109375" style="252" customWidth="1"/>
    <col min="4108" max="4108" width="9.5703125" style="252" bestFit="1" customWidth="1"/>
    <col min="4109" max="4109" width="12.7109375" style="252" customWidth="1"/>
    <col min="4110" max="4118" width="0" style="252" hidden="1" customWidth="1"/>
    <col min="4119" max="4353" width="9.140625" style="252"/>
    <col min="4354" max="4354" width="34.7109375" style="252" customWidth="1"/>
    <col min="4355" max="4355" width="22" style="252" customWidth="1"/>
    <col min="4356" max="4356" width="11.140625" style="252" customWidth="1"/>
    <col min="4357" max="4357" width="8.42578125" style="252" customWidth="1"/>
    <col min="4358" max="4358" width="12.42578125" style="252" customWidth="1"/>
    <col min="4359" max="4359" width="10.85546875" style="252" customWidth="1"/>
    <col min="4360" max="4360" width="11.28515625" style="252" customWidth="1"/>
    <col min="4361" max="4362" width="11.42578125" style="252" customWidth="1"/>
    <col min="4363" max="4363" width="12.7109375" style="252" customWidth="1"/>
    <col min="4364" max="4364" width="9.5703125" style="252" bestFit="1" customWidth="1"/>
    <col min="4365" max="4365" width="12.7109375" style="252" customWidth="1"/>
    <col min="4366" max="4374" width="0" style="252" hidden="1" customWidth="1"/>
    <col min="4375" max="4609" width="9.140625" style="252"/>
    <col min="4610" max="4610" width="34.7109375" style="252" customWidth="1"/>
    <col min="4611" max="4611" width="22" style="252" customWidth="1"/>
    <col min="4612" max="4612" width="11.140625" style="252" customWidth="1"/>
    <col min="4613" max="4613" width="8.42578125" style="252" customWidth="1"/>
    <col min="4614" max="4614" width="12.42578125" style="252" customWidth="1"/>
    <col min="4615" max="4615" width="10.85546875" style="252" customWidth="1"/>
    <col min="4616" max="4616" width="11.28515625" style="252" customWidth="1"/>
    <col min="4617" max="4618" width="11.42578125" style="252" customWidth="1"/>
    <col min="4619" max="4619" width="12.7109375" style="252" customWidth="1"/>
    <col min="4620" max="4620" width="9.5703125" style="252" bestFit="1" customWidth="1"/>
    <col min="4621" max="4621" width="12.7109375" style="252" customWidth="1"/>
    <col min="4622" max="4630" width="0" style="252" hidden="1" customWidth="1"/>
    <col min="4631" max="4865" width="9.140625" style="252"/>
    <col min="4866" max="4866" width="34.7109375" style="252" customWidth="1"/>
    <col min="4867" max="4867" width="22" style="252" customWidth="1"/>
    <col min="4868" max="4868" width="11.140625" style="252" customWidth="1"/>
    <col min="4869" max="4869" width="8.42578125" style="252" customWidth="1"/>
    <col min="4870" max="4870" width="12.42578125" style="252" customWidth="1"/>
    <col min="4871" max="4871" width="10.85546875" style="252" customWidth="1"/>
    <col min="4872" max="4872" width="11.28515625" style="252" customWidth="1"/>
    <col min="4873" max="4874" width="11.42578125" style="252" customWidth="1"/>
    <col min="4875" max="4875" width="12.7109375" style="252" customWidth="1"/>
    <col min="4876" max="4876" width="9.5703125" style="252" bestFit="1" customWidth="1"/>
    <col min="4877" max="4877" width="12.7109375" style="252" customWidth="1"/>
    <col min="4878" max="4886" width="0" style="252" hidden="1" customWidth="1"/>
    <col min="4887" max="5121" width="9.140625" style="252"/>
    <col min="5122" max="5122" width="34.7109375" style="252" customWidth="1"/>
    <col min="5123" max="5123" width="22" style="252" customWidth="1"/>
    <col min="5124" max="5124" width="11.140625" style="252" customWidth="1"/>
    <col min="5125" max="5125" width="8.42578125" style="252" customWidth="1"/>
    <col min="5126" max="5126" width="12.42578125" style="252" customWidth="1"/>
    <col min="5127" max="5127" width="10.85546875" style="252" customWidth="1"/>
    <col min="5128" max="5128" width="11.28515625" style="252" customWidth="1"/>
    <col min="5129" max="5130" width="11.42578125" style="252" customWidth="1"/>
    <col min="5131" max="5131" width="12.7109375" style="252" customWidth="1"/>
    <col min="5132" max="5132" width="9.5703125" style="252" bestFit="1" customWidth="1"/>
    <col min="5133" max="5133" width="12.7109375" style="252" customWidth="1"/>
    <col min="5134" max="5142" width="0" style="252" hidden="1" customWidth="1"/>
    <col min="5143" max="5377" width="9.140625" style="252"/>
    <col min="5378" max="5378" width="34.7109375" style="252" customWidth="1"/>
    <col min="5379" max="5379" width="22" style="252" customWidth="1"/>
    <col min="5380" max="5380" width="11.140625" style="252" customWidth="1"/>
    <col min="5381" max="5381" width="8.42578125" style="252" customWidth="1"/>
    <col min="5382" max="5382" width="12.42578125" style="252" customWidth="1"/>
    <col min="5383" max="5383" width="10.85546875" style="252" customWidth="1"/>
    <col min="5384" max="5384" width="11.28515625" style="252" customWidth="1"/>
    <col min="5385" max="5386" width="11.42578125" style="252" customWidth="1"/>
    <col min="5387" max="5387" width="12.7109375" style="252" customWidth="1"/>
    <col min="5388" max="5388" width="9.5703125" style="252" bestFit="1" customWidth="1"/>
    <col min="5389" max="5389" width="12.7109375" style="252" customWidth="1"/>
    <col min="5390" max="5398" width="0" style="252" hidden="1" customWidth="1"/>
    <col min="5399" max="5633" width="9.140625" style="252"/>
    <col min="5634" max="5634" width="34.7109375" style="252" customWidth="1"/>
    <col min="5635" max="5635" width="22" style="252" customWidth="1"/>
    <col min="5636" max="5636" width="11.140625" style="252" customWidth="1"/>
    <col min="5637" max="5637" width="8.42578125" style="252" customWidth="1"/>
    <col min="5638" max="5638" width="12.42578125" style="252" customWidth="1"/>
    <col min="5639" max="5639" width="10.85546875" style="252" customWidth="1"/>
    <col min="5640" max="5640" width="11.28515625" style="252" customWidth="1"/>
    <col min="5641" max="5642" width="11.42578125" style="252" customWidth="1"/>
    <col min="5643" max="5643" width="12.7109375" style="252" customWidth="1"/>
    <col min="5644" max="5644" width="9.5703125" style="252" bestFit="1" customWidth="1"/>
    <col min="5645" max="5645" width="12.7109375" style="252" customWidth="1"/>
    <col min="5646" max="5654" width="0" style="252" hidden="1" customWidth="1"/>
    <col min="5655" max="5889" width="9.140625" style="252"/>
    <col min="5890" max="5890" width="34.7109375" style="252" customWidth="1"/>
    <col min="5891" max="5891" width="22" style="252" customWidth="1"/>
    <col min="5892" max="5892" width="11.140625" style="252" customWidth="1"/>
    <col min="5893" max="5893" width="8.42578125" style="252" customWidth="1"/>
    <col min="5894" max="5894" width="12.42578125" style="252" customWidth="1"/>
    <col min="5895" max="5895" width="10.85546875" style="252" customWidth="1"/>
    <col min="5896" max="5896" width="11.28515625" style="252" customWidth="1"/>
    <col min="5897" max="5898" width="11.42578125" style="252" customWidth="1"/>
    <col min="5899" max="5899" width="12.7109375" style="252" customWidth="1"/>
    <col min="5900" max="5900" width="9.5703125" style="252" bestFit="1" customWidth="1"/>
    <col min="5901" max="5901" width="12.7109375" style="252" customWidth="1"/>
    <col min="5902" max="5910" width="0" style="252" hidden="1" customWidth="1"/>
    <col min="5911" max="6145" width="9.140625" style="252"/>
    <col min="6146" max="6146" width="34.7109375" style="252" customWidth="1"/>
    <col min="6147" max="6147" width="22" style="252" customWidth="1"/>
    <col min="6148" max="6148" width="11.140625" style="252" customWidth="1"/>
    <col min="6149" max="6149" width="8.42578125" style="252" customWidth="1"/>
    <col min="6150" max="6150" width="12.42578125" style="252" customWidth="1"/>
    <col min="6151" max="6151" width="10.85546875" style="252" customWidth="1"/>
    <col min="6152" max="6152" width="11.28515625" style="252" customWidth="1"/>
    <col min="6153" max="6154" width="11.42578125" style="252" customWidth="1"/>
    <col min="6155" max="6155" width="12.7109375" style="252" customWidth="1"/>
    <col min="6156" max="6156" width="9.5703125" style="252" bestFit="1" customWidth="1"/>
    <col min="6157" max="6157" width="12.7109375" style="252" customWidth="1"/>
    <col min="6158" max="6166" width="0" style="252" hidden="1" customWidth="1"/>
    <col min="6167" max="6401" width="9.140625" style="252"/>
    <col min="6402" max="6402" width="34.7109375" style="252" customWidth="1"/>
    <col min="6403" max="6403" width="22" style="252" customWidth="1"/>
    <col min="6404" max="6404" width="11.140625" style="252" customWidth="1"/>
    <col min="6405" max="6405" width="8.42578125" style="252" customWidth="1"/>
    <col min="6406" max="6406" width="12.42578125" style="252" customWidth="1"/>
    <col min="6407" max="6407" width="10.85546875" style="252" customWidth="1"/>
    <col min="6408" max="6408" width="11.28515625" style="252" customWidth="1"/>
    <col min="6409" max="6410" width="11.42578125" style="252" customWidth="1"/>
    <col min="6411" max="6411" width="12.7109375" style="252" customWidth="1"/>
    <col min="6412" max="6412" width="9.5703125" style="252" bestFit="1" customWidth="1"/>
    <col min="6413" max="6413" width="12.7109375" style="252" customWidth="1"/>
    <col min="6414" max="6422" width="0" style="252" hidden="1" customWidth="1"/>
    <col min="6423" max="6657" width="9.140625" style="252"/>
    <col min="6658" max="6658" width="34.7109375" style="252" customWidth="1"/>
    <col min="6659" max="6659" width="22" style="252" customWidth="1"/>
    <col min="6660" max="6660" width="11.140625" style="252" customWidth="1"/>
    <col min="6661" max="6661" width="8.42578125" style="252" customWidth="1"/>
    <col min="6662" max="6662" width="12.42578125" style="252" customWidth="1"/>
    <col min="6663" max="6663" width="10.85546875" style="252" customWidth="1"/>
    <col min="6664" max="6664" width="11.28515625" style="252" customWidth="1"/>
    <col min="6665" max="6666" width="11.42578125" style="252" customWidth="1"/>
    <col min="6667" max="6667" width="12.7109375" style="252" customWidth="1"/>
    <col min="6668" max="6668" width="9.5703125" style="252" bestFit="1" customWidth="1"/>
    <col min="6669" max="6669" width="12.7109375" style="252" customWidth="1"/>
    <col min="6670" max="6678" width="0" style="252" hidden="1" customWidth="1"/>
    <col min="6679" max="6913" width="9.140625" style="252"/>
    <col min="6914" max="6914" width="34.7109375" style="252" customWidth="1"/>
    <col min="6915" max="6915" width="22" style="252" customWidth="1"/>
    <col min="6916" max="6916" width="11.140625" style="252" customWidth="1"/>
    <col min="6917" max="6917" width="8.42578125" style="252" customWidth="1"/>
    <col min="6918" max="6918" width="12.42578125" style="252" customWidth="1"/>
    <col min="6919" max="6919" width="10.85546875" style="252" customWidth="1"/>
    <col min="6920" max="6920" width="11.28515625" style="252" customWidth="1"/>
    <col min="6921" max="6922" width="11.42578125" style="252" customWidth="1"/>
    <col min="6923" max="6923" width="12.7109375" style="252" customWidth="1"/>
    <col min="6924" max="6924" width="9.5703125" style="252" bestFit="1" customWidth="1"/>
    <col min="6925" max="6925" width="12.7109375" style="252" customWidth="1"/>
    <col min="6926" max="6934" width="0" style="252" hidden="1" customWidth="1"/>
    <col min="6935" max="7169" width="9.140625" style="252"/>
    <col min="7170" max="7170" width="34.7109375" style="252" customWidth="1"/>
    <col min="7171" max="7171" width="22" style="252" customWidth="1"/>
    <col min="7172" max="7172" width="11.140625" style="252" customWidth="1"/>
    <col min="7173" max="7173" width="8.42578125" style="252" customWidth="1"/>
    <col min="7174" max="7174" width="12.42578125" style="252" customWidth="1"/>
    <col min="7175" max="7175" width="10.85546875" style="252" customWidth="1"/>
    <col min="7176" max="7176" width="11.28515625" style="252" customWidth="1"/>
    <col min="7177" max="7178" width="11.42578125" style="252" customWidth="1"/>
    <col min="7179" max="7179" width="12.7109375" style="252" customWidth="1"/>
    <col min="7180" max="7180" width="9.5703125" style="252" bestFit="1" customWidth="1"/>
    <col min="7181" max="7181" width="12.7109375" style="252" customWidth="1"/>
    <col min="7182" max="7190" width="0" style="252" hidden="1" customWidth="1"/>
    <col min="7191" max="7425" width="9.140625" style="252"/>
    <col min="7426" max="7426" width="34.7109375" style="252" customWidth="1"/>
    <col min="7427" max="7427" width="22" style="252" customWidth="1"/>
    <col min="7428" max="7428" width="11.140625" style="252" customWidth="1"/>
    <col min="7429" max="7429" width="8.42578125" style="252" customWidth="1"/>
    <col min="7430" max="7430" width="12.42578125" style="252" customWidth="1"/>
    <col min="7431" max="7431" width="10.85546875" style="252" customWidth="1"/>
    <col min="7432" max="7432" width="11.28515625" style="252" customWidth="1"/>
    <col min="7433" max="7434" width="11.42578125" style="252" customWidth="1"/>
    <col min="7435" max="7435" width="12.7109375" style="252" customWidth="1"/>
    <col min="7436" max="7436" width="9.5703125" style="252" bestFit="1" customWidth="1"/>
    <col min="7437" max="7437" width="12.7109375" style="252" customWidth="1"/>
    <col min="7438" max="7446" width="0" style="252" hidden="1" customWidth="1"/>
    <col min="7447" max="7681" width="9.140625" style="252"/>
    <col min="7682" max="7682" width="34.7109375" style="252" customWidth="1"/>
    <col min="7683" max="7683" width="22" style="252" customWidth="1"/>
    <col min="7684" max="7684" width="11.140625" style="252" customWidth="1"/>
    <col min="7685" max="7685" width="8.42578125" style="252" customWidth="1"/>
    <col min="7686" max="7686" width="12.42578125" style="252" customWidth="1"/>
    <col min="7687" max="7687" width="10.85546875" style="252" customWidth="1"/>
    <col min="7688" max="7688" width="11.28515625" style="252" customWidth="1"/>
    <col min="7689" max="7690" width="11.42578125" style="252" customWidth="1"/>
    <col min="7691" max="7691" width="12.7109375" style="252" customWidth="1"/>
    <col min="7692" max="7692" width="9.5703125" style="252" bestFit="1" customWidth="1"/>
    <col min="7693" max="7693" width="12.7109375" style="252" customWidth="1"/>
    <col min="7694" max="7702" width="0" style="252" hidden="1" customWidth="1"/>
    <col min="7703" max="7937" width="9.140625" style="252"/>
    <col min="7938" max="7938" width="34.7109375" style="252" customWidth="1"/>
    <col min="7939" max="7939" width="22" style="252" customWidth="1"/>
    <col min="7940" max="7940" width="11.140625" style="252" customWidth="1"/>
    <col min="7941" max="7941" width="8.42578125" style="252" customWidth="1"/>
    <col min="7942" max="7942" width="12.42578125" style="252" customWidth="1"/>
    <col min="7943" max="7943" width="10.85546875" style="252" customWidth="1"/>
    <col min="7944" max="7944" width="11.28515625" style="252" customWidth="1"/>
    <col min="7945" max="7946" width="11.42578125" style="252" customWidth="1"/>
    <col min="7947" max="7947" width="12.7109375" style="252" customWidth="1"/>
    <col min="7948" max="7948" width="9.5703125" style="252" bestFit="1" customWidth="1"/>
    <col min="7949" max="7949" width="12.7109375" style="252" customWidth="1"/>
    <col min="7950" max="7958" width="0" style="252" hidden="1" customWidth="1"/>
    <col min="7959" max="8193" width="9.140625" style="252"/>
    <col min="8194" max="8194" width="34.7109375" style="252" customWidth="1"/>
    <col min="8195" max="8195" width="22" style="252" customWidth="1"/>
    <col min="8196" max="8196" width="11.140625" style="252" customWidth="1"/>
    <col min="8197" max="8197" width="8.42578125" style="252" customWidth="1"/>
    <col min="8198" max="8198" width="12.42578125" style="252" customWidth="1"/>
    <col min="8199" max="8199" width="10.85546875" style="252" customWidth="1"/>
    <col min="8200" max="8200" width="11.28515625" style="252" customWidth="1"/>
    <col min="8201" max="8202" width="11.42578125" style="252" customWidth="1"/>
    <col min="8203" max="8203" width="12.7109375" style="252" customWidth="1"/>
    <col min="8204" max="8204" width="9.5703125" style="252" bestFit="1" customWidth="1"/>
    <col min="8205" max="8205" width="12.7109375" style="252" customWidth="1"/>
    <col min="8206" max="8214" width="0" style="252" hidden="1" customWidth="1"/>
    <col min="8215" max="8449" width="9.140625" style="252"/>
    <col min="8450" max="8450" width="34.7109375" style="252" customWidth="1"/>
    <col min="8451" max="8451" width="22" style="252" customWidth="1"/>
    <col min="8452" max="8452" width="11.140625" style="252" customWidth="1"/>
    <col min="8453" max="8453" width="8.42578125" style="252" customWidth="1"/>
    <col min="8454" max="8454" width="12.42578125" style="252" customWidth="1"/>
    <col min="8455" max="8455" width="10.85546875" style="252" customWidth="1"/>
    <col min="8456" max="8456" width="11.28515625" style="252" customWidth="1"/>
    <col min="8457" max="8458" width="11.42578125" style="252" customWidth="1"/>
    <col min="8459" max="8459" width="12.7109375" style="252" customWidth="1"/>
    <col min="8460" max="8460" width="9.5703125" style="252" bestFit="1" customWidth="1"/>
    <col min="8461" max="8461" width="12.7109375" style="252" customWidth="1"/>
    <col min="8462" max="8470" width="0" style="252" hidden="1" customWidth="1"/>
    <col min="8471" max="8705" width="9.140625" style="252"/>
    <col min="8706" max="8706" width="34.7109375" style="252" customWidth="1"/>
    <col min="8707" max="8707" width="22" style="252" customWidth="1"/>
    <col min="8708" max="8708" width="11.140625" style="252" customWidth="1"/>
    <col min="8709" max="8709" width="8.42578125" style="252" customWidth="1"/>
    <col min="8710" max="8710" width="12.42578125" style="252" customWidth="1"/>
    <col min="8711" max="8711" width="10.85546875" style="252" customWidth="1"/>
    <col min="8712" max="8712" width="11.28515625" style="252" customWidth="1"/>
    <col min="8713" max="8714" width="11.42578125" style="252" customWidth="1"/>
    <col min="8715" max="8715" width="12.7109375" style="252" customWidth="1"/>
    <col min="8716" max="8716" width="9.5703125" style="252" bestFit="1" customWidth="1"/>
    <col min="8717" max="8717" width="12.7109375" style="252" customWidth="1"/>
    <col min="8718" max="8726" width="0" style="252" hidden="1" customWidth="1"/>
    <col min="8727" max="8961" width="9.140625" style="252"/>
    <col min="8962" max="8962" width="34.7109375" style="252" customWidth="1"/>
    <col min="8963" max="8963" width="22" style="252" customWidth="1"/>
    <col min="8964" max="8964" width="11.140625" style="252" customWidth="1"/>
    <col min="8965" max="8965" width="8.42578125" style="252" customWidth="1"/>
    <col min="8966" max="8966" width="12.42578125" style="252" customWidth="1"/>
    <col min="8967" max="8967" width="10.85546875" style="252" customWidth="1"/>
    <col min="8968" max="8968" width="11.28515625" style="252" customWidth="1"/>
    <col min="8969" max="8970" width="11.42578125" style="252" customWidth="1"/>
    <col min="8971" max="8971" width="12.7109375" style="252" customWidth="1"/>
    <col min="8972" max="8972" width="9.5703125" style="252" bestFit="1" customWidth="1"/>
    <col min="8973" max="8973" width="12.7109375" style="252" customWidth="1"/>
    <col min="8974" max="8982" width="0" style="252" hidden="1" customWidth="1"/>
    <col min="8983" max="9217" width="9.140625" style="252"/>
    <col min="9218" max="9218" width="34.7109375" style="252" customWidth="1"/>
    <col min="9219" max="9219" width="22" style="252" customWidth="1"/>
    <col min="9220" max="9220" width="11.140625" style="252" customWidth="1"/>
    <col min="9221" max="9221" width="8.42578125" style="252" customWidth="1"/>
    <col min="9222" max="9222" width="12.42578125" style="252" customWidth="1"/>
    <col min="9223" max="9223" width="10.85546875" style="252" customWidth="1"/>
    <col min="9224" max="9224" width="11.28515625" style="252" customWidth="1"/>
    <col min="9225" max="9226" width="11.42578125" style="252" customWidth="1"/>
    <col min="9227" max="9227" width="12.7109375" style="252" customWidth="1"/>
    <col min="9228" max="9228" width="9.5703125" style="252" bestFit="1" customWidth="1"/>
    <col min="9229" max="9229" width="12.7109375" style="252" customWidth="1"/>
    <col min="9230" max="9238" width="0" style="252" hidden="1" customWidth="1"/>
    <col min="9239" max="9473" width="9.140625" style="252"/>
    <col min="9474" max="9474" width="34.7109375" style="252" customWidth="1"/>
    <col min="9475" max="9475" width="22" style="252" customWidth="1"/>
    <col min="9476" max="9476" width="11.140625" style="252" customWidth="1"/>
    <col min="9477" max="9477" width="8.42578125" style="252" customWidth="1"/>
    <col min="9478" max="9478" width="12.42578125" style="252" customWidth="1"/>
    <col min="9479" max="9479" width="10.85546875" style="252" customWidth="1"/>
    <col min="9480" max="9480" width="11.28515625" style="252" customWidth="1"/>
    <col min="9481" max="9482" width="11.42578125" style="252" customWidth="1"/>
    <col min="9483" max="9483" width="12.7109375" style="252" customWidth="1"/>
    <col min="9484" max="9484" width="9.5703125" style="252" bestFit="1" customWidth="1"/>
    <col min="9485" max="9485" width="12.7109375" style="252" customWidth="1"/>
    <col min="9486" max="9494" width="0" style="252" hidden="1" customWidth="1"/>
    <col min="9495" max="9729" width="9.140625" style="252"/>
    <col min="9730" max="9730" width="34.7109375" style="252" customWidth="1"/>
    <col min="9731" max="9731" width="22" style="252" customWidth="1"/>
    <col min="9732" max="9732" width="11.140625" style="252" customWidth="1"/>
    <col min="9733" max="9733" width="8.42578125" style="252" customWidth="1"/>
    <col min="9734" max="9734" width="12.42578125" style="252" customWidth="1"/>
    <col min="9735" max="9735" width="10.85546875" style="252" customWidth="1"/>
    <col min="9736" max="9736" width="11.28515625" style="252" customWidth="1"/>
    <col min="9737" max="9738" width="11.42578125" style="252" customWidth="1"/>
    <col min="9739" max="9739" width="12.7109375" style="252" customWidth="1"/>
    <col min="9740" max="9740" width="9.5703125" style="252" bestFit="1" customWidth="1"/>
    <col min="9741" max="9741" width="12.7109375" style="252" customWidth="1"/>
    <col min="9742" max="9750" width="0" style="252" hidden="1" customWidth="1"/>
    <col min="9751" max="9985" width="9.140625" style="252"/>
    <col min="9986" max="9986" width="34.7109375" style="252" customWidth="1"/>
    <col min="9987" max="9987" width="22" style="252" customWidth="1"/>
    <col min="9988" max="9988" width="11.140625" style="252" customWidth="1"/>
    <col min="9989" max="9989" width="8.42578125" style="252" customWidth="1"/>
    <col min="9990" max="9990" width="12.42578125" style="252" customWidth="1"/>
    <col min="9991" max="9991" width="10.85546875" style="252" customWidth="1"/>
    <col min="9992" max="9992" width="11.28515625" style="252" customWidth="1"/>
    <col min="9993" max="9994" width="11.42578125" style="252" customWidth="1"/>
    <col min="9995" max="9995" width="12.7109375" style="252" customWidth="1"/>
    <col min="9996" max="9996" width="9.5703125" style="252" bestFit="1" customWidth="1"/>
    <col min="9997" max="9997" width="12.7109375" style="252" customWidth="1"/>
    <col min="9998" max="10006" width="0" style="252" hidden="1" customWidth="1"/>
    <col min="10007" max="10241" width="9.140625" style="252"/>
    <col min="10242" max="10242" width="34.7109375" style="252" customWidth="1"/>
    <col min="10243" max="10243" width="22" style="252" customWidth="1"/>
    <col min="10244" max="10244" width="11.140625" style="252" customWidth="1"/>
    <col min="10245" max="10245" width="8.42578125" style="252" customWidth="1"/>
    <col min="10246" max="10246" width="12.42578125" style="252" customWidth="1"/>
    <col min="10247" max="10247" width="10.85546875" style="252" customWidth="1"/>
    <col min="10248" max="10248" width="11.28515625" style="252" customWidth="1"/>
    <col min="10249" max="10250" width="11.42578125" style="252" customWidth="1"/>
    <col min="10251" max="10251" width="12.7109375" style="252" customWidth="1"/>
    <col min="10252" max="10252" width="9.5703125" style="252" bestFit="1" customWidth="1"/>
    <col min="10253" max="10253" width="12.7109375" style="252" customWidth="1"/>
    <col min="10254" max="10262" width="0" style="252" hidden="1" customWidth="1"/>
    <col min="10263" max="10497" width="9.140625" style="252"/>
    <col min="10498" max="10498" width="34.7109375" style="252" customWidth="1"/>
    <col min="10499" max="10499" width="22" style="252" customWidth="1"/>
    <col min="10500" max="10500" width="11.140625" style="252" customWidth="1"/>
    <col min="10501" max="10501" width="8.42578125" style="252" customWidth="1"/>
    <col min="10502" max="10502" width="12.42578125" style="252" customWidth="1"/>
    <col min="10503" max="10503" width="10.85546875" style="252" customWidth="1"/>
    <col min="10504" max="10504" width="11.28515625" style="252" customWidth="1"/>
    <col min="10505" max="10506" width="11.42578125" style="252" customWidth="1"/>
    <col min="10507" max="10507" width="12.7109375" style="252" customWidth="1"/>
    <col min="10508" max="10508" width="9.5703125" style="252" bestFit="1" customWidth="1"/>
    <col min="10509" max="10509" width="12.7109375" style="252" customWidth="1"/>
    <col min="10510" max="10518" width="0" style="252" hidden="1" customWidth="1"/>
    <col min="10519" max="10753" width="9.140625" style="252"/>
    <col min="10754" max="10754" width="34.7109375" style="252" customWidth="1"/>
    <col min="10755" max="10755" width="22" style="252" customWidth="1"/>
    <col min="10756" max="10756" width="11.140625" style="252" customWidth="1"/>
    <col min="10757" max="10757" width="8.42578125" style="252" customWidth="1"/>
    <col min="10758" max="10758" width="12.42578125" style="252" customWidth="1"/>
    <col min="10759" max="10759" width="10.85546875" style="252" customWidth="1"/>
    <col min="10760" max="10760" width="11.28515625" style="252" customWidth="1"/>
    <col min="10761" max="10762" width="11.42578125" style="252" customWidth="1"/>
    <col min="10763" max="10763" width="12.7109375" style="252" customWidth="1"/>
    <col min="10764" max="10764" width="9.5703125" style="252" bestFit="1" customWidth="1"/>
    <col min="10765" max="10765" width="12.7109375" style="252" customWidth="1"/>
    <col min="10766" max="10774" width="0" style="252" hidden="1" customWidth="1"/>
    <col min="10775" max="11009" width="9.140625" style="252"/>
    <col min="11010" max="11010" width="34.7109375" style="252" customWidth="1"/>
    <col min="11011" max="11011" width="22" style="252" customWidth="1"/>
    <col min="11012" max="11012" width="11.140625" style="252" customWidth="1"/>
    <col min="11013" max="11013" width="8.42578125" style="252" customWidth="1"/>
    <col min="11014" max="11014" width="12.42578125" style="252" customWidth="1"/>
    <col min="11015" max="11015" width="10.85546875" style="252" customWidth="1"/>
    <col min="11016" max="11016" width="11.28515625" style="252" customWidth="1"/>
    <col min="11017" max="11018" width="11.42578125" style="252" customWidth="1"/>
    <col min="11019" max="11019" width="12.7109375" style="252" customWidth="1"/>
    <col min="11020" max="11020" width="9.5703125" style="252" bestFit="1" customWidth="1"/>
    <col min="11021" max="11021" width="12.7109375" style="252" customWidth="1"/>
    <col min="11022" max="11030" width="0" style="252" hidden="1" customWidth="1"/>
    <col min="11031" max="11265" width="9.140625" style="252"/>
    <col min="11266" max="11266" width="34.7109375" style="252" customWidth="1"/>
    <col min="11267" max="11267" width="22" style="252" customWidth="1"/>
    <col min="11268" max="11268" width="11.140625" style="252" customWidth="1"/>
    <col min="11269" max="11269" width="8.42578125" style="252" customWidth="1"/>
    <col min="11270" max="11270" width="12.42578125" style="252" customWidth="1"/>
    <col min="11271" max="11271" width="10.85546875" style="252" customWidth="1"/>
    <col min="11272" max="11272" width="11.28515625" style="252" customWidth="1"/>
    <col min="11273" max="11274" width="11.42578125" style="252" customWidth="1"/>
    <col min="11275" max="11275" width="12.7109375" style="252" customWidth="1"/>
    <col min="11276" max="11276" width="9.5703125" style="252" bestFit="1" customWidth="1"/>
    <col min="11277" max="11277" width="12.7109375" style="252" customWidth="1"/>
    <col min="11278" max="11286" width="0" style="252" hidden="1" customWidth="1"/>
    <col min="11287" max="11521" width="9.140625" style="252"/>
    <col min="11522" max="11522" width="34.7109375" style="252" customWidth="1"/>
    <col min="11523" max="11523" width="22" style="252" customWidth="1"/>
    <col min="11524" max="11524" width="11.140625" style="252" customWidth="1"/>
    <col min="11525" max="11525" width="8.42578125" style="252" customWidth="1"/>
    <col min="11526" max="11526" width="12.42578125" style="252" customWidth="1"/>
    <col min="11527" max="11527" width="10.85546875" style="252" customWidth="1"/>
    <col min="11528" max="11528" width="11.28515625" style="252" customWidth="1"/>
    <col min="11529" max="11530" width="11.42578125" style="252" customWidth="1"/>
    <col min="11531" max="11531" width="12.7109375" style="252" customWidth="1"/>
    <col min="11532" max="11532" width="9.5703125" style="252" bestFit="1" customWidth="1"/>
    <col min="11533" max="11533" width="12.7109375" style="252" customWidth="1"/>
    <col min="11534" max="11542" width="0" style="252" hidden="1" customWidth="1"/>
    <col min="11543" max="11777" width="9.140625" style="252"/>
    <col min="11778" max="11778" width="34.7109375" style="252" customWidth="1"/>
    <col min="11779" max="11779" width="22" style="252" customWidth="1"/>
    <col min="11780" max="11780" width="11.140625" style="252" customWidth="1"/>
    <col min="11781" max="11781" width="8.42578125" style="252" customWidth="1"/>
    <col min="11782" max="11782" width="12.42578125" style="252" customWidth="1"/>
    <col min="11783" max="11783" width="10.85546875" style="252" customWidth="1"/>
    <col min="11784" max="11784" width="11.28515625" style="252" customWidth="1"/>
    <col min="11785" max="11786" width="11.42578125" style="252" customWidth="1"/>
    <col min="11787" max="11787" width="12.7109375" style="252" customWidth="1"/>
    <col min="11788" max="11788" width="9.5703125" style="252" bestFit="1" customWidth="1"/>
    <col min="11789" max="11789" width="12.7109375" style="252" customWidth="1"/>
    <col min="11790" max="11798" width="0" style="252" hidden="1" customWidth="1"/>
    <col min="11799" max="12033" width="9.140625" style="252"/>
    <col min="12034" max="12034" width="34.7109375" style="252" customWidth="1"/>
    <col min="12035" max="12035" width="22" style="252" customWidth="1"/>
    <col min="12036" max="12036" width="11.140625" style="252" customWidth="1"/>
    <col min="12037" max="12037" width="8.42578125" style="252" customWidth="1"/>
    <col min="12038" max="12038" width="12.42578125" style="252" customWidth="1"/>
    <col min="12039" max="12039" width="10.85546875" style="252" customWidth="1"/>
    <col min="12040" max="12040" width="11.28515625" style="252" customWidth="1"/>
    <col min="12041" max="12042" width="11.42578125" style="252" customWidth="1"/>
    <col min="12043" max="12043" width="12.7109375" style="252" customWidth="1"/>
    <col min="12044" max="12044" width="9.5703125" style="252" bestFit="1" customWidth="1"/>
    <col min="12045" max="12045" width="12.7109375" style="252" customWidth="1"/>
    <col min="12046" max="12054" width="0" style="252" hidden="1" customWidth="1"/>
    <col min="12055" max="12289" width="9.140625" style="252"/>
    <col min="12290" max="12290" width="34.7109375" style="252" customWidth="1"/>
    <col min="12291" max="12291" width="22" style="252" customWidth="1"/>
    <col min="12292" max="12292" width="11.140625" style="252" customWidth="1"/>
    <col min="12293" max="12293" width="8.42578125" style="252" customWidth="1"/>
    <col min="12294" max="12294" width="12.42578125" style="252" customWidth="1"/>
    <col min="12295" max="12295" width="10.85546875" style="252" customWidth="1"/>
    <col min="12296" max="12296" width="11.28515625" style="252" customWidth="1"/>
    <col min="12297" max="12298" width="11.42578125" style="252" customWidth="1"/>
    <col min="12299" max="12299" width="12.7109375" style="252" customWidth="1"/>
    <col min="12300" max="12300" width="9.5703125" style="252" bestFit="1" customWidth="1"/>
    <col min="12301" max="12301" width="12.7109375" style="252" customWidth="1"/>
    <col min="12302" max="12310" width="0" style="252" hidden="1" customWidth="1"/>
    <col min="12311" max="12545" width="9.140625" style="252"/>
    <col min="12546" max="12546" width="34.7109375" style="252" customWidth="1"/>
    <col min="12547" max="12547" width="22" style="252" customWidth="1"/>
    <col min="12548" max="12548" width="11.140625" style="252" customWidth="1"/>
    <col min="12549" max="12549" width="8.42578125" style="252" customWidth="1"/>
    <col min="12550" max="12550" width="12.42578125" style="252" customWidth="1"/>
    <col min="12551" max="12551" width="10.85546875" style="252" customWidth="1"/>
    <col min="12552" max="12552" width="11.28515625" style="252" customWidth="1"/>
    <col min="12553" max="12554" width="11.42578125" style="252" customWidth="1"/>
    <col min="12555" max="12555" width="12.7109375" style="252" customWidth="1"/>
    <col min="12556" max="12556" width="9.5703125" style="252" bestFit="1" customWidth="1"/>
    <col min="12557" max="12557" width="12.7109375" style="252" customWidth="1"/>
    <col min="12558" max="12566" width="0" style="252" hidden="1" customWidth="1"/>
    <col min="12567" max="12801" width="9.140625" style="252"/>
    <col min="12802" max="12802" width="34.7109375" style="252" customWidth="1"/>
    <col min="12803" max="12803" width="22" style="252" customWidth="1"/>
    <col min="12804" max="12804" width="11.140625" style="252" customWidth="1"/>
    <col min="12805" max="12805" width="8.42578125" style="252" customWidth="1"/>
    <col min="12806" max="12806" width="12.42578125" style="252" customWidth="1"/>
    <col min="12807" max="12807" width="10.85546875" style="252" customWidth="1"/>
    <col min="12808" max="12808" width="11.28515625" style="252" customWidth="1"/>
    <col min="12809" max="12810" width="11.42578125" style="252" customWidth="1"/>
    <col min="12811" max="12811" width="12.7109375" style="252" customWidth="1"/>
    <col min="12812" max="12812" width="9.5703125" style="252" bestFit="1" customWidth="1"/>
    <col min="12813" max="12813" width="12.7109375" style="252" customWidth="1"/>
    <col min="12814" max="12822" width="0" style="252" hidden="1" customWidth="1"/>
    <col min="12823" max="13057" width="9.140625" style="252"/>
    <col min="13058" max="13058" width="34.7109375" style="252" customWidth="1"/>
    <col min="13059" max="13059" width="22" style="252" customWidth="1"/>
    <col min="13060" max="13060" width="11.140625" style="252" customWidth="1"/>
    <col min="13061" max="13061" width="8.42578125" style="252" customWidth="1"/>
    <col min="13062" max="13062" width="12.42578125" style="252" customWidth="1"/>
    <col min="13063" max="13063" width="10.85546875" style="252" customWidth="1"/>
    <col min="13064" max="13064" width="11.28515625" style="252" customWidth="1"/>
    <col min="13065" max="13066" width="11.42578125" style="252" customWidth="1"/>
    <col min="13067" max="13067" width="12.7109375" style="252" customWidth="1"/>
    <col min="13068" max="13068" width="9.5703125" style="252" bestFit="1" customWidth="1"/>
    <col min="13069" max="13069" width="12.7109375" style="252" customWidth="1"/>
    <col min="13070" max="13078" width="0" style="252" hidden="1" customWidth="1"/>
    <col min="13079" max="13313" width="9.140625" style="252"/>
    <col min="13314" max="13314" width="34.7109375" style="252" customWidth="1"/>
    <col min="13315" max="13315" width="22" style="252" customWidth="1"/>
    <col min="13316" max="13316" width="11.140625" style="252" customWidth="1"/>
    <col min="13317" max="13317" width="8.42578125" style="252" customWidth="1"/>
    <col min="13318" max="13318" width="12.42578125" style="252" customWidth="1"/>
    <col min="13319" max="13319" width="10.85546875" style="252" customWidth="1"/>
    <col min="13320" max="13320" width="11.28515625" style="252" customWidth="1"/>
    <col min="13321" max="13322" width="11.42578125" style="252" customWidth="1"/>
    <col min="13323" max="13323" width="12.7109375" style="252" customWidth="1"/>
    <col min="13324" max="13324" width="9.5703125" style="252" bestFit="1" customWidth="1"/>
    <col min="13325" max="13325" width="12.7109375" style="252" customWidth="1"/>
    <col min="13326" max="13334" width="0" style="252" hidden="1" customWidth="1"/>
    <col min="13335" max="13569" width="9.140625" style="252"/>
    <col min="13570" max="13570" width="34.7109375" style="252" customWidth="1"/>
    <col min="13571" max="13571" width="22" style="252" customWidth="1"/>
    <col min="13572" max="13572" width="11.140625" style="252" customWidth="1"/>
    <col min="13573" max="13573" width="8.42578125" style="252" customWidth="1"/>
    <col min="13574" max="13574" width="12.42578125" style="252" customWidth="1"/>
    <col min="13575" max="13575" width="10.85546875" style="252" customWidth="1"/>
    <col min="13576" max="13576" width="11.28515625" style="252" customWidth="1"/>
    <col min="13577" max="13578" width="11.42578125" style="252" customWidth="1"/>
    <col min="13579" max="13579" width="12.7109375" style="252" customWidth="1"/>
    <col min="13580" max="13580" width="9.5703125" style="252" bestFit="1" customWidth="1"/>
    <col min="13581" max="13581" width="12.7109375" style="252" customWidth="1"/>
    <col min="13582" max="13590" width="0" style="252" hidden="1" customWidth="1"/>
    <col min="13591" max="13825" width="9.140625" style="252"/>
    <col min="13826" max="13826" width="34.7109375" style="252" customWidth="1"/>
    <col min="13827" max="13827" width="22" style="252" customWidth="1"/>
    <col min="13828" max="13828" width="11.140625" style="252" customWidth="1"/>
    <col min="13829" max="13829" width="8.42578125" style="252" customWidth="1"/>
    <col min="13830" max="13830" width="12.42578125" style="252" customWidth="1"/>
    <col min="13831" max="13831" width="10.85546875" style="252" customWidth="1"/>
    <col min="13832" max="13832" width="11.28515625" style="252" customWidth="1"/>
    <col min="13833" max="13834" width="11.42578125" style="252" customWidth="1"/>
    <col min="13835" max="13835" width="12.7109375" style="252" customWidth="1"/>
    <col min="13836" max="13836" width="9.5703125" style="252" bestFit="1" customWidth="1"/>
    <col min="13837" max="13837" width="12.7109375" style="252" customWidth="1"/>
    <col min="13838" max="13846" width="0" style="252" hidden="1" customWidth="1"/>
    <col min="13847" max="14081" width="9.140625" style="252"/>
    <col min="14082" max="14082" width="34.7109375" style="252" customWidth="1"/>
    <col min="14083" max="14083" width="22" style="252" customWidth="1"/>
    <col min="14084" max="14084" width="11.140625" style="252" customWidth="1"/>
    <col min="14085" max="14085" width="8.42578125" style="252" customWidth="1"/>
    <col min="14086" max="14086" width="12.42578125" style="252" customWidth="1"/>
    <col min="14087" max="14087" width="10.85546875" style="252" customWidth="1"/>
    <col min="14088" max="14088" width="11.28515625" style="252" customWidth="1"/>
    <col min="14089" max="14090" width="11.42578125" style="252" customWidth="1"/>
    <col min="14091" max="14091" width="12.7109375" style="252" customWidth="1"/>
    <col min="14092" max="14092" width="9.5703125" style="252" bestFit="1" customWidth="1"/>
    <col min="14093" max="14093" width="12.7109375" style="252" customWidth="1"/>
    <col min="14094" max="14102" width="0" style="252" hidden="1" customWidth="1"/>
    <col min="14103" max="14337" width="9.140625" style="252"/>
    <col min="14338" max="14338" width="34.7109375" style="252" customWidth="1"/>
    <col min="14339" max="14339" width="22" style="252" customWidth="1"/>
    <col min="14340" max="14340" width="11.140625" style="252" customWidth="1"/>
    <col min="14341" max="14341" width="8.42578125" style="252" customWidth="1"/>
    <col min="14342" max="14342" width="12.42578125" style="252" customWidth="1"/>
    <col min="14343" max="14343" width="10.85546875" style="252" customWidth="1"/>
    <col min="14344" max="14344" width="11.28515625" style="252" customWidth="1"/>
    <col min="14345" max="14346" width="11.42578125" style="252" customWidth="1"/>
    <col min="14347" max="14347" width="12.7109375" style="252" customWidth="1"/>
    <col min="14348" max="14348" width="9.5703125" style="252" bestFit="1" customWidth="1"/>
    <col min="14349" max="14349" width="12.7109375" style="252" customWidth="1"/>
    <col min="14350" max="14358" width="0" style="252" hidden="1" customWidth="1"/>
    <col min="14359" max="14593" width="9.140625" style="252"/>
    <col min="14594" max="14594" width="34.7109375" style="252" customWidth="1"/>
    <col min="14595" max="14595" width="22" style="252" customWidth="1"/>
    <col min="14596" max="14596" width="11.140625" style="252" customWidth="1"/>
    <col min="14597" max="14597" width="8.42578125" style="252" customWidth="1"/>
    <col min="14598" max="14598" width="12.42578125" style="252" customWidth="1"/>
    <col min="14599" max="14599" width="10.85546875" style="252" customWidth="1"/>
    <col min="14600" max="14600" width="11.28515625" style="252" customWidth="1"/>
    <col min="14601" max="14602" width="11.42578125" style="252" customWidth="1"/>
    <col min="14603" max="14603" width="12.7109375" style="252" customWidth="1"/>
    <col min="14604" max="14604" width="9.5703125" style="252" bestFit="1" customWidth="1"/>
    <col min="14605" max="14605" width="12.7109375" style="252" customWidth="1"/>
    <col min="14606" max="14614" width="0" style="252" hidden="1" customWidth="1"/>
    <col min="14615" max="14849" width="9.140625" style="252"/>
    <col min="14850" max="14850" width="34.7109375" style="252" customWidth="1"/>
    <col min="14851" max="14851" width="22" style="252" customWidth="1"/>
    <col min="14852" max="14852" width="11.140625" style="252" customWidth="1"/>
    <col min="14853" max="14853" width="8.42578125" style="252" customWidth="1"/>
    <col min="14854" max="14854" width="12.42578125" style="252" customWidth="1"/>
    <col min="14855" max="14855" width="10.85546875" style="252" customWidth="1"/>
    <col min="14856" max="14856" width="11.28515625" style="252" customWidth="1"/>
    <col min="14857" max="14858" width="11.42578125" style="252" customWidth="1"/>
    <col min="14859" max="14859" width="12.7109375" style="252" customWidth="1"/>
    <col min="14860" max="14860" width="9.5703125" style="252" bestFit="1" customWidth="1"/>
    <col min="14861" max="14861" width="12.7109375" style="252" customWidth="1"/>
    <col min="14862" max="14870" width="0" style="252" hidden="1" customWidth="1"/>
    <col min="14871" max="15105" width="9.140625" style="252"/>
    <col min="15106" max="15106" width="34.7109375" style="252" customWidth="1"/>
    <col min="15107" max="15107" width="22" style="252" customWidth="1"/>
    <col min="15108" max="15108" width="11.140625" style="252" customWidth="1"/>
    <col min="15109" max="15109" width="8.42578125" style="252" customWidth="1"/>
    <col min="15110" max="15110" width="12.42578125" style="252" customWidth="1"/>
    <col min="15111" max="15111" width="10.85546875" style="252" customWidth="1"/>
    <col min="15112" max="15112" width="11.28515625" style="252" customWidth="1"/>
    <col min="15113" max="15114" width="11.42578125" style="252" customWidth="1"/>
    <col min="15115" max="15115" width="12.7109375" style="252" customWidth="1"/>
    <col min="15116" max="15116" width="9.5703125" style="252" bestFit="1" customWidth="1"/>
    <col min="15117" max="15117" width="12.7109375" style="252" customWidth="1"/>
    <col min="15118" max="15126" width="0" style="252" hidden="1" customWidth="1"/>
    <col min="15127" max="15361" width="9.140625" style="252"/>
    <col min="15362" max="15362" width="34.7109375" style="252" customWidth="1"/>
    <col min="15363" max="15363" width="22" style="252" customWidth="1"/>
    <col min="15364" max="15364" width="11.140625" style="252" customWidth="1"/>
    <col min="15365" max="15365" width="8.42578125" style="252" customWidth="1"/>
    <col min="15366" max="15366" width="12.42578125" style="252" customWidth="1"/>
    <col min="15367" max="15367" width="10.85546875" style="252" customWidth="1"/>
    <col min="15368" max="15368" width="11.28515625" style="252" customWidth="1"/>
    <col min="15369" max="15370" width="11.42578125" style="252" customWidth="1"/>
    <col min="15371" max="15371" width="12.7109375" style="252" customWidth="1"/>
    <col min="15372" max="15372" width="9.5703125" style="252" bestFit="1" customWidth="1"/>
    <col min="15373" max="15373" width="12.7109375" style="252" customWidth="1"/>
    <col min="15374" max="15382" width="0" style="252" hidden="1" customWidth="1"/>
    <col min="15383" max="15617" width="9.140625" style="252"/>
    <col min="15618" max="15618" width="34.7109375" style="252" customWidth="1"/>
    <col min="15619" max="15619" width="22" style="252" customWidth="1"/>
    <col min="15620" max="15620" width="11.140625" style="252" customWidth="1"/>
    <col min="15621" max="15621" width="8.42578125" style="252" customWidth="1"/>
    <col min="15622" max="15622" width="12.42578125" style="252" customWidth="1"/>
    <col min="15623" max="15623" width="10.85546875" style="252" customWidth="1"/>
    <col min="15624" max="15624" width="11.28515625" style="252" customWidth="1"/>
    <col min="15625" max="15626" width="11.42578125" style="252" customWidth="1"/>
    <col min="15627" max="15627" width="12.7109375" style="252" customWidth="1"/>
    <col min="15628" max="15628" width="9.5703125" style="252" bestFit="1" customWidth="1"/>
    <col min="15629" max="15629" width="12.7109375" style="252" customWidth="1"/>
    <col min="15630" max="15638" width="0" style="252" hidden="1" customWidth="1"/>
    <col min="15639" max="15873" width="9.140625" style="252"/>
    <col min="15874" max="15874" width="34.7109375" style="252" customWidth="1"/>
    <col min="15875" max="15875" width="22" style="252" customWidth="1"/>
    <col min="15876" max="15876" width="11.140625" style="252" customWidth="1"/>
    <col min="15877" max="15877" width="8.42578125" style="252" customWidth="1"/>
    <col min="15878" max="15878" width="12.42578125" style="252" customWidth="1"/>
    <col min="15879" max="15879" width="10.85546875" style="252" customWidth="1"/>
    <col min="15880" max="15880" width="11.28515625" style="252" customWidth="1"/>
    <col min="15881" max="15882" width="11.42578125" style="252" customWidth="1"/>
    <col min="15883" max="15883" width="12.7109375" style="252" customWidth="1"/>
    <col min="15884" max="15884" width="9.5703125" style="252" bestFit="1" customWidth="1"/>
    <col min="15885" max="15885" width="12.7109375" style="252" customWidth="1"/>
    <col min="15886" max="15894" width="0" style="252" hidden="1" customWidth="1"/>
    <col min="15895" max="16129" width="9.140625" style="252"/>
    <col min="16130" max="16130" width="34.7109375" style="252" customWidth="1"/>
    <col min="16131" max="16131" width="22" style="252" customWidth="1"/>
    <col min="16132" max="16132" width="11.140625" style="252" customWidth="1"/>
    <col min="16133" max="16133" width="8.42578125" style="252" customWidth="1"/>
    <col min="16134" max="16134" width="12.42578125" style="252" customWidth="1"/>
    <col min="16135" max="16135" width="10.85546875" style="252" customWidth="1"/>
    <col min="16136" max="16136" width="11.28515625" style="252" customWidth="1"/>
    <col min="16137" max="16138" width="11.42578125" style="252" customWidth="1"/>
    <col min="16139" max="16139" width="12.7109375" style="252" customWidth="1"/>
    <col min="16140" max="16140" width="9.5703125" style="252" bestFit="1" customWidth="1"/>
    <col min="16141" max="16141" width="12.7109375" style="252" customWidth="1"/>
    <col min="16142" max="16150" width="0" style="252" hidden="1" customWidth="1"/>
    <col min="16151" max="16384" width="9.140625" style="252"/>
  </cols>
  <sheetData>
    <row r="1" spans="2:23" ht="15.75" x14ac:dyDescent="0.25">
      <c r="L1" s="1032" t="s">
        <v>834</v>
      </c>
      <c r="N1" s="251" t="s">
        <v>875</v>
      </c>
      <c r="W1" s="1471" t="s">
        <v>2339</v>
      </c>
    </row>
    <row r="4" spans="2:23" ht="16.149999999999999" customHeight="1" x14ac:dyDescent="0.25">
      <c r="B4" s="252"/>
      <c r="C4" s="310" t="s">
        <v>1944</v>
      </c>
      <c r="D4" s="252"/>
      <c r="E4" s="291" t="str">
        <f>'Вхідні дані'!$F$5</f>
        <v>ЧФ ДП "АМПУ"</v>
      </c>
      <c r="F4" s="291"/>
      <c r="G4" s="291"/>
      <c r="H4" s="1033" t="s">
        <v>461</v>
      </c>
      <c r="I4" s="289" t="str">
        <f>'Вхідні дані'!$F$6</f>
        <v>2023-2024</v>
      </c>
      <c r="J4" s="288" t="s">
        <v>648</v>
      </c>
      <c r="K4" s="252"/>
      <c r="L4" s="252"/>
      <c r="M4" s="288"/>
    </row>
    <row r="5" spans="2:23" ht="16.149999999999999" customHeight="1" thickBot="1" x14ac:dyDescent="0.25">
      <c r="B5" s="253"/>
      <c r="C5" s="311"/>
      <c r="D5" s="253"/>
      <c r="E5" s="253"/>
      <c r="F5" s="253"/>
      <c r="G5" s="4126" t="s">
        <v>876</v>
      </c>
      <c r="H5" s="4126"/>
      <c r="I5" s="4126"/>
      <c r="J5" s="4126"/>
      <c r="K5" s="4126"/>
      <c r="L5" s="4126"/>
      <c r="M5" s="4126"/>
      <c r="N5" s="254"/>
      <c r="O5" s="254"/>
      <c r="P5" s="254"/>
      <c r="Q5" s="254"/>
      <c r="R5" s="254"/>
      <c r="S5" s="254"/>
    </row>
    <row r="6" spans="2:23" ht="16.149999999999999" customHeight="1" x14ac:dyDescent="0.2">
      <c r="B6" s="4127" t="s">
        <v>877</v>
      </c>
      <c r="C6" s="4130" t="s">
        <v>878</v>
      </c>
      <c r="D6" s="4130" t="s">
        <v>879</v>
      </c>
      <c r="E6" s="4133" t="s">
        <v>880</v>
      </c>
      <c r="F6" s="4136" t="s">
        <v>881</v>
      </c>
      <c r="G6" s="4139" t="s">
        <v>882</v>
      </c>
      <c r="H6" s="4140"/>
      <c r="I6" s="4140"/>
      <c r="J6" s="4140"/>
      <c r="K6" s="4141"/>
      <c r="L6" s="4142" t="s">
        <v>883</v>
      </c>
      <c r="M6" s="4142" t="s">
        <v>884</v>
      </c>
      <c r="N6" s="4147" t="s">
        <v>882</v>
      </c>
      <c r="O6" s="4148"/>
      <c r="P6" s="4148"/>
      <c r="Q6" s="4149"/>
      <c r="R6" s="4150" t="s">
        <v>883</v>
      </c>
      <c r="S6" s="4150" t="s">
        <v>884</v>
      </c>
    </row>
    <row r="7" spans="2:23" ht="12.75" customHeight="1" x14ac:dyDescent="0.2">
      <c r="B7" s="4128"/>
      <c r="C7" s="4131"/>
      <c r="D7" s="4131"/>
      <c r="E7" s="4134"/>
      <c r="F7" s="4137"/>
      <c r="G7" s="4153" t="s">
        <v>885</v>
      </c>
      <c r="H7" s="4155" t="s">
        <v>886</v>
      </c>
      <c r="I7" s="4157" t="s">
        <v>926</v>
      </c>
      <c r="J7" s="4155" t="s">
        <v>888</v>
      </c>
      <c r="K7" s="4159" t="s">
        <v>889</v>
      </c>
      <c r="L7" s="4143"/>
      <c r="M7" s="4143"/>
      <c r="N7" s="4153" t="s">
        <v>890</v>
      </c>
      <c r="O7" s="4155" t="s">
        <v>886</v>
      </c>
      <c r="P7" s="4157" t="s">
        <v>887</v>
      </c>
      <c r="Q7" s="4157" t="s">
        <v>891</v>
      </c>
      <c r="R7" s="4151"/>
      <c r="S7" s="4151"/>
    </row>
    <row r="8" spans="2:23" ht="13.5" thickBot="1" x14ac:dyDescent="0.25">
      <c r="B8" s="4129"/>
      <c r="C8" s="4132"/>
      <c r="D8" s="4132"/>
      <c r="E8" s="4135"/>
      <c r="F8" s="4138"/>
      <c r="G8" s="4154"/>
      <c r="H8" s="4156"/>
      <c r="I8" s="4158"/>
      <c r="J8" s="4156"/>
      <c r="K8" s="4160"/>
      <c r="L8" s="4144"/>
      <c r="M8" s="4144"/>
      <c r="N8" s="4161"/>
      <c r="O8" s="4162"/>
      <c r="P8" s="4157"/>
      <c r="Q8" s="4157"/>
      <c r="R8" s="4152"/>
      <c r="S8" s="4152"/>
      <c r="T8" s="252" t="s">
        <v>892</v>
      </c>
    </row>
    <row r="9" spans="2:23" x14ac:dyDescent="0.2">
      <c r="B9" s="292" t="s">
        <v>893</v>
      </c>
      <c r="C9" s="312" t="s">
        <v>894</v>
      </c>
      <c r="D9" s="293">
        <v>110800</v>
      </c>
      <c r="E9" s="295" t="s">
        <v>895</v>
      </c>
      <c r="F9" s="358">
        <f>SUM(G9:M9)</f>
        <v>1</v>
      </c>
      <c r="G9" s="350"/>
      <c r="H9" s="293"/>
      <c r="I9" s="293"/>
      <c r="J9" s="293"/>
      <c r="K9" s="295"/>
      <c r="L9" s="296"/>
      <c r="M9" s="395">
        <v>1</v>
      </c>
      <c r="N9" s="255"/>
      <c r="O9" s="256"/>
      <c r="P9" s="256"/>
      <c r="Q9" s="256"/>
      <c r="R9" s="256"/>
      <c r="S9" s="257"/>
      <c r="T9" s="252">
        <f>SUM(N9:S9)</f>
        <v>0</v>
      </c>
    </row>
    <row r="10" spans="2:23" ht="13.5" thickBot="1" x14ac:dyDescent="0.25">
      <c r="B10" s="384" t="s">
        <v>896</v>
      </c>
      <c r="C10" s="303"/>
      <c r="D10" s="303">
        <v>110793</v>
      </c>
      <c r="E10" s="304" t="s">
        <v>895</v>
      </c>
      <c r="F10" s="387">
        <f>SUM(G10:M10)</f>
        <v>1</v>
      </c>
      <c r="G10" s="386"/>
      <c r="H10" s="303"/>
      <c r="I10" s="303"/>
      <c r="J10" s="303"/>
      <c r="K10" s="304"/>
      <c r="L10" s="385">
        <v>1</v>
      </c>
      <c r="M10" s="388"/>
      <c r="N10" s="255"/>
      <c r="O10" s="256"/>
      <c r="P10" s="256"/>
      <c r="Q10" s="256"/>
      <c r="R10" s="256"/>
      <c r="S10" s="257"/>
      <c r="T10" s="252">
        <f t="shared" ref="T10:T60" si="0">SUM(N10:S10)</f>
        <v>0</v>
      </c>
    </row>
    <row r="11" spans="2:23" x14ac:dyDescent="0.2">
      <c r="B11" s="292" t="s">
        <v>897</v>
      </c>
      <c r="C11" s="293"/>
      <c r="D11" s="293"/>
      <c r="E11" s="295" t="s">
        <v>895</v>
      </c>
      <c r="F11" s="358">
        <f t="shared" ref="F11:K11" si="1">F9+F10</f>
        <v>2</v>
      </c>
      <c r="G11" s="389">
        <f t="shared" si="1"/>
        <v>0</v>
      </c>
      <c r="H11" s="294">
        <f t="shared" si="1"/>
        <v>0</v>
      </c>
      <c r="I11" s="294">
        <f t="shared" si="1"/>
        <v>0</v>
      </c>
      <c r="J11" s="294">
        <f t="shared" si="1"/>
        <v>0</v>
      </c>
      <c r="K11" s="294">
        <f t="shared" si="1"/>
        <v>0</v>
      </c>
      <c r="L11" s="358">
        <v>1</v>
      </c>
      <c r="M11" s="358">
        <v>1</v>
      </c>
      <c r="N11" s="258"/>
      <c r="O11" s="259"/>
      <c r="P11" s="259"/>
      <c r="Q11" s="259"/>
      <c r="R11" s="259"/>
      <c r="S11" s="259"/>
      <c r="T11" s="252">
        <f t="shared" si="0"/>
        <v>0</v>
      </c>
    </row>
    <row r="12" spans="2:23" x14ac:dyDescent="0.2">
      <c r="B12" s="338" t="s">
        <v>930</v>
      </c>
      <c r="C12" s="298"/>
      <c r="D12" s="339"/>
      <c r="E12" s="345" t="s">
        <v>153</v>
      </c>
      <c r="F12" s="1366">
        <v>41.67</v>
      </c>
      <c r="G12" s="352"/>
      <c r="H12" s="301"/>
      <c r="I12" s="298"/>
      <c r="J12" s="298"/>
      <c r="K12" s="299"/>
      <c r="L12" s="302">
        <f>F12</f>
        <v>41.67</v>
      </c>
      <c r="M12" s="302">
        <f>F12</f>
        <v>41.67</v>
      </c>
      <c r="N12" s="260"/>
      <c r="O12" s="261"/>
      <c r="P12" s="256"/>
      <c r="Q12" s="256"/>
      <c r="R12" s="256"/>
      <c r="S12" s="261"/>
      <c r="T12" s="252">
        <f t="shared" si="0"/>
        <v>0</v>
      </c>
    </row>
    <row r="13" spans="2:23" ht="13.5" thickBot="1" x14ac:dyDescent="0.25">
      <c r="B13" s="367" t="s">
        <v>929</v>
      </c>
      <c r="C13" s="329"/>
      <c r="D13" s="390"/>
      <c r="E13" s="368" t="s">
        <v>447</v>
      </c>
      <c r="F13" s="391">
        <f>F12*F11*12</f>
        <v>1000.08</v>
      </c>
      <c r="G13" s="392"/>
      <c r="H13" s="393"/>
      <c r="I13" s="329"/>
      <c r="J13" s="329"/>
      <c r="K13" s="341"/>
      <c r="L13" s="394">
        <f>L12*L11*12</f>
        <v>500.04</v>
      </c>
      <c r="M13" s="394">
        <f>M12*M11*12</f>
        <v>500.04</v>
      </c>
      <c r="N13" s="260"/>
      <c r="O13" s="261"/>
      <c r="P13" s="256"/>
      <c r="Q13" s="256"/>
      <c r="R13" s="256"/>
      <c r="S13" s="261"/>
      <c r="T13" s="252">
        <f t="shared" si="0"/>
        <v>0</v>
      </c>
    </row>
    <row r="14" spans="2:23" ht="13.5" thickBot="1" x14ac:dyDescent="0.25">
      <c r="B14" s="305" t="s">
        <v>928</v>
      </c>
      <c r="C14" s="315"/>
      <c r="D14" s="306"/>
      <c r="E14" s="307" t="s">
        <v>447</v>
      </c>
      <c r="F14" s="308">
        <f>SUM(G14:M14)</f>
        <v>1000.08</v>
      </c>
      <c r="G14" s="353">
        <f t="shared" ref="G14:M14" si="2">G13</f>
        <v>0</v>
      </c>
      <c r="H14" s="306">
        <f t="shared" si="2"/>
        <v>0</v>
      </c>
      <c r="I14" s="306">
        <f t="shared" si="2"/>
        <v>0</v>
      </c>
      <c r="J14" s="306">
        <f>J13</f>
        <v>0</v>
      </c>
      <c r="K14" s="307">
        <f>K13</f>
        <v>0</v>
      </c>
      <c r="L14" s="308">
        <f t="shared" si="2"/>
        <v>500.04</v>
      </c>
      <c r="M14" s="308">
        <f t="shared" si="2"/>
        <v>500.04</v>
      </c>
      <c r="N14" s="262"/>
      <c r="O14" s="263"/>
      <c r="P14" s="263"/>
      <c r="Q14" s="263"/>
      <c r="R14" s="263"/>
      <c r="S14" s="263">
        <v>625.04999999999995</v>
      </c>
      <c r="T14" s="252">
        <f t="shared" si="0"/>
        <v>625.04999999999995</v>
      </c>
      <c r="U14" s="264">
        <f>T14-F14</f>
        <v>-375.03000000000009</v>
      </c>
    </row>
    <row r="15" spans="2:23" x14ac:dyDescent="0.2">
      <c r="B15" s="326" t="s">
        <v>899</v>
      </c>
      <c r="C15" s="312" t="s">
        <v>900</v>
      </c>
      <c r="D15" s="293">
        <v>205115618</v>
      </c>
      <c r="E15" s="346" t="s">
        <v>447</v>
      </c>
      <c r="F15" s="359">
        <v>10.029999999999999</v>
      </c>
      <c r="G15" s="350"/>
      <c r="H15" s="293"/>
      <c r="I15" s="293"/>
      <c r="J15" s="293">
        <f>F15</f>
        <v>10.029999999999999</v>
      </c>
      <c r="K15" s="295"/>
      <c r="L15" s="296"/>
      <c r="M15" s="296"/>
      <c r="N15" s="255"/>
      <c r="O15" s="256"/>
      <c r="P15" s="256"/>
      <c r="Q15" s="256"/>
      <c r="R15" s="256"/>
      <c r="S15" s="256"/>
      <c r="T15" s="252">
        <f t="shared" si="0"/>
        <v>0</v>
      </c>
    </row>
    <row r="16" spans="2:23" s="267" customFormat="1" ht="13.5" thickBot="1" x14ac:dyDescent="0.25">
      <c r="B16" s="1434" t="s">
        <v>897</v>
      </c>
      <c r="C16" s="340"/>
      <c r="D16" s="340"/>
      <c r="E16" s="347" t="s">
        <v>895</v>
      </c>
      <c r="F16" s="1435">
        <f>SUM(G16:M16)</f>
        <v>170</v>
      </c>
      <c r="G16" s="354"/>
      <c r="H16" s="323"/>
      <c r="I16" s="323"/>
      <c r="J16" s="323">
        <v>170</v>
      </c>
      <c r="K16" s="324"/>
      <c r="L16" s="325"/>
      <c r="M16" s="325"/>
      <c r="N16" s="265"/>
      <c r="O16" s="266">
        <f>10487.37+280.95</f>
        <v>10768.320000000002</v>
      </c>
      <c r="P16" s="266"/>
      <c r="Q16" s="266"/>
      <c r="R16" s="266"/>
      <c r="S16" s="266"/>
      <c r="T16" s="267">
        <f t="shared" si="0"/>
        <v>10768.320000000002</v>
      </c>
    </row>
    <row r="17" spans="2:20" ht="13.5" thickBot="1" x14ac:dyDescent="0.25">
      <c r="B17" s="305" t="s">
        <v>901</v>
      </c>
      <c r="C17" s="318"/>
      <c r="D17" s="318"/>
      <c r="E17" s="348"/>
      <c r="F17" s="321">
        <f>SUM(G17:M17)</f>
        <v>20461.199999999997</v>
      </c>
      <c r="G17" s="398">
        <f t="shared" ref="G17:M17" si="3">G16</f>
        <v>0</v>
      </c>
      <c r="H17" s="319">
        <f t="shared" si="3"/>
        <v>0</v>
      </c>
      <c r="I17" s="319">
        <f t="shared" si="3"/>
        <v>0</v>
      </c>
      <c r="J17" s="319">
        <f>J15*J16*12</f>
        <v>20461.199999999997</v>
      </c>
      <c r="K17" s="342">
        <f t="shared" si="3"/>
        <v>0</v>
      </c>
      <c r="L17" s="321">
        <f t="shared" si="3"/>
        <v>0</v>
      </c>
      <c r="M17" s="321">
        <f t="shared" si="3"/>
        <v>0</v>
      </c>
      <c r="N17" s="255"/>
      <c r="O17" s="256"/>
      <c r="P17" s="256"/>
      <c r="Q17" s="256"/>
      <c r="R17" s="256"/>
      <c r="S17" s="256"/>
      <c r="T17" s="252">
        <f t="shared" si="0"/>
        <v>0</v>
      </c>
    </row>
    <row r="18" spans="2:20" x14ac:dyDescent="0.2">
      <c r="B18" s="292" t="s">
        <v>423</v>
      </c>
      <c r="C18" s="312" t="s">
        <v>902</v>
      </c>
      <c r="D18" s="327" t="s">
        <v>903</v>
      </c>
      <c r="E18" s="1453" t="s">
        <v>895</v>
      </c>
      <c r="F18" s="359">
        <f>SUM(G18:M18)</f>
        <v>1</v>
      </c>
      <c r="G18" s="350"/>
      <c r="H18" s="293"/>
      <c r="I18" s="293"/>
      <c r="J18" s="293"/>
      <c r="K18" s="295"/>
      <c r="L18" s="296"/>
      <c r="M18" s="296">
        <v>1</v>
      </c>
      <c r="N18" s="255"/>
      <c r="O18" s="256"/>
      <c r="P18" s="256"/>
      <c r="Q18" s="256"/>
      <c r="R18" s="256"/>
      <c r="S18" s="256"/>
      <c r="T18" s="252">
        <f t="shared" si="0"/>
        <v>0</v>
      </c>
    </row>
    <row r="19" spans="2:20" x14ac:dyDescent="0.2">
      <c r="B19" s="384" t="s">
        <v>436</v>
      </c>
      <c r="C19" s="314"/>
      <c r="D19" s="303"/>
      <c r="E19" s="1454" t="s">
        <v>895</v>
      </c>
      <c r="F19" s="396">
        <v>1</v>
      </c>
      <c r="G19" s="386"/>
      <c r="H19" s="303"/>
      <c r="I19" s="303"/>
      <c r="J19" s="303"/>
      <c r="K19" s="304"/>
      <c r="L19" s="385"/>
      <c r="M19" s="396">
        <v>1</v>
      </c>
      <c r="N19" s="255"/>
      <c r="O19" s="256"/>
      <c r="P19" s="256"/>
      <c r="Q19" s="256"/>
      <c r="R19" s="256"/>
      <c r="S19" s="256"/>
    </row>
    <row r="20" spans="2:20" x14ac:dyDescent="0.2">
      <c r="B20" s="1455" t="s">
        <v>908</v>
      </c>
      <c r="C20" s="1447"/>
      <c r="D20" s="1448"/>
      <c r="E20" s="1456"/>
      <c r="F20" s="1450">
        <f>SUM(G20:M20)</f>
        <v>1</v>
      </c>
      <c r="G20" s="1451"/>
      <c r="H20" s="1448"/>
      <c r="I20" s="1448"/>
      <c r="J20" s="1448"/>
      <c r="K20" s="1449">
        <v>1</v>
      </c>
      <c r="L20" s="1452"/>
      <c r="M20" s="1450"/>
      <c r="N20" s="255"/>
      <c r="O20" s="256"/>
      <c r="P20" s="256"/>
      <c r="Q20" s="256"/>
      <c r="R20" s="256"/>
      <c r="S20" s="256"/>
    </row>
    <row r="21" spans="2:20" x14ac:dyDescent="0.2">
      <c r="B21" s="1441" t="s">
        <v>899</v>
      </c>
      <c r="C21" s="1442"/>
      <c r="D21" s="1051"/>
      <c r="E21" s="1457" t="s">
        <v>895</v>
      </c>
      <c r="F21" s="1444">
        <v>28</v>
      </c>
      <c r="G21" s="1445">
        <v>3</v>
      </c>
      <c r="H21" s="1051"/>
      <c r="I21" s="1051"/>
      <c r="J21" s="1051">
        <v>25</v>
      </c>
      <c r="K21" s="1443"/>
      <c r="L21" s="1446"/>
      <c r="M21" s="1446"/>
      <c r="N21" s="255"/>
      <c r="O21" s="256"/>
      <c r="P21" s="256"/>
      <c r="Q21" s="256"/>
      <c r="R21" s="256"/>
      <c r="S21" s="256"/>
      <c r="T21" s="252">
        <f t="shared" si="0"/>
        <v>0</v>
      </c>
    </row>
    <row r="22" spans="2:20" ht="13.5" thickBot="1" x14ac:dyDescent="0.25">
      <c r="B22" s="1434" t="s">
        <v>897</v>
      </c>
      <c r="C22" s="329"/>
      <c r="D22" s="329"/>
      <c r="E22" s="1458" t="s">
        <v>895</v>
      </c>
      <c r="F22" s="1460">
        <f>SUM(F18:F21)</f>
        <v>31</v>
      </c>
      <c r="G22" s="1461">
        <f>SUM(G18:G21)</f>
        <v>3</v>
      </c>
      <c r="H22" s="1462">
        <f t="shared" ref="H22:M22" si="4">SUM(H18:H21)</f>
        <v>0</v>
      </c>
      <c r="I22" s="1462">
        <f t="shared" si="4"/>
        <v>0</v>
      </c>
      <c r="J22" s="1462">
        <f t="shared" si="4"/>
        <v>25</v>
      </c>
      <c r="K22" s="1463">
        <f t="shared" si="4"/>
        <v>1</v>
      </c>
      <c r="L22" s="1464">
        <f t="shared" si="4"/>
        <v>0</v>
      </c>
      <c r="M22" s="1464">
        <f t="shared" si="4"/>
        <v>2</v>
      </c>
      <c r="N22" s="255"/>
      <c r="O22" s="256"/>
      <c r="P22" s="256"/>
      <c r="Q22" s="256"/>
      <c r="R22" s="256"/>
      <c r="S22" s="256"/>
    </row>
    <row r="23" spans="2:20" ht="13.5" thickBot="1" x14ac:dyDescent="0.25">
      <c r="B23" s="367" t="s">
        <v>930</v>
      </c>
      <c r="C23" s="1436"/>
      <c r="D23" s="1436"/>
      <c r="E23" s="1459" t="s">
        <v>447</v>
      </c>
      <c r="F23" s="1438"/>
      <c r="G23" s="1439">
        <v>19.350000000000001</v>
      </c>
      <c r="H23" s="1436"/>
      <c r="I23" s="1436"/>
      <c r="J23" s="1802">
        <v>3.14</v>
      </c>
      <c r="K23" s="1437">
        <v>3.14</v>
      </c>
      <c r="L23" s="1440"/>
      <c r="M23" s="1440">
        <v>465.34</v>
      </c>
      <c r="N23" s="255"/>
      <c r="O23" s="256"/>
      <c r="P23" s="256"/>
      <c r="Q23" s="256"/>
      <c r="R23" s="256"/>
      <c r="S23" s="256"/>
    </row>
    <row r="24" spans="2:20" ht="13.5" thickBot="1" x14ac:dyDescent="0.25">
      <c r="B24" s="305" t="s">
        <v>904</v>
      </c>
      <c r="C24" s="318"/>
      <c r="D24" s="318"/>
      <c r="E24" s="349" t="s">
        <v>447</v>
      </c>
      <c r="F24" s="322">
        <f>SUM(G24:M24)</f>
        <v>12844.44</v>
      </c>
      <c r="G24" s="355">
        <f>G22*G23*12</f>
        <v>696.6</v>
      </c>
      <c r="H24" s="319">
        <v>0</v>
      </c>
      <c r="I24" s="319">
        <v>0</v>
      </c>
      <c r="J24" s="319">
        <f>J22*J23*12</f>
        <v>942</v>
      </c>
      <c r="K24" s="320">
        <f>K22*K23*12</f>
        <v>37.68</v>
      </c>
      <c r="L24" s="321">
        <v>0</v>
      </c>
      <c r="M24" s="322">
        <f>M22*M23*12</f>
        <v>11168.16</v>
      </c>
      <c r="N24" s="265">
        <v>223.59</v>
      </c>
      <c r="O24" s="266"/>
      <c r="P24" s="266"/>
      <c r="Q24" s="266"/>
      <c r="R24" s="266"/>
      <c r="S24" s="266">
        <v>4350.21</v>
      </c>
      <c r="T24" s="252">
        <f t="shared" si="0"/>
        <v>4573.8</v>
      </c>
    </row>
    <row r="25" spans="2:20" x14ac:dyDescent="0.2">
      <c r="B25" s="292" t="s">
        <v>905</v>
      </c>
      <c r="C25" s="312" t="s">
        <v>906</v>
      </c>
      <c r="D25" s="293">
        <v>68210033</v>
      </c>
      <c r="E25" s="295" t="s">
        <v>895</v>
      </c>
      <c r="F25" s="296">
        <f>SUM(G25:M25)</f>
        <v>2</v>
      </c>
      <c r="G25" s="350">
        <v>2</v>
      </c>
      <c r="H25" s="293"/>
      <c r="I25" s="293"/>
      <c r="J25" s="293"/>
      <c r="K25" s="295"/>
      <c r="L25" s="296"/>
      <c r="M25" s="296"/>
      <c r="N25" s="255"/>
      <c r="O25" s="256"/>
      <c r="P25" s="256"/>
      <c r="Q25" s="256"/>
      <c r="R25" s="256"/>
      <c r="S25" s="256"/>
      <c r="T25" s="252">
        <f t="shared" si="0"/>
        <v>0</v>
      </c>
    </row>
    <row r="26" spans="2:20" x14ac:dyDescent="0.2">
      <c r="B26" s="297" t="s">
        <v>934</v>
      </c>
      <c r="C26" s="313"/>
      <c r="D26" s="298"/>
      <c r="E26" s="299" t="s">
        <v>895</v>
      </c>
      <c r="F26" s="300">
        <f t="shared" ref="F26:F40" si="5">SUM(G26:M26)</f>
        <v>1</v>
      </c>
      <c r="G26" s="351"/>
      <c r="H26" s="298"/>
      <c r="I26" s="298"/>
      <c r="J26" s="298"/>
      <c r="K26" s="299"/>
      <c r="L26" s="330"/>
      <c r="M26" s="330">
        <v>1</v>
      </c>
      <c r="N26" s="255"/>
      <c r="O26" s="256"/>
      <c r="P26" s="256"/>
      <c r="Q26" s="256"/>
      <c r="R26" s="256"/>
      <c r="S26" s="256"/>
    </row>
    <row r="27" spans="2:20" x14ac:dyDescent="0.2">
      <c r="B27" s="297" t="s">
        <v>907</v>
      </c>
      <c r="C27" s="548"/>
      <c r="D27" s="298"/>
      <c r="E27" s="299" t="s">
        <v>895</v>
      </c>
      <c r="F27" s="300">
        <f t="shared" si="5"/>
        <v>1</v>
      </c>
      <c r="G27" s="351"/>
      <c r="H27" s="298"/>
      <c r="I27" s="298"/>
      <c r="J27" s="298"/>
      <c r="K27" s="299"/>
      <c r="L27" s="330">
        <v>1</v>
      </c>
      <c r="M27" s="300"/>
      <c r="N27" s="255"/>
      <c r="O27" s="256"/>
      <c r="P27" s="256"/>
      <c r="Q27" s="256"/>
      <c r="R27" s="256"/>
      <c r="S27" s="256"/>
    </row>
    <row r="28" spans="2:20" ht="12" customHeight="1" x14ac:dyDescent="0.2">
      <c r="B28" s="383" t="s">
        <v>794</v>
      </c>
      <c r="C28" s="298"/>
      <c r="D28" s="298"/>
      <c r="E28" s="299" t="s">
        <v>895</v>
      </c>
      <c r="F28" s="300">
        <f t="shared" si="5"/>
        <v>0</v>
      </c>
      <c r="G28" s="351"/>
      <c r="H28" s="298"/>
      <c r="I28" s="298"/>
      <c r="J28" s="298"/>
      <c r="K28" s="299"/>
      <c r="L28" s="330"/>
      <c r="M28" s="300"/>
      <c r="N28" s="255"/>
      <c r="O28" s="256"/>
      <c r="P28" s="256"/>
      <c r="Q28" s="256"/>
      <c r="R28" s="256"/>
      <c r="S28" s="256"/>
      <c r="T28" s="252">
        <f t="shared" si="0"/>
        <v>0</v>
      </c>
    </row>
    <row r="29" spans="2:20" x14ac:dyDescent="0.2">
      <c r="B29" s="297" t="s">
        <v>908</v>
      </c>
      <c r="C29" s="298"/>
      <c r="D29" s="298"/>
      <c r="E29" s="299" t="s">
        <v>895</v>
      </c>
      <c r="F29" s="300">
        <f t="shared" si="5"/>
        <v>1</v>
      </c>
      <c r="G29" s="351"/>
      <c r="H29" s="298"/>
      <c r="I29" s="298"/>
      <c r="J29" s="298"/>
      <c r="K29" s="299">
        <v>1</v>
      </c>
      <c r="L29" s="330"/>
      <c r="M29" s="300"/>
      <c r="N29" s="255"/>
      <c r="O29" s="256"/>
      <c r="P29" s="256"/>
      <c r="Q29" s="256"/>
      <c r="R29" s="256"/>
      <c r="S29" s="256"/>
      <c r="T29" s="252">
        <f t="shared" si="0"/>
        <v>0</v>
      </c>
    </row>
    <row r="30" spans="2:20" x14ac:dyDescent="0.2">
      <c r="B30" s="297" t="s">
        <v>893</v>
      </c>
      <c r="C30" s="298"/>
      <c r="D30" s="298"/>
      <c r="E30" s="299" t="s">
        <v>895</v>
      </c>
      <c r="F30" s="300">
        <f t="shared" si="5"/>
        <v>1</v>
      </c>
      <c r="G30" s="351"/>
      <c r="H30" s="298"/>
      <c r="I30" s="298"/>
      <c r="J30" s="298"/>
      <c r="K30" s="299"/>
      <c r="L30" s="330"/>
      <c r="M30" s="330">
        <v>1</v>
      </c>
      <c r="N30" s="255"/>
      <c r="O30" s="256"/>
      <c r="P30" s="256"/>
      <c r="Q30" s="256"/>
      <c r="R30" s="256"/>
      <c r="S30" s="256"/>
      <c r="T30" s="252">
        <f t="shared" si="0"/>
        <v>0</v>
      </c>
    </row>
    <row r="31" spans="2:20" x14ac:dyDescent="0.2">
      <c r="B31" s="297" t="s">
        <v>909</v>
      </c>
      <c r="C31" s="298"/>
      <c r="D31" s="298"/>
      <c r="E31" s="299" t="s">
        <v>895</v>
      </c>
      <c r="F31" s="300">
        <f t="shared" si="5"/>
        <v>3</v>
      </c>
      <c r="G31" s="351"/>
      <c r="H31" s="298">
        <v>3</v>
      </c>
      <c r="I31" s="298"/>
      <c r="J31" s="298"/>
      <c r="K31" s="299"/>
      <c r="L31" s="330"/>
      <c r="M31" s="300"/>
      <c r="N31" s="255"/>
      <c r="O31" s="256"/>
      <c r="P31" s="256"/>
      <c r="Q31" s="256"/>
      <c r="R31" s="256"/>
      <c r="S31" s="256"/>
      <c r="T31" s="252">
        <f t="shared" si="0"/>
        <v>0</v>
      </c>
    </row>
    <row r="32" spans="2:20" x14ac:dyDescent="0.2">
      <c r="B32" s="297" t="s">
        <v>910</v>
      </c>
      <c r="C32" s="298"/>
      <c r="D32" s="298"/>
      <c r="E32" s="299" t="s">
        <v>895</v>
      </c>
      <c r="F32" s="300">
        <f t="shared" si="5"/>
        <v>1</v>
      </c>
      <c r="G32" s="351"/>
      <c r="H32" s="298"/>
      <c r="I32" s="298"/>
      <c r="J32" s="298"/>
      <c r="K32" s="299"/>
      <c r="L32" s="330">
        <v>1</v>
      </c>
      <c r="M32" s="300"/>
      <c r="N32" s="255"/>
      <c r="O32" s="256"/>
      <c r="P32" s="256"/>
      <c r="Q32" s="256"/>
      <c r="R32" s="256"/>
      <c r="S32" s="256"/>
      <c r="T32" s="252">
        <f t="shared" si="0"/>
        <v>0</v>
      </c>
    </row>
    <row r="33" spans="2:21" x14ac:dyDescent="0.2">
      <c r="B33" s="297" t="s">
        <v>423</v>
      </c>
      <c r="C33" s="298"/>
      <c r="D33" s="298"/>
      <c r="E33" s="299" t="s">
        <v>895</v>
      </c>
      <c r="F33" s="300">
        <f t="shared" si="5"/>
        <v>1</v>
      </c>
      <c r="G33" s="351"/>
      <c r="H33" s="298"/>
      <c r="I33" s="298"/>
      <c r="J33" s="298"/>
      <c r="K33" s="299"/>
      <c r="L33" s="330"/>
      <c r="M33" s="330">
        <v>1</v>
      </c>
      <c r="N33" s="255"/>
      <c r="O33" s="256"/>
      <c r="P33" s="256"/>
      <c r="Q33" s="256"/>
      <c r="R33" s="256"/>
      <c r="S33" s="256"/>
      <c r="T33" s="252">
        <f t="shared" si="0"/>
        <v>0</v>
      </c>
    </row>
    <row r="34" spans="2:21" x14ac:dyDescent="0.2">
      <c r="B34" s="297" t="s">
        <v>911</v>
      </c>
      <c r="C34" s="298"/>
      <c r="D34" s="298"/>
      <c r="E34" s="299" t="s">
        <v>895</v>
      </c>
      <c r="F34" s="300">
        <f t="shared" si="5"/>
        <v>1</v>
      </c>
      <c r="G34" s="351"/>
      <c r="H34" s="298"/>
      <c r="I34" s="298"/>
      <c r="J34" s="298">
        <v>1</v>
      </c>
      <c r="K34" s="299"/>
      <c r="L34" s="330"/>
      <c r="M34" s="300"/>
      <c r="N34" s="255"/>
      <c r="O34" s="256"/>
      <c r="P34" s="256"/>
      <c r="Q34" s="256"/>
      <c r="R34" s="256"/>
      <c r="S34" s="256"/>
    </row>
    <row r="35" spans="2:21" x14ac:dyDescent="0.2">
      <c r="B35" s="297" t="s">
        <v>436</v>
      </c>
      <c r="C35" s="298"/>
      <c r="D35" s="298"/>
      <c r="E35" s="299" t="s">
        <v>895</v>
      </c>
      <c r="F35" s="300">
        <f t="shared" si="5"/>
        <v>1</v>
      </c>
      <c r="G35" s="351"/>
      <c r="H35" s="298"/>
      <c r="I35" s="298"/>
      <c r="J35" s="298"/>
      <c r="K35" s="299"/>
      <c r="L35" s="330"/>
      <c r="M35" s="330">
        <v>1</v>
      </c>
      <c r="N35" s="255"/>
      <c r="O35" s="256"/>
      <c r="P35" s="256"/>
      <c r="Q35" s="256"/>
      <c r="R35" s="256"/>
      <c r="S35" s="256"/>
      <c r="T35" s="252">
        <f t="shared" si="0"/>
        <v>0</v>
      </c>
    </row>
    <row r="36" spans="2:21" x14ac:dyDescent="0.2">
      <c r="B36" s="297" t="s">
        <v>912</v>
      </c>
      <c r="C36" s="298"/>
      <c r="D36" s="298"/>
      <c r="E36" s="299" t="s">
        <v>895</v>
      </c>
      <c r="F36" s="300">
        <f t="shared" si="5"/>
        <v>2</v>
      </c>
      <c r="G36" s="351"/>
      <c r="H36" s="298"/>
      <c r="I36" s="298"/>
      <c r="J36" s="298"/>
      <c r="K36" s="299"/>
      <c r="L36" s="330"/>
      <c r="M36" s="330">
        <v>2</v>
      </c>
      <c r="N36" s="255"/>
      <c r="O36" s="256"/>
      <c r="P36" s="256"/>
      <c r="Q36" s="256"/>
      <c r="R36" s="256"/>
      <c r="S36" s="256"/>
      <c r="T36" s="252">
        <f t="shared" si="0"/>
        <v>0</v>
      </c>
    </row>
    <row r="37" spans="2:21" x14ac:dyDescent="0.2">
      <c r="B37" s="297" t="s">
        <v>913</v>
      </c>
      <c r="C37" s="298"/>
      <c r="D37" s="298"/>
      <c r="E37" s="299" t="s">
        <v>895</v>
      </c>
      <c r="F37" s="300">
        <f t="shared" si="5"/>
        <v>1</v>
      </c>
      <c r="G37" s="351"/>
      <c r="H37" s="298"/>
      <c r="I37" s="298"/>
      <c r="J37" s="298"/>
      <c r="K37" s="299"/>
      <c r="L37" s="330"/>
      <c r="M37" s="330">
        <v>1</v>
      </c>
      <c r="N37" s="255"/>
      <c r="O37" s="256"/>
      <c r="P37" s="256"/>
      <c r="Q37" s="256"/>
      <c r="R37" s="256"/>
      <c r="S37" s="256"/>
      <c r="T37" s="252">
        <f t="shared" si="0"/>
        <v>0</v>
      </c>
    </row>
    <row r="38" spans="2:21" x14ac:dyDescent="0.2">
      <c r="B38" s="297" t="s">
        <v>914</v>
      </c>
      <c r="C38" s="298"/>
      <c r="D38" s="298"/>
      <c r="E38" s="299" t="s">
        <v>895</v>
      </c>
      <c r="F38" s="300">
        <f t="shared" si="5"/>
        <v>1</v>
      </c>
      <c r="G38" s="351"/>
      <c r="H38" s="298"/>
      <c r="I38" s="298"/>
      <c r="J38" s="298"/>
      <c r="K38" s="299"/>
      <c r="L38" s="330"/>
      <c r="M38" s="330">
        <v>1</v>
      </c>
      <c r="N38" s="255"/>
      <c r="O38" s="256"/>
      <c r="P38" s="256"/>
      <c r="Q38" s="256"/>
      <c r="R38" s="256"/>
      <c r="S38" s="256"/>
      <c r="T38" s="252">
        <f t="shared" si="0"/>
        <v>0</v>
      </c>
    </row>
    <row r="39" spans="2:21" x14ac:dyDescent="0.2">
      <c r="B39" s="297" t="s">
        <v>935</v>
      </c>
      <c r="C39" s="298"/>
      <c r="D39" s="298"/>
      <c r="E39" s="299" t="s">
        <v>895</v>
      </c>
      <c r="F39" s="300">
        <f t="shared" si="5"/>
        <v>1</v>
      </c>
      <c r="G39" s="351"/>
      <c r="H39" s="298"/>
      <c r="I39" s="298">
        <v>1</v>
      </c>
      <c r="J39" s="298"/>
      <c r="K39" s="299"/>
      <c r="L39" s="300"/>
      <c r="M39" s="300"/>
      <c r="N39" s="255"/>
      <c r="O39" s="256"/>
      <c r="P39" s="256"/>
      <c r="Q39" s="256"/>
      <c r="R39" s="256"/>
      <c r="S39" s="256"/>
      <c r="T39" s="252">
        <f t="shared" si="0"/>
        <v>0</v>
      </c>
    </row>
    <row r="40" spans="2:21" x14ac:dyDescent="0.2">
      <c r="B40" s="297" t="s">
        <v>936</v>
      </c>
      <c r="C40" s="298"/>
      <c r="D40" s="298"/>
      <c r="E40" s="299" t="s">
        <v>895</v>
      </c>
      <c r="F40" s="300">
        <f t="shared" si="5"/>
        <v>2</v>
      </c>
      <c r="G40" s="351"/>
      <c r="H40" s="298">
        <v>2</v>
      </c>
      <c r="I40" s="298"/>
      <c r="J40" s="298"/>
      <c r="K40" s="299"/>
      <c r="L40" s="300"/>
      <c r="M40" s="300"/>
      <c r="N40" s="255"/>
      <c r="O40" s="256"/>
      <c r="P40" s="256"/>
      <c r="Q40" s="256"/>
      <c r="R40" s="256"/>
      <c r="S40" s="256"/>
      <c r="T40" s="252">
        <f t="shared" si="0"/>
        <v>0</v>
      </c>
    </row>
    <row r="41" spans="2:21" x14ac:dyDescent="0.2">
      <c r="B41" s="297" t="s">
        <v>897</v>
      </c>
      <c r="C41" s="298"/>
      <c r="D41" s="298"/>
      <c r="E41" s="299" t="s">
        <v>895</v>
      </c>
      <c r="F41" s="1468">
        <f>SUM(G41:M41)</f>
        <v>20</v>
      </c>
      <c r="G41" s="1469">
        <f t="shared" ref="G41:M41" si="6">SUM(G25:G40)</f>
        <v>2</v>
      </c>
      <c r="H41" s="313">
        <f t="shared" si="6"/>
        <v>5</v>
      </c>
      <c r="I41" s="313">
        <f t="shared" si="6"/>
        <v>1</v>
      </c>
      <c r="J41" s="313">
        <f>SUM(J25:J40)</f>
        <v>1</v>
      </c>
      <c r="K41" s="1470">
        <f t="shared" si="6"/>
        <v>1</v>
      </c>
      <c r="L41" s="1468">
        <f t="shared" si="6"/>
        <v>2</v>
      </c>
      <c r="M41" s="1468">
        <f t="shared" si="6"/>
        <v>8</v>
      </c>
      <c r="N41" s="265"/>
      <c r="O41" s="266"/>
      <c r="P41" s="266"/>
      <c r="Q41" s="266"/>
      <c r="R41" s="266"/>
      <c r="S41" s="266"/>
      <c r="T41" s="252">
        <f t="shared" si="0"/>
        <v>0</v>
      </c>
    </row>
    <row r="42" spans="2:21" x14ac:dyDescent="0.2">
      <c r="B42" s="1050" t="s">
        <v>930</v>
      </c>
      <c r="C42" s="1051"/>
      <c r="D42" s="1051"/>
      <c r="E42" s="1052" t="s">
        <v>153</v>
      </c>
      <c r="F42" s="1359">
        <v>67.099999999999994</v>
      </c>
      <c r="G42" s="1054">
        <f>F42</f>
        <v>67.099999999999994</v>
      </c>
      <c r="H42" s="1054">
        <f t="shared" ref="H42:K42" si="7">G42</f>
        <v>67.099999999999994</v>
      </c>
      <c r="I42" s="1054">
        <f t="shared" si="7"/>
        <v>67.099999999999994</v>
      </c>
      <c r="J42" s="1054">
        <f t="shared" si="7"/>
        <v>67.099999999999994</v>
      </c>
      <c r="K42" s="1054">
        <f t="shared" si="7"/>
        <v>67.099999999999994</v>
      </c>
      <c r="L42" s="1053">
        <f>F42</f>
        <v>67.099999999999994</v>
      </c>
      <c r="M42" s="1053">
        <f>F42</f>
        <v>67.099999999999994</v>
      </c>
      <c r="N42" s="255"/>
      <c r="O42" s="256"/>
      <c r="P42" s="256"/>
      <c r="Q42" s="256"/>
      <c r="R42" s="256"/>
      <c r="S42" s="256"/>
      <c r="T42" s="252">
        <f t="shared" si="0"/>
        <v>0</v>
      </c>
    </row>
    <row r="43" spans="2:21" x14ac:dyDescent="0.2">
      <c r="B43" s="297" t="s">
        <v>897</v>
      </c>
      <c r="C43" s="298"/>
      <c r="D43" s="298"/>
      <c r="E43" s="299" t="s">
        <v>895</v>
      </c>
      <c r="F43" s="360">
        <v>1</v>
      </c>
      <c r="G43" s="357"/>
      <c r="H43" s="331"/>
      <c r="I43" s="331"/>
      <c r="J43" s="331"/>
      <c r="K43" s="332"/>
      <c r="L43" s="333"/>
      <c r="M43" s="334">
        <v>1</v>
      </c>
      <c r="N43" s="268"/>
      <c r="O43" s="269"/>
      <c r="P43" s="269"/>
      <c r="Q43" s="269"/>
      <c r="R43" s="269"/>
      <c r="S43" s="269"/>
      <c r="T43" s="252">
        <f t="shared" si="0"/>
        <v>0</v>
      </c>
    </row>
    <row r="44" spans="2:21" x14ac:dyDescent="0.2">
      <c r="B44" s="338" t="s">
        <v>930</v>
      </c>
      <c r="C44" s="298"/>
      <c r="D44" s="298"/>
      <c r="E44" s="345" t="s">
        <v>153</v>
      </c>
      <c r="F44" s="1360">
        <v>43.33</v>
      </c>
      <c r="G44" s="357">
        <f>F44</f>
        <v>43.33</v>
      </c>
      <c r="H44" s="357">
        <f t="shared" ref="H44:M44" si="8">G44</f>
        <v>43.33</v>
      </c>
      <c r="I44" s="357">
        <f t="shared" si="8"/>
        <v>43.33</v>
      </c>
      <c r="J44" s="357">
        <f t="shared" si="8"/>
        <v>43.33</v>
      </c>
      <c r="K44" s="397">
        <f t="shared" si="8"/>
        <v>43.33</v>
      </c>
      <c r="L44" s="333">
        <f t="shared" si="8"/>
        <v>43.33</v>
      </c>
      <c r="M44" s="333">
        <f t="shared" si="8"/>
        <v>43.33</v>
      </c>
      <c r="N44" s="268"/>
      <c r="O44" s="269"/>
      <c r="P44" s="269"/>
      <c r="Q44" s="269"/>
      <c r="R44" s="269"/>
      <c r="S44" s="269"/>
      <c r="T44" s="252">
        <f t="shared" si="0"/>
        <v>0</v>
      </c>
    </row>
    <row r="45" spans="2:21" x14ac:dyDescent="0.2">
      <c r="B45" s="338" t="s">
        <v>898</v>
      </c>
      <c r="C45" s="542"/>
      <c r="D45" s="298"/>
      <c r="E45" s="345" t="s">
        <v>447</v>
      </c>
      <c r="F45" s="337">
        <f>SUM(G45:M45)</f>
        <v>16623.96</v>
      </c>
      <c r="G45" s="356">
        <f>(G41*G42+G43*G44)*12</f>
        <v>1610.3999999999999</v>
      </c>
      <c r="H45" s="335">
        <f t="shared" ref="H45:U45" si="9">(H41*H42+H43*H44)*12</f>
        <v>4026</v>
      </c>
      <c r="I45" s="335">
        <f t="shared" si="9"/>
        <v>805.19999999999993</v>
      </c>
      <c r="J45" s="335">
        <f>(J41*J42+J43*J44)*12</f>
        <v>805.19999999999993</v>
      </c>
      <c r="K45" s="336">
        <f>(K41*K42+K43*K44)*12</f>
        <v>805.19999999999993</v>
      </c>
      <c r="L45" s="337">
        <f t="shared" si="9"/>
        <v>1610.3999999999999</v>
      </c>
      <c r="M45" s="337">
        <f>(M41*M42+M43*M44)*12</f>
        <v>6961.5599999999995</v>
      </c>
      <c r="N45" s="271">
        <f t="shared" si="9"/>
        <v>0</v>
      </c>
      <c r="O45" s="270">
        <f t="shared" si="9"/>
        <v>0</v>
      </c>
      <c r="P45" s="270">
        <f t="shared" si="9"/>
        <v>0</v>
      </c>
      <c r="Q45" s="270">
        <f t="shared" si="9"/>
        <v>0</v>
      </c>
      <c r="R45" s="270">
        <f t="shared" si="9"/>
        <v>0</v>
      </c>
      <c r="S45" s="270">
        <f t="shared" si="9"/>
        <v>0</v>
      </c>
      <c r="T45" s="270">
        <f t="shared" si="9"/>
        <v>0</v>
      </c>
      <c r="U45" s="270">
        <f t="shared" si="9"/>
        <v>0</v>
      </c>
    </row>
    <row r="46" spans="2:21" x14ac:dyDescent="0.2">
      <c r="B46" s="338" t="s">
        <v>915</v>
      </c>
      <c r="C46" s="542"/>
      <c r="D46" s="298"/>
      <c r="E46" s="345" t="s">
        <v>447</v>
      </c>
      <c r="F46" s="337">
        <f>SUM(G46:M46)</f>
        <v>2239.3000000000002</v>
      </c>
      <c r="G46" s="1361">
        <v>52.04</v>
      </c>
      <c r="H46" s="1362">
        <v>369.46</v>
      </c>
      <c r="I46" s="1362">
        <v>635.27</v>
      </c>
      <c r="J46" s="1362">
        <v>56.17</v>
      </c>
      <c r="K46" s="1363"/>
      <c r="L46" s="1360">
        <v>308.77</v>
      </c>
      <c r="M46" s="1360">
        <v>817.59</v>
      </c>
      <c r="N46" s="268"/>
      <c r="O46" s="269"/>
      <c r="P46" s="269"/>
      <c r="Q46" s="269"/>
      <c r="R46" s="269"/>
      <c r="S46" s="269"/>
      <c r="T46" s="252">
        <f t="shared" si="0"/>
        <v>0</v>
      </c>
    </row>
    <row r="47" spans="2:21" ht="13.5" thickBot="1" x14ac:dyDescent="0.25">
      <c r="B47" s="367" t="s">
        <v>916</v>
      </c>
      <c r="C47" s="543"/>
      <c r="D47" s="329"/>
      <c r="E47" s="368" t="s">
        <v>447</v>
      </c>
      <c r="F47" s="1364">
        <v>39.96</v>
      </c>
      <c r="G47" s="370"/>
      <c r="H47" s="371"/>
      <c r="I47" s="371"/>
      <c r="J47" s="371"/>
      <c r="K47" s="372"/>
      <c r="L47" s="369"/>
      <c r="M47" s="1364">
        <v>39.96</v>
      </c>
      <c r="N47" s="268"/>
      <c r="O47" s="269"/>
      <c r="P47" s="269"/>
      <c r="Q47" s="269"/>
      <c r="R47" s="269"/>
      <c r="S47" s="269"/>
      <c r="T47" s="252">
        <f t="shared" si="0"/>
        <v>0</v>
      </c>
    </row>
    <row r="48" spans="2:21" ht="13.5" hidden="1" thickBot="1" x14ac:dyDescent="0.25">
      <c r="B48" s="373" t="s">
        <v>898</v>
      </c>
      <c r="C48" s="544"/>
      <c r="D48" s="340"/>
      <c r="E48" s="374" t="s">
        <v>447</v>
      </c>
      <c r="F48" s="325">
        <f>SUM(G48:M48)</f>
        <v>18903.219999999998</v>
      </c>
      <c r="G48" s="354">
        <f t="shared" ref="G48:L48" si="10">G45+G46</f>
        <v>1662.4399999999998</v>
      </c>
      <c r="H48" s="323">
        <f t="shared" si="10"/>
        <v>4395.46</v>
      </c>
      <c r="I48" s="323">
        <f t="shared" si="10"/>
        <v>1440.4699999999998</v>
      </c>
      <c r="J48" s="323">
        <f t="shared" si="10"/>
        <v>861.36999999999989</v>
      </c>
      <c r="K48" s="324">
        <f t="shared" si="10"/>
        <v>805.19999999999993</v>
      </c>
      <c r="L48" s="325">
        <f t="shared" si="10"/>
        <v>1919.1699999999998</v>
      </c>
      <c r="M48" s="325">
        <f>M45+M46+M47</f>
        <v>7819.11</v>
      </c>
      <c r="N48" s="272"/>
      <c r="O48" s="273"/>
      <c r="P48" s="273"/>
      <c r="Q48" s="273"/>
      <c r="R48" s="273"/>
      <c r="S48" s="273"/>
      <c r="T48" s="252">
        <f t="shared" si="0"/>
        <v>0</v>
      </c>
    </row>
    <row r="49" spans="2:24" ht="13.5" thickBot="1" x14ac:dyDescent="0.25">
      <c r="B49" s="305" t="s">
        <v>917</v>
      </c>
      <c r="C49" s="545"/>
      <c r="D49" s="318"/>
      <c r="E49" s="349" t="s">
        <v>447</v>
      </c>
      <c r="F49" s="321">
        <f>SUM(G49:M49)</f>
        <v>18903.219999999998</v>
      </c>
      <c r="G49" s="343">
        <f>G45+G46+G47</f>
        <v>1662.4399999999998</v>
      </c>
      <c r="H49" s="319">
        <f t="shared" ref="H49:M49" si="11">H45+H46+H47</f>
        <v>4395.46</v>
      </c>
      <c r="I49" s="319">
        <f t="shared" si="11"/>
        <v>1440.4699999999998</v>
      </c>
      <c r="J49" s="319">
        <f t="shared" si="11"/>
        <v>861.36999999999989</v>
      </c>
      <c r="K49" s="320">
        <f t="shared" si="11"/>
        <v>805.19999999999993</v>
      </c>
      <c r="L49" s="321">
        <f t="shared" si="11"/>
        <v>1919.1699999999998</v>
      </c>
      <c r="M49" s="342">
        <f t="shared" si="11"/>
        <v>7819.11</v>
      </c>
      <c r="N49" s="272">
        <v>1429.51</v>
      </c>
      <c r="O49" s="273">
        <v>6785.54</v>
      </c>
      <c r="P49" s="273">
        <v>976.66</v>
      </c>
      <c r="Q49" s="273">
        <v>2091.27</v>
      </c>
      <c r="R49" s="273"/>
      <c r="S49" s="273">
        <v>10689.16</v>
      </c>
      <c r="T49" s="252">
        <f t="shared" si="0"/>
        <v>21972.14</v>
      </c>
    </row>
    <row r="50" spans="2:24" x14ac:dyDescent="0.2">
      <c r="B50" s="326" t="s">
        <v>899</v>
      </c>
      <c r="C50" s="327" t="s">
        <v>918</v>
      </c>
      <c r="D50" s="293">
        <v>5520345</v>
      </c>
      <c r="E50" s="346" t="s">
        <v>447</v>
      </c>
      <c r="F50" s="361">
        <v>1</v>
      </c>
      <c r="G50" s="362"/>
      <c r="H50" s="363"/>
      <c r="I50" s="363"/>
      <c r="J50" s="363"/>
      <c r="K50" s="364"/>
      <c r="L50" s="365"/>
      <c r="M50" s="365"/>
      <c r="N50" s="272"/>
      <c r="O50" s="273"/>
      <c r="P50" s="273"/>
      <c r="Q50" s="273"/>
      <c r="R50" s="273"/>
      <c r="S50" s="273"/>
      <c r="T50" s="252">
        <f t="shared" si="0"/>
        <v>0</v>
      </c>
    </row>
    <row r="51" spans="2:24" x14ac:dyDescent="0.2">
      <c r="B51" s="338" t="s">
        <v>905</v>
      </c>
      <c r="C51" s="542"/>
      <c r="D51" s="298"/>
      <c r="E51" s="345" t="s">
        <v>447</v>
      </c>
      <c r="F51" s="334">
        <v>1</v>
      </c>
      <c r="G51" s="357"/>
      <c r="H51" s="357"/>
      <c r="I51" s="357"/>
      <c r="J51" s="357"/>
      <c r="K51" s="397"/>
      <c r="L51" s="333"/>
      <c r="M51" s="333"/>
      <c r="N51" s="272"/>
      <c r="O51" s="273"/>
      <c r="P51" s="273"/>
      <c r="Q51" s="273"/>
      <c r="R51" s="273"/>
      <c r="S51" s="273"/>
      <c r="T51" s="252">
        <f t="shared" si="0"/>
        <v>0</v>
      </c>
    </row>
    <row r="52" spans="2:24" x14ac:dyDescent="0.2">
      <c r="B52" s="328" t="s">
        <v>897</v>
      </c>
      <c r="C52" s="542"/>
      <c r="D52" s="298"/>
      <c r="E52" s="345" t="s">
        <v>895</v>
      </c>
      <c r="F52" s="334">
        <v>1</v>
      </c>
      <c r="G52" s="366">
        <v>1</v>
      </c>
      <c r="H52" s="331"/>
      <c r="I52" s="331"/>
      <c r="J52" s="331"/>
      <c r="K52" s="332"/>
      <c r="L52" s="333"/>
      <c r="M52" s="333"/>
      <c r="N52" s="272"/>
      <c r="O52" s="273"/>
      <c r="P52" s="273"/>
      <c r="Q52" s="273"/>
      <c r="R52" s="273"/>
      <c r="S52" s="273"/>
      <c r="T52" s="252">
        <f t="shared" si="0"/>
        <v>0</v>
      </c>
    </row>
    <row r="53" spans="2:24" x14ac:dyDescent="0.2">
      <c r="B53" s="338" t="s">
        <v>919</v>
      </c>
      <c r="C53" s="542">
        <v>4.68</v>
      </c>
      <c r="D53" s="298"/>
      <c r="E53" s="345" t="s">
        <v>447</v>
      </c>
      <c r="F53" s="1360">
        <v>13.33</v>
      </c>
      <c r="G53" s="357">
        <f>F53</f>
        <v>13.33</v>
      </c>
      <c r="H53" s="357">
        <f t="shared" ref="H53:M53" si="12">G53</f>
        <v>13.33</v>
      </c>
      <c r="I53" s="357">
        <f t="shared" si="12"/>
        <v>13.33</v>
      </c>
      <c r="J53" s="357">
        <f t="shared" si="12"/>
        <v>13.33</v>
      </c>
      <c r="K53" s="397">
        <f t="shared" si="12"/>
        <v>13.33</v>
      </c>
      <c r="L53" s="333">
        <f t="shared" si="12"/>
        <v>13.33</v>
      </c>
      <c r="M53" s="333">
        <f t="shared" si="12"/>
        <v>13.33</v>
      </c>
      <c r="N53" s="272"/>
      <c r="O53" s="273"/>
      <c r="P53" s="273"/>
      <c r="Q53" s="273"/>
      <c r="R53" s="273"/>
      <c r="S53" s="273"/>
      <c r="T53" s="252">
        <f t="shared" si="0"/>
        <v>0</v>
      </c>
    </row>
    <row r="54" spans="2:24" ht="13.5" thickBot="1" x14ac:dyDescent="0.25">
      <c r="B54" s="367" t="s">
        <v>920</v>
      </c>
      <c r="C54" s="543"/>
      <c r="D54" s="329"/>
      <c r="E54" s="368" t="s">
        <v>447</v>
      </c>
      <c r="F54" s="369">
        <f>F52*F53*12</f>
        <v>159.96</v>
      </c>
      <c r="G54" s="370">
        <f>G52*G53*12</f>
        <v>159.96</v>
      </c>
      <c r="H54" s="370">
        <f t="shared" ref="H54:K54" si="13">H52*H53*12</f>
        <v>0</v>
      </c>
      <c r="I54" s="370">
        <f t="shared" si="13"/>
        <v>0</v>
      </c>
      <c r="J54" s="370">
        <f t="shared" si="13"/>
        <v>0</v>
      </c>
      <c r="K54" s="370">
        <f t="shared" si="13"/>
        <v>0</v>
      </c>
      <c r="L54" s="369"/>
      <c r="M54" s="369"/>
      <c r="N54" s="272"/>
      <c r="O54" s="273"/>
      <c r="P54" s="273"/>
      <c r="Q54" s="273"/>
      <c r="R54" s="273"/>
      <c r="S54" s="273"/>
      <c r="T54" s="252">
        <f t="shared" si="0"/>
        <v>0</v>
      </c>
    </row>
    <row r="55" spans="2:24" ht="13.5" thickBot="1" x14ac:dyDescent="0.25">
      <c r="B55" s="305" t="s">
        <v>921</v>
      </c>
      <c r="C55" s="545"/>
      <c r="D55" s="318"/>
      <c r="E55" s="307" t="s">
        <v>447</v>
      </c>
      <c r="F55" s="321">
        <f>SUM(G55:M55)</f>
        <v>159.96</v>
      </c>
      <c r="G55" s="343">
        <f>G54</f>
        <v>159.96</v>
      </c>
      <c r="H55" s="319">
        <f t="shared" ref="H55:U55" si="14">H54</f>
        <v>0</v>
      </c>
      <c r="I55" s="319">
        <f t="shared" si="14"/>
        <v>0</v>
      </c>
      <c r="J55" s="319">
        <f t="shared" si="14"/>
        <v>0</v>
      </c>
      <c r="K55" s="320">
        <f t="shared" si="14"/>
        <v>0</v>
      </c>
      <c r="L55" s="321">
        <f t="shared" si="14"/>
        <v>0</v>
      </c>
      <c r="M55" s="343">
        <f t="shared" si="14"/>
        <v>0</v>
      </c>
      <c r="N55" s="319">
        <f t="shared" si="14"/>
        <v>0</v>
      </c>
      <c r="O55" s="319">
        <f t="shared" si="14"/>
        <v>0</v>
      </c>
      <c r="P55" s="319">
        <f t="shared" si="14"/>
        <v>0</v>
      </c>
      <c r="Q55" s="319">
        <f t="shared" si="14"/>
        <v>0</v>
      </c>
      <c r="R55" s="319">
        <f t="shared" si="14"/>
        <v>0</v>
      </c>
      <c r="S55" s="319">
        <f t="shared" si="14"/>
        <v>0</v>
      </c>
      <c r="T55" s="319">
        <f t="shared" si="14"/>
        <v>0</v>
      </c>
      <c r="U55" s="319">
        <f t="shared" si="14"/>
        <v>0</v>
      </c>
    </row>
    <row r="56" spans="2:24" x14ac:dyDescent="0.2">
      <c r="B56" s="375" t="s">
        <v>922</v>
      </c>
      <c r="C56" s="546" t="s">
        <v>923</v>
      </c>
      <c r="D56" s="293">
        <v>886958</v>
      </c>
      <c r="E56" s="295" t="s">
        <v>895</v>
      </c>
      <c r="F56" s="361">
        <v>2</v>
      </c>
      <c r="G56" s="376">
        <v>1</v>
      </c>
      <c r="H56" s="363"/>
      <c r="I56" s="363"/>
      <c r="J56" s="363"/>
      <c r="K56" s="364"/>
      <c r="L56" s="365"/>
      <c r="M56" s="361">
        <v>1</v>
      </c>
      <c r="N56" s="268"/>
      <c r="O56" s="269"/>
      <c r="P56" s="269"/>
      <c r="Q56" s="269"/>
      <c r="R56" s="269"/>
      <c r="S56" s="274"/>
      <c r="T56" s="252">
        <f>SUM(N56:S56)</f>
        <v>0</v>
      </c>
    </row>
    <row r="57" spans="2:24" ht="13.5" thickBot="1" x14ac:dyDescent="0.25">
      <c r="B57" s="373" t="s">
        <v>931</v>
      </c>
      <c r="C57" s="544"/>
      <c r="D57" s="340"/>
      <c r="E57" s="374" t="s">
        <v>447</v>
      </c>
      <c r="F57" s="1365">
        <v>260</v>
      </c>
      <c r="G57" s="1465">
        <f>F57</f>
        <v>260</v>
      </c>
      <c r="H57" s="1466"/>
      <c r="I57" s="1466"/>
      <c r="J57" s="1466"/>
      <c r="K57" s="1467"/>
      <c r="L57" s="1435"/>
      <c r="M57" s="1435">
        <f>F57</f>
        <v>260</v>
      </c>
      <c r="N57" s="268"/>
      <c r="O57" s="269"/>
      <c r="P57" s="269"/>
      <c r="Q57" s="269"/>
      <c r="R57" s="269"/>
      <c r="S57" s="269"/>
      <c r="T57" s="252">
        <f>SUM(N57:S57)</f>
        <v>0</v>
      </c>
    </row>
    <row r="58" spans="2:24" ht="13.5" thickBot="1" x14ac:dyDescent="0.25">
      <c r="B58" s="344" t="s">
        <v>924</v>
      </c>
      <c r="C58" s="318"/>
      <c r="D58" s="318"/>
      <c r="E58" s="349" t="s">
        <v>447</v>
      </c>
      <c r="F58" s="321">
        <f>SUM(G58:M58)</f>
        <v>6240</v>
      </c>
      <c r="G58" s="343">
        <f>G56*G57*12</f>
        <v>3120</v>
      </c>
      <c r="H58" s="319">
        <v>0</v>
      </c>
      <c r="I58" s="319">
        <v>0</v>
      </c>
      <c r="J58" s="319">
        <v>0</v>
      </c>
      <c r="K58" s="320">
        <v>0</v>
      </c>
      <c r="L58" s="321">
        <f>L57*L56*12</f>
        <v>0</v>
      </c>
      <c r="M58" s="321">
        <f>M57*M56*12</f>
        <v>3120</v>
      </c>
      <c r="N58" s="275"/>
      <c r="O58" s="275"/>
      <c r="P58" s="275"/>
      <c r="Q58" s="275"/>
      <c r="R58" s="275"/>
      <c r="S58" s="275"/>
    </row>
    <row r="59" spans="2:24" ht="9.75" customHeight="1" thickBot="1" x14ac:dyDescent="0.25">
      <c r="B59" s="276"/>
      <c r="F59" s="286"/>
      <c r="L59" s="287"/>
      <c r="M59" s="286"/>
      <c r="T59" s="252">
        <f t="shared" si="0"/>
        <v>0</v>
      </c>
    </row>
    <row r="60" spans="2:24" ht="13.5" thickBot="1" x14ac:dyDescent="0.25">
      <c r="B60" s="377" t="s">
        <v>932</v>
      </c>
      <c r="C60" s="318"/>
      <c r="D60" s="378"/>
      <c r="E60" s="349" t="s">
        <v>447</v>
      </c>
      <c r="F60" s="379">
        <f t="shared" ref="F60:M60" si="15">F58+F55+F49+F24+F17+F14</f>
        <v>59608.899999999994</v>
      </c>
      <c r="G60" s="380">
        <f t="shared" si="15"/>
        <v>5639</v>
      </c>
      <c r="H60" s="381">
        <f t="shared" si="15"/>
        <v>4395.46</v>
      </c>
      <c r="I60" s="381">
        <f t="shared" si="15"/>
        <v>1440.4699999999998</v>
      </c>
      <c r="J60" s="381">
        <f t="shared" si="15"/>
        <v>22264.569999999996</v>
      </c>
      <c r="K60" s="382">
        <f t="shared" si="15"/>
        <v>842.87999999999988</v>
      </c>
      <c r="L60" s="379">
        <f t="shared" si="15"/>
        <v>2419.21</v>
      </c>
      <c r="M60" s="379">
        <f t="shared" si="15"/>
        <v>22607.31</v>
      </c>
      <c r="N60" s="277" t="e">
        <f>#REF!+#REF!+N49+N24+#REF!+N14+N55</f>
        <v>#REF!</v>
      </c>
      <c r="O60" s="278" t="e">
        <f>#REF!+#REF!+O49+O24+#REF!+O14+O16</f>
        <v>#REF!</v>
      </c>
      <c r="P60" s="278" t="e">
        <f>#REF!+#REF!+P49+P24+#REF!+P14</f>
        <v>#REF!</v>
      </c>
      <c r="Q60" s="278" t="e">
        <f>#REF!+#REF!+Q49+Q24+#REF!+Q14</f>
        <v>#REF!</v>
      </c>
      <c r="R60" s="278" t="e">
        <f>#REF!+#REF!+R49+R24+#REF!+R14</f>
        <v>#REF!</v>
      </c>
      <c r="S60" s="278" t="e">
        <f>#REF!+#REF!+S49+S24+#REF!+S14</f>
        <v>#REF!</v>
      </c>
      <c r="T60" s="252" t="e">
        <f t="shared" si="0"/>
        <v>#REF!</v>
      </c>
    </row>
    <row r="61" spans="2:24" x14ac:dyDescent="0.2">
      <c r="B61" s="267"/>
      <c r="C61" s="316"/>
      <c r="D61" s="252"/>
      <c r="E61" s="279"/>
      <c r="F61" s="280"/>
      <c r="G61" s="280"/>
      <c r="H61" s="280"/>
      <c r="I61" s="280"/>
      <c r="J61" s="280"/>
      <c r="K61" s="280"/>
      <c r="L61" s="280"/>
      <c r="M61" s="280"/>
      <c r="N61" s="281"/>
      <c r="O61" s="281"/>
      <c r="P61" s="281"/>
      <c r="Q61" s="281"/>
      <c r="R61" s="281"/>
      <c r="S61" s="281"/>
    </row>
    <row r="62" spans="2:24" s="250" customFormat="1" x14ac:dyDescent="0.2">
      <c r="B62" s="252"/>
      <c r="C62" s="282"/>
      <c r="D62" s="282"/>
      <c r="E62" s="283"/>
      <c r="F62" s="284"/>
      <c r="G62" s="284"/>
      <c r="H62" s="284"/>
      <c r="I62" s="284"/>
      <c r="J62" s="284"/>
      <c r="K62" s="284"/>
      <c r="L62" s="284"/>
      <c r="M62" s="284"/>
      <c r="N62" s="267"/>
      <c r="O62" s="267"/>
      <c r="P62" s="267"/>
      <c r="Q62" s="267"/>
      <c r="R62" s="267"/>
      <c r="S62" s="267"/>
      <c r="T62" s="252"/>
      <c r="U62" s="252"/>
      <c r="V62" s="252"/>
      <c r="W62" s="252"/>
      <c r="X62" s="252"/>
    </row>
    <row r="63" spans="2:24" x14ac:dyDescent="0.2">
      <c r="B63" s="252"/>
      <c r="C63" s="316"/>
      <c r="D63" s="252"/>
      <c r="E63" s="252"/>
      <c r="F63" s="252"/>
      <c r="G63" s="252"/>
      <c r="H63" s="252"/>
      <c r="I63" s="252"/>
      <c r="J63" s="252"/>
      <c r="K63" s="252"/>
      <c r="L63" s="252"/>
      <c r="M63" s="252"/>
      <c r="N63" s="252"/>
      <c r="O63" s="252"/>
      <c r="P63" s="252"/>
      <c r="Q63" s="252"/>
      <c r="R63" s="252"/>
      <c r="S63" s="252"/>
    </row>
    <row r="64" spans="2:24" s="285" customFormat="1" ht="15.75" customHeight="1" x14ac:dyDescent="0.25">
      <c r="C64" s="317" t="str">
        <f>'Вхідні дані'!$B$15</f>
        <v>Заступник начальника з економіки та фінансів</v>
      </c>
      <c r="F64" s="407" t="s">
        <v>369</v>
      </c>
      <c r="G64" s="406"/>
      <c r="H64" s="406"/>
      <c r="I64" s="406"/>
      <c r="J64" s="406"/>
      <c r="K64" s="4124" t="str">
        <f>'Вхідні дані'!$F$15</f>
        <v>Наталія БАРТОШИК</v>
      </c>
      <c r="L64" s="4124"/>
      <c r="M64" s="4124"/>
      <c r="N64" s="1034"/>
    </row>
    <row r="65" spans="2:21" ht="15" x14ac:dyDescent="0.2">
      <c r="B65" s="252"/>
      <c r="C65" s="316"/>
      <c r="D65" s="252"/>
      <c r="E65" s="252"/>
      <c r="F65" s="410" t="s">
        <v>220</v>
      </c>
      <c r="G65" s="406"/>
      <c r="H65" s="406"/>
      <c r="I65" s="406"/>
      <c r="J65" s="406"/>
      <c r="K65" s="4125" t="s">
        <v>1946</v>
      </c>
      <c r="L65" s="4125"/>
      <c r="M65" s="4125"/>
      <c r="N65" s="1035"/>
      <c r="O65" s="252"/>
      <c r="P65" s="252"/>
      <c r="Q65" s="252"/>
      <c r="R65" s="252"/>
      <c r="S65" s="252"/>
    </row>
    <row r="66" spans="2:21" x14ac:dyDescent="0.2">
      <c r="B66" s="252" t="s">
        <v>925</v>
      </c>
      <c r="C66" s="316"/>
      <c r="D66" s="252"/>
      <c r="E66" s="252"/>
      <c r="F66" s="264"/>
      <c r="G66" s="264"/>
      <c r="H66" s="264"/>
      <c r="I66" s="264"/>
      <c r="J66" s="264"/>
      <c r="K66" s="264"/>
      <c r="L66" s="264"/>
      <c r="M66" s="264"/>
      <c r="N66" s="264"/>
      <c r="O66" s="264"/>
      <c r="P66" s="264"/>
      <c r="Q66" s="264"/>
      <c r="R66" s="264"/>
      <c r="S66" s="264"/>
      <c r="T66" s="264"/>
      <c r="U66" s="264"/>
    </row>
    <row r="67" spans="2:21" x14ac:dyDescent="0.2">
      <c r="B67" s="252"/>
      <c r="C67" s="316"/>
      <c r="D67" s="252"/>
      <c r="E67" s="252"/>
      <c r="F67" s="252"/>
      <c r="G67" s="252"/>
      <c r="H67" s="252"/>
      <c r="I67" s="252"/>
      <c r="J67" s="252"/>
      <c r="K67" s="252"/>
      <c r="L67" s="252"/>
      <c r="M67" s="252"/>
      <c r="N67" s="252"/>
      <c r="O67" s="252"/>
      <c r="P67" s="252"/>
      <c r="Q67" s="252"/>
      <c r="R67" s="252"/>
      <c r="S67" s="252"/>
    </row>
    <row r="68" spans="2:21" x14ac:dyDescent="0.2">
      <c r="B68" s="252"/>
      <c r="C68" s="316"/>
      <c r="D68" s="252"/>
      <c r="E68" s="252"/>
      <c r="F68" s="264"/>
      <c r="G68" s="264"/>
      <c r="H68" s="264"/>
      <c r="I68" s="264"/>
      <c r="J68" s="264"/>
      <c r="K68" s="264"/>
      <c r="L68" s="264"/>
      <c r="M68" s="264"/>
      <c r="N68" s="252"/>
      <c r="O68" s="252"/>
      <c r="P68" s="252"/>
      <c r="Q68" s="252"/>
      <c r="R68" s="252"/>
      <c r="S68" s="252"/>
    </row>
    <row r="69" spans="2:21" x14ac:dyDescent="0.2">
      <c r="B69" s="252"/>
      <c r="C69" s="316"/>
      <c r="D69" s="252"/>
      <c r="E69" s="252"/>
      <c r="F69" s="264"/>
      <c r="G69" s="264"/>
      <c r="H69" s="264"/>
      <c r="I69" s="264"/>
      <c r="J69" s="264"/>
      <c r="K69" s="264"/>
      <c r="L69" s="264"/>
      <c r="M69" s="264"/>
      <c r="N69" s="264"/>
      <c r="O69" s="264"/>
      <c r="P69" s="264"/>
      <c r="Q69" s="264"/>
      <c r="R69" s="264"/>
      <c r="S69" s="264"/>
      <c r="T69" s="264"/>
      <c r="U69" s="264"/>
    </row>
    <row r="70" spans="2:21" ht="15" x14ac:dyDescent="0.25">
      <c r="B70" s="252"/>
      <c r="C70" s="252"/>
      <c r="D70" s="789" t="s">
        <v>1048</v>
      </c>
      <c r="E70" s="252"/>
      <c r="F70" s="252"/>
      <c r="G70" s="252"/>
      <c r="H70" s="252"/>
      <c r="I70" s="252"/>
      <c r="J70" s="252"/>
      <c r="K70" s="252"/>
      <c r="L70" s="252"/>
      <c r="M70" s="252"/>
      <c r="N70" s="252"/>
      <c r="O70" s="252"/>
      <c r="P70" s="252"/>
      <c r="Q70" s="252"/>
      <c r="R70" s="252"/>
      <c r="S70" s="252"/>
    </row>
    <row r="71" spans="2:21" x14ac:dyDescent="0.2">
      <c r="B71" s="252"/>
      <c r="C71" s="252"/>
      <c r="D71" s="252"/>
      <c r="E71" s="252"/>
      <c r="F71" s="252"/>
      <c r="G71" s="252"/>
      <c r="H71" s="252"/>
      <c r="I71" s="252"/>
      <c r="J71" s="252"/>
      <c r="K71" s="252"/>
      <c r="L71" s="252"/>
      <c r="M71" s="252"/>
      <c r="N71" s="252"/>
      <c r="O71" s="252"/>
      <c r="P71" s="252"/>
      <c r="Q71" s="252"/>
      <c r="R71" s="252"/>
      <c r="S71" s="252"/>
    </row>
    <row r="72" spans="2:21" ht="15.75" x14ac:dyDescent="0.25">
      <c r="B72" s="4145" t="s">
        <v>1847</v>
      </c>
      <c r="C72" s="4145"/>
      <c r="D72" s="252"/>
      <c r="E72" s="252"/>
      <c r="F72" s="252"/>
      <c r="G72" s="252"/>
      <c r="H72" s="252"/>
      <c r="I72" s="252"/>
      <c r="J72" s="252"/>
      <c r="K72" s="252"/>
      <c r="L72" s="252"/>
      <c r="M72" s="252"/>
      <c r="N72" s="252"/>
      <c r="O72" s="252"/>
      <c r="P72" s="252"/>
      <c r="Q72" s="252"/>
      <c r="R72" s="252"/>
      <c r="S72" s="252"/>
    </row>
    <row r="73" spans="2:21" ht="15.75" x14ac:dyDescent="0.25">
      <c r="B73" s="790" t="str">
        <f>'Вхідні дані'!$F$6</f>
        <v>2023-2024</v>
      </c>
      <c r="C73" s="310" t="s">
        <v>648</v>
      </c>
      <c r="D73" s="252"/>
      <c r="E73" s="252"/>
      <c r="F73" s="252"/>
      <c r="G73" s="252"/>
      <c r="H73" s="252"/>
      <c r="I73" s="252"/>
      <c r="J73" s="252"/>
      <c r="K73" s="252"/>
      <c r="L73" s="252"/>
      <c r="M73" s="252"/>
      <c r="N73" s="252"/>
      <c r="O73" s="252"/>
      <c r="P73" s="252"/>
      <c r="Q73" s="252"/>
      <c r="R73" s="252"/>
      <c r="S73" s="252"/>
    </row>
    <row r="74" spans="2:21" ht="15.75" x14ac:dyDescent="0.25">
      <c r="B74" s="4146" t="str">
        <f>'Вхідні дані'!$F$5</f>
        <v>ЧФ ДП "АМПУ"</v>
      </c>
      <c r="C74" s="4146"/>
      <c r="D74" s="252"/>
      <c r="E74" s="252"/>
      <c r="F74" s="252"/>
      <c r="G74" s="252"/>
      <c r="H74" s="252"/>
      <c r="I74" s="252"/>
      <c r="J74" s="252"/>
      <c r="K74" s="252"/>
      <c r="L74" s="252"/>
      <c r="M74" s="252"/>
      <c r="N74" s="252"/>
      <c r="O74" s="252"/>
      <c r="P74" s="252"/>
      <c r="Q74" s="252"/>
      <c r="R74" s="252"/>
      <c r="S74" s="252"/>
    </row>
    <row r="75" spans="2:21" ht="13.5" thickBot="1" x14ac:dyDescent="0.25">
      <c r="B75" s="252"/>
      <c r="C75" s="316"/>
      <c r="D75" s="252"/>
      <c r="E75" s="252"/>
      <c r="F75" s="252"/>
      <c r="G75" s="252"/>
      <c r="H75" s="252"/>
      <c r="I75" s="252"/>
      <c r="J75" s="252"/>
      <c r="K75" s="252"/>
      <c r="L75" s="252"/>
      <c r="M75" s="252"/>
      <c r="N75" s="252"/>
      <c r="O75" s="252"/>
      <c r="P75" s="252"/>
      <c r="Q75" s="252"/>
      <c r="R75" s="252"/>
      <c r="S75" s="252"/>
    </row>
    <row r="76" spans="2:21" ht="29.25" thickBot="1" x14ac:dyDescent="0.25">
      <c r="B76" s="791" t="s">
        <v>957</v>
      </c>
      <c r="C76" s="399" t="s">
        <v>885</v>
      </c>
      <c r="D76" s="400" t="s">
        <v>886</v>
      </c>
      <c r="E76" s="1042" t="s">
        <v>1953</v>
      </c>
      <c r="F76" s="1043" t="s">
        <v>1954</v>
      </c>
      <c r="G76" s="252"/>
      <c r="H76" s="252"/>
      <c r="I76" s="252"/>
      <c r="J76" s="252"/>
      <c r="K76" s="252"/>
      <c r="L76" s="252"/>
      <c r="M76" s="252"/>
      <c r="N76" s="252"/>
      <c r="O76" s="252"/>
      <c r="P76" s="252"/>
      <c r="Q76" s="252"/>
      <c r="R76" s="252"/>
      <c r="S76" s="252"/>
    </row>
    <row r="77" spans="2:21" ht="15" x14ac:dyDescent="0.25">
      <c r="B77" s="792" t="s">
        <v>1846</v>
      </c>
      <c r="C77" s="1367">
        <f>373466.69/1000</f>
        <v>373.46669000000003</v>
      </c>
      <c r="D77" s="793"/>
      <c r="E77" s="1044"/>
      <c r="F77" s="1045"/>
      <c r="G77" s="252" t="s">
        <v>2466</v>
      </c>
      <c r="H77" s="252"/>
      <c r="I77" s="252"/>
      <c r="J77" s="252"/>
      <c r="K77" s="252"/>
      <c r="L77" s="252"/>
      <c r="M77" s="252"/>
      <c r="N77" s="252"/>
      <c r="O77" s="252"/>
      <c r="P77" s="252"/>
      <c r="Q77" s="252"/>
      <c r="R77" s="252"/>
      <c r="S77" s="252"/>
    </row>
    <row r="78" spans="2:21" ht="30" x14ac:dyDescent="0.25">
      <c r="B78" s="794" t="s">
        <v>958</v>
      </c>
      <c r="C78" s="795"/>
      <c r="D78" s="1368">
        <f>28.8/1.2*12</f>
        <v>288</v>
      </c>
      <c r="E78" s="1046"/>
      <c r="F78" s="1047"/>
      <c r="G78" s="252" t="s">
        <v>2599</v>
      </c>
      <c r="H78" s="252"/>
      <c r="I78" s="252"/>
      <c r="J78" s="252"/>
      <c r="K78" s="252"/>
      <c r="L78" s="252"/>
      <c r="M78" s="252"/>
      <c r="N78" s="252"/>
      <c r="O78" s="252"/>
      <c r="P78" s="252"/>
      <c r="Q78" s="252"/>
      <c r="R78" s="252"/>
      <c r="S78" s="252"/>
    </row>
    <row r="79" spans="2:21" ht="15" thickBot="1" x14ac:dyDescent="0.25">
      <c r="B79" s="796" t="s">
        <v>771</v>
      </c>
      <c r="C79" s="797">
        <f>C78+C77</f>
        <v>373.46669000000003</v>
      </c>
      <c r="D79" s="798">
        <f>D78+D77</f>
        <v>288</v>
      </c>
      <c r="E79" s="1048">
        <f>D79/4</f>
        <v>72</v>
      </c>
      <c r="F79" s="1049">
        <f>D79/4*3</f>
        <v>216</v>
      </c>
      <c r="G79" s="252"/>
      <c r="H79" s="252"/>
      <c r="I79" s="252"/>
      <c r="J79" s="252"/>
      <c r="K79" s="252"/>
      <c r="L79" s="252"/>
      <c r="M79" s="252"/>
      <c r="N79" s="252"/>
      <c r="O79" s="252"/>
      <c r="P79" s="252"/>
      <c r="Q79" s="252"/>
      <c r="R79" s="252"/>
      <c r="S79" s="252"/>
    </row>
    <row r="80" spans="2:21" x14ac:dyDescent="0.2">
      <c r="B80" s="252"/>
      <c r="C80" s="316"/>
      <c r="D80" s="252"/>
      <c r="E80" s="252"/>
      <c r="F80" s="252"/>
      <c r="G80" s="252"/>
      <c r="H80" s="252"/>
      <c r="I80" s="252"/>
      <c r="J80" s="252"/>
      <c r="K80" s="252"/>
      <c r="L80" s="252"/>
      <c r="M80" s="252"/>
      <c r="N80" s="252"/>
      <c r="O80" s="252"/>
      <c r="P80" s="252"/>
      <c r="Q80" s="252"/>
      <c r="R80" s="252"/>
      <c r="S80" s="252"/>
    </row>
    <row r="81" spans="2:19" ht="15.75" x14ac:dyDescent="0.25">
      <c r="B81" s="317" t="str">
        <f>'Вхідні дані'!$B$15</f>
        <v>Заступник начальника з економіки та фінансів</v>
      </c>
      <c r="C81" s="407" t="s">
        <v>369</v>
      </c>
      <c r="D81" s="4124" t="str">
        <f>'Вхідні дані'!$F$15</f>
        <v>Наталія БАРТОШИК</v>
      </c>
      <c r="E81" s="4124"/>
      <c r="F81" s="4124"/>
      <c r="G81" s="406"/>
      <c r="H81" s="406"/>
      <c r="I81" s="406"/>
      <c r="J81" s="406"/>
      <c r="N81" s="252"/>
      <c r="O81" s="252"/>
      <c r="P81" s="252"/>
      <c r="Q81" s="252"/>
      <c r="R81" s="252"/>
      <c r="S81" s="252"/>
    </row>
    <row r="82" spans="2:19" ht="15" x14ac:dyDescent="0.2">
      <c r="B82" s="252"/>
      <c r="C82" s="410" t="s">
        <v>220</v>
      </c>
      <c r="D82" s="4125" t="s">
        <v>1946</v>
      </c>
      <c r="E82" s="4125"/>
      <c r="F82" s="4125"/>
      <c r="G82" s="406"/>
      <c r="H82" s="406"/>
      <c r="I82" s="406"/>
      <c r="J82" s="406"/>
      <c r="N82" s="252"/>
      <c r="O82" s="252"/>
      <c r="P82" s="252"/>
      <c r="Q82" s="252"/>
      <c r="R82" s="252"/>
      <c r="S82" s="252"/>
    </row>
    <row r="83" spans="2:19" x14ac:dyDescent="0.2">
      <c r="B83" s="252"/>
      <c r="C83" s="316"/>
      <c r="D83" s="252"/>
      <c r="E83" s="252"/>
      <c r="F83" s="252"/>
      <c r="G83" s="252"/>
      <c r="H83" s="252"/>
      <c r="I83" s="252"/>
      <c r="J83" s="252"/>
      <c r="K83" s="252"/>
      <c r="L83" s="252"/>
      <c r="M83" s="252"/>
      <c r="N83" s="252"/>
      <c r="O83" s="252"/>
      <c r="P83" s="252"/>
      <c r="Q83" s="252"/>
      <c r="R83" s="252"/>
      <c r="S83" s="252"/>
    </row>
    <row r="84" spans="2:19" x14ac:dyDescent="0.2">
      <c r="B84" s="252"/>
      <c r="C84" s="316"/>
      <c r="D84" s="252"/>
      <c r="E84" s="252"/>
      <c r="F84" s="252"/>
      <c r="G84" s="252"/>
      <c r="H84" s="252"/>
      <c r="I84" s="252"/>
      <c r="J84" s="252"/>
      <c r="K84" s="252"/>
      <c r="L84" s="252"/>
      <c r="M84" s="252"/>
      <c r="N84" s="252"/>
      <c r="O84" s="252"/>
      <c r="P84" s="252"/>
      <c r="Q84" s="252"/>
      <c r="R84" s="252"/>
      <c r="S84" s="252"/>
    </row>
    <row r="85" spans="2:19" x14ac:dyDescent="0.2">
      <c r="B85" s="252"/>
      <c r="C85" s="316"/>
      <c r="D85" s="252"/>
      <c r="E85" s="252"/>
      <c r="F85" s="252"/>
      <c r="G85" s="252"/>
      <c r="H85" s="252"/>
      <c r="I85" s="252"/>
      <c r="J85" s="252"/>
      <c r="K85" s="252"/>
      <c r="L85" s="252"/>
      <c r="M85" s="252"/>
      <c r="N85" s="252"/>
      <c r="O85" s="252"/>
      <c r="P85" s="252"/>
      <c r="Q85" s="252"/>
      <c r="R85" s="252"/>
      <c r="S85" s="252"/>
    </row>
    <row r="86" spans="2:19" x14ac:dyDescent="0.2">
      <c r="B86" s="252"/>
      <c r="C86" s="316"/>
      <c r="D86" s="252"/>
      <c r="E86" s="252"/>
      <c r="F86" s="252"/>
      <c r="G86" s="252"/>
      <c r="H86" s="252"/>
      <c r="I86" s="252"/>
      <c r="J86" s="252"/>
      <c r="K86" s="252"/>
      <c r="L86" s="252"/>
      <c r="M86" s="252"/>
      <c r="N86" s="252"/>
      <c r="O86" s="252"/>
      <c r="P86" s="252"/>
      <c r="Q86" s="252"/>
      <c r="R86" s="252"/>
      <c r="S86" s="252"/>
    </row>
    <row r="87" spans="2:19" x14ac:dyDescent="0.2">
      <c r="B87" s="252"/>
      <c r="C87" s="316"/>
      <c r="D87" s="252"/>
      <c r="E87" s="252"/>
      <c r="F87" s="252"/>
      <c r="G87" s="252"/>
      <c r="H87" s="252"/>
      <c r="I87" s="252"/>
      <c r="J87" s="252"/>
      <c r="K87" s="252"/>
      <c r="L87" s="252"/>
      <c r="M87" s="252"/>
      <c r="N87" s="252"/>
      <c r="O87" s="252"/>
      <c r="P87" s="252"/>
      <c r="Q87" s="252"/>
      <c r="R87" s="252"/>
      <c r="S87" s="252"/>
    </row>
    <row r="88" spans="2:19" x14ac:dyDescent="0.2">
      <c r="B88" s="252"/>
      <c r="C88" s="316"/>
      <c r="D88" s="252"/>
      <c r="E88" s="252"/>
      <c r="F88" s="252"/>
      <c r="G88" s="252"/>
      <c r="H88" s="252"/>
      <c r="I88" s="252"/>
      <c r="J88" s="252"/>
      <c r="K88" s="252"/>
      <c r="L88" s="252"/>
      <c r="M88" s="252"/>
      <c r="N88" s="252"/>
      <c r="O88" s="252"/>
      <c r="P88" s="252"/>
      <c r="Q88" s="252"/>
      <c r="R88" s="252"/>
      <c r="S88" s="252"/>
    </row>
    <row r="89" spans="2:19" x14ac:dyDescent="0.2">
      <c r="B89" s="252"/>
      <c r="C89" s="316"/>
      <c r="D89" s="252"/>
      <c r="E89" s="252"/>
      <c r="F89" s="252"/>
      <c r="G89" s="252"/>
      <c r="H89" s="252"/>
      <c r="I89" s="252"/>
      <c r="J89" s="252"/>
      <c r="K89" s="252"/>
      <c r="L89" s="252"/>
      <c r="M89" s="252"/>
      <c r="N89" s="252"/>
      <c r="O89" s="252"/>
      <c r="P89" s="252"/>
      <c r="Q89" s="252"/>
      <c r="R89" s="252"/>
      <c r="S89" s="252"/>
    </row>
    <row r="90" spans="2:19" x14ac:dyDescent="0.2">
      <c r="B90" s="252"/>
      <c r="C90" s="316"/>
      <c r="D90" s="252"/>
      <c r="E90" s="252"/>
      <c r="F90" s="252"/>
      <c r="G90" s="252"/>
      <c r="H90" s="252"/>
      <c r="I90" s="252"/>
      <c r="J90" s="252"/>
      <c r="K90" s="252"/>
      <c r="L90" s="252"/>
      <c r="M90" s="252"/>
      <c r="N90" s="252"/>
      <c r="O90" s="252"/>
      <c r="P90" s="252"/>
      <c r="Q90" s="252"/>
      <c r="R90" s="252"/>
      <c r="S90" s="252"/>
    </row>
    <row r="91" spans="2:19" x14ac:dyDescent="0.2">
      <c r="B91" s="252"/>
      <c r="C91" s="316"/>
      <c r="D91" s="252"/>
      <c r="E91" s="252"/>
      <c r="F91" s="252"/>
      <c r="G91" s="252"/>
      <c r="H91" s="252"/>
      <c r="I91" s="252"/>
      <c r="J91" s="252"/>
      <c r="K91" s="252"/>
      <c r="L91" s="252"/>
      <c r="M91" s="252"/>
      <c r="N91" s="252"/>
      <c r="O91" s="252"/>
      <c r="P91" s="252"/>
      <c r="Q91" s="252"/>
      <c r="R91" s="252"/>
      <c r="S91" s="252"/>
    </row>
    <row r="92" spans="2:19" x14ac:dyDescent="0.2">
      <c r="B92" s="252"/>
      <c r="C92" s="316"/>
      <c r="D92" s="252"/>
      <c r="E92" s="252"/>
      <c r="F92" s="252"/>
      <c r="G92" s="252"/>
      <c r="H92" s="252"/>
      <c r="I92" s="252"/>
      <c r="J92" s="252"/>
      <c r="K92" s="252"/>
      <c r="L92" s="252"/>
      <c r="M92" s="252"/>
      <c r="N92" s="252"/>
      <c r="O92" s="252"/>
      <c r="P92" s="252"/>
      <c r="Q92" s="252"/>
      <c r="R92" s="252"/>
      <c r="S92" s="252"/>
    </row>
    <row r="93" spans="2:19" x14ac:dyDescent="0.2">
      <c r="B93" s="252"/>
      <c r="C93" s="316"/>
      <c r="D93" s="252"/>
      <c r="E93" s="252"/>
      <c r="F93" s="252"/>
      <c r="G93" s="252"/>
      <c r="H93" s="252"/>
      <c r="I93" s="252"/>
      <c r="J93" s="252"/>
      <c r="K93" s="252"/>
      <c r="L93" s="252"/>
      <c r="M93" s="252"/>
      <c r="N93" s="252"/>
      <c r="O93" s="252"/>
      <c r="P93" s="252"/>
      <c r="Q93" s="252"/>
      <c r="R93" s="252"/>
      <c r="S93" s="252"/>
    </row>
    <row r="94" spans="2:19" x14ac:dyDescent="0.2">
      <c r="B94" s="252"/>
      <c r="C94" s="316"/>
      <c r="D94" s="252"/>
      <c r="E94" s="252"/>
      <c r="F94" s="252"/>
      <c r="G94" s="252"/>
      <c r="H94" s="252"/>
      <c r="I94" s="252"/>
      <c r="J94" s="252"/>
      <c r="K94" s="252"/>
      <c r="L94" s="252"/>
      <c r="M94" s="252"/>
      <c r="N94" s="252"/>
      <c r="O94" s="252"/>
      <c r="P94" s="252"/>
      <c r="Q94" s="252"/>
      <c r="R94" s="252"/>
      <c r="S94" s="252"/>
    </row>
    <row r="95" spans="2:19" x14ac:dyDescent="0.2">
      <c r="B95" s="252"/>
      <c r="C95" s="316"/>
      <c r="D95" s="252"/>
      <c r="E95" s="252"/>
      <c r="F95" s="252"/>
      <c r="G95" s="252"/>
      <c r="H95" s="252"/>
      <c r="I95" s="252"/>
      <c r="J95" s="252"/>
      <c r="K95" s="252"/>
      <c r="L95" s="252"/>
      <c r="M95" s="252"/>
      <c r="N95" s="252"/>
      <c r="O95" s="252"/>
      <c r="P95" s="252"/>
      <c r="Q95" s="252"/>
      <c r="R95" s="252"/>
      <c r="S95" s="252"/>
    </row>
    <row r="96" spans="2:19" x14ac:dyDescent="0.2">
      <c r="B96" s="252"/>
      <c r="C96" s="316"/>
      <c r="D96" s="252"/>
      <c r="E96" s="252"/>
      <c r="F96" s="252"/>
      <c r="G96" s="252"/>
      <c r="H96" s="252"/>
      <c r="I96" s="252"/>
      <c r="J96" s="252"/>
      <c r="K96" s="252"/>
      <c r="L96" s="252"/>
      <c r="M96" s="252"/>
      <c r="N96" s="252"/>
      <c r="O96" s="252"/>
      <c r="P96" s="252"/>
      <c r="Q96" s="252"/>
      <c r="R96" s="252"/>
      <c r="S96" s="252"/>
    </row>
    <row r="97" spans="3:3" s="252" customFormat="1" x14ac:dyDescent="0.2">
      <c r="C97" s="316"/>
    </row>
    <row r="98" spans="3:3" s="252" customFormat="1" x14ac:dyDescent="0.2">
      <c r="C98" s="316"/>
    </row>
    <row r="99" spans="3:3" s="252" customFormat="1" x14ac:dyDescent="0.2">
      <c r="C99" s="316"/>
    </row>
    <row r="100" spans="3:3" s="252" customFormat="1" x14ac:dyDescent="0.2">
      <c r="C100" s="316"/>
    </row>
    <row r="101" spans="3:3" s="252" customFormat="1" x14ac:dyDescent="0.2">
      <c r="C101" s="316"/>
    </row>
    <row r="102" spans="3:3" s="252" customFormat="1" x14ac:dyDescent="0.2">
      <c r="C102" s="316"/>
    </row>
    <row r="103" spans="3:3" s="252" customFormat="1" x14ac:dyDescent="0.2">
      <c r="C103" s="316"/>
    </row>
    <row r="104" spans="3:3" s="252" customFormat="1" x14ac:dyDescent="0.2">
      <c r="C104" s="316"/>
    </row>
    <row r="105" spans="3:3" s="252" customFormat="1" x14ac:dyDescent="0.2">
      <c r="C105" s="316"/>
    </row>
    <row r="106" spans="3:3" s="252" customFormat="1" x14ac:dyDescent="0.2">
      <c r="C106" s="316"/>
    </row>
    <row r="107" spans="3:3" s="252" customFormat="1" x14ac:dyDescent="0.2">
      <c r="C107" s="316"/>
    </row>
    <row r="108" spans="3:3" s="252" customFormat="1" x14ac:dyDescent="0.2">
      <c r="C108" s="316"/>
    </row>
    <row r="109" spans="3:3" s="252" customFormat="1" x14ac:dyDescent="0.2">
      <c r="C109" s="316"/>
    </row>
    <row r="110" spans="3:3" s="252" customFormat="1" x14ac:dyDescent="0.2">
      <c r="C110" s="316"/>
    </row>
    <row r="111" spans="3:3" s="252" customFormat="1" x14ac:dyDescent="0.2">
      <c r="C111" s="316"/>
    </row>
    <row r="112" spans="3:3" s="252" customFormat="1" x14ac:dyDescent="0.2">
      <c r="C112" s="316"/>
    </row>
    <row r="113" spans="3:3" s="252" customFormat="1" x14ac:dyDescent="0.2">
      <c r="C113" s="316"/>
    </row>
    <row r="114" spans="3:3" s="252" customFormat="1" x14ac:dyDescent="0.2">
      <c r="C114" s="316"/>
    </row>
    <row r="115" spans="3:3" s="252" customFormat="1" x14ac:dyDescent="0.2">
      <c r="C115" s="316"/>
    </row>
    <row r="116" spans="3:3" s="252" customFormat="1" x14ac:dyDescent="0.2">
      <c r="C116" s="316"/>
    </row>
    <row r="117" spans="3:3" s="252" customFormat="1" x14ac:dyDescent="0.2">
      <c r="C117" s="316"/>
    </row>
    <row r="118" spans="3:3" s="252" customFormat="1" x14ac:dyDescent="0.2">
      <c r="C118" s="316"/>
    </row>
    <row r="119" spans="3:3" s="252" customFormat="1" x14ac:dyDescent="0.2">
      <c r="C119" s="316"/>
    </row>
    <row r="120" spans="3:3" s="252" customFormat="1" x14ac:dyDescent="0.2">
      <c r="C120" s="316"/>
    </row>
    <row r="121" spans="3:3" s="252" customFormat="1" x14ac:dyDescent="0.2">
      <c r="C121" s="316"/>
    </row>
    <row r="122" spans="3:3" s="252" customFormat="1" x14ac:dyDescent="0.2">
      <c r="C122" s="316"/>
    </row>
    <row r="123" spans="3:3" s="252" customFormat="1" x14ac:dyDescent="0.2">
      <c r="C123" s="316"/>
    </row>
    <row r="124" spans="3:3" s="252" customFormat="1" x14ac:dyDescent="0.2">
      <c r="C124" s="316"/>
    </row>
    <row r="125" spans="3:3" s="252" customFormat="1" x14ac:dyDescent="0.2">
      <c r="C125" s="316"/>
    </row>
    <row r="126" spans="3:3" s="252" customFormat="1" x14ac:dyDescent="0.2">
      <c r="C126" s="316"/>
    </row>
    <row r="127" spans="3:3" s="252" customFormat="1" x14ac:dyDescent="0.2">
      <c r="C127" s="316"/>
    </row>
    <row r="128" spans="3:3" s="252" customFormat="1" x14ac:dyDescent="0.2">
      <c r="C128" s="316"/>
    </row>
    <row r="129" spans="3:3" s="252" customFormat="1" x14ac:dyDescent="0.2">
      <c r="C129" s="316"/>
    </row>
    <row r="130" spans="3:3" s="252" customFormat="1" x14ac:dyDescent="0.2">
      <c r="C130" s="316"/>
    </row>
    <row r="131" spans="3:3" s="252" customFormat="1" x14ac:dyDescent="0.2">
      <c r="C131" s="316"/>
    </row>
    <row r="132" spans="3:3" s="252" customFormat="1" x14ac:dyDescent="0.2">
      <c r="C132" s="316"/>
    </row>
    <row r="133" spans="3:3" s="252" customFormat="1" x14ac:dyDescent="0.2">
      <c r="C133" s="316"/>
    </row>
    <row r="134" spans="3:3" s="252" customFormat="1" x14ac:dyDescent="0.2">
      <c r="C134" s="316"/>
    </row>
    <row r="135" spans="3:3" s="252" customFormat="1" x14ac:dyDescent="0.2">
      <c r="C135" s="316"/>
    </row>
    <row r="136" spans="3:3" s="252" customFormat="1" x14ac:dyDescent="0.2">
      <c r="C136" s="316"/>
    </row>
    <row r="137" spans="3:3" s="252" customFormat="1" x14ac:dyDescent="0.2">
      <c r="C137" s="316"/>
    </row>
    <row r="138" spans="3:3" s="252" customFormat="1" x14ac:dyDescent="0.2">
      <c r="C138" s="316"/>
    </row>
    <row r="139" spans="3:3" s="252" customFormat="1" x14ac:dyDescent="0.2">
      <c r="C139" s="316"/>
    </row>
    <row r="140" spans="3:3" s="252" customFormat="1" x14ac:dyDescent="0.2">
      <c r="C140" s="316"/>
    </row>
    <row r="141" spans="3:3" s="252" customFormat="1" x14ac:dyDescent="0.2">
      <c r="C141" s="316"/>
    </row>
    <row r="142" spans="3:3" s="252" customFormat="1" x14ac:dyDescent="0.2">
      <c r="C142" s="316"/>
    </row>
    <row r="143" spans="3:3" s="252" customFormat="1" x14ac:dyDescent="0.2">
      <c r="C143" s="316"/>
    </row>
    <row r="144" spans="3:3" s="252" customFormat="1" x14ac:dyDescent="0.2">
      <c r="C144" s="316"/>
    </row>
    <row r="145" spans="3:3" s="252" customFormat="1" x14ac:dyDescent="0.2">
      <c r="C145" s="316"/>
    </row>
    <row r="146" spans="3:3" s="252" customFormat="1" x14ac:dyDescent="0.2">
      <c r="C146" s="316"/>
    </row>
    <row r="147" spans="3:3" s="252" customFormat="1" x14ac:dyDescent="0.2">
      <c r="C147" s="316"/>
    </row>
    <row r="148" spans="3:3" s="252" customFormat="1" x14ac:dyDescent="0.2">
      <c r="C148" s="316"/>
    </row>
    <row r="149" spans="3:3" s="252" customFormat="1" x14ac:dyDescent="0.2">
      <c r="C149" s="316"/>
    </row>
    <row r="150" spans="3:3" s="252" customFormat="1" x14ac:dyDescent="0.2">
      <c r="C150" s="316"/>
    </row>
    <row r="151" spans="3:3" s="252" customFormat="1" x14ac:dyDescent="0.2">
      <c r="C151" s="316"/>
    </row>
    <row r="152" spans="3:3" s="252" customFormat="1" x14ac:dyDescent="0.2">
      <c r="C152" s="316"/>
    </row>
    <row r="153" spans="3:3" s="252" customFormat="1" x14ac:dyDescent="0.2">
      <c r="C153" s="316"/>
    </row>
    <row r="154" spans="3:3" s="252" customFormat="1" x14ac:dyDescent="0.2">
      <c r="C154" s="316"/>
    </row>
    <row r="155" spans="3:3" s="252" customFormat="1" x14ac:dyDescent="0.2">
      <c r="C155" s="316"/>
    </row>
    <row r="156" spans="3:3" s="252" customFormat="1" x14ac:dyDescent="0.2">
      <c r="C156" s="316"/>
    </row>
    <row r="157" spans="3:3" s="252" customFormat="1" x14ac:dyDescent="0.2">
      <c r="C157" s="316"/>
    </row>
    <row r="158" spans="3:3" s="252" customFormat="1" x14ac:dyDescent="0.2">
      <c r="C158" s="316"/>
    </row>
    <row r="159" spans="3:3" s="252" customFormat="1" x14ac:dyDescent="0.2">
      <c r="C159" s="316"/>
    </row>
    <row r="160" spans="3:3" s="252" customFormat="1" x14ac:dyDescent="0.2">
      <c r="C160" s="316"/>
    </row>
    <row r="161" spans="3:3" s="252" customFormat="1" x14ac:dyDescent="0.2">
      <c r="C161" s="316"/>
    </row>
    <row r="162" spans="3:3" s="252" customFormat="1" x14ac:dyDescent="0.2">
      <c r="C162" s="316"/>
    </row>
    <row r="163" spans="3:3" s="252" customFormat="1" x14ac:dyDescent="0.2">
      <c r="C163" s="316"/>
    </row>
    <row r="164" spans="3:3" s="252" customFormat="1" x14ac:dyDescent="0.2">
      <c r="C164" s="316"/>
    </row>
    <row r="165" spans="3:3" s="252" customFormat="1" x14ac:dyDescent="0.2">
      <c r="C165" s="316"/>
    </row>
    <row r="166" spans="3:3" s="252" customFormat="1" x14ac:dyDescent="0.2">
      <c r="C166" s="316"/>
    </row>
    <row r="167" spans="3:3" s="252" customFormat="1" x14ac:dyDescent="0.2">
      <c r="C167" s="316"/>
    </row>
    <row r="168" spans="3:3" s="252" customFormat="1" x14ac:dyDescent="0.2">
      <c r="C168" s="316"/>
    </row>
    <row r="169" spans="3:3" s="252" customFormat="1" x14ac:dyDescent="0.2">
      <c r="C169" s="316"/>
    </row>
    <row r="170" spans="3:3" s="252" customFormat="1" x14ac:dyDescent="0.2">
      <c r="C170" s="316"/>
    </row>
    <row r="171" spans="3:3" s="252" customFormat="1" x14ac:dyDescent="0.2">
      <c r="C171" s="316"/>
    </row>
    <row r="172" spans="3:3" s="252" customFormat="1" x14ac:dyDescent="0.2">
      <c r="C172" s="316"/>
    </row>
    <row r="173" spans="3:3" s="252" customFormat="1" x14ac:dyDescent="0.2">
      <c r="C173" s="316"/>
    </row>
    <row r="174" spans="3:3" s="252" customFormat="1" x14ac:dyDescent="0.2">
      <c r="C174" s="316"/>
    </row>
    <row r="175" spans="3:3" s="252" customFormat="1" x14ac:dyDescent="0.2">
      <c r="C175" s="316"/>
    </row>
    <row r="176" spans="3:3" s="252" customFormat="1" x14ac:dyDescent="0.2">
      <c r="C176" s="316"/>
    </row>
    <row r="177" spans="3:3" s="252" customFormat="1" x14ac:dyDescent="0.2">
      <c r="C177" s="316"/>
    </row>
    <row r="178" spans="3:3" s="252" customFormat="1" x14ac:dyDescent="0.2">
      <c r="C178" s="316"/>
    </row>
    <row r="179" spans="3:3" s="252" customFormat="1" x14ac:dyDescent="0.2">
      <c r="C179" s="316"/>
    </row>
    <row r="180" spans="3:3" s="252" customFormat="1" x14ac:dyDescent="0.2">
      <c r="C180" s="316"/>
    </row>
    <row r="181" spans="3:3" s="252" customFormat="1" x14ac:dyDescent="0.2">
      <c r="C181" s="316"/>
    </row>
    <row r="182" spans="3:3" s="252" customFormat="1" x14ac:dyDescent="0.2">
      <c r="C182" s="316"/>
    </row>
    <row r="183" spans="3:3" s="252" customFormat="1" x14ac:dyDescent="0.2">
      <c r="C183" s="316"/>
    </row>
    <row r="184" spans="3:3" s="252" customFormat="1" x14ac:dyDescent="0.2">
      <c r="C184" s="316"/>
    </row>
    <row r="185" spans="3:3" s="252" customFormat="1" x14ac:dyDescent="0.2">
      <c r="C185" s="316"/>
    </row>
    <row r="186" spans="3:3" s="252" customFormat="1" x14ac:dyDescent="0.2">
      <c r="C186" s="316"/>
    </row>
    <row r="187" spans="3:3" s="252" customFormat="1" x14ac:dyDescent="0.2">
      <c r="C187" s="316"/>
    </row>
    <row r="188" spans="3:3" s="252" customFormat="1" x14ac:dyDescent="0.2">
      <c r="C188" s="316"/>
    </row>
    <row r="189" spans="3:3" s="252" customFormat="1" x14ac:dyDescent="0.2">
      <c r="C189" s="316"/>
    </row>
    <row r="190" spans="3:3" s="252" customFormat="1" x14ac:dyDescent="0.2">
      <c r="C190" s="316"/>
    </row>
    <row r="191" spans="3:3" s="252" customFormat="1" x14ac:dyDescent="0.2">
      <c r="C191" s="316"/>
    </row>
    <row r="192" spans="3:3" s="252" customFormat="1" x14ac:dyDescent="0.2">
      <c r="C192" s="316"/>
    </row>
    <row r="193" spans="3:3" s="252" customFormat="1" x14ac:dyDescent="0.2">
      <c r="C193" s="316"/>
    </row>
    <row r="194" spans="3:3" s="252" customFormat="1" x14ac:dyDescent="0.2">
      <c r="C194" s="316"/>
    </row>
    <row r="195" spans="3:3" s="252" customFormat="1" x14ac:dyDescent="0.2">
      <c r="C195" s="316"/>
    </row>
    <row r="196" spans="3:3" s="252" customFormat="1" x14ac:dyDescent="0.2">
      <c r="C196" s="316"/>
    </row>
    <row r="197" spans="3:3" s="252" customFormat="1" x14ac:dyDescent="0.2">
      <c r="C197" s="316"/>
    </row>
    <row r="198" spans="3:3" s="252" customFormat="1" x14ac:dyDescent="0.2">
      <c r="C198" s="316"/>
    </row>
    <row r="199" spans="3:3" s="252" customFormat="1" x14ac:dyDescent="0.2">
      <c r="C199" s="316"/>
    </row>
    <row r="200" spans="3:3" s="252" customFormat="1" x14ac:dyDescent="0.2">
      <c r="C200" s="316"/>
    </row>
    <row r="201" spans="3:3" s="252" customFormat="1" x14ac:dyDescent="0.2">
      <c r="C201" s="316"/>
    </row>
    <row r="202" spans="3:3" s="252" customFormat="1" x14ac:dyDescent="0.2">
      <c r="C202" s="316"/>
    </row>
    <row r="203" spans="3:3" s="252" customFormat="1" x14ac:dyDescent="0.2">
      <c r="C203" s="316"/>
    </row>
    <row r="204" spans="3:3" s="252" customFormat="1" x14ac:dyDescent="0.2">
      <c r="C204" s="316"/>
    </row>
    <row r="205" spans="3:3" s="252" customFormat="1" x14ac:dyDescent="0.2">
      <c r="C205" s="316"/>
    </row>
    <row r="206" spans="3:3" s="252" customFormat="1" x14ac:dyDescent="0.2">
      <c r="C206" s="316"/>
    </row>
    <row r="207" spans="3:3" s="252" customFormat="1" x14ac:dyDescent="0.2">
      <c r="C207" s="316"/>
    </row>
    <row r="208" spans="3:3" s="252" customFormat="1" x14ac:dyDescent="0.2">
      <c r="C208" s="316"/>
    </row>
    <row r="209" spans="3:3" s="252" customFormat="1" x14ac:dyDescent="0.2">
      <c r="C209" s="316"/>
    </row>
    <row r="210" spans="3:3" s="252" customFormat="1" x14ac:dyDescent="0.2">
      <c r="C210" s="316"/>
    </row>
    <row r="211" spans="3:3" s="252" customFormat="1" x14ac:dyDescent="0.2">
      <c r="C211" s="316"/>
    </row>
    <row r="212" spans="3:3" s="252" customFormat="1" x14ac:dyDescent="0.2">
      <c r="C212" s="316"/>
    </row>
    <row r="213" spans="3:3" s="252" customFormat="1" x14ac:dyDescent="0.2">
      <c r="C213" s="316"/>
    </row>
    <row r="214" spans="3:3" s="252" customFormat="1" x14ac:dyDescent="0.2">
      <c r="C214" s="316"/>
    </row>
    <row r="215" spans="3:3" s="252" customFormat="1" x14ac:dyDescent="0.2">
      <c r="C215" s="316"/>
    </row>
    <row r="216" spans="3:3" s="252" customFormat="1" x14ac:dyDescent="0.2">
      <c r="C216" s="316"/>
    </row>
    <row r="217" spans="3:3" s="252" customFormat="1" x14ac:dyDescent="0.2">
      <c r="C217" s="316"/>
    </row>
    <row r="218" spans="3:3" s="252" customFormat="1" x14ac:dyDescent="0.2">
      <c r="C218" s="316"/>
    </row>
    <row r="219" spans="3:3" s="252" customFormat="1" x14ac:dyDescent="0.2">
      <c r="C219" s="316"/>
    </row>
    <row r="220" spans="3:3" s="252" customFormat="1" x14ac:dyDescent="0.2">
      <c r="C220" s="316"/>
    </row>
    <row r="221" spans="3:3" s="252" customFormat="1" x14ac:dyDescent="0.2">
      <c r="C221" s="316"/>
    </row>
    <row r="222" spans="3:3" s="252" customFormat="1" x14ac:dyDescent="0.2">
      <c r="C222" s="316"/>
    </row>
    <row r="223" spans="3:3" s="252" customFormat="1" x14ac:dyDescent="0.2">
      <c r="C223" s="316"/>
    </row>
    <row r="224" spans="3:3" s="252" customFormat="1" x14ac:dyDescent="0.2">
      <c r="C224" s="316"/>
    </row>
    <row r="225" spans="3:3" s="252" customFormat="1" x14ac:dyDescent="0.2">
      <c r="C225" s="316"/>
    </row>
    <row r="226" spans="3:3" s="252" customFormat="1" x14ac:dyDescent="0.2">
      <c r="C226" s="316"/>
    </row>
    <row r="227" spans="3:3" s="252" customFormat="1" x14ac:dyDescent="0.2">
      <c r="C227" s="316"/>
    </row>
    <row r="228" spans="3:3" s="252" customFormat="1" x14ac:dyDescent="0.2">
      <c r="C228" s="316"/>
    </row>
    <row r="229" spans="3:3" s="252" customFormat="1" x14ac:dyDescent="0.2">
      <c r="C229" s="316"/>
    </row>
    <row r="230" spans="3:3" s="252" customFormat="1" x14ac:dyDescent="0.2">
      <c r="C230" s="316"/>
    </row>
    <row r="231" spans="3:3" s="252" customFormat="1" x14ac:dyDescent="0.2">
      <c r="C231" s="316"/>
    </row>
    <row r="232" spans="3:3" s="252" customFormat="1" x14ac:dyDescent="0.2">
      <c r="C232" s="316"/>
    </row>
    <row r="233" spans="3:3" s="252" customFormat="1" x14ac:dyDescent="0.2">
      <c r="C233" s="316"/>
    </row>
    <row r="234" spans="3:3" s="252" customFormat="1" x14ac:dyDescent="0.2">
      <c r="C234" s="316"/>
    </row>
    <row r="235" spans="3:3" s="252" customFormat="1" x14ac:dyDescent="0.2">
      <c r="C235" s="316"/>
    </row>
    <row r="236" spans="3:3" s="252" customFormat="1" x14ac:dyDescent="0.2">
      <c r="C236" s="316"/>
    </row>
    <row r="237" spans="3:3" s="252" customFormat="1" x14ac:dyDescent="0.2">
      <c r="C237" s="316"/>
    </row>
    <row r="238" spans="3:3" s="252" customFormat="1" x14ac:dyDescent="0.2">
      <c r="C238" s="316"/>
    </row>
    <row r="239" spans="3:3" s="252" customFormat="1" x14ac:dyDescent="0.2">
      <c r="C239" s="316"/>
    </row>
    <row r="240" spans="3:3" s="252" customFormat="1" x14ac:dyDescent="0.2">
      <c r="C240" s="316"/>
    </row>
    <row r="241" spans="3:3" s="252" customFormat="1" x14ac:dyDescent="0.2">
      <c r="C241" s="316"/>
    </row>
    <row r="242" spans="3:3" s="252" customFormat="1" x14ac:dyDescent="0.2">
      <c r="C242" s="316"/>
    </row>
    <row r="243" spans="3:3" s="252" customFormat="1" x14ac:dyDescent="0.2">
      <c r="C243" s="316"/>
    </row>
    <row r="244" spans="3:3" s="252" customFormat="1" x14ac:dyDescent="0.2">
      <c r="C244" s="316"/>
    </row>
    <row r="245" spans="3:3" s="252" customFormat="1" x14ac:dyDescent="0.2">
      <c r="C245" s="316"/>
    </row>
    <row r="246" spans="3:3" s="252" customFormat="1" x14ac:dyDescent="0.2">
      <c r="C246" s="316"/>
    </row>
    <row r="247" spans="3:3" s="252" customFormat="1" x14ac:dyDescent="0.2">
      <c r="C247" s="316"/>
    </row>
    <row r="248" spans="3:3" s="252" customFormat="1" x14ac:dyDescent="0.2">
      <c r="C248" s="316"/>
    </row>
    <row r="249" spans="3:3" s="252" customFormat="1" x14ac:dyDescent="0.2">
      <c r="C249" s="316"/>
    </row>
    <row r="250" spans="3:3" s="252" customFormat="1" x14ac:dyDescent="0.2">
      <c r="C250" s="316"/>
    </row>
    <row r="251" spans="3:3" s="252" customFormat="1" x14ac:dyDescent="0.2">
      <c r="C251" s="316"/>
    </row>
    <row r="252" spans="3:3" s="252" customFormat="1" x14ac:dyDescent="0.2">
      <c r="C252" s="316"/>
    </row>
    <row r="253" spans="3:3" s="252" customFormat="1" x14ac:dyDescent="0.2">
      <c r="C253" s="316"/>
    </row>
    <row r="254" spans="3:3" s="252" customFormat="1" x14ac:dyDescent="0.2">
      <c r="C254" s="316"/>
    </row>
    <row r="255" spans="3:3" s="252" customFormat="1" x14ac:dyDescent="0.2">
      <c r="C255" s="316"/>
    </row>
    <row r="256" spans="3:3" s="252" customFormat="1" x14ac:dyDescent="0.2">
      <c r="C256" s="316"/>
    </row>
    <row r="257" spans="3:3" s="252" customFormat="1" x14ac:dyDescent="0.2">
      <c r="C257" s="316"/>
    </row>
    <row r="258" spans="3:3" s="252" customFormat="1" x14ac:dyDescent="0.2">
      <c r="C258" s="316"/>
    </row>
    <row r="259" spans="3:3" s="252" customFormat="1" x14ac:dyDescent="0.2">
      <c r="C259" s="316"/>
    </row>
    <row r="260" spans="3:3" s="252" customFormat="1" x14ac:dyDescent="0.2">
      <c r="C260" s="316"/>
    </row>
    <row r="261" spans="3:3" s="252" customFormat="1" x14ac:dyDescent="0.2">
      <c r="C261" s="316"/>
    </row>
    <row r="262" spans="3:3" s="252" customFormat="1" x14ac:dyDescent="0.2">
      <c r="C262" s="316"/>
    </row>
    <row r="263" spans="3:3" s="252" customFormat="1" x14ac:dyDescent="0.2">
      <c r="C263" s="316"/>
    </row>
    <row r="264" spans="3:3" s="252" customFormat="1" x14ac:dyDescent="0.2">
      <c r="C264" s="316"/>
    </row>
    <row r="265" spans="3:3" s="252" customFormat="1" x14ac:dyDescent="0.2">
      <c r="C265" s="316"/>
    </row>
    <row r="266" spans="3:3" s="252" customFormat="1" x14ac:dyDescent="0.2">
      <c r="C266" s="316"/>
    </row>
    <row r="267" spans="3:3" s="252" customFormat="1" x14ac:dyDescent="0.2">
      <c r="C267" s="316"/>
    </row>
    <row r="268" spans="3:3" s="252" customFormat="1" x14ac:dyDescent="0.2">
      <c r="C268" s="316"/>
    </row>
    <row r="269" spans="3:3" s="252" customFormat="1" x14ac:dyDescent="0.2">
      <c r="C269" s="316"/>
    </row>
    <row r="270" spans="3:3" s="252" customFormat="1" x14ac:dyDescent="0.2">
      <c r="C270" s="316"/>
    </row>
    <row r="271" spans="3:3" s="252" customFormat="1" x14ac:dyDescent="0.2">
      <c r="C271" s="316"/>
    </row>
    <row r="272" spans="3:3" s="252" customFormat="1" x14ac:dyDescent="0.2">
      <c r="C272" s="316"/>
    </row>
    <row r="273" spans="3:3" s="252" customFormat="1" x14ac:dyDescent="0.2">
      <c r="C273" s="316"/>
    </row>
    <row r="274" spans="3:3" s="252" customFormat="1" x14ac:dyDescent="0.2">
      <c r="C274" s="316"/>
    </row>
    <row r="275" spans="3:3" s="252" customFormat="1" x14ac:dyDescent="0.2">
      <c r="C275" s="316"/>
    </row>
    <row r="276" spans="3:3" s="252" customFormat="1" x14ac:dyDescent="0.2">
      <c r="C276" s="316"/>
    </row>
    <row r="277" spans="3:3" s="252" customFormat="1" x14ac:dyDescent="0.2">
      <c r="C277" s="316"/>
    </row>
    <row r="278" spans="3:3" s="252" customFormat="1" x14ac:dyDescent="0.2">
      <c r="C278" s="316"/>
    </row>
    <row r="279" spans="3:3" s="252" customFormat="1" x14ac:dyDescent="0.2">
      <c r="C279" s="316"/>
    </row>
    <row r="280" spans="3:3" s="252" customFormat="1" x14ac:dyDescent="0.2">
      <c r="C280" s="316"/>
    </row>
    <row r="281" spans="3:3" s="252" customFormat="1" x14ac:dyDescent="0.2">
      <c r="C281" s="316"/>
    </row>
    <row r="282" spans="3:3" s="252" customFormat="1" x14ac:dyDescent="0.2">
      <c r="C282" s="316"/>
    </row>
    <row r="283" spans="3:3" s="252" customFormat="1" x14ac:dyDescent="0.2">
      <c r="C283" s="316"/>
    </row>
    <row r="284" spans="3:3" s="252" customFormat="1" x14ac:dyDescent="0.2">
      <c r="C284" s="316"/>
    </row>
    <row r="285" spans="3:3" s="252" customFormat="1" x14ac:dyDescent="0.2">
      <c r="C285" s="316"/>
    </row>
    <row r="286" spans="3:3" s="252" customFormat="1" x14ac:dyDescent="0.2">
      <c r="C286" s="316"/>
    </row>
    <row r="287" spans="3:3" s="252" customFormat="1" x14ac:dyDescent="0.2">
      <c r="C287" s="316"/>
    </row>
    <row r="288" spans="3:3" s="252" customFormat="1" x14ac:dyDescent="0.2">
      <c r="C288" s="316"/>
    </row>
    <row r="289" spans="3:3" s="252" customFormat="1" x14ac:dyDescent="0.2">
      <c r="C289" s="316"/>
    </row>
    <row r="290" spans="3:3" s="252" customFormat="1" x14ac:dyDescent="0.2">
      <c r="C290" s="316"/>
    </row>
    <row r="291" spans="3:3" s="252" customFormat="1" x14ac:dyDescent="0.2">
      <c r="C291" s="316"/>
    </row>
    <row r="292" spans="3:3" s="252" customFormat="1" x14ac:dyDescent="0.2">
      <c r="C292" s="316"/>
    </row>
    <row r="293" spans="3:3" s="252" customFormat="1" x14ac:dyDescent="0.2">
      <c r="C293" s="316"/>
    </row>
    <row r="294" spans="3:3" s="252" customFormat="1" x14ac:dyDescent="0.2">
      <c r="C294" s="316"/>
    </row>
    <row r="295" spans="3:3" s="252" customFormat="1" x14ac:dyDescent="0.2">
      <c r="C295" s="316"/>
    </row>
    <row r="296" spans="3:3" s="252" customFormat="1" x14ac:dyDescent="0.2">
      <c r="C296" s="316"/>
    </row>
    <row r="297" spans="3:3" s="252" customFormat="1" x14ac:dyDescent="0.2">
      <c r="C297" s="316"/>
    </row>
    <row r="298" spans="3:3" s="252" customFormat="1" x14ac:dyDescent="0.2">
      <c r="C298" s="316"/>
    </row>
  </sheetData>
  <mergeCells count="27">
    <mergeCell ref="N6:Q6"/>
    <mergeCell ref="R6:R8"/>
    <mergeCell ref="S6:S8"/>
    <mergeCell ref="G7:G8"/>
    <mergeCell ref="H7:H8"/>
    <mergeCell ref="I7:I8"/>
    <mergeCell ref="J7:J8"/>
    <mergeCell ref="K7:K8"/>
    <mergeCell ref="N7:N8"/>
    <mergeCell ref="O7:O8"/>
    <mergeCell ref="P7:P8"/>
    <mergeCell ref="Q7:Q8"/>
    <mergeCell ref="D81:F81"/>
    <mergeCell ref="D82:F82"/>
    <mergeCell ref="G5:M5"/>
    <mergeCell ref="B6:B8"/>
    <mergeCell ref="C6:C8"/>
    <mergeCell ref="D6:D8"/>
    <mergeCell ref="E6:E8"/>
    <mergeCell ref="F6:F8"/>
    <mergeCell ref="G6:K6"/>
    <mergeCell ref="L6:L8"/>
    <mergeCell ref="M6:M8"/>
    <mergeCell ref="B72:C72"/>
    <mergeCell ref="B74:C74"/>
    <mergeCell ref="K65:M65"/>
    <mergeCell ref="K64:M64"/>
  </mergeCells>
  <pageMargins left="0.70866141732283472" right="0.70866141732283472" top="0.35433070866141736" bottom="0.19685039370078741" header="0.23622047244094491" footer="0.15748031496062992"/>
  <pageSetup paperSize="9" scale="62" orientation="landscape"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2" tint="-0.499984740745262"/>
  </sheetPr>
  <dimension ref="A1:U51"/>
  <sheetViews>
    <sheetView workbookViewId="0">
      <selection activeCell="K23" sqref="K23"/>
    </sheetView>
  </sheetViews>
  <sheetFormatPr defaultColWidth="9.140625" defaultRowHeight="15" x14ac:dyDescent="0.25"/>
  <cols>
    <col min="1" max="1" width="18.7109375" style="401" customWidth="1"/>
    <col min="2" max="3" width="9.140625" style="401" hidden="1" customWidth="1"/>
    <col min="4" max="6" width="10.42578125" style="401" customWidth="1"/>
    <col min="7" max="7" width="9.140625" style="401" hidden="1" customWidth="1"/>
    <col min="8" max="8" width="9.140625" style="401" customWidth="1"/>
    <col min="9" max="9" width="8.28515625" style="401" customWidth="1"/>
    <col min="10" max="10" width="10.42578125" style="401" customWidth="1"/>
    <col min="11" max="11" width="9.85546875" style="401" customWidth="1"/>
    <col min="12" max="12" width="8.140625" style="401" customWidth="1"/>
    <col min="13" max="13" width="9.140625" style="401" customWidth="1"/>
    <col min="14" max="14" width="9.7109375" style="401" customWidth="1"/>
    <col min="15" max="15" width="10.7109375" style="401" customWidth="1"/>
    <col min="16" max="16" width="11" style="401" customWidth="1"/>
    <col min="17" max="16384" width="9.140625" style="401"/>
  </cols>
  <sheetData>
    <row r="1" spans="1:21" x14ac:dyDescent="0.25">
      <c r="O1" s="4167" t="s">
        <v>835</v>
      </c>
      <c r="P1" s="4167"/>
    </row>
    <row r="3" spans="1:21" ht="17.25" customHeight="1" x14ac:dyDescent="0.25">
      <c r="A3" s="4168" t="s">
        <v>1090</v>
      </c>
      <c r="B3" s="4168"/>
      <c r="C3" s="4168"/>
      <c r="D3" s="4168"/>
      <c r="E3" s="4168"/>
      <c r="F3" s="4168"/>
      <c r="G3" s="4168"/>
      <c r="H3" s="4168"/>
      <c r="I3" s="4168"/>
      <c r="J3" s="4169" t="str">
        <f>'Вхідні дані'!$F$5</f>
        <v>ЧФ ДП "АМПУ"</v>
      </c>
      <c r="K3" s="4169"/>
      <c r="L3" s="4169"/>
      <c r="M3" s="4169"/>
      <c r="N3" s="455" t="s">
        <v>461</v>
      </c>
      <c r="O3" s="1031" t="str">
        <f>'Вхідні дані'!$F$6</f>
        <v>2023-2024</v>
      </c>
      <c r="P3" s="455" t="s">
        <v>648</v>
      </c>
      <c r="R3" s="4164" t="s">
        <v>2600</v>
      </c>
      <c r="S3" s="4164"/>
      <c r="T3" s="4164"/>
      <c r="U3" s="4164"/>
    </row>
    <row r="4" spans="1:21" ht="23.25" customHeight="1" x14ac:dyDescent="0.25">
      <c r="A4" s="454"/>
      <c r="B4" s="454"/>
      <c r="C4" s="454"/>
      <c r="D4" s="454"/>
      <c r="E4" s="454"/>
      <c r="F4" s="454"/>
      <c r="G4" s="454"/>
      <c r="H4" s="454"/>
      <c r="I4" s="454"/>
      <c r="J4" s="454"/>
      <c r="K4" s="454"/>
      <c r="L4" s="454"/>
      <c r="M4" s="454"/>
      <c r="N4" s="454"/>
      <c r="O4" s="454"/>
      <c r="P4" s="454"/>
    </row>
    <row r="5" spans="1:21" ht="13.9" customHeight="1" x14ac:dyDescent="0.25">
      <c r="A5" s="4163" t="s">
        <v>1091</v>
      </c>
      <c r="B5" s="4163" t="s">
        <v>1653</v>
      </c>
      <c r="C5" s="4163"/>
      <c r="D5" s="4163"/>
      <c r="E5" s="4163"/>
      <c r="F5" s="4163"/>
      <c r="G5" s="4163"/>
      <c r="H5" s="4163"/>
      <c r="I5" s="4163" t="s">
        <v>1654</v>
      </c>
      <c r="J5" s="4163"/>
      <c r="K5" s="4163"/>
      <c r="L5" s="4163"/>
      <c r="M5" s="4163"/>
      <c r="N5" s="4163" t="s">
        <v>974</v>
      </c>
      <c r="O5" s="4163" t="s">
        <v>975</v>
      </c>
      <c r="P5" s="4163" t="s">
        <v>2277</v>
      </c>
    </row>
    <row r="6" spans="1:21" x14ac:dyDescent="0.25">
      <c r="A6" s="4163"/>
      <c r="B6" s="4163" t="s">
        <v>129</v>
      </c>
      <c r="C6" s="4163"/>
      <c r="D6" s="4163"/>
      <c r="E6" s="4163"/>
      <c r="F6" s="4163"/>
      <c r="G6" s="4163"/>
      <c r="H6" s="4163" t="s">
        <v>976</v>
      </c>
      <c r="I6" s="4163" t="s">
        <v>977</v>
      </c>
      <c r="J6" s="4163"/>
      <c r="K6" s="4163"/>
      <c r="L6" s="4163"/>
      <c r="M6" s="4163" t="s">
        <v>978</v>
      </c>
      <c r="N6" s="4163"/>
      <c r="O6" s="4163"/>
      <c r="P6" s="4163"/>
    </row>
    <row r="7" spans="1:21" ht="21" x14ac:dyDescent="0.25">
      <c r="A7" s="4163"/>
      <c r="B7" s="599" t="s">
        <v>979</v>
      </c>
      <c r="C7" s="599" t="s">
        <v>980</v>
      </c>
      <c r="D7" s="599" t="s">
        <v>981</v>
      </c>
      <c r="E7" s="599" t="s">
        <v>982</v>
      </c>
      <c r="F7" s="599" t="s">
        <v>983</v>
      </c>
      <c r="G7" s="599" t="s">
        <v>984</v>
      </c>
      <c r="H7" s="4163"/>
      <c r="I7" s="600" t="s">
        <v>2504</v>
      </c>
      <c r="J7" s="600" t="s">
        <v>2505</v>
      </c>
      <c r="K7" s="600" t="s">
        <v>2506</v>
      </c>
      <c r="L7" s="600" t="s">
        <v>2507</v>
      </c>
      <c r="M7" s="4163"/>
      <c r="N7" s="4163"/>
      <c r="O7" s="4163"/>
      <c r="P7" s="4163"/>
    </row>
    <row r="8" spans="1:21" x14ac:dyDescent="0.25">
      <c r="A8" s="4163"/>
      <c r="B8" s="4163" t="s">
        <v>985</v>
      </c>
      <c r="C8" s="4163"/>
      <c r="D8" s="4163"/>
      <c r="E8" s="4163"/>
      <c r="F8" s="4163"/>
      <c r="G8" s="4163"/>
      <c r="H8" s="4163"/>
      <c r="I8" s="4163" t="s">
        <v>986</v>
      </c>
      <c r="J8" s="4163"/>
      <c r="K8" s="4163"/>
      <c r="L8" s="4163"/>
      <c r="M8" s="4163"/>
      <c r="N8" s="4163"/>
      <c r="O8" s="4163"/>
      <c r="P8" s="4163"/>
    </row>
    <row r="9" spans="1:21" ht="30" customHeight="1" x14ac:dyDescent="0.25">
      <c r="A9" s="4163"/>
      <c r="B9" s="601"/>
      <c r="C9" s="601"/>
      <c r="D9" s="601">
        <f>26.59/1.2*'Вхідні дані'!D77</f>
        <v>23.421358333333334</v>
      </c>
      <c r="E9" s="601">
        <f>22.063333*'Вхідні дані'!D77</f>
        <v>23.320942980999998</v>
      </c>
      <c r="F9" s="601">
        <f>25.49/1.2*'Вхідні дані'!D77</f>
        <v>22.452441666666665</v>
      </c>
      <c r="G9" s="601"/>
      <c r="H9" s="4163"/>
      <c r="I9" s="601">
        <v>55.4</v>
      </c>
      <c r="J9" s="601">
        <v>9.1999999999999993</v>
      </c>
      <c r="K9" s="601">
        <v>2.66</v>
      </c>
      <c r="L9" s="601">
        <v>7.5</v>
      </c>
      <c r="M9" s="4163"/>
      <c r="N9" s="4163"/>
      <c r="O9" s="4163"/>
      <c r="P9" s="4163"/>
      <c r="R9" s="4165" t="s">
        <v>2602</v>
      </c>
      <c r="S9" s="4165"/>
      <c r="T9" s="4165"/>
      <c r="U9" s="4165"/>
    </row>
    <row r="10" spans="1:21" s="404" customFormat="1" ht="14.25" x14ac:dyDescent="0.25">
      <c r="A10" s="402">
        <v>1</v>
      </c>
      <c r="B10" s="402">
        <v>2</v>
      </c>
      <c r="C10" s="402">
        <v>3</v>
      </c>
      <c r="D10" s="402">
        <v>4</v>
      </c>
      <c r="E10" s="402">
        <v>5</v>
      </c>
      <c r="F10" s="402">
        <v>6</v>
      </c>
      <c r="G10" s="402">
        <v>7</v>
      </c>
      <c r="H10" s="402">
        <v>8</v>
      </c>
      <c r="I10" s="402">
        <v>9</v>
      </c>
      <c r="J10" s="402">
        <v>10</v>
      </c>
      <c r="K10" s="402">
        <v>11</v>
      </c>
      <c r="L10" s="402">
        <v>12</v>
      </c>
      <c r="M10" s="402">
        <v>13</v>
      </c>
      <c r="N10" s="403">
        <v>14</v>
      </c>
      <c r="O10" s="402">
        <v>15</v>
      </c>
      <c r="P10" s="402">
        <v>16</v>
      </c>
    </row>
    <row r="11" spans="1:21" x14ac:dyDescent="0.25">
      <c r="A11" s="405" t="s">
        <v>987</v>
      </c>
      <c r="B11" s="602"/>
      <c r="C11" s="602"/>
      <c r="D11" s="602">
        <v>0</v>
      </c>
      <c r="E11" s="602">
        <v>0</v>
      </c>
      <c r="F11" s="602">
        <v>0</v>
      </c>
      <c r="G11" s="602"/>
      <c r="H11" s="603">
        <f t="shared" ref="H11:H18" si="0">SUM(B11:G11)</f>
        <v>0</v>
      </c>
      <c r="I11" s="602"/>
      <c r="J11" s="602"/>
      <c r="K11" s="602"/>
      <c r="L11" s="602"/>
      <c r="M11" s="603">
        <f>SUM(I11:L11)</f>
        <v>0</v>
      </c>
      <c r="N11" s="604">
        <f t="shared" ref="N11:N18" si="1">M11+H11</f>
        <v>0</v>
      </c>
      <c r="O11" s="605">
        <v>1932.37</v>
      </c>
      <c r="P11" s="605">
        <v>1724.43</v>
      </c>
    </row>
    <row r="12" spans="1:21" x14ac:dyDescent="0.25">
      <c r="A12" s="405" t="s">
        <v>988</v>
      </c>
      <c r="B12" s="1472"/>
      <c r="C12" s="602"/>
      <c r="D12" s="602">
        <v>1045.53</v>
      </c>
      <c r="E12" s="602">
        <v>57252.69</v>
      </c>
      <c r="F12" s="602">
        <v>184007.22</v>
      </c>
      <c r="G12" s="602"/>
      <c r="H12" s="603">
        <f>SUM(C12:G12)</f>
        <v>242305.44</v>
      </c>
      <c r="I12" s="602">
        <v>13797.45</v>
      </c>
      <c r="J12" s="602">
        <v>284.02999999999997</v>
      </c>
      <c r="K12" s="602">
        <v>21.1</v>
      </c>
      <c r="L12" s="602">
        <v>195.1</v>
      </c>
      <c r="M12" s="603">
        <f t="shared" ref="M12:M17" si="2">SUM(I12:L12)</f>
        <v>14297.680000000002</v>
      </c>
      <c r="N12" s="604">
        <f t="shared" si="1"/>
        <v>256603.12</v>
      </c>
      <c r="O12" s="605">
        <v>243551.94</v>
      </c>
      <c r="P12" s="605">
        <v>204786.56</v>
      </c>
    </row>
    <row r="13" spans="1:21" x14ac:dyDescent="0.25">
      <c r="A13" s="405" t="s">
        <v>989</v>
      </c>
      <c r="B13" s="1472"/>
      <c r="C13" s="602"/>
      <c r="D13" s="602">
        <v>0</v>
      </c>
      <c r="E13" s="602">
        <v>0</v>
      </c>
      <c r="F13" s="602">
        <v>0</v>
      </c>
      <c r="G13" s="602"/>
      <c r="H13" s="603">
        <f>SUM(C13:G13)</f>
        <v>0</v>
      </c>
      <c r="I13" s="602"/>
      <c r="J13" s="602"/>
      <c r="K13" s="602"/>
      <c r="L13" s="602"/>
      <c r="M13" s="603">
        <f t="shared" si="2"/>
        <v>0</v>
      </c>
      <c r="N13" s="604">
        <f t="shared" si="1"/>
        <v>0</v>
      </c>
      <c r="O13" s="602">
        <v>0</v>
      </c>
      <c r="P13" s="602">
        <v>0</v>
      </c>
    </row>
    <row r="14" spans="1:21" ht="38.25" x14ac:dyDescent="0.25">
      <c r="A14" s="405" t="s">
        <v>990</v>
      </c>
      <c r="B14" s="1472"/>
      <c r="C14" s="602"/>
      <c r="D14" s="602">
        <v>0</v>
      </c>
      <c r="E14" s="602">
        <v>0</v>
      </c>
      <c r="F14" s="602">
        <v>0</v>
      </c>
      <c r="G14" s="602"/>
      <c r="H14" s="603">
        <f>SUM(C14:G14)</f>
        <v>0</v>
      </c>
      <c r="I14" s="602"/>
      <c r="J14" s="602"/>
      <c r="K14" s="602"/>
      <c r="L14" s="602"/>
      <c r="M14" s="603">
        <f t="shared" si="2"/>
        <v>0</v>
      </c>
      <c r="N14" s="604">
        <f t="shared" si="1"/>
        <v>0</v>
      </c>
      <c r="O14" s="602">
        <v>0</v>
      </c>
      <c r="P14" s="602">
        <v>0</v>
      </c>
    </row>
    <row r="15" spans="1:21" ht="25.5" x14ac:dyDescent="0.25">
      <c r="A15" s="405" t="s">
        <v>991</v>
      </c>
      <c r="B15" s="1472"/>
      <c r="C15" s="602"/>
      <c r="D15" s="602">
        <v>0</v>
      </c>
      <c r="E15" s="602">
        <v>0</v>
      </c>
      <c r="F15" s="602">
        <v>0</v>
      </c>
      <c r="G15" s="602"/>
      <c r="H15" s="603">
        <f>SUM(C15:G15)</f>
        <v>0</v>
      </c>
      <c r="I15" s="602"/>
      <c r="J15" s="602"/>
      <c r="K15" s="602"/>
      <c r="L15" s="602"/>
      <c r="M15" s="603">
        <f t="shared" si="2"/>
        <v>0</v>
      </c>
      <c r="N15" s="604">
        <f t="shared" si="1"/>
        <v>0</v>
      </c>
      <c r="O15" s="602">
        <v>0</v>
      </c>
      <c r="P15" s="602">
        <v>0</v>
      </c>
    </row>
    <row r="16" spans="1:21" ht="25.5" x14ac:dyDescent="0.25">
      <c r="A16" s="405" t="s">
        <v>992</v>
      </c>
      <c r="B16" s="1472"/>
      <c r="C16" s="602"/>
      <c r="D16" s="602">
        <v>22922.73</v>
      </c>
      <c r="E16" s="602">
        <v>107773.57</v>
      </c>
      <c r="F16" s="602">
        <v>0</v>
      </c>
      <c r="G16" s="602"/>
      <c r="H16" s="603">
        <f>SUM(C16:G16)</f>
        <v>130696.3</v>
      </c>
      <c r="I16" s="602">
        <v>2621.44</v>
      </c>
      <c r="J16" s="602">
        <v>68.14</v>
      </c>
      <c r="K16" s="602">
        <v>3.87</v>
      </c>
      <c r="L16" s="602">
        <v>51.95</v>
      </c>
      <c r="M16" s="603">
        <f t="shared" si="2"/>
        <v>2745.3999999999996</v>
      </c>
      <c r="N16" s="604">
        <f t="shared" si="1"/>
        <v>133441.70000000001</v>
      </c>
      <c r="O16" s="602">
        <v>0</v>
      </c>
      <c r="P16" s="602">
        <v>0</v>
      </c>
    </row>
    <row r="17" spans="1:16" ht="25.5" x14ac:dyDescent="0.25">
      <c r="A17" s="405" t="s">
        <v>993</v>
      </c>
      <c r="B17" s="602"/>
      <c r="C17" s="602"/>
      <c r="D17" s="602">
        <v>0</v>
      </c>
      <c r="E17" s="602">
        <v>51540.63</v>
      </c>
      <c r="F17" s="602">
        <v>0</v>
      </c>
      <c r="G17" s="602"/>
      <c r="H17" s="603">
        <f t="shared" si="0"/>
        <v>51540.63</v>
      </c>
      <c r="I17" s="602">
        <v>719.98</v>
      </c>
      <c r="J17" s="602">
        <v>19.93</v>
      </c>
      <c r="K17" s="602">
        <v>1.73</v>
      </c>
      <c r="L17" s="602">
        <v>16.25</v>
      </c>
      <c r="M17" s="603">
        <f t="shared" si="2"/>
        <v>757.89</v>
      </c>
      <c r="N17" s="604">
        <f t="shared" si="1"/>
        <v>52298.52</v>
      </c>
      <c r="O17" s="605">
        <v>114881.86</v>
      </c>
      <c r="P17" s="605">
        <v>87704.57</v>
      </c>
    </row>
    <row r="18" spans="1:16" s="404" customFormat="1" ht="14.25" x14ac:dyDescent="0.25">
      <c r="A18" s="417" t="s">
        <v>994</v>
      </c>
      <c r="B18" s="606">
        <f t="shared" ref="B18:G18" si="3">SUM(B11:B17)</f>
        <v>0</v>
      </c>
      <c r="C18" s="606">
        <f t="shared" si="3"/>
        <v>0</v>
      </c>
      <c r="D18" s="606">
        <f t="shared" si="3"/>
        <v>23968.26</v>
      </c>
      <c r="E18" s="606">
        <f t="shared" si="3"/>
        <v>216566.89</v>
      </c>
      <c r="F18" s="606">
        <f t="shared" si="3"/>
        <v>184007.22</v>
      </c>
      <c r="G18" s="606">
        <f t="shared" si="3"/>
        <v>0</v>
      </c>
      <c r="H18" s="606">
        <f t="shared" si="0"/>
        <v>424542.37</v>
      </c>
      <c r="I18" s="606">
        <f>SUM(I11:I17)</f>
        <v>17138.87</v>
      </c>
      <c r="J18" s="606">
        <f>SUM(J11:J17)</f>
        <v>372.09999999999997</v>
      </c>
      <c r="K18" s="606">
        <f>SUM(K11:K17)</f>
        <v>26.700000000000003</v>
      </c>
      <c r="L18" s="606">
        <f>SUM(L11:L17)</f>
        <v>263.3</v>
      </c>
      <c r="M18" s="606">
        <f>SUM(I18:L18)</f>
        <v>17800.969999999998</v>
      </c>
      <c r="N18" s="606">
        <f t="shared" si="1"/>
        <v>442343.33999999997</v>
      </c>
      <c r="O18" s="607">
        <f>SUM(O11:O17)</f>
        <v>360366.17</v>
      </c>
      <c r="P18" s="607">
        <f>SUM(P11:P17)</f>
        <v>294215.56</v>
      </c>
    </row>
    <row r="21" spans="1:16" ht="15.75" x14ac:dyDescent="0.25">
      <c r="A21" s="4170" t="str">
        <f>'Вхідні дані'!B13</f>
        <v>В.о. начальника Адміністрації морського порту Чорноморськ</v>
      </c>
      <c r="B21" s="4170"/>
      <c r="C21" s="4170"/>
      <c r="D21" s="4170"/>
      <c r="E21" s="4170"/>
      <c r="F21" s="406"/>
      <c r="G21" s="406"/>
      <c r="H21" s="407" t="s">
        <v>369</v>
      </c>
      <c r="I21" s="406"/>
      <c r="J21" s="406"/>
      <c r="K21" s="406"/>
      <c r="L21" s="406"/>
      <c r="M21" s="406"/>
      <c r="N21" s="4124" t="str">
        <f>'Вхідні дані'!$F$13</f>
        <v>Юрій СОКОЛОВ</v>
      </c>
      <c r="O21" s="4124"/>
      <c r="P21" s="4124"/>
    </row>
    <row r="22" spans="1:16" x14ac:dyDescent="0.25">
      <c r="B22" s="408"/>
      <c r="C22" s="409"/>
      <c r="D22" s="409"/>
      <c r="E22" s="406"/>
      <c r="F22" s="406"/>
      <c r="G22" s="406"/>
      <c r="H22" s="410" t="s">
        <v>220</v>
      </c>
      <c r="I22" s="406"/>
      <c r="J22" s="406"/>
      <c r="K22" s="406"/>
      <c r="L22" s="406"/>
      <c r="M22" s="406"/>
      <c r="N22" s="4125" t="s">
        <v>1946</v>
      </c>
      <c r="O22" s="4125"/>
      <c r="P22" s="4125"/>
    </row>
    <row r="23" spans="1:16" ht="15.75" x14ac:dyDescent="0.25">
      <c r="A23" s="4170" t="str">
        <f>'Вхідні дані'!B15</f>
        <v>Заступник начальника з економіки та фінансів</v>
      </c>
      <c r="B23" s="4170"/>
      <c r="C23" s="4170"/>
      <c r="D23" s="4170"/>
      <c r="E23" s="4170"/>
      <c r="F23" s="406"/>
      <c r="G23" s="406"/>
      <c r="H23" s="407" t="s">
        <v>369</v>
      </c>
      <c r="I23" s="406"/>
      <c r="J23" s="406"/>
      <c r="K23" s="406"/>
      <c r="L23" s="406"/>
      <c r="M23" s="406"/>
      <c r="N23" s="4124" t="str">
        <f>'Вхідні дані'!$F$15</f>
        <v>Наталія БАРТОШИК</v>
      </c>
      <c r="O23" s="4124"/>
      <c r="P23" s="4124"/>
    </row>
    <row r="24" spans="1:16" ht="15.75" x14ac:dyDescent="0.25">
      <c r="B24" s="412"/>
      <c r="C24" s="409"/>
      <c r="D24" s="406"/>
      <c r="E24" s="406"/>
      <c r="F24" s="406"/>
      <c r="G24" s="406"/>
      <c r="H24" s="410" t="s">
        <v>220</v>
      </c>
      <c r="I24" s="406"/>
      <c r="J24" s="406"/>
      <c r="K24" s="406"/>
      <c r="L24" s="406"/>
      <c r="M24" s="406"/>
      <c r="N24" s="4125" t="s">
        <v>1946</v>
      </c>
      <c r="O24" s="4125"/>
      <c r="P24" s="4125"/>
    </row>
    <row r="25" spans="1:16" x14ac:dyDescent="0.25">
      <c r="A25" s="4166" t="s">
        <v>925</v>
      </c>
      <c r="B25" s="4166"/>
      <c r="C25" s="4166"/>
      <c r="D25" s="4166"/>
      <c r="E25" s="4166"/>
    </row>
    <row r="26" spans="1:16" ht="18.75" x14ac:dyDescent="0.3">
      <c r="B26" s="413"/>
      <c r="C26" s="414"/>
      <c r="D26" s="414"/>
      <c r="E26" s="415"/>
      <c r="F26" s="406"/>
      <c r="G26" s="406"/>
      <c r="H26" s="407"/>
      <c r="I26" s="406"/>
      <c r="J26" s="406"/>
      <c r="K26" s="406"/>
      <c r="L26" s="406"/>
      <c r="M26" s="406"/>
      <c r="N26" s="406"/>
      <c r="O26" s="416"/>
    </row>
    <row r="27" spans="1:16" x14ac:dyDescent="0.25">
      <c r="B27" s="408"/>
      <c r="C27" s="409"/>
      <c r="D27" s="409"/>
      <c r="E27" s="406"/>
      <c r="F27" s="406"/>
      <c r="G27" s="406"/>
      <c r="H27" s="410"/>
      <c r="I27" s="406"/>
      <c r="J27" s="406"/>
      <c r="K27" s="406"/>
      <c r="L27" s="406"/>
      <c r="M27" s="406"/>
      <c r="N27" s="406"/>
      <c r="O27" s="411"/>
    </row>
    <row r="29" spans="1:16" x14ac:dyDescent="0.25">
      <c r="D29" s="487"/>
      <c r="E29" s="487"/>
      <c r="F29" s="487"/>
      <c r="G29" s="487"/>
      <c r="H29" s="487"/>
      <c r="I29" s="487"/>
      <c r="J29" s="487"/>
      <c r="K29" s="487"/>
      <c r="L29" s="487"/>
      <c r="M29" s="487"/>
      <c r="N29" s="487"/>
      <c r="O29" s="487"/>
      <c r="P29" s="487"/>
    </row>
    <row r="51" spans="3:3" x14ac:dyDescent="0.25">
      <c r="C51" s="401">
        <v>4.68</v>
      </c>
    </row>
  </sheetData>
  <mergeCells count="24">
    <mergeCell ref="A25:E25"/>
    <mergeCell ref="O1:P1"/>
    <mergeCell ref="A3:I3"/>
    <mergeCell ref="J3:M3"/>
    <mergeCell ref="N21:P21"/>
    <mergeCell ref="N23:P23"/>
    <mergeCell ref="N22:P22"/>
    <mergeCell ref="N24:P24"/>
    <mergeCell ref="M6:M9"/>
    <mergeCell ref="B8:G8"/>
    <mergeCell ref="I8:L8"/>
    <mergeCell ref="A21:E21"/>
    <mergeCell ref="A23:E23"/>
    <mergeCell ref="A5:A9"/>
    <mergeCell ref="B5:H5"/>
    <mergeCell ref="I5:M5"/>
    <mergeCell ref="B6:G6"/>
    <mergeCell ref="H6:H9"/>
    <mergeCell ref="I6:L6"/>
    <mergeCell ref="R3:U3"/>
    <mergeCell ref="R9:U9"/>
    <mergeCell ref="N5:N9"/>
    <mergeCell ref="O5:O9"/>
    <mergeCell ref="P5:P9"/>
  </mergeCells>
  <pageMargins left="0.3" right="0.15748031496062992" top="0.48" bottom="0.52" header="0.43" footer="0.31496062992125984"/>
  <pageSetup paperSize="9" orientation="landscape"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2" tint="-0.499984740745262"/>
    <pageSetUpPr fitToPage="1"/>
  </sheetPr>
  <dimension ref="A1:Y176"/>
  <sheetViews>
    <sheetView topLeftCell="A95" zoomScale="75" zoomScaleNormal="75" workbookViewId="0">
      <selection activeCell="P124" sqref="P124:Q124"/>
    </sheetView>
  </sheetViews>
  <sheetFormatPr defaultColWidth="8.85546875" defaultRowHeight="15.75" x14ac:dyDescent="0.25"/>
  <cols>
    <col min="1" max="1" width="8.85546875" style="418"/>
    <col min="2" max="2" width="5.28515625" style="419" customWidth="1"/>
    <col min="3" max="3" width="33.42578125" style="420" customWidth="1"/>
    <col min="4" max="4" width="8.5703125" style="421" customWidth="1"/>
    <col min="5" max="5" width="11.85546875" style="421" customWidth="1"/>
    <col min="6" max="6" width="9.28515625" style="421" customWidth="1"/>
    <col min="7" max="7" width="10.85546875" style="421" customWidth="1"/>
    <col min="8" max="8" width="8" style="421" customWidth="1"/>
    <col min="9" max="9" width="10.140625" style="421" customWidth="1"/>
    <col min="10" max="10" width="5.7109375" style="421" customWidth="1"/>
    <col min="11" max="11" width="8.85546875" style="421"/>
    <col min="12" max="12" width="5.7109375" style="421" customWidth="1"/>
    <col min="13" max="13" width="8.85546875" style="421"/>
    <col min="14" max="14" width="7" style="421" customWidth="1"/>
    <col min="15" max="15" width="10" style="421" bestFit="1" customWidth="1"/>
    <col min="16" max="16" width="7.28515625" style="421" bestFit="1" customWidth="1"/>
    <col min="17" max="17" width="13.85546875" style="421" bestFit="1" customWidth="1"/>
    <col min="18" max="18" width="5.42578125" style="421" customWidth="1"/>
    <col min="19" max="19" width="9.85546875" style="421" bestFit="1" customWidth="1"/>
    <col min="20" max="20" width="24.5703125" style="1395" customWidth="1"/>
    <col min="21" max="16384" width="8.85546875" style="421"/>
  </cols>
  <sheetData>
    <row r="1" spans="1:25" x14ac:dyDescent="0.25">
      <c r="Q1" s="421" t="s">
        <v>956</v>
      </c>
    </row>
    <row r="3" spans="1:25" s="1398" customFormat="1" x14ac:dyDescent="0.25">
      <c r="A3" s="1396"/>
      <c r="B3" s="4219" t="s">
        <v>1655</v>
      </c>
      <c r="C3" s="4219"/>
      <c r="D3" s="4219"/>
      <c r="E3" s="4219"/>
      <c r="F3" s="4219"/>
      <c r="G3" s="4219"/>
      <c r="H3" s="1015" t="str">
        <f>'Вхідні дані'!$F$5</f>
        <v>ЧФ ДП "АМПУ"</v>
      </c>
      <c r="I3" s="1015"/>
      <c r="J3" s="1016"/>
      <c r="K3" s="1016"/>
      <c r="L3" s="1392"/>
      <c r="M3" s="1392" t="s">
        <v>461</v>
      </c>
      <c r="O3" s="1016" t="str">
        <f>'Вхідні дані'!$F$6</f>
        <v>2023-2024</v>
      </c>
      <c r="P3" s="1392" t="s">
        <v>648</v>
      </c>
      <c r="Q3" s="1392" t="s">
        <v>2296</v>
      </c>
      <c r="R3" s="1392"/>
      <c r="S3" s="1392"/>
    </row>
    <row r="4" spans="1:25" s="1398" customFormat="1" ht="16.5" thickBot="1" x14ac:dyDescent="0.3">
      <c r="A4" s="418"/>
      <c r="B4" s="419"/>
      <c r="C4" s="420"/>
      <c r="D4" s="421"/>
      <c r="E4" s="421"/>
      <c r="F4" s="421"/>
      <c r="G4" s="421"/>
      <c r="H4" s="421"/>
      <c r="I4" s="421"/>
      <c r="J4" s="421"/>
      <c r="K4" s="421"/>
      <c r="L4" s="421"/>
      <c r="M4" s="421"/>
      <c r="N4" s="421"/>
      <c r="O4" s="421"/>
      <c r="P4" s="421"/>
      <c r="Q4" s="421"/>
      <c r="R4" s="421"/>
      <c r="S4" s="421" t="s">
        <v>996</v>
      </c>
    </row>
    <row r="5" spans="1:25" s="1398" customFormat="1" x14ac:dyDescent="0.25">
      <c r="A5" s="418"/>
      <c r="B5" s="4209" t="s">
        <v>997</v>
      </c>
      <c r="C5" s="4211" t="s">
        <v>998</v>
      </c>
      <c r="D5" s="4209" t="s">
        <v>885</v>
      </c>
      <c r="E5" s="4213"/>
      <c r="F5" s="4209" t="s">
        <v>959</v>
      </c>
      <c r="G5" s="4213"/>
      <c r="H5" s="4209" t="s">
        <v>926</v>
      </c>
      <c r="I5" s="4214"/>
      <c r="J5" s="4209" t="s">
        <v>999</v>
      </c>
      <c r="K5" s="4213"/>
      <c r="L5" s="4215" t="s">
        <v>888</v>
      </c>
      <c r="M5" s="4214"/>
      <c r="N5" s="4209" t="s">
        <v>1000</v>
      </c>
      <c r="O5" s="4213"/>
      <c r="P5" s="4215" t="s">
        <v>1001</v>
      </c>
      <c r="Q5" s="4214"/>
      <c r="R5" s="4217" t="s">
        <v>1002</v>
      </c>
      <c r="S5" s="4218"/>
    </row>
    <row r="6" spans="1:25" s="1398" customFormat="1" ht="16.5" thickBot="1" x14ac:dyDescent="0.3">
      <c r="A6" s="418"/>
      <c r="B6" s="4210"/>
      <c r="C6" s="4212"/>
      <c r="D6" s="1391" t="s">
        <v>1003</v>
      </c>
      <c r="E6" s="422" t="s">
        <v>1004</v>
      </c>
      <c r="F6" s="1391" t="s">
        <v>1003</v>
      </c>
      <c r="G6" s="422" t="s">
        <v>1004</v>
      </c>
      <c r="H6" s="1391" t="s">
        <v>1003</v>
      </c>
      <c r="I6" s="422" t="s">
        <v>1004</v>
      </c>
      <c r="J6" s="1391" t="s">
        <v>1003</v>
      </c>
      <c r="K6" s="422" t="s">
        <v>1004</v>
      </c>
      <c r="L6" s="1391" t="s">
        <v>1003</v>
      </c>
      <c r="M6" s="422" t="s">
        <v>1004</v>
      </c>
      <c r="N6" s="1391" t="s">
        <v>1003</v>
      </c>
      <c r="O6" s="422" t="s">
        <v>1004</v>
      </c>
      <c r="P6" s="1391" t="s">
        <v>1003</v>
      </c>
      <c r="Q6" s="422" t="s">
        <v>1004</v>
      </c>
      <c r="R6" s="423" t="s">
        <v>1003</v>
      </c>
      <c r="S6" s="424" t="s">
        <v>1004</v>
      </c>
    </row>
    <row r="7" spans="1:25" s="1398" customFormat="1" ht="32.25" thickBot="1" x14ac:dyDescent="0.3">
      <c r="A7" s="425" t="s">
        <v>1005</v>
      </c>
      <c r="B7" s="426">
        <v>1</v>
      </c>
      <c r="C7" s="427" t="s">
        <v>1006</v>
      </c>
      <c r="D7" s="426">
        <v>15</v>
      </c>
      <c r="E7" s="506">
        <v>2250</v>
      </c>
      <c r="F7" s="426">
        <v>18</v>
      </c>
      <c r="G7" s="506">
        <v>2700</v>
      </c>
      <c r="H7" s="426">
        <v>0</v>
      </c>
      <c r="I7" s="505"/>
      <c r="J7" s="426">
        <v>0</v>
      </c>
      <c r="K7" s="506"/>
      <c r="L7" s="428">
        <v>0</v>
      </c>
      <c r="M7" s="505"/>
      <c r="N7" s="426">
        <v>2</v>
      </c>
      <c r="O7" s="506">
        <v>300</v>
      </c>
      <c r="P7" s="428">
        <v>2</v>
      </c>
      <c r="Q7" s="505">
        <v>300</v>
      </c>
      <c r="R7" s="429">
        <f t="shared" ref="R7:S12" si="0">D7+F7+H7+J7+L7+N7+P7</f>
        <v>37</v>
      </c>
      <c r="S7" s="507">
        <f>E7+G7+I7+K7+M7+O7+Q7</f>
        <v>5550</v>
      </c>
      <c r="U7" s="1398">
        <v>3</v>
      </c>
      <c r="V7" s="1398">
        <v>450</v>
      </c>
    </row>
    <row r="8" spans="1:25" s="1398" customFormat="1" ht="48" thickBot="1" x14ac:dyDescent="0.3">
      <c r="A8" s="430" t="s">
        <v>1005</v>
      </c>
      <c r="B8" s="426">
        <v>2</v>
      </c>
      <c r="C8" s="427" t="s">
        <v>1007</v>
      </c>
      <c r="D8" s="426">
        <v>0</v>
      </c>
      <c r="E8" s="506"/>
      <c r="F8" s="426">
        <v>5</v>
      </c>
      <c r="G8" s="506">
        <v>1916.3</v>
      </c>
      <c r="H8" s="426">
        <v>0</v>
      </c>
      <c r="I8" s="505"/>
      <c r="J8" s="426">
        <v>0</v>
      </c>
      <c r="K8" s="506"/>
      <c r="L8" s="428">
        <v>0</v>
      </c>
      <c r="M8" s="505"/>
      <c r="N8" s="426">
        <v>3</v>
      </c>
      <c r="O8" s="506">
        <v>1149.78</v>
      </c>
      <c r="P8" s="428">
        <v>1</v>
      </c>
      <c r="Q8" s="505">
        <v>383.26</v>
      </c>
      <c r="R8" s="429">
        <f t="shared" si="0"/>
        <v>9</v>
      </c>
      <c r="S8" s="507">
        <f t="shared" si="0"/>
        <v>3449.34</v>
      </c>
      <c r="U8" s="1398">
        <v>1</v>
      </c>
      <c r="V8" s="1398">
        <v>159.26</v>
      </c>
    </row>
    <row r="9" spans="1:25" s="1398" customFormat="1" ht="32.25" thickBot="1" x14ac:dyDescent="0.3">
      <c r="A9" s="430" t="s">
        <v>1005</v>
      </c>
      <c r="B9" s="426">
        <v>3</v>
      </c>
      <c r="C9" s="427" t="s">
        <v>1008</v>
      </c>
      <c r="D9" s="426">
        <v>15</v>
      </c>
      <c r="E9" s="506">
        <v>1524.75</v>
      </c>
      <c r="F9" s="426">
        <v>12</v>
      </c>
      <c r="G9" s="506">
        <v>1219.8</v>
      </c>
      <c r="H9" s="426">
        <v>0</v>
      </c>
      <c r="I9" s="505"/>
      <c r="J9" s="426">
        <v>0</v>
      </c>
      <c r="K9" s="506"/>
      <c r="L9" s="428">
        <v>0</v>
      </c>
      <c r="M9" s="505"/>
      <c r="N9" s="426">
        <v>2</v>
      </c>
      <c r="O9" s="506">
        <v>203.3</v>
      </c>
      <c r="P9" s="428">
        <v>2</v>
      </c>
      <c r="Q9" s="505">
        <v>203.3</v>
      </c>
      <c r="R9" s="429">
        <f t="shared" si="0"/>
        <v>31</v>
      </c>
      <c r="S9" s="507">
        <f t="shared" si="0"/>
        <v>3151.1500000000005</v>
      </c>
      <c r="U9" s="1398">
        <v>0</v>
      </c>
      <c r="V9" s="1398">
        <v>0</v>
      </c>
    </row>
    <row r="10" spans="1:25" s="1398" customFormat="1" ht="32.25" thickBot="1" x14ac:dyDescent="0.3">
      <c r="A10" s="430" t="s">
        <v>1005</v>
      </c>
      <c r="B10" s="426">
        <v>4</v>
      </c>
      <c r="C10" s="427" t="s">
        <v>1009</v>
      </c>
      <c r="D10" s="426">
        <v>4</v>
      </c>
      <c r="E10" s="506">
        <v>122.04</v>
      </c>
      <c r="F10" s="426">
        <v>7</v>
      </c>
      <c r="G10" s="506">
        <v>213.57</v>
      </c>
      <c r="H10" s="426">
        <v>0</v>
      </c>
      <c r="I10" s="505"/>
      <c r="J10" s="426">
        <v>0</v>
      </c>
      <c r="K10" s="506"/>
      <c r="L10" s="428">
        <v>0</v>
      </c>
      <c r="M10" s="505"/>
      <c r="N10" s="426">
        <v>3</v>
      </c>
      <c r="O10" s="506">
        <v>91.53</v>
      </c>
      <c r="P10" s="428">
        <v>2</v>
      </c>
      <c r="Q10" s="505">
        <v>61.02</v>
      </c>
      <c r="R10" s="429">
        <f t="shared" si="0"/>
        <v>16</v>
      </c>
      <c r="S10" s="507">
        <f t="shared" si="0"/>
        <v>488.15999999999997</v>
      </c>
      <c r="U10" s="1398">
        <v>0</v>
      </c>
      <c r="V10" s="1398">
        <v>0</v>
      </c>
    </row>
    <row r="11" spans="1:25" s="1398" customFormat="1" ht="32.25" thickBot="1" x14ac:dyDescent="0.3">
      <c r="A11" s="430" t="s">
        <v>1005</v>
      </c>
      <c r="B11" s="426">
        <v>5</v>
      </c>
      <c r="C11" s="431" t="s">
        <v>1010</v>
      </c>
      <c r="D11" s="426">
        <v>22</v>
      </c>
      <c r="E11" s="506">
        <v>9043.49</v>
      </c>
      <c r="F11" s="426">
        <v>21</v>
      </c>
      <c r="G11" s="506">
        <v>11469.94</v>
      </c>
      <c r="H11" s="426">
        <v>2</v>
      </c>
      <c r="I11" s="505">
        <v>744.24</v>
      </c>
      <c r="J11" s="426">
        <v>5</v>
      </c>
      <c r="K11" s="506">
        <v>1472.48</v>
      </c>
      <c r="L11" s="428">
        <v>2</v>
      </c>
      <c r="M11" s="505">
        <v>744.24</v>
      </c>
      <c r="N11" s="426">
        <v>10</v>
      </c>
      <c r="O11" s="506">
        <v>4105.78</v>
      </c>
      <c r="P11" s="428">
        <v>11</v>
      </c>
      <c r="Q11" s="505">
        <v>4093.32</v>
      </c>
      <c r="R11" s="429">
        <f>D11+F11+H11+J11+L11+N11+P11</f>
        <v>73</v>
      </c>
      <c r="S11" s="507">
        <f t="shared" si="0"/>
        <v>31673.49</v>
      </c>
      <c r="U11" s="1398">
        <v>7</v>
      </c>
      <c r="V11" s="1398">
        <v>3548.6880000000001</v>
      </c>
    </row>
    <row r="12" spans="1:25" s="1398" customFormat="1" ht="32.25" thickBot="1" x14ac:dyDescent="0.3">
      <c r="A12" s="430" t="s">
        <v>1011</v>
      </c>
      <c r="B12" s="426">
        <v>6</v>
      </c>
      <c r="C12" s="427" t="s">
        <v>1012</v>
      </c>
      <c r="D12" s="426">
        <v>2</v>
      </c>
      <c r="E12" s="506"/>
      <c r="F12" s="426">
        <v>0</v>
      </c>
      <c r="G12" s="506"/>
      <c r="H12" s="426">
        <v>0</v>
      </c>
      <c r="I12" s="505"/>
      <c r="J12" s="426">
        <v>0</v>
      </c>
      <c r="K12" s="506"/>
      <c r="L12" s="428">
        <v>0</v>
      </c>
      <c r="M12" s="505"/>
      <c r="N12" s="426">
        <v>1</v>
      </c>
      <c r="O12" s="506"/>
      <c r="P12" s="428">
        <v>0</v>
      </c>
      <c r="Q12" s="505"/>
      <c r="R12" s="429">
        <f t="shared" si="0"/>
        <v>3</v>
      </c>
      <c r="S12" s="507">
        <f t="shared" si="0"/>
        <v>0</v>
      </c>
      <c r="U12" s="1398">
        <v>0</v>
      </c>
      <c r="V12" s="1398">
        <v>0</v>
      </c>
    </row>
    <row r="13" spans="1:25" s="1398" customFormat="1" ht="16.5" thickBot="1" x14ac:dyDescent="0.3">
      <c r="A13" s="1396"/>
      <c r="B13" s="426">
        <v>7</v>
      </c>
      <c r="C13" s="432"/>
      <c r="D13" s="4220">
        <f>SUM(E7:E12)</f>
        <v>12940.279999999999</v>
      </c>
      <c r="E13" s="4221"/>
      <c r="F13" s="4220">
        <f>SUM(G7:G12)</f>
        <v>17519.61</v>
      </c>
      <c r="G13" s="4221"/>
      <c r="H13" s="4220">
        <f>SUM(I7:I12)</f>
        <v>744.24</v>
      </c>
      <c r="I13" s="4221"/>
      <c r="J13" s="4220">
        <f>SUM(K7:K12)</f>
        <v>1472.48</v>
      </c>
      <c r="K13" s="4221"/>
      <c r="L13" s="4220">
        <f>SUM(M7:M12)</f>
        <v>744.24</v>
      </c>
      <c r="M13" s="4221"/>
      <c r="N13" s="4220">
        <f>SUM(O7:O12)</f>
        <v>5850.3899999999994</v>
      </c>
      <c r="O13" s="4221"/>
      <c r="P13" s="4220">
        <f>SUM(Q7:Q12)</f>
        <v>5040.8999999999996</v>
      </c>
      <c r="Q13" s="4221"/>
      <c r="R13" s="4194">
        <f>IF(D13+F13+H13+J13+L13+N13+P13=S12+S11+S10+S9+S8+S7,D13+F13+H13+J13+L13+N13+P13,"'ошибка'")</f>
        <v>44312.14</v>
      </c>
      <c r="S13" s="4195"/>
    </row>
    <row r="15" spans="1:25" ht="15.6" customHeight="1" x14ac:dyDescent="0.25">
      <c r="A15" s="1372"/>
      <c r="B15" s="4196" t="s">
        <v>2601</v>
      </c>
      <c r="C15" s="4196"/>
      <c r="D15" s="4196"/>
      <c r="E15" s="4196"/>
      <c r="F15" s="4196"/>
      <c r="G15" s="4196"/>
      <c r="H15" s="4196"/>
      <c r="I15" s="4196"/>
      <c r="J15" s="4196"/>
      <c r="K15" s="4196"/>
      <c r="L15" s="4196"/>
      <c r="M15" s="4196"/>
      <c r="N15" s="4196"/>
      <c r="O15" s="4196"/>
      <c r="P15" s="4196"/>
      <c r="Q15" s="4196"/>
      <c r="R15" s="4196"/>
      <c r="S15" s="4196"/>
      <c r="T15" s="1373"/>
      <c r="U15" s="1371"/>
      <c r="V15" s="1371"/>
      <c r="W15" s="1371"/>
      <c r="X15" s="1371"/>
      <c r="Y15" s="1371"/>
    </row>
    <row r="16" spans="1:25" x14ac:dyDescent="0.25">
      <c r="Q16" s="421" t="s">
        <v>956</v>
      </c>
    </row>
    <row r="18" spans="1:25" s="434" customFormat="1" x14ac:dyDescent="0.25">
      <c r="A18" s="1396"/>
      <c r="C18" s="608" t="s">
        <v>1656</v>
      </c>
      <c r="E18" s="608"/>
      <c r="F18" s="608"/>
      <c r="G18" s="608"/>
      <c r="H18" s="1015" t="str">
        <f>'Вхідні дані'!$F$5</f>
        <v>ЧФ ДП "АМПУ"</v>
      </c>
      <c r="I18" s="1015"/>
      <c r="J18" s="1016"/>
      <c r="K18" s="1016"/>
      <c r="L18" s="1392"/>
      <c r="M18" s="1392" t="s">
        <v>461</v>
      </c>
      <c r="N18" s="1398"/>
      <c r="O18" s="1016" t="str">
        <f>'Вхідні дані'!$F$6</f>
        <v>2023-2024</v>
      </c>
      <c r="P18" s="608" t="s">
        <v>648</v>
      </c>
      <c r="Q18" s="608"/>
      <c r="R18" s="608"/>
      <c r="S18" s="608"/>
      <c r="T18" s="433"/>
    </row>
    <row r="19" spans="1:25" ht="16.5" thickBot="1" x14ac:dyDescent="0.3">
      <c r="Q19" s="421" t="s">
        <v>996</v>
      </c>
    </row>
    <row r="20" spans="1:25" x14ac:dyDescent="0.25">
      <c r="B20" s="4182" t="s">
        <v>1013</v>
      </c>
      <c r="C20" s="4198" t="s">
        <v>1014</v>
      </c>
      <c r="D20" s="4189" t="s">
        <v>885</v>
      </c>
      <c r="E20" s="4190"/>
      <c r="F20" s="4190" t="s">
        <v>959</v>
      </c>
      <c r="G20" s="4190"/>
      <c r="H20" s="4190" t="s">
        <v>926</v>
      </c>
      <c r="I20" s="4190"/>
      <c r="J20" s="4190" t="s">
        <v>999</v>
      </c>
      <c r="K20" s="4190"/>
      <c r="L20" s="4190" t="s">
        <v>888</v>
      </c>
      <c r="M20" s="4190"/>
      <c r="N20" s="4190" t="s">
        <v>1000</v>
      </c>
      <c r="O20" s="4190"/>
      <c r="P20" s="4190" t="s">
        <v>1001</v>
      </c>
      <c r="Q20" s="4191"/>
      <c r="R20" s="4205" t="s">
        <v>1002</v>
      </c>
      <c r="S20" s="4206"/>
    </row>
    <row r="21" spans="1:25" ht="16.5" thickBot="1" x14ac:dyDescent="0.3">
      <c r="B21" s="4183"/>
      <c r="C21" s="4216"/>
      <c r="D21" s="617" t="s">
        <v>1003</v>
      </c>
      <c r="E21" s="614" t="s">
        <v>1015</v>
      </c>
      <c r="F21" s="614" t="s">
        <v>1003</v>
      </c>
      <c r="G21" s="614" t="s">
        <v>1015</v>
      </c>
      <c r="H21" s="614" t="s">
        <v>1003</v>
      </c>
      <c r="I21" s="614" t="s">
        <v>1015</v>
      </c>
      <c r="J21" s="614" t="s">
        <v>1003</v>
      </c>
      <c r="K21" s="614" t="s">
        <v>1015</v>
      </c>
      <c r="L21" s="614" t="s">
        <v>1003</v>
      </c>
      <c r="M21" s="614" t="s">
        <v>1015</v>
      </c>
      <c r="N21" s="614" t="s">
        <v>1003</v>
      </c>
      <c r="O21" s="614" t="s">
        <v>1015</v>
      </c>
      <c r="P21" s="614" t="s">
        <v>1003</v>
      </c>
      <c r="Q21" s="615" t="s">
        <v>1015</v>
      </c>
      <c r="R21" s="614" t="s">
        <v>1003</v>
      </c>
      <c r="S21" s="616" t="s">
        <v>1015</v>
      </c>
    </row>
    <row r="22" spans="1:25" ht="34.15" customHeight="1" x14ac:dyDescent="0.25">
      <c r="A22" s="418" t="s">
        <v>1016</v>
      </c>
      <c r="B22" s="1399">
        <v>1</v>
      </c>
      <c r="C22" s="1400" t="s">
        <v>2297</v>
      </c>
      <c r="D22" s="442"/>
      <c r="E22" s="441"/>
      <c r="F22" s="441"/>
      <c r="G22" s="441"/>
      <c r="H22" s="441"/>
      <c r="I22" s="441"/>
      <c r="J22" s="441"/>
      <c r="K22" s="441"/>
      <c r="L22" s="441"/>
      <c r="M22" s="441"/>
      <c r="N22" s="441">
        <v>1</v>
      </c>
      <c r="O22" s="441">
        <v>580</v>
      </c>
      <c r="P22" s="493">
        <v>2</v>
      </c>
      <c r="Q22" s="493">
        <v>580</v>
      </c>
      <c r="R22" s="441">
        <f t="shared" ref="R22:R33" si="1">D22+F22+H22+J22+L22+N22+P22</f>
        <v>3</v>
      </c>
      <c r="S22" s="613"/>
      <c r="T22" s="1395" t="s">
        <v>2298</v>
      </c>
      <c r="U22" s="1395" t="s">
        <v>1017</v>
      </c>
    </row>
    <row r="23" spans="1:25" ht="16.5" thickBot="1" x14ac:dyDescent="0.3">
      <c r="B23" s="1401"/>
      <c r="C23" s="1402" t="s">
        <v>1018</v>
      </c>
      <c r="D23" s="4207">
        <f>E22*D22</f>
        <v>0</v>
      </c>
      <c r="E23" s="4208"/>
      <c r="F23" s="4207">
        <f>G22*F22</f>
        <v>0</v>
      </c>
      <c r="G23" s="4208"/>
      <c r="H23" s="4207">
        <f>I22*H22</f>
        <v>0</v>
      </c>
      <c r="I23" s="4208"/>
      <c r="J23" s="4207">
        <f>K22*J22</f>
        <v>0</v>
      </c>
      <c r="K23" s="4208"/>
      <c r="L23" s="4207">
        <f>M22*L22</f>
        <v>0</v>
      </c>
      <c r="M23" s="4208"/>
      <c r="N23" s="4207">
        <f>O22*N22</f>
        <v>580</v>
      </c>
      <c r="O23" s="4208"/>
      <c r="P23" s="4225">
        <f>Q22*P22</f>
        <v>1160</v>
      </c>
      <c r="Q23" s="4226"/>
      <c r="R23" s="4207">
        <f t="shared" si="1"/>
        <v>1740</v>
      </c>
      <c r="S23" s="4227"/>
    </row>
    <row r="24" spans="1:25" ht="47.25" x14ac:dyDescent="0.25">
      <c r="A24" s="437" t="s">
        <v>1016</v>
      </c>
      <c r="B24" s="1394">
        <v>2</v>
      </c>
      <c r="C24" s="622" t="s">
        <v>2299</v>
      </c>
      <c r="D24" s="438"/>
      <c r="E24" s="436"/>
      <c r="F24" s="436">
        <v>1</v>
      </c>
      <c r="G24" s="436">
        <v>510</v>
      </c>
      <c r="H24" s="436"/>
      <c r="I24" s="436"/>
      <c r="J24" s="436"/>
      <c r="K24" s="436"/>
      <c r="L24" s="436"/>
      <c r="M24" s="436"/>
      <c r="N24" s="436"/>
      <c r="O24" s="436"/>
      <c r="P24" s="493"/>
      <c r="Q24" s="493"/>
      <c r="R24" s="436">
        <v>1</v>
      </c>
      <c r="S24" s="610"/>
      <c r="T24" s="1395" t="s">
        <v>2300</v>
      </c>
      <c r="U24" s="1395"/>
    </row>
    <row r="25" spans="1:25" x14ac:dyDescent="0.25">
      <c r="A25" s="437"/>
      <c r="B25" s="611"/>
      <c r="C25" s="620" t="s">
        <v>1018</v>
      </c>
      <c r="D25" s="4207">
        <f>E24*D24</f>
        <v>0</v>
      </c>
      <c r="E25" s="4208"/>
      <c r="F25" s="4207">
        <f>G24*F24</f>
        <v>510</v>
      </c>
      <c r="G25" s="4208"/>
      <c r="H25" s="4207">
        <f>I24*H24</f>
        <v>0</v>
      </c>
      <c r="I25" s="4208"/>
      <c r="J25" s="4207">
        <f>K24*J24</f>
        <v>0</v>
      </c>
      <c r="K25" s="4208"/>
      <c r="L25" s="4207">
        <f>M24*L24</f>
        <v>0</v>
      </c>
      <c r="M25" s="4208"/>
      <c r="N25" s="4207">
        <f>O24*N24</f>
        <v>0</v>
      </c>
      <c r="O25" s="4208"/>
      <c r="P25" s="4225">
        <f>Q24*P24</f>
        <v>0</v>
      </c>
      <c r="Q25" s="4226"/>
      <c r="R25" s="4207">
        <f t="shared" si="1"/>
        <v>510</v>
      </c>
      <c r="S25" s="4227"/>
    </row>
    <row r="26" spans="1:25" ht="51.6" customHeight="1" x14ac:dyDescent="0.25">
      <c r="A26" s="418" t="s">
        <v>1005</v>
      </c>
      <c r="B26" s="4173">
        <v>3</v>
      </c>
      <c r="C26" s="4222" t="s">
        <v>2301</v>
      </c>
      <c r="D26" s="438"/>
      <c r="E26" s="436"/>
      <c r="F26" s="436">
        <v>2</v>
      </c>
      <c r="G26" s="436">
        <f>450+450</f>
        <v>900</v>
      </c>
      <c r="H26" s="436"/>
      <c r="I26" s="436"/>
      <c r="J26" s="436"/>
      <c r="K26" s="436"/>
      <c r="L26" s="436"/>
      <c r="M26" s="436"/>
      <c r="N26" s="436">
        <v>1</v>
      </c>
      <c r="O26" s="436">
        <v>900</v>
      </c>
      <c r="P26" s="493">
        <v>2</v>
      </c>
      <c r="Q26" s="493">
        <v>900</v>
      </c>
      <c r="R26" s="436">
        <f t="shared" si="1"/>
        <v>5</v>
      </c>
      <c r="S26" s="610"/>
      <c r="T26" s="4224" t="s">
        <v>2302</v>
      </c>
      <c r="U26" s="4224"/>
      <c r="V26" s="4224"/>
      <c r="W26" s="4224"/>
      <c r="X26" s="4224"/>
      <c r="Y26" s="4224"/>
    </row>
    <row r="27" spans="1:25" ht="31.5" hidden="1" x14ac:dyDescent="0.25">
      <c r="A27" s="437" t="s">
        <v>1016</v>
      </c>
      <c r="B27" s="4184"/>
      <c r="C27" s="4223"/>
      <c r="D27" s="438"/>
      <c r="E27" s="436"/>
      <c r="F27" s="436"/>
      <c r="G27" s="436"/>
      <c r="H27" s="436"/>
      <c r="I27" s="436"/>
      <c r="J27" s="436"/>
      <c r="K27" s="436"/>
      <c r="L27" s="436"/>
      <c r="M27" s="436"/>
      <c r="N27" s="436"/>
      <c r="O27" s="436"/>
      <c r="P27" s="493"/>
      <c r="Q27" s="493"/>
      <c r="R27" s="436"/>
      <c r="S27" s="610"/>
      <c r="T27" s="1395" t="s">
        <v>1017</v>
      </c>
    </row>
    <row r="28" spans="1:25" x14ac:dyDescent="0.25">
      <c r="A28" s="437"/>
      <c r="B28" s="611"/>
      <c r="C28" s="620" t="s">
        <v>1018</v>
      </c>
      <c r="D28" s="4207">
        <f>E27*D27+D26*E26</f>
        <v>0</v>
      </c>
      <c r="E28" s="4208"/>
      <c r="F28" s="4207">
        <f>G27*F27+F26*G26</f>
        <v>1800</v>
      </c>
      <c r="G28" s="4208"/>
      <c r="H28" s="4207">
        <f>I27*H27+H26*I26</f>
        <v>0</v>
      </c>
      <c r="I28" s="4208"/>
      <c r="J28" s="4207">
        <f>K27*J27+J26*K26</f>
        <v>0</v>
      </c>
      <c r="K28" s="4208"/>
      <c r="L28" s="4207">
        <f>M27*L27+L26*M26</f>
        <v>0</v>
      </c>
      <c r="M28" s="4208"/>
      <c r="N28" s="4207">
        <f>O27*N27+N26*O26</f>
        <v>900</v>
      </c>
      <c r="O28" s="4208"/>
      <c r="P28" s="4225">
        <f>Q27*P27+P26*Q26</f>
        <v>1800</v>
      </c>
      <c r="Q28" s="4226"/>
      <c r="R28" s="4207">
        <f t="shared" si="1"/>
        <v>4500</v>
      </c>
      <c r="S28" s="4227"/>
    </row>
    <row r="29" spans="1:25" ht="33.6" customHeight="1" x14ac:dyDescent="0.25">
      <c r="A29" s="437" t="s">
        <v>1016</v>
      </c>
      <c r="B29" s="1394">
        <v>4</v>
      </c>
      <c r="C29" s="621" t="s">
        <v>2303</v>
      </c>
      <c r="D29" s="438">
        <v>3</v>
      </c>
      <c r="E29" s="436">
        <v>3800</v>
      </c>
      <c r="F29" s="436">
        <v>4</v>
      </c>
      <c r="G29" s="436">
        <v>3800</v>
      </c>
      <c r="H29" s="436"/>
      <c r="I29" s="436"/>
      <c r="J29" s="436"/>
      <c r="K29" s="436"/>
      <c r="L29" s="436"/>
      <c r="M29" s="436"/>
      <c r="N29" s="436"/>
      <c r="O29" s="436"/>
      <c r="P29" s="493"/>
      <c r="Q29" s="493"/>
      <c r="R29" s="436">
        <f t="shared" si="1"/>
        <v>7</v>
      </c>
      <c r="S29" s="610"/>
    </row>
    <row r="30" spans="1:25" x14ac:dyDescent="0.25">
      <c r="A30" s="437"/>
      <c r="B30" s="1394"/>
      <c r="C30" s="620" t="s">
        <v>1018</v>
      </c>
      <c r="D30" s="4207">
        <f>E29*D29</f>
        <v>11400</v>
      </c>
      <c r="E30" s="4208"/>
      <c r="F30" s="4207">
        <f>G29*F29</f>
        <v>15200</v>
      </c>
      <c r="G30" s="4208"/>
      <c r="H30" s="4207">
        <f>I29*H29</f>
        <v>0</v>
      </c>
      <c r="I30" s="4208"/>
      <c r="J30" s="4207">
        <f>K29*J29</f>
        <v>0</v>
      </c>
      <c r="K30" s="4208"/>
      <c r="L30" s="4207">
        <f>M29*L29</f>
        <v>0</v>
      </c>
      <c r="M30" s="4208"/>
      <c r="N30" s="4207">
        <f>O29*N29</f>
        <v>0</v>
      </c>
      <c r="O30" s="4208"/>
      <c r="P30" s="4225">
        <f>Q29*P29</f>
        <v>0</v>
      </c>
      <c r="Q30" s="4226"/>
      <c r="R30" s="4207">
        <f t="shared" si="1"/>
        <v>26600</v>
      </c>
      <c r="S30" s="4227"/>
    </row>
    <row r="31" spans="1:25" ht="31.5" x14ac:dyDescent="0.25">
      <c r="A31" s="437" t="s">
        <v>1016</v>
      </c>
      <c r="B31" s="1393">
        <v>5</v>
      </c>
      <c r="C31" s="619"/>
      <c r="D31" s="438"/>
      <c r="E31" s="439"/>
      <c r="F31" s="436"/>
      <c r="G31" s="439"/>
      <c r="H31" s="436"/>
      <c r="I31" s="439"/>
      <c r="J31" s="436"/>
      <c r="K31" s="439"/>
      <c r="L31" s="436"/>
      <c r="M31" s="439"/>
      <c r="N31" s="436"/>
      <c r="O31" s="439"/>
      <c r="P31" s="493"/>
      <c r="Q31" s="1085"/>
      <c r="R31" s="436">
        <f t="shared" si="1"/>
        <v>0</v>
      </c>
      <c r="S31" s="610"/>
    </row>
    <row r="32" spans="1:25" x14ac:dyDescent="0.25">
      <c r="A32" s="437"/>
      <c r="B32" s="611"/>
      <c r="C32" s="620" t="s">
        <v>1018</v>
      </c>
      <c r="D32" s="4207">
        <f>E31*D31</f>
        <v>0</v>
      </c>
      <c r="E32" s="4208"/>
      <c r="F32" s="4207">
        <f>G31*F31</f>
        <v>0</v>
      </c>
      <c r="G32" s="4208"/>
      <c r="H32" s="4207">
        <f>I31*H31</f>
        <v>0</v>
      </c>
      <c r="I32" s="4208"/>
      <c r="J32" s="4207">
        <f>K31*J31</f>
        <v>0</v>
      </c>
      <c r="K32" s="4208"/>
      <c r="L32" s="4207">
        <f>M31*L31</f>
        <v>0</v>
      </c>
      <c r="M32" s="4208"/>
      <c r="N32" s="4207">
        <f>O31*N31</f>
        <v>0</v>
      </c>
      <c r="O32" s="4208"/>
      <c r="P32" s="4225">
        <f>Q31*P31</f>
        <v>0</v>
      </c>
      <c r="Q32" s="4226"/>
      <c r="R32" s="4207">
        <f t="shared" si="1"/>
        <v>0</v>
      </c>
      <c r="S32" s="4227"/>
    </row>
    <row r="33" spans="1:25" ht="94.5" hidden="1" customHeight="1" x14ac:dyDescent="0.25">
      <c r="A33" s="437" t="s">
        <v>1016</v>
      </c>
      <c r="B33" s="612">
        <v>9</v>
      </c>
      <c r="C33" s="619" t="s">
        <v>1019</v>
      </c>
      <c r="D33" s="438"/>
      <c r="E33" s="436"/>
      <c r="F33" s="436"/>
      <c r="G33" s="436"/>
      <c r="H33" s="436"/>
      <c r="I33" s="436"/>
      <c r="J33" s="436"/>
      <c r="K33" s="436"/>
      <c r="L33" s="436"/>
      <c r="M33" s="436"/>
      <c r="N33" s="436"/>
      <c r="O33" s="436"/>
      <c r="P33" s="493"/>
      <c r="Q33" s="493"/>
      <c r="R33" s="436">
        <f t="shared" si="1"/>
        <v>0</v>
      </c>
      <c r="S33" s="610"/>
    </row>
    <row r="34" spans="1:25" ht="15.75" hidden="1" customHeight="1" x14ac:dyDescent="0.25">
      <c r="A34" s="437"/>
      <c r="B34" s="612"/>
      <c r="C34" s="620" t="s">
        <v>1018</v>
      </c>
      <c r="D34" s="4207">
        <f>E33*D33</f>
        <v>0</v>
      </c>
      <c r="E34" s="4208"/>
      <c r="F34" s="4207">
        <f>G33*F33</f>
        <v>0</v>
      </c>
      <c r="G34" s="4208"/>
      <c r="H34" s="4207">
        <f>I33*H33</f>
        <v>0</v>
      </c>
      <c r="I34" s="4208"/>
      <c r="J34" s="4207">
        <f>K33*J33</f>
        <v>0</v>
      </c>
      <c r="K34" s="4208"/>
      <c r="L34" s="4207">
        <f>M33*L33</f>
        <v>0</v>
      </c>
      <c r="M34" s="4208"/>
      <c r="N34" s="4207">
        <f>O33*N33</f>
        <v>0</v>
      </c>
      <c r="O34" s="4208"/>
      <c r="P34" s="4225">
        <f>Q33*P33</f>
        <v>0</v>
      </c>
      <c r="Q34" s="4226"/>
      <c r="R34" s="4207">
        <f>SUM(D34:Q34)</f>
        <v>0</v>
      </c>
      <c r="S34" s="4227"/>
    </row>
    <row r="35" spans="1:25" ht="31.5" x14ac:dyDescent="0.25">
      <c r="A35" s="437" t="s">
        <v>1016</v>
      </c>
      <c r="B35" s="1393">
        <v>6</v>
      </c>
      <c r="C35" s="619" t="s">
        <v>1020</v>
      </c>
      <c r="D35" s="438">
        <v>1</v>
      </c>
      <c r="E35" s="436">
        <v>339.25</v>
      </c>
      <c r="F35" s="436">
        <v>2</v>
      </c>
      <c r="G35" s="436">
        <v>339.25</v>
      </c>
      <c r="H35" s="436"/>
      <c r="I35" s="436"/>
      <c r="J35" s="436"/>
      <c r="K35" s="436"/>
      <c r="L35" s="436"/>
      <c r="M35" s="436"/>
      <c r="N35" s="436">
        <v>2</v>
      </c>
      <c r="O35" s="436">
        <v>414.78</v>
      </c>
      <c r="P35" s="493">
        <v>1</v>
      </c>
      <c r="Q35" s="493">
        <v>850</v>
      </c>
      <c r="R35" s="436">
        <f>D35+F35+H35+J35+L35+N35+P35</f>
        <v>6</v>
      </c>
      <c r="S35" s="610"/>
      <c r="T35" s="1395" t="s">
        <v>2304</v>
      </c>
    </row>
    <row r="36" spans="1:25" x14ac:dyDescent="0.25">
      <c r="A36" s="437"/>
      <c r="B36" s="611"/>
      <c r="C36" s="622" t="s">
        <v>1018</v>
      </c>
      <c r="D36" s="4207">
        <f>E35*D35</f>
        <v>339.25</v>
      </c>
      <c r="E36" s="4208"/>
      <c r="F36" s="4207">
        <f>G35*F35</f>
        <v>678.5</v>
      </c>
      <c r="G36" s="4208"/>
      <c r="H36" s="4207">
        <f>I35*H35</f>
        <v>0</v>
      </c>
      <c r="I36" s="4208"/>
      <c r="J36" s="4207">
        <f>K35*J35</f>
        <v>0</v>
      </c>
      <c r="K36" s="4208"/>
      <c r="L36" s="4207">
        <f>M35*L35</f>
        <v>0</v>
      </c>
      <c r="M36" s="4208"/>
      <c r="N36" s="4207">
        <f>O35*N35</f>
        <v>829.56</v>
      </c>
      <c r="O36" s="4208"/>
      <c r="P36" s="4225">
        <f>Q35*P35</f>
        <v>850</v>
      </c>
      <c r="Q36" s="4226"/>
      <c r="R36" s="4207">
        <f>D36+F36+H36+J36+L36+N36+P36</f>
        <v>2697.31</v>
      </c>
      <c r="S36" s="4227"/>
    </row>
    <row r="37" spans="1:25" ht="34.15" customHeight="1" x14ac:dyDescent="0.25">
      <c r="A37" s="437" t="s">
        <v>1016</v>
      </c>
      <c r="B37" s="1394">
        <v>7</v>
      </c>
      <c r="C37" s="619" t="s">
        <v>2305</v>
      </c>
      <c r="D37" s="438"/>
      <c r="E37" s="439"/>
      <c r="F37" s="436">
        <v>1</v>
      </c>
      <c r="G37" s="439">
        <v>510</v>
      </c>
      <c r="H37" s="436"/>
      <c r="I37" s="439"/>
      <c r="J37" s="436">
        <v>1</v>
      </c>
      <c r="K37" s="439">
        <v>510</v>
      </c>
      <c r="L37" s="436"/>
      <c r="M37" s="439"/>
      <c r="N37" s="436"/>
      <c r="O37" s="439"/>
      <c r="P37" s="493"/>
      <c r="Q37" s="1085"/>
      <c r="R37" s="436">
        <v>2</v>
      </c>
      <c r="S37" s="610"/>
      <c r="T37" s="1395" t="s">
        <v>2306</v>
      </c>
    </row>
    <row r="38" spans="1:25" ht="16.5" thickBot="1" x14ac:dyDescent="0.3">
      <c r="B38" s="611"/>
      <c r="C38" s="620" t="s">
        <v>1018</v>
      </c>
      <c r="D38" s="4207">
        <f>E37*D37</f>
        <v>0</v>
      </c>
      <c r="E38" s="4208"/>
      <c r="F38" s="4207">
        <f>G37*F37</f>
        <v>510</v>
      </c>
      <c r="G38" s="4208"/>
      <c r="H38" s="4207">
        <f>I37*H37</f>
        <v>0</v>
      </c>
      <c r="I38" s="4208"/>
      <c r="J38" s="4207">
        <f>K37*J37</f>
        <v>510</v>
      </c>
      <c r="K38" s="4208"/>
      <c r="L38" s="4207">
        <f>M37*L37</f>
        <v>0</v>
      </c>
      <c r="M38" s="4208"/>
      <c r="N38" s="4207">
        <f>O37*N37</f>
        <v>0</v>
      </c>
      <c r="O38" s="4208"/>
      <c r="P38" s="4225">
        <f>Q37*P37</f>
        <v>0</v>
      </c>
      <c r="Q38" s="4226"/>
      <c r="R38" s="4207">
        <f>D38+F38+H38+J38+L38+N38+P38</f>
        <v>1020</v>
      </c>
      <c r="S38" s="4227"/>
      <c r="T38" s="440"/>
    </row>
    <row r="39" spans="1:25" ht="32.25" hidden="1" thickBot="1" x14ac:dyDescent="0.3">
      <c r="A39" s="437" t="s">
        <v>1021</v>
      </c>
      <c r="B39" s="624">
        <v>8</v>
      </c>
      <c r="C39" s="619" t="s">
        <v>1022</v>
      </c>
      <c r="D39" s="438"/>
      <c r="E39" s="439">
        <f>1471.5/3</f>
        <v>490.5</v>
      </c>
      <c r="F39" s="436"/>
      <c r="G39" s="439">
        <f>E39</f>
        <v>490.5</v>
      </c>
      <c r="H39" s="436"/>
      <c r="I39" s="439">
        <f>G39</f>
        <v>490.5</v>
      </c>
      <c r="J39" s="436"/>
      <c r="K39" s="439">
        <f>I39</f>
        <v>490.5</v>
      </c>
      <c r="L39" s="436"/>
      <c r="M39" s="439">
        <f>E39</f>
        <v>490.5</v>
      </c>
      <c r="N39" s="436"/>
      <c r="O39" s="439">
        <f>E39</f>
        <v>490.5</v>
      </c>
      <c r="P39" s="436"/>
      <c r="Q39" s="439">
        <f>E39</f>
        <v>490.5</v>
      </c>
      <c r="R39" s="436">
        <f>D39+F39+H39+J39+L39+N39+P39</f>
        <v>0</v>
      </c>
      <c r="S39" s="610"/>
    </row>
    <row r="40" spans="1:25" ht="16.5" hidden="1" thickBot="1" x14ac:dyDescent="0.3">
      <c r="B40" s="1394"/>
      <c r="C40" s="625" t="s">
        <v>1018</v>
      </c>
      <c r="D40" s="4228">
        <f>E39*D39</f>
        <v>0</v>
      </c>
      <c r="E40" s="4229"/>
      <c r="F40" s="4228">
        <f>G39*F39</f>
        <v>0</v>
      </c>
      <c r="G40" s="4229"/>
      <c r="H40" s="4228">
        <f>I39*H39</f>
        <v>0</v>
      </c>
      <c r="I40" s="4229"/>
      <c r="J40" s="4228">
        <f>K39*J39</f>
        <v>0</v>
      </c>
      <c r="K40" s="4229"/>
      <c r="L40" s="4228">
        <f>M39*L39</f>
        <v>0</v>
      </c>
      <c r="M40" s="4229"/>
      <c r="N40" s="4228">
        <f>O39*N39</f>
        <v>0</v>
      </c>
      <c r="O40" s="4229"/>
      <c r="P40" s="4228">
        <f>Q39*P39</f>
        <v>0</v>
      </c>
      <c r="Q40" s="4229"/>
      <c r="R40" s="4228">
        <f>SUM(D40:Q40)</f>
        <v>0</v>
      </c>
      <c r="S40" s="4230"/>
    </row>
    <row r="41" spans="1:25" s="434" customFormat="1" ht="18.75" customHeight="1" thickBot="1" x14ac:dyDescent="0.3">
      <c r="A41" s="1396"/>
      <c r="B41" s="626"/>
      <c r="C41" s="627" t="s">
        <v>1023</v>
      </c>
      <c r="D41" s="4237">
        <f>D40+D36+D34+D32+D30+D28+D25+D23+D38</f>
        <v>11739.25</v>
      </c>
      <c r="E41" s="4232"/>
      <c r="F41" s="4231">
        <f>F40+F36+F34+F32+F30+F28+F25+F23+F38</f>
        <v>18698.5</v>
      </c>
      <c r="G41" s="4232"/>
      <c r="H41" s="4231">
        <f>H40+H36+H34+H32+H30+H28+H25+H23+H38</f>
        <v>0</v>
      </c>
      <c r="I41" s="4232"/>
      <c r="J41" s="4231">
        <f>J40+J36+J34+J32+J30+J28+J25+J23+J38</f>
        <v>510</v>
      </c>
      <c r="K41" s="4232"/>
      <c r="L41" s="4231">
        <f>L40+L36+L34+L32+L30+L28+L25+L23+L38</f>
        <v>0</v>
      </c>
      <c r="M41" s="4232"/>
      <c r="N41" s="4231">
        <f>N40+N36+N34+N32+N30+N28+N25+N23+N38</f>
        <v>2309.56</v>
      </c>
      <c r="O41" s="4232"/>
      <c r="P41" s="4231">
        <f>P40+P36+P34+P32+P30+P28+P25+P23+P38</f>
        <v>3810</v>
      </c>
      <c r="Q41" s="4232"/>
      <c r="R41" s="4194">
        <f>IF(D41+F41+H41+J41+L41+N41+P41=R38+R36+R34+R32+R30+R28+R25+R23,D41+F41+H41+J41+L41+N41+P41,"'ошибка'")</f>
        <v>37067.31</v>
      </c>
      <c r="S41" s="4195"/>
      <c r="T41" s="433"/>
    </row>
    <row r="43" spans="1:25" ht="15.6" customHeight="1" x14ac:dyDescent="0.25">
      <c r="A43" s="1372"/>
      <c r="B43" s="4196" t="s">
        <v>2601</v>
      </c>
      <c r="C43" s="4196"/>
      <c r="D43" s="4196"/>
      <c r="E43" s="4196"/>
      <c r="F43" s="4196"/>
      <c r="G43" s="4196"/>
      <c r="H43" s="4196"/>
      <c r="I43" s="4196"/>
      <c r="J43" s="4196"/>
      <c r="K43" s="4196"/>
      <c r="L43" s="4196"/>
      <c r="M43" s="4196"/>
      <c r="N43" s="4196"/>
      <c r="O43" s="4196"/>
      <c r="P43" s="4196"/>
      <c r="Q43" s="4196"/>
      <c r="R43" s="4196"/>
      <c r="S43" s="4196"/>
      <c r="T43" s="1373"/>
      <c r="U43" s="1371"/>
      <c r="V43" s="1371"/>
      <c r="W43" s="1371"/>
      <c r="X43" s="1371"/>
      <c r="Y43" s="1371"/>
    </row>
    <row r="44" spans="1:25" x14ac:dyDescent="0.25">
      <c r="Q44" s="421" t="s">
        <v>1047</v>
      </c>
    </row>
    <row r="46" spans="1:25" s="434" customFormat="1" ht="15.6" customHeight="1" x14ac:dyDescent="0.25">
      <c r="A46" s="1396"/>
      <c r="B46" s="4240" t="s">
        <v>1657</v>
      </c>
      <c r="C46" s="4240"/>
      <c r="D46" s="4240"/>
      <c r="E46" s="4240"/>
      <c r="F46" s="4240"/>
      <c r="G46" s="4240"/>
      <c r="H46" s="1015" t="str">
        <f>'Вхідні дані'!$F$5</f>
        <v>ЧФ ДП "АМПУ"</v>
      </c>
      <c r="I46" s="1015"/>
      <c r="J46" s="1016"/>
      <c r="K46" s="1016"/>
      <c r="L46" s="1392"/>
      <c r="M46" s="1392" t="s">
        <v>461</v>
      </c>
      <c r="N46" s="1398"/>
      <c r="O46" s="1016" t="str">
        <f>'Вхідні дані'!$F$6</f>
        <v>2023-2024</v>
      </c>
      <c r="P46" s="637" t="s">
        <v>648</v>
      </c>
      <c r="Q46" s="637"/>
      <c r="R46" s="637"/>
      <c r="S46" s="637"/>
      <c r="T46" s="433"/>
    </row>
    <row r="47" spans="1:25" ht="16.5" thickBot="1" x14ac:dyDescent="0.3">
      <c r="Q47" s="421" t="s">
        <v>996</v>
      </c>
    </row>
    <row r="48" spans="1:25" s="1398" customFormat="1" ht="16.5" thickBot="1" x14ac:dyDescent="0.3">
      <c r="B48" s="4241" t="s">
        <v>1013</v>
      </c>
      <c r="C48" s="4243" t="s">
        <v>1024</v>
      </c>
      <c r="D48" s="4233" t="s">
        <v>885</v>
      </c>
      <c r="E48" s="4234"/>
      <c r="F48" s="4235" t="s">
        <v>959</v>
      </c>
      <c r="G48" s="4236"/>
      <c r="H48" s="4235" t="s">
        <v>926</v>
      </c>
      <c r="I48" s="4236"/>
      <c r="J48" s="4235" t="s">
        <v>999</v>
      </c>
      <c r="K48" s="4236"/>
      <c r="L48" s="4235" t="s">
        <v>888</v>
      </c>
      <c r="M48" s="4236"/>
      <c r="N48" s="4235" t="s">
        <v>1000</v>
      </c>
      <c r="O48" s="4236"/>
      <c r="P48" s="4235" t="s">
        <v>1001</v>
      </c>
      <c r="Q48" s="4236"/>
      <c r="R48" s="4238" t="s">
        <v>1002</v>
      </c>
      <c r="S48" s="4239"/>
    </row>
    <row r="49" spans="2:19" s="1398" customFormat="1" ht="16.5" thickBot="1" x14ac:dyDescent="0.3">
      <c r="B49" s="4242"/>
      <c r="C49" s="4244"/>
      <c r="D49" s="1874" t="s">
        <v>895</v>
      </c>
      <c r="E49" s="1874" t="s">
        <v>1015</v>
      </c>
      <c r="F49" s="1874" t="s">
        <v>895</v>
      </c>
      <c r="G49" s="1874" t="s">
        <v>1015</v>
      </c>
      <c r="H49" s="1874" t="s">
        <v>895</v>
      </c>
      <c r="I49" s="1874" t="s">
        <v>1015</v>
      </c>
      <c r="J49" s="1874" t="s">
        <v>895</v>
      </c>
      <c r="K49" s="1874" t="s">
        <v>1015</v>
      </c>
      <c r="L49" s="1874" t="s">
        <v>895</v>
      </c>
      <c r="M49" s="1874" t="s">
        <v>1015</v>
      </c>
      <c r="N49" s="1874" t="s">
        <v>895</v>
      </c>
      <c r="O49" s="1874" t="s">
        <v>1015</v>
      </c>
      <c r="P49" s="1874" t="s">
        <v>895</v>
      </c>
      <c r="Q49" s="1874" t="s">
        <v>1015</v>
      </c>
      <c r="R49" s="1403"/>
      <c r="S49" s="1404" t="s">
        <v>1831</v>
      </c>
    </row>
    <row r="50" spans="2:19" s="1398" customFormat="1" x14ac:dyDescent="0.25">
      <c r="B50" s="4185">
        <v>1</v>
      </c>
      <c r="C50" s="1405" t="s">
        <v>2307</v>
      </c>
      <c r="D50" s="628">
        <v>11</v>
      </c>
      <c r="E50" s="629">
        <v>556.66999999999996</v>
      </c>
      <c r="F50" s="489">
        <v>25</v>
      </c>
      <c r="G50" s="489">
        <v>556.66999999999996</v>
      </c>
      <c r="H50" s="489"/>
      <c r="I50" s="489"/>
      <c r="J50" s="489">
        <v>1</v>
      </c>
      <c r="K50" s="489">
        <v>556.66999999999996</v>
      </c>
      <c r="L50" s="489">
        <v>3</v>
      </c>
      <c r="M50" s="489">
        <v>556.66999999999996</v>
      </c>
      <c r="N50" s="489">
        <v>5</v>
      </c>
      <c r="O50" s="489">
        <v>556.66999999999996</v>
      </c>
      <c r="P50" s="489">
        <v>3</v>
      </c>
      <c r="Q50" s="489">
        <v>556.66999999999996</v>
      </c>
      <c r="R50" s="489">
        <f t="shared" ref="R50:R114" si="2">D50+F50+H50+J50+L50+N50+P50</f>
        <v>48</v>
      </c>
      <c r="S50" s="490">
        <f>R51/R50</f>
        <v>556.66999999999985</v>
      </c>
    </row>
    <row r="51" spans="2:19" s="1398" customFormat="1" ht="16.5" thickBot="1" x14ac:dyDescent="0.3">
      <c r="B51" s="4186"/>
      <c r="C51" s="631" t="s">
        <v>1025</v>
      </c>
      <c r="D51" s="4187">
        <f>D50*E50</f>
        <v>6123.37</v>
      </c>
      <c r="E51" s="4188"/>
      <c r="F51" s="4187">
        <f>F50*G50</f>
        <v>13916.749999999998</v>
      </c>
      <c r="G51" s="4188"/>
      <c r="H51" s="4187">
        <f>H50*I50</f>
        <v>0</v>
      </c>
      <c r="I51" s="4188"/>
      <c r="J51" s="4187">
        <f>J50*K50</f>
        <v>556.66999999999996</v>
      </c>
      <c r="K51" s="4188"/>
      <c r="L51" s="4187">
        <f>L50*M50</f>
        <v>1670.0099999999998</v>
      </c>
      <c r="M51" s="4188"/>
      <c r="N51" s="4187">
        <f>N50*O50</f>
        <v>2783.35</v>
      </c>
      <c r="O51" s="4188"/>
      <c r="P51" s="4187">
        <f>P50*Q50</f>
        <v>1670.0099999999998</v>
      </c>
      <c r="Q51" s="4188"/>
      <c r="R51" s="4192">
        <f>D51+F51+H51+J51+L51+N51+P51</f>
        <v>26720.159999999993</v>
      </c>
      <c r="S51" s="4193"/>
    </row>
    <row r="52" spans="2:19" s="1398" customFormat="1" ht="28.5" x14ac:dyDescent="0.25">
      <c r="B52" s="4185">
        <f>B50+1</f>
        <v>2</v>
      </c>
      <c r="C52" s="634" t="s">
        <v>2308</v>
      </c>
      <c r="D52" s="628">
        <v>11</v>
      </c>
      <c r="E52" s="628">
        <v>566.66999999999996</v>
      </c>
      <c r="F52" s="489">
        <v>25</v>
      </c>
      <c r="G52" s="489">
        <v>566.66999999999996</v>
      </c>
      <c r="H52" s="489"/>
      <c r="I52" s="489"/>
      <c r="J52" s="489">
        <v>1</v>
      </c>
      <c r="K52" s="489">
        <v>566.66999999999996</v>
      </c>
      <c r="L52" s="489">
        <v>3</v>
      </c>
      <c r="M52" s="489">
        <v>566.66999999999996</v>
      </c>
      <c r="N52" s="489">
        <v>5</v>
      </c>
      <c r="O52" s="489">
        <v>566.66999999999996</v>
      </c>
      <c r="P52" s="489">
        <v>3</v>
      </c>
      <c r="Q52" s="489">
        <v>566.66999999999996</v>
      </c>
      <c r="R52" s="489">
        <f t="shared" si="2"/>
        <v>48</v>
      </c>
      <c r="S52" s="490">
        <f>R53/R52</f>
        <v>566.66999999999985</v>
      </c>
    </row>
    <row r="53" spans="2:19" s="1398" customFormat="1" ht="16.5" thickBot="1" x14ac:dyDescent="0.3">
      <c r="B53" s="4186"/>
      <c r="C53" s="631" t="s">
        <v>1025</v>
      </c>
      <c r="D53" s="4187">
        <f>D52*E52</f>
        <v>6233.37</v>
      </c>
      <c r="E53" s="4188"/>
      <c r="F53" s="4187">
        <f>F52*G52</f>
        <v>14166.749999999998</v>
      </c>
      <c r="G53" s="4188"/>
      <c r="H53" s="4187">
        <f>H52*I52</f>
        <v>0</v>
      </c>
      <c r="I53" s="4188"/>
      <c r="J53" s="4187">
        <f>J52*K52</f>
        <v>566.66999999999996</v>
      </c>
      <c r="K53" s="4188"/>
      <c r="L53" s="4187">
        <f>L52*M52</f>
        <v>1700.0099999999998</v>
      </c>
      <c r="M53" s="4188"/>
      <c r="N53" s="4187">
        <f>N52*O52</f>
        <v>2833.35</v>
      </c>
      <c r="O53" s="4188"/>
      <c r="P53" s="4187">
        <f>P52*Q52</f>
        <v>1700.0099999999998</v>
      </c>
      <c r="Q53" s="4188"/>
      <c r="R53" s="4192">
        <f>D53+F53+H53+J53+L53+N53+P53</f>
        <v>27200.159999999993</v>
      </c>
      <c r="S53" s="4193"/>
    </row>
    <row r="54" spans="2:19" s="1398" customFormat="1" x14ac:dyDescent="0.25">
      <c r="B54" s="4185">
        <f>B52+1</f>
        <v>3</v>
      </c>
      <c r="C54" s="634" t="s">
        <v>1026</v>
      </c>
      <c r="D54" s="628">
        <v>2</v>
      </c>
      <c r="E54" s="628">
        <v>1085.42</v>
      </c>
      <c r="F54" s="489">
        <v>3</v>
      </c>
      <c r="G54" s="489">
        <v>1085.42</v>
      </c>
      <c r="H54" s="489"/>
      <c r="I54" s="489"/>
      <c r="J54" s="489"/>
      <c r="K54" s="489"/>
      <c r="L54" s="489"/>
      <c r="M54" s="489"/>
      <c r="N54" s="489"/>
      <c r="O54" s="489"/>
      <c r="P54" s="489"/>
      <c r="Q54" s="489"/>
      <c r="R54" s="489">
        <f t="shared" si="2"/>
        <v>5</v>
      </c>
      <c r="S54" s="490">
        <f>R55/R54</f>
        <v>1085.42</v>
      </c>
    </row>
    <row r="55" spans="2:19" s="1398" customFormat="1" ht="16.5" thickBot="1" x14ac:dyDescent="0.3">
      <c r="B55" s="4186"/>
      <c r="C55" s="631" t="s">
        <v>1025</v>
      </c>
      <c r="D55" s="4187">
        <f>D54*E54</f>
        <v>2170.84</v>
      </c>
      <c r="E55" s="4188"/>
      <c r="F55" s="4187">
        <f>F54*G54</f>
        <v>3256.26</v>
      </c>
      <c r="G55" s="4188"/>
      <c r="H55" s="4187">
        <f>H54*I54</f>
        <v>0</v>
      </c>
      <c r="I55" s="4188"/>
      <c r="J55" s="4187">
        <f>J54*K54</f>
        <v>0</v>
      </c>
      <c r="K55" s="4188"/>
      <c r="L55" s="4187">
        <f>L54*M54</f>
        <v>0</v>
      </c>
      <c r="M55" s="4188"/>
      <c r="N55" s="4187">
        <f>N54*O54</f>
        <v>0</v>
      </c>
      <c r="O55" s="4188"/>
      <c r="P55" s="4187">
        <f>P54*Q54</f>
        <v>0</v>
      </c>
      <c r="Q55" s="4188"/>
      <c r="R55" s="4192">
        <f>D55+F55+H55+J55+L55+N55+P55</f>
        <v>5427.1</v>
      </c>
      <c r="S55" s="4193"/>
    </row>
    <row r="56" spans="2:19" s="1398" customFormat="1" x14ac:dyDescent="0.25">
      <c r="B56" s="4185">
        <f>B54+1</f>
        <v>4</v>
      </c>
      <c r="C56" s="634" t="s">
        <v>2309</v>
      </c>
      <c r="D56" s="628">
        <v>2</v>
      </c>
      <c r="E56" s="628">
        <v>683.33</v>
      </c>
      <c r="F56" s="489">
        <v>3</v>
      </c>
      <c r="G56" s="489">
        <v>683.33</v>
      </c>
      <c r="H56" s="489"/>
      <c r="I56" s="489"/>
      <c r="J56" s="489"/>
      <c r="K56" s="489"/>
      <c r="L56" s="489"/>
      <c r="M56" s="489"/>
      <c r="N56" s="489"/>
      <c r="O56" s="489"/>
      <c r="P56" s="489"/>
      <c r="Q56" s="489"/>
      <c r="R56" s="489">
        <f t="shared" si="2"/>
        <v>5</v>
      </c>
      <c r="S56" s="490">
        <f>R57/R56</f>
        <v>683.33000000000015</v>
      </c>
    </row>
    <row r="57" spans="2:19" s="1398" customFormat="1" ht="16.5" thickBot="1" x14ac:dyDescent="0.3">
      <c r="B57" s="4186"/>
      <c r="C57" s="631" t="s">
        <v>1025</v>
      </c>
      <c r="D57" s="4187">
        <f>D56*E56</f>
        <v>1366.66</v>
      </c>
      <c r="E57" s="4188"/>
      <c r="F57" s="4187">
        <f>F56*G56</f>
        <v>2049.9900000000002</v>
      </c>
      <c r="G57" s="4188"/>
      <c r="H57" s="4187">
        <f>H56*I56</f>
        <v>0</v>
      </c>
      <c r="I57" s="4188"/>
      <c r="J57" s="4187">
        <f>J56*K56</f>
        <v>0</v>
      </c>
      <c r="K57" s="4188"/>
      <c r="L57" s="4187">
        <f>L56*M56</f>
        <v>0</v>
      </c>
      <c r="M57" s="4188"/>
      <c r="N57" s="4187">
        <f>N56*O56</f>
        <v>0</v>
      </c>
      <c r="O57" s="4188"/>
      <c r="P57" s="4187">
        <f>P56*Q56</f>
        <v>0</v>
      </c>
      <c r="Q57" s="4188"/>
      <c r="R57" s="4192">
        <f>D57+F57+H57+J57+L57+N57+P57</f>
        <v>3416.6500000000005</v>
      </c>
      <c r="S57" s="4193"/>
    </row>
    <row r="58" spans="2:19" s="1398" customFormat="1" x14ac:dyDescent="0.25">
      <c r="B58" s="4185">
        <f>B56+1</f>
        <v>5</v>
      </c>
      <c r="C58" s="634" t="s">
        <v>2310</v>
      </c>
      <c r="D58" s="628">
        <v>4</v>
      </c>
      <c r="E58" s="628">
        <v>916.65</v>
      </c>
      <c r="F58" s="489">
        <v>1</v>
      </c>
      <c r="G58" s="489">
        <v>916.65</v>
      </c>
      <c r="H58" s="489"/>
      <c r="I58" s="489"/>
      <c r="J58" s="489"/>
      <c r="K58" s="489"/>
      <c r="L58" s="489"/>
      <c r="M58" s="489"/>
      <c r="N58" s="489"/>
      <c r="O58" s="489"/>
      <c r="P58" s="489"/>
      <c r="Q58" s="489"/>
      <c r="R58" s="489">
        <f t="shared" si="2"/>
        <v>5</v>
      </c>
      <c r="S58" s="490">
        <f>R59/R58</f>
        <v>916.65</v>
      </c>
    </row>
    <row r="59" spans="2:19" s="1398" customFormat="1" ht="16.5" thickBot="1" x14ac:dyDescent="0.3">
      <c r="B59" s="4186"/>
      <c r="C59" s="631" t="s">
        <v>1025</v>
      </c>
      <c r="D59" s="4187">
        <f>D58*E58</f>
        <v>3666.6</v>
      </c>
      <c r="E59" s="4188"/>
      <c r="F59" s="4187">
        <f>F58*G58</f>
        <v>916.65</v>
      </c>
      <c r="G59" s="4188"/>
      <c r="H59" s="4187">
        <f>H58*I58</f>
        <v>0</v>
      </c>
      <c r="I59" s="4188"/>
      <c r="J59" s="4187">
        <f>J58*K58</f>
        <v>0</v>
      </c>
      <c r="K59" s="4188"/>
      <c r="L59" s="4187">
        <f>L58*M58</f>
        <v>0</v>
      </c>
      <c r="M59" s="4188"/>
      <c r="N59" s="4187">
        <f>N58*O58</f>
        <v>0</v>
      </c>
      <c r="O59" s="4188"/>
      <c r="P59" s="4187">
        <f>P58*Q58</f>
        <v>0</v>
      </c>
      <c r="Q59" s="4188"/>
      <c r="R59" s="4192">
        <f>D59+F59+H59+J59+L59+N59+P59</f>
        <v>4583.25</v>
      </c>
      <c r="S59" s="4193"/>
    </row>
    <row r="60" spans="2:19" s="1398" customFormat="1" x14ac:dyDescent="0.25">
      <c r="B60" s="4185">
        <f>B58+1</f>
        <v>6</v>
      </c>
      <c r="C60" s="634" t="s">
        <v>2311</v>
      </c>
      <c r="D60" s="628">
        <v>2</v>
      </c>
      <c r="E60" s="628">
        <v>657.48</v>
      </c>
      <c r="F60" s="489">
        <v>1</v>
      </c>
      <c r="G60" s="489">
        <v>657.48</v>
      </c>
      <c r="H60" s="489"/>
      <c r="I60" s="489"/>
      <c r="J60" s="489"/>
      <c r="K60" s="489"/>
      <c r="L60" s="489"/>
      <c r="M60" s="489"/>
      <c r="N60" s="489">
        <v>1</v>
      </c>
      <c r="O60" s="489">
        <v>657.48</v>
      </c>
      <c r="P60" s="489"/>
      <c r="Q60" s="489"/>
      <c r="R60" s="489">
        <f t="shared" si="2"/>
        <v>4</v>
      </c>
      <c r="S60" s="490">
        <f>R61/R60</f>
        <v>657.48</v>
      </c>
    </row>
    <row r="61" spans="2:19" s="1398" customFormat="1" ht="16.5" thickBot="1" x14ac:dyDescent="0.3">
      <c r="B61" s="4186"/>
      <c r="C61" s="631" t="s">
        <v>1025</v>
      </c>
      <c r="D61" s="4187">
        <f>D60*E60</f>
        <v>1314.96</v>
      </c>
      <c r="E61" s="4188"/>
      <c r="F61" s="4187">
        <f>F60*G60</f>
        <v>657.48</v>
      </c>
      <c r="G61" s="4188"/>
      <c r="H61" s="4187">
        <f>H60*I60</f>
        <v>0</v>
      </c>
      <c r="I61" s="4188"/>
      <c r="J61" s="4187">
        <f>J60*K60</f>
        <v>0</v>
      </c>
      <c r="K61" s="4188"/>
      <c r="L61" s="4187">
        <f>L60*M60</f>
        <v>0</v>
      </c>
      <c r="M61" s="4188"/>
      <c r="N61" s="4187">
        <f>N60*O60</f>
        <v>657.48</v>
      </c>
      <c r="O61" s="4188"/>
      <c r="P61" s="4187">
        <f>P60*Q60</f>
        <v>0</v>
      </c>
      <c r="Q61" s="4188"/>
      <c r="R61" s="4192">
        <f>D61+F61+H61+J61+L61+N61+P61</f>
        <v>2629.92</v>
      </c>
      <c r="S61" s="4193"/>
    </row>
    <row r="62" spans="2:19" s="1398" customFormat="1" x14ac:dyDescent="0.25">
      <c r="B62" s="4185">
        <f>B60+1</f>
        <v>7</v>
      </c>
      <c r="C62" s="634" t="s">
        <v>2312</v>
      </c>
      <c r="D62" s="628">
        <v>4</v>
      </c>
      <c r="E62" s="628">
        <v>404.15</v>
      </c>
      <c r="F62" s="489"/>
      <c r="G62" s="489"/>
      <c r="H62" s="489"/>
      <c r="I62" s="489"/>
      <c r="J62" s="489"/>
      <c r="K62" s="489"/>
      <c r="L62" s="489"/>
      <c r="M62" s="489"/>
      <c r="N62" s="489"/>
      <c r="O62" s="489"/>
      <c r="P62" s="489"/>
      <c r="Q62" s="489"/>
      <c r="R62" s="489">
        <f t="shared" si="2"/>
        <v>4</v>
      </c>
      <c r="S62" s="490">
        <f>R63/R62</f>
        <v>404.15</v>
      </c>
    </row>
    <row r="63" spans="2:19" s="1398" customFormat="1" ht="16.5" thickBot="1" x14ac:dyDescent="0.3">
      <c r="B63" s="4202"/>
      <c r="C63" s="633" t="s">
        <v>1025</v>
      </c>
      <c r="D63" s="4203">
        <f>D62*E62</f>
        <v>1616.6</v>
      </c>
      <c r="E63" s="4204"/>
      <c r="F63" s="4203">
        <f>F62*G62</f>
        <v>0</v>
      </c>
      <c r="G63" s="4204"/>
      <c r="H63" s="4203">
        <f>H62*I62</f>
        <v>0</v>
      </c>
      <c r="I63" s="4204"/>
      <c r="J63" s="4203">
        <f>J62*K62</f>
        <v>0</v>
      </c>
      <c r="K63" s="4204"/>
      <c r="L63" s="4203">
        <f>L62*M62</f>
        <v>0</v>
      </c>
      <c r="M63" s="4204"/>
      <c r="N63" s="4203">
        <f>N62*O62</f>
        <v>0</v>
      </c>
      <c r="O63" s="4204"/>
      <c r="P63" s="4203">
        <f>P62*Q62</f>
        <v>0</v>
      </c>
      <c r="Q63" s="4204"/>
      <c r="R63" s="4192">
        <f>D63+F63+H63+J63+L63+N63+P63</f>
        <v>1616.6</v>
      </c>
      <c r="S63" s="4193"/>
    </row>
    <row r="64" spans="2:19" s="1398" customFormat="1" x14ac:dyDescent="0.25">
      <c r="B64" s="4185">
        <v>8</v>
      </c>
      <c r="C64" s="1406" t="s">
        <v>2313</v>
      </c>
      <c r="D64" s="1407">
        <v>0</v>
      </c>
      <c r="E64" s="1408">
        <v>958.3</v>
      </c>
      <c r="F64" s="1408"/>
      <c r="G64" s="1408"/>
      <c r="H64" s="1408"/>
      <c r="I64" s="1408"/>
      <c r="J64" s="1408"/>
      <c r="K64" s="1408"/>
      <c r="L64" s="1408"/>
      <c r="M64" s="1408"/>
      <c r="N64" s="1407">
        <v>2</v>
      </c>
      <c r="O64" s="1408">
        <v>958.3</v>
      </c>
      <c r="P64" s="1407">
        <v>1</v>
      </c>
      <c r="Q64" s="1408">
        <v>958.3</v>
      </c>
      <c r="R64" s="489">
        <f t="shared" si="2"/>
        <v>3</v>
      </c>
      <c r="S64" s="490">
        <f>R65/R64</f>
        <v>958.29999999999984</v>
      </c>
    </row>
    <row r="65" spans="2:19" s="1398" customFormat="1" ht="16.5" thickBot="1" x14ac:dyDescent="0.3">
      <c r="B65" s="4186"/>
      <c r="C65" s="1409" t="s">
        <v>2314</v>
      </c>
      <c r="D65" s="4192"/>
      <c r="E65" s="4192"/>
      <c r="F65" s="4192"/>
      <c r="G65" s="4192"/>
      <c r="H65" s="4192"/>
      <c r="I65" s="4192"/>
      <c r="J65" s="4192"/>
      <c r="K65" s="4192"/>
      <c r="L65" s="4192"/>
      <c r="M65" s="4192"/>
      <c r="N65" s="4192">
        <f>N64*O64</f>
        <v>1916.6</v>
      </c>
      <c r="O65" s="4192"/>
      <c r="P65" s="4192">
        <v>958.3</v>
      </c>
      <c r="Q65" s="4192"/>
      <c r="R65" s="4192">
        <f>D65+F65+H65+J65+L65+N65+P65</f>
        <v>2874.8999999999996</v>
      </c>
      <c r="S65" s="4193"/>
    </row>
    <row r="66" spans="2:19" s="1398" customFormat="1" x14ac:dyDescent="0.25">
      <c r="B66" s="4202">
        <v>9</v>
      </c>
      <c r="C66" s="1405" t="s">
        <v>1027</v>
      </c>
      <c r="D66" s="629">
        <v>25</v>
      </c>
      <c r="E66" s="629">
        <v>585</v>
      </c>
      <c r="F66" s="491">
        <v>43</v>
      </c>
      <c r="G66" s="491">
        <v>585</v>
      </c>
      <c r="H66" s="491"/>
      <c r="I66" s="491"/>
      <c r="J66" s="491"/>
      <c r="K66" s="491"/>
      <c r="L66" s="491">
        <v>4</v>
      </c>
      <c r="M66" s="491">
        <v>585</v>
      </c>
      <c r="N66" s="491">
        <v>6</v>
      </c>
      <c r="O66" s="491">
        <v>585</v>
      </c>
      <c r="P66" s="491">
        <v>3</v>
      </c>
      <c r="Q66" s="491">
        <v>585</v>
      </c>
      <c r="R66" s="491">
        <f t="shared" si="2"/>
        <v>81</v>
      </c>
      <c r="S66" s="492">
        <f>R67/R66</f>
        <v>585</v>
      </c>
    </row>
    <row r="67" spans="2:19" s="1398" customFormat="1" ht="16.5" thickBot="1" x14ac:dyDescent="0.3">
      <c r="B67" s="4186"/>
      <c r="C67" s="631" t="s">
        <v>1025</v>
      </c>
      <c r="D67" s="4187">
        <f>D66*E66</f>
        <v>14625</v>
      </c>
      <c r="E67" s="4188"/>
      <c r="F67" s="4187">
        <f>F66*G66</f>
        <v>25155</v>
      </c>
      <c r="G67" s="4188"/>
      <c r="H67" s="4187">
        <f>H66*I66</f>
        <v>0</v>
      </c>
      <c r="I67" s="4188"/>
      <c r="J67" s="4187">
        <f>J66*K66</f>
        <v>0</v>
      </c>
      <c r="K67" s="4188"/>
      <c r="L67" s="4187">
        <f>L66*M66</f>
        <v>2340</v>
      </c>
      <c r="M67" s="4188"/>
      <c r="N67" s="4187">
        <f>N66*O66</f>
        <v>3510</v>
      </c>
      <c r="O67" s="4188"/>
      <c r="P67" s="4187">
        <f>P66*Q66</f>
        <v>1755</v>
      </c>
      <c r="Q67" s="4188"/>
      <c r="R67" s="4192">
        <f>D67+F67+H67+J67+L67+N67+P67</f>
        <v>47385</v>
      </c>
      <c r="S67" s="4193"/>
    </row>
    <row r="68" spans="2:19" s="1398" customFormat="1" x14ac:dyDescent="0.25">
      <c r="B68" s="4185">
        <f>B66+1</f>
        <v>10</v>
      </c>
      <c r="C68" s="634" t="s">
        <v>2315</v>
      </c>
      <c r="D68" s="628">
        <v>6</v>
      </c>
      <c r="E68" s="628">
        <v>158.30000000000001</v>
      </c>
      <c r="F68" s="489"/>
      <c r="G68" s="489"/>
      <c r="H68" s="489"/>
      <c r="I68" s="489"/>
      <c r="J68" s="489"/>
      <c r="K68" s="489"/>
      <c r="L68" s="489"/>
      <c r="M68" s="489"/>
      <c r="N68" s="489"/>
      <c r="O68" s="489"/>
      <c r="P68" s="489"/>
      <c r="Q68" s="489"/>
      <c r="R68" s="489">
        <f t="shared" si="2"/>
        <v>6</v>
      </c>
      <c r="S68" s="490">
        <f>R69/R68</f>
        <v>158.30000000000001</v>
      </c>
    </row>
    <row r="69" spans="2:19" s="1398" customFormat="1" ht="16.5" thickBot="1" x14ac:dyDescent="0.3">
      <c r="B69" s="4186"/>
      <c r="C69" s="631" t="s">
        <v>1025</v>
      </c>
      <c r="D69" s="4187">
        <f>D68*E68</f>
        <v>949.80000000000007</v>
      </c>
      <c r="E69" s="4188"/>
      <c r="F69" s="4187">
        <f>F68*G68</f>
        <v>0</v>
      </c>
      <c r="G69" s="4188"/>
      <c r="H69" s="4187">
        <f>H68*I68</f>
        <v>0</v>
      </c>
      <c r="I69" s="4188"/>
      <c r="J69" s="4187">
        <f>J68*K68</f>
        <v>0</v>
      </c>
      <c r="K69" s="4188"/>
      <c r="L69" s="4187">
        <f>L68*M68</f>
        <v>0</v>
      </c>
      <c r="M69" s="4188"/>
      <c r="N69" s="4187">
        <f>N68*O68</f>
        <v>0</v>
      </c>
      <c r="O69" s="4188"/>
      <c r="P69" s="4187">
        <f>P68*Q68</f>
        <v>0</v>
      </c>
      <c r="Q69" s="4188"/>
      <c r="R69" s="4192">
        <f>D69+F69+H69+J69+L69+N69+P69</f>
        <v>949.80000000000007</v>
      </c>
      <c r="S69" s="4193"/>
    </row>
    <row r="70" spans="2:19" s="1398" customFormat="1" ht="28.5" x14ac:dyDescent="0.25">
      <c r="B70" s="4185">
        <f>B68+1</f>
        <v>11</v>
      </c>
      <c r="C70" s="634" t="s">
        <v>1028</v>
      </c>
      <c r="D70" s="628">
        <v>1</v>
      </c>
      <c r="E70" s="628">
        <v>187.45</v>
      </c>
      <c r="F70" s="489">
        <v>9</v>
      </c>
      <c r="G70" s="489">
        <v>187.45</v>
      </c>
      <c r="H70" s="489"/>
      <c r="I70" s="489"/>
      <c r="J70" s="489"/>
      <c r="K70" s="489"/>
      <c r="L70" s="489"/>
      <c r="M70" s="489"/>
      <c r="N70" s="489"/>
      <c r="O70" s="489"/>
      <c r="P70" s="489"/>
      <c r="Q70" s="489"/>
      <c r="R70" s="489">
        <f t="shared" si="2"/>
        <v>10</v>
      </c>
      <c r="S70" s="490">
        <f>R71/R70</f>
        <v>187.45</v>
      </c>
    </row>
    <row r="71" spans="2:19" s="1398" customFormat="1" ht="16.5" thickBot="1" x14ac:dyDescent="0.3">
      <c r="B71" s="4186"/>
      <c r="C71" s="631" t="s">
        <v>1025</v>
      </c>
      <c r="D71" s="4187">
        <f>D70*E70</f>
        <v>187.45</v>
      </c>
      <c r="E71" s="4188"/>
      <c r="F71" s="4187">
        <f>F70*G70</f>
        <v>1687.05</v>
      </c>
      <c r="G71" s="4188"/>
      <c r="H71" s="4187">
        <f>H70*I70</f>
        <v>0</v>
      </c>
      <c r="I71" s="4188"/>
      <c r="J71" s="4187">
        <f>J70*K70</f>
        <v>0</v>
      </c>
      <c r="K71" s="4188"/>
      <c r="L71" s="4187">
        <f>L70*M70</f>
        <v>0</v>
      </c>
      <c r="M71" s="4188"/>
      <c r="N71" s="4187">
        <f>N70*O70</f>
        <v>0</v>
      </c>
      <c r="O71" s="4188"/>
      <c r="P71" s="4187">
        <f>P70*Q70</f>
        <v>0</v>
      </c>
      <c r="Q71" s="4188"/>
      <c r="R71" s="4192">
        <f>D71+F71+H71+J71+L71+N71+P71</f>
        <v>1874.5</v>
      </c>
      <c r="S71" s="4193"/>
    </row>
    <row r="72" spans="2:19" s="1398" customFormat="1" x14ac:dyDescent="0.25">
      <c r="B72" s="4185">
        <f>B70+1</f>
        <v>12</v>
      </c>
      <c r="C72" s="1405" t="s">
        <v>1029</v>
      </c>
      <c r="D72" s="629"/>
      <c r="E72" s="491"/>
      <c r="F72" s="491">
        <v>3</v>
      </c>
      <c r="G72" s="491">
        <v>58.3</v>
      </c>
      <c r="H72" s="491"/>
      <c r="I72" s="491"/>
      <c r="J72" s="491"/>
      <c r="K72" s="491"/>
      <c r="L72" s="491"/>
      <c r="M72" s="491"/>
      <c r="N72" s="491">
        <v>2</v>
      </c>
      <c r="O72" s="491">
        <v>58.3</v>
      </c>
      <c r="P72" s="491"/>
      <c r="Q72" s="491"/>
      <c r="R72" s="491">
        <f t="shared" si="2"/>
        <v>5</v>
      </c>
      <c r="S72" s="490">
        <f>R73/R72</f>
        <v>58.3</v>
      </c>
    </row>
    <row r="73" spans="2:19" s="1398" customFormat="1" ht="16.5" thickBot="1" x14ac:dyDescent="0.3">
      <c r="B73" s="4186"/>
      <c r="C73" s="633" t="s">
        <v>1025</v>
      </c>
      <c r="D73" s="4187">
        <f>D72*E72</f>
        <v>0</v>
      </c>
      <c r="E73" s="4188"/>
      <c r="F73" s="4187">
        <f>F72*G72</f>
        <v>174.89999999999998</v>
      </c>
      <c r="G73" s="4188"/>
      <c r="H73" s="4187">
        <f>H72*I72</f>
        <v>0</v>
      </c>
      <c r="I73" s="4188"/>
      <c r="J73" s="4187">
        <f>J72*K72</f>
        <v>0</v>
      </c>
      <c r="K73" s="4188"/>
      <c r="L73" s="4187">
        <f>L72*M72</f>
        <v>0</v>
      </c>
      <c r="M73" s="4188"/>
      <c r="N73" s="4187">
        <f>N72*O72</f>
        <v>116.6</v>
      </c>
      <c r="O73" s="4188"/>
      <c r="P73" s="4187">
        <f>P72*Q72</f>
        <v>0</v>
      </c>
      <c r="Q73" s="4188"/>
      <c r="R73" s="4192">
        <f>D73+F73+H73+J73+L73+N73+P73</f>
        <v>291.5</v>
      </c>
      <c r="S73" s="4193"/>
    </row>
    <row r="74" spans="2:19" s="1398" customFormat="1" x14ac:dyDescent="0.25">
      <c r="B74" s="4185">
        <f>B72+1</f>
        <v>13</v>
      </c>
      <c r="C74" s="634" t="s">
        <v>1040</v>
      </c>
      <c r="D74" s="628">
        <v>25</v>
      </c>
      <c r="E74" s="628">
        <v>90.73</v>
      </c>
      <c r="F74" s="489">
        <v>22</v>
      </c>
      <c r="G74" s="489">
        <v>90.73</v>
      </c>
      <c r="H74" s="489"/>
      <c r="I74" s="489"/>
      <c r="J74" s="489"/>
      <c r="K74" s="489"/>
      <c r="L74" s="489">
        <v>3</v>
      </c>
      <c r="M74" s="489">
        <v>90.73</v>
      </c>
      <c r="N74" s="489"/>
      <c r="O74" s="489"/>
      <c r="P74" s="489"/>
      <c r="Q74" s="489"/>
      <c r="R74" s="489">
        <f t="shared" si="2"/>
        <v>50</v>
      </c>
      <c r="S74" s="490"/>
    </row>
    <row r="75" spans="2:19" s="1398" customFormat="1" ht="16.5" thickBot="1" x14ac:dyDescent="0.3">
      <c r="B75" s="4186"/>
      <c r="C75" s="631" t="s">
        <v>1025</v>
      </c>
      <c r="D75" s="4187">
        <f>D74*E74</f>
        <v>2268.25</v>
      </c>
      <c r="E75" s="4188"/>
      <c r="F75" s="4187">
        <f>F74*G74</f>
        <v>1996.0600000000002</v>
      </c>
      <c r="G75" s="4188"/>
      <c r="H75" s="4187">
        <f>H74*I74</f>
        <v>0</v>
      </c>
      <c r="I75" s="4188"/>
      <c r="J75" s="4187">
        <f>J74*K74</f>
        <v>0</v>
      </c>
      <c r="K75" s="4188"/>
      <c r="L75" s="4187">
        <f>L74*M74</f>
        <v>272.19</v>
      </c>
      <c r="M75" s="4188"/>
      <c r="N75" s="4187">
        <f>N74*O74</f>
        <v>0</v>
      </c>
      <c r="O75" s="4188"/>
      <c r="P75" s="4187">
        <f>P74*Q74</f>
        <v>0</v>
      </c>
      <c r="Q75" s="4188"/>
      <c r="R75" s="4192">
        <f>D75+F75+H75+J75+L75+N75+P75</f>
        <v>4536.5</v>
      </c>
      <c r="S75" s="4193"/>
    </row>
    <row r="76" spans="2:19" s="1398" customFormat="1" x14ac:dyDescent="0.25">
      <c r="B76" s="4185">
        <f>B74+1</f>
        <v>14</v>
      </c>
      <c r="C76" s="634" t="s">
        <v>2316</v>
      </c>
      <c r="D76" s="628">
        <v>2</v>
      </c>
      <c r="E76" s="628">
        <v>123.2</v>
      </c>
      <c r="F76" s="489">
        <v>1</v>
      </c>
      <c r="G76" s="489">
        <v>123.2</v>
      </c>
      <c r="H76" s="489"/>
      <c r="I76" s="489"/>
      <c r="J76" s="489"/>
      <c r="K76" s="489"/>
      <c r="L76" s="489"/>
      <c r="M76" s="489"/>
      <c r="N76" s="489"/>
      <c r="O76" s="489"/>
      <c r="P76" s="489"/>
      <c r="Q76" s="489"/>
      <c r="R76" s="489">
        <f t="shared" si="2"/>
        <v>3</v>
      </c>
      <c r="S76" s="490">
        <f>R77/R76</f>
        <v>123.2</v>
      </c>
    </row>
    <row r="77" spans="2:19" s="1398" customFormat="1" ht="16.5" thickBot="1" x14ac:dyDescent="0.3">
      <c r="B77" s="4186"/>
      <c r="C77" s="631" t="s">
        <v>1025</v>
      </c>
      <c r="D77" s="4187">
        <f>D76*E76</f>
        <v>246.4</v>
      </c>
      <c r="E77" s="4188"/>
      <c r="F77" s="4187">
        <f>F76*G76</f>
        <v>123.2</v>
      </c>
      <c r="G77" s="4188"/>
      <c r="H77" s="4187">
        <f>H76*I76</f>
        <v>0</v>
      </c>
      <c r="I77" s="4188"/>
      <c r="J77" s="4187">
        <f>J76*K76</f>
        <v>0</v>
      </c>
      <c r="K77" s="4188"/>
      <c r="L77" s="4187">
        <f>L76*M76</f>
        <v>0</v>
      </c>
      <c r="M77" s="4188"/>
      <c r="N77" s="4187">
        <f>N76*O76</f>
        <v>0</v>
      </c>
      <c r="O77" s="4188"/>
      <c r="P77" s="4187">
        <f>P76*Q76</f>
        <v>0</v>
      </c>
      <c r="Q77" s="4188"/>
      <c r="R77" s="4192">
        <f>D77+F77+H77+J77+L77+N77+P77</f>
        <v>369.6</v>
      </c>
      <c r="S77" s="4193"/>
    </row>
    <row r="78" spans="2:19" s="1398" customFormat="1" x14ac:dyDescent="0.25">
      <c r="B78" s="4185">
        <f>B76+1</f>
        <v>15</v>
      </c>
      <c r="C78" s="634" t="s">
        <v>2317</v>
      </c>
      <c r="D78" s="628">
        <v>18</v>
      </c>
      <c r="E78" s="628">
        <v>383.3</v>
      </c>
      <c r="F78" s="489">
        <v>16</v>
      </c>
      <c r="G78" s="489">
        <v>383.3</v>
      </c>
      <c r="H78" s="489"/>
      <c r="I78" s="489"/>
      <c r="J78" s="489">
        <v>2</v>
      </c>
      <c r="K78" s="489">
        <v>383.3</v>
      </c>
      <c r="L78" s="489">
        <v>3</v>
      </c>
      <c r="M78" s="489">
        <v>383.3</v>
      </c>
      <c r="N78" s="489">
        <v>3</v>
      </c>
      <c r="O78" s="489">
        <v>383.3</v>
      </c>
      <c r="P78" s="489"/>
      <c r="Q78" s="489"/>
      <c r="R78" s="489">
        <f t="shared" si="2"/>
        <v>42</v>
      </c>
      <c r="S78" s="490">
        <f>R79/R78</f>
        <v>383.3</v>
      </c>
    </row>
    <row r="79" spans="2:19" s="1398" customFormat="1" ht="16.5" thickBot="1" x14ac:dyDescent="0.3">
      <c r="B79" s="4186"/>
      <c r="C79" s="631" t="s">
        <v>1025</v>
      </c>
      <c r="D79" s="4187">
        <f>D78*E78</f>
        <v>6899.4000000000005</v>
      </c>
      <c r="E79" s="4188"/>
      <c r="F79" s="4187">
        <f>F78*G78</f>
        <v>6132.8</v>
      </c>
      <c r="G79" s="4188"/>
      <c r="H79" s="4187">
        <f>H78*I78</f>
        <v>0</v>
      </c>
      <c r="I79" s="4188"/>
      <c r="J79" s="4187">
        <f>J78*K78</f>
        <v>766.6</v>
      </c>
      <c r="K79" s="4188"/>
      <c r="L79" s="4187">
        <f>L78*M78</f>
        <v>1149.9000000000001</v>
      </c>
      <c r="M79" s="4188"/>
      <c r="N79" s="4187">
        <f>N78*O78</f>
        <v>1149.9000000000001</v>
      </c>
      <c r="O79" s="4188"/>
      <c r="P79" s="4187">
        <f>P78*Q78</f>
        <v>0</v>
      </c>
      <c r="Q79" s="4188"/>
      <c r="R79" s="4192">
        <f>D79+F79+H79+J79+L79+N79+P79</f>
        <v>16098.6</v>
      </c>
      <c r="S79" s="4193"/>
    </row>
    <row r="80" spans="2:19" s="1398" customFormat="1" x14ac:dyDescent="0.25">
      <c r="B80" s="4185">
        <f>B78+1</f>
        <v>16</v>
      </c>
      <c r="C80" s="634" t="s">
        <v>2318</v>
      </c>
      <c r="D80" s="628">
        <v>18</v>
      </c>
      <c r="E80" s="628">
        <v>299.95</v>
      </c>
      <c r="F80" s="489">
        <v>16</v>
      </c>
      <c r="G80" s="489">
        <v>299.95</v>
      </c>
      <c r="H80" s="489"/>
      <c r="I80" s="489"/>
      <c r="J80" s="489">
        <v>2</v>
      </c>
      <c r="K80" s="489">
        <v>299.95</v>
      </c>
      <c r="L80" s="489">
        <v>3</v>
      </c>
      <c r="M80" s="489">
        <v>299.95</v>
      </c>
      <c r="N80" s="489">
        <v>3</v>
      </c>
      <c r="O80" s="489">
        <v>299.95</v>
      </c>
      <c r="P80" s="489"/>
      <c r="Q80" s="489"/>
      <c r="R80" s="489">
        <f t="shared" si="2"/>
        <v>42</v>
      </c>
      <c r="S80" s="490">
        <f>R81/R80</f>
        <v>299.95</v>
      </c>
    </row>
    <row r="81" spans="2:19" s="1398" customFormat="1" ht="16.5" thickBot="1" x14ac:dyDescent="0.3">
      <c r="B81" s="4186"/>
      <c r="C81" s="631" t="s">
        <v>1025</v>
      </c>
      <c r="D81" s="4187">
        <f>D80*E80</f>
        <v>5399.0999999999995</v>
      </c>
      <c r="E81" s="4188"/>
      <c r="F81" s="4187">
        <f>F80*G80</f>
        <v>4799.2</v>
      </c>
      <c r="G81" s="4188"/>
      <c r="H81" s="4187">
        <f>H80*I80</f>
        <v>0</v>
      </c>
      <c r="I81" s="4188"/>
      <c r="J81" s="4187">
        <f>J80*K80</f>
        <v>599.9</v>
      </c>
      <c r="K81" s="4188"/>
      <c r="L81" s="4187">
        <f>L80*M80</f>
        <v>899.84999999999991</v>
      </c>
      <c r="M81" s="4188"/>
      <c r="N81" s="4187">
        <f>N80*O80</f>
        <v>899.84999999999991</v>
      </c>
      <c r="O81" s="4188"/>
      <c r="P81" s="4187">
        <f>P80*Q80</f>
        <v>0</v>
      </c>
      <c r="Q81" s="4188"/>
      <c r="R81" s="4192">
        <f>D81+F81+H81+J81+L81+N81+P81</f>
        <v>12597.9</v>
      </c>
      <c r="S81" s="4193"/>
    </row>
    <row r="82" spans="2:19" s="1398" customFormat="1" x14ac:dyDescent="0.25">
      <c r="B82" s="4185">
        <f>B80+1</f>
        <v>17</v>
      </c>
      <c r="C82" s="634" t="s">
        <v>1030</v>
      </c>
      <c r="D82" s="628">
        <v>238</v>
      </c>
      <c r="E82" s="628">
        <v>13.5</v>
      </c>
      <c r="F82" s="489">
        <v>255</v>
      </c>
      <c r="G82" s="489">
        <v>13.5</v>
      </c>
      <c r="H82" s="489"/>
      <c r="I82" s="489"/>
      <c r="J82" s="489">
        <v>44</v>
      </c>
      <c r="K82" s="489">
        <v>13.5</v>
      </c>
      <c r="L82" s="489">
        <v>66</v>
      </c>
      <c r="M82" s="489">
        <v>13.5</v>
      </c>
      <c r="N82" s="489">
        <v>77</v>
      </c>
      <c r="O82" s="489">
        <v>13.5</v>
      </c>
      <c r="P82" s="489">
        <v>3</v>
      </c>
      <c r="Q82" s="489">
        <v>13.5</v>
      </c>
      <c r="R82" s="489">
        <f t="shared" si="2"/>
        <v>683</v>
      </c>
      <c r="S82" s="490">
        <f>R83/R82</f>
        <v>13.5</v>
      </c>
    </row>
    <row r="83" spans="2:19" s="1398" customFormat="1" ht="16.5" thickBot="1" x14ac:dyDescent="0.3">
      <c r="B83" s="4186"/>
      <c r="C83" s="631" t="s">
        <v>1025</v>
      </c>
      <c r="D83" s="4187">
        <f>D82*E82</f>
        <v>3213</v>
      </c>
      <c r="E83" s="4188"/>
      <c r="F83" s="4187">
        <f>F82*G82</f>
        <v>3442.5</v>
      </c>
      <c r="G83" s="4188"/>
      <c r="H83" s="4187">
        <f>H82*I82</f>
        <v>0</v>
      </c>
      <c r="I83" s="4188"/>
      <c r="J83" s="4187">
        <f>J82*K82</f>
        <v>594</v>
      </c>
      <c r="K83" s="4188"/>
      <c r="L83" s="4187">
        <f>L82*M82</f>
        <v>891</v>
      </c>
      <c r="M83" s="4188"/>
      <c r="N83" s="4187">
        <f>N82*O82</f>
        <v>1039.5</v>
      </c>
      <c r="O83" s="4188"/>
      <c r="P83" s="4187">
        <f>P82*Q82</f>
        <v>40.5</v>
      </c>
      <c r="Q83" s="4188"/>
      <c r="R83" s="4192">
        <f>D83+F83+H83+J83+L83+N83+P83</f>
        <v>9220.5</v>
      </c>
      <c r="S83" s="4193"/>
    </row>
    <row r="84" spans="2:19" s="1398" customFormat="1" x14ac:dyDescent="0.25">
      <c r="B84" s="4185">
        <f>B82+1</f>
        <v>18</v>
      </c>
      <c r="C84" s="634" t="s">
        <v>2319</v>
      </c>
      <c r="D84" s="628">
        <v>92</v>
      </c>
      <c r="E84" s="628">
        <v>61</v>
      </c>
      <c r="F84" s="489">
        <v>264</v>
      </c>
      <c r="G84" s="489">
        <v>61</v>
      </c>
      <c r="H84" s="489"/>
      <c r="I84" s="489"/>
      <c r="J84" s="489"/>
      <c r="K84" s="489"/>
      <c r="L84" s="489"/>
      <c r="M84" s="489"/>
      <c r="N84" s="489">
        <v>1</v>
      </c>
      <c r="O84" s="489">
        <v>61</v>
      </c>
      <c r="P84" s="489"/>
      <c r="Q84" s="489"/>
      <c r="R84" s="489">
        <f t="shared" si="2"/>
        <v>357</v>
      </c>
      <c r="S84" s="490">
        <f>R85/R84</f>
        <v>61</v>
      </c>
    </row>
    <row r="85" spans="2:19" s="1398" customFormat="1" ht="16.5" thickBot="1" x14ac:dyDescent="0.3">
      <c r="B85" s="4186"/>
      <c r="C85" s="631" t="s">
        <v>1025</v>
      </c>
      <c r="D85" s="4187">
        <f>D84*E84</f>
        <v>5612</v>
      </c>
      <c r="E85" s="4188"/>
      <c r="F85" s="4187">
        <f>F84*G84</f>
        <v>16104</v>
      </c>
      <c r="G85" s="4188"/>
      <c r="H85" s="4187">
        <f>H84*I84</f>
        <v>0</v>
      </c>
      <c r="I85" s="4188"/>
      <c r="J85" s="4187">
        <f>J84*K84</f>
        <v>0</v>
      </c>
      <c r="K85" s="4188"/>
      <c r="L85" s="4187">
        <f>L84*M84</f>
        <v>0</v>
      </c>
      <c r="M85" s="4188"/>
      <c r="N85" s="4187">
        <f>N84*O84</f>
        <v>61</v>
      </c>
      <c r="O85" s="4188"/>
      <c r="P85" s="4187">
        <f>P84*Q84</f>
        <v>0</v>
      </c>
      <c r="Q85" s="4188"/>
      <c r="R85" s="4192">
        <f>D85+F85+H85+J85+L85+N85+P85</f>
        <v>21777</v>
      </c>
      <c r="S85" s="4193"/>
    </row>
    <row r="86" spans="2:19" s="1398" customFormat="1" ht="28.5" x14ac:dyDescent="0.25">
      <c r="B86" s="4185">
        <f>B84+1</f>
        <v>19</v>
      </c>
      <c r="C86" s="634" t="s">
        <v>2320</v>
      </c>
      <c r="D86" s="628">
        <v>2</v>
      </c>
      <c r="E86" s="628">
        <v>1000</v>
      </c>
      <c r="F86" s="489"/>
      <c r="G86" s="489"/>
      <c r="H86" s="489"/>
      <c r="I86" s="489"/>
      <c r="J86" s="489"/>
      <c r="K86" s="489"/>
      <c r="L86" s="489"/>
      <c r="M86" s="489"/>
      <c r="N86" s="489"/>
      <c r="O86" s="489"/>
      <c r="P86" s="489"/>
      <c r="Q86" s="489"/>
      <c r="R86" s="489">
        <f t="shared" si="2"/>
        <v>2</v>
      </c>
      <c r="S86" s="490">
        <f>R87/R86</f>
        <v>1000</v>
      </c>
    </row>
    <row r="87" spans="2:19" s="1398" customFormat="1" ht="16.5" thickBot="1" x14ac:dyDescent="0.3">
      <c r="B87" s="4186"/>
      <c r="C87" s="631" t="s">
        <v>1025</v>
      </c>
      <c r="D87" s="4187">
        <f>D86*E86</f>
        <v>2000</v>
      </c>
      <c r="E87" s="4188"/>
      <c r="F87" s="4187">
        <f>F86*G86</f>
        <v>0</v>
      </c>
      <c r="G87" s="4188"/>
      <c r="H87" s="4187">
        <f>H86*I86</f>
        <v>0</v>
      </c>
      <c r="I87" s="4188"/>
      <c r="J87" s="4187">
        <f>J86*K86</f>
        <v>0</v>
      </c>
      <c r="K87" s="4188"/>
      <c r="L87" s="4187">
        <f>L86*M86</f>
        <v>0</v>
      </c>
      <c r="M87" s="4188"/>
      <c r="N87" s="4187">
        <f>N86*O86</f>
        <v>0</v>
      </c>
      <c r="O87" s="4188"/>
      <c r="P87" s="4187">
        <f>P86*Q86</f>
        <v>0</v>
      </c>
      <c r="Q87" s="4188"/>
      <c r="R87" s="4192">
        <f>D87+F87+H87+J87+L87+N87+P87</f>
        <v>2000</v>
      </c>
      <c r="S87" s="4193"/>
    </row>
    <row r="88" spans="2:19" s="1398" customFormat="1" x14ac:dyDescent="0.25">
      <c r="B88" s="4185">
        <f>B86+1</f>
        <v>20</v>
      </c>
      <c r="C88" s="634" t="s">
        <v>1031</v>
      </c>
      <c r="D88" s="628">
        <v>176</v>
      </c>
      <c r="E88" s="628">
        <v>31</v>
      </c>
      <c r="F88" s="489"/>
      <c r="G88" s="489"/>
      <c r="H88" s="489"/>
      <c r="I88" s="489"/>
      <c r="J88" s="489"/>
      <c r="K88" s="489"/>
      <c r="L88" s="489"/>
      <c r="M88" s="489"/>
      <c r="N88" s="489">
        <v>11</v>
      </c>
      <c r="O88" s="489">
        <v>31</v>
      </c>
      <c r="P88" s="489"/>
      <c r="Q88" s="489"/>
      <c r="R88" s="489">
        <f t="shared" si="2"/>
        <v>187</v>
      </c>
      <c r="S88" s="490">
        <f>R89/R88</f>
        <v>31</v>
      </c>
    </row>
    <row r="89" spans="2:19" s="1398" customFormat="1" ht="16.5" thickBot="1" x14ac:dyDescent="0.3">
      <c r="B89" s="4186"/>
      <c r="C89" s="631" t="s">
        <v>1025</v>
      </c>
      <c r="D89" s="4187">
        <f>D88*E88</f>
        <v>5456</v>
      </c>
      <c r="E89" s="4188"/>
      <c r="F89" s="4187">
        <f>F88*G88</f>
        <v>0</v>
      </c>
      <c r="G89" s="4188"/>
      <c r="H89" s="4187">
        <f>H88*I88</f>
        <v>0</v>
      </c>
      <c r="I89" s="4188"/>
      <c r="J89" s="4187">
        <f>J88*K88</f>
        <v>0</v>
      </c>
      <c r="K89" s="4188"/>
      <c r="L89" s="4187">
        <f>L88*M88</f>
        <v>0</v>
      </c>
      <c r="M89" s="4188"/>
      <c r="N89" s="4187">
        <f>N88*O88</f>
        <v>341</v>
      </c>
      <c r="O89" s="4188"/>
      <c r="P89" s="4187">
        <f>P88*Q88</f>
        <v>0</v>
      </c>
      <c r="Q89" s="4188"/>
      <c r="R89" s="4192">
        <f>D89+F89+H89+J89+L89+N89+P89</f>
        <v>5797</v>
      </c>
      <c r="S89" s="4193"/>
    </row>
    <row r="90" spans="2:19" s="1398" customFormat="1" x14ac:dyDescent="0.25">
      <c r="B90" s="4185">
        <f>B88+1</f>
        <v>21</v>
      </c>
      <c r="C90" s="634" t="s">
        <v>2321</v>
      </c>
      <c r="D90" s="628">
        <v>2</v>
      </c>
      <c r="E90" s="628">
        <v>800</v>
      </c>
      <c r="F90" s="489">
        <v>3</v>
      </c>
      <c r="G90" s="489">
        <v>800</v>
      </c>
      <c r="H90" s="489"/>
      <c r="I90" s="489"/>
      <c r="J90" s="489"/>
      <c r="K90" s="489"/>
      <c r="L90" s="489"/>
      <c r="M90" s="489"/>
      <c r="N90" s="489"/>
      <c r="O90" s="489"/>
      <c r="P90" s="489"/>
      <c r="Q90" s="489"/>
      <c r="R90" s="489">
        <f t="shared" si="2"/>
        <v>5</v>
      </c>
      <c r="S90" s="490">
        <f>R91/R90</f>
        <v>800</v>
      </c>
    </row>
    <row r="91" spans="2:19" s="1398" customFormat="1" ht="16.5" thickBot="1" x14ac:dyDescent="0.3">
      <c r="B91" s="4186"/>
      <c r="C91" s="631" t="s">
        <v>1025</v>
      </c>
      <c r="D91" s="4187">
        <f>D90*E90</f>
        <v>1600</v>
      </c>
      <c r="E91" s="4188"/>
      <c r="F91" s="4187">
        <f>F90*G90</f>
        <v>2400</v>
      </c>
      <c r="G91" s="4188"/>
      <c r="H91" s="4187">
        <f>H90*I90</f>
        <v>0</v>
      </c>
      <c r="I91" s="4188"/>
      <c r="J91" s="4187">
        <f>J90*K90</f>
        <v>0</v>
      </c>
      <c r="K91" s="4188"/>
      <c r="L91" s="4187">
        <f>L90*M90</f>
        <v>0</v>
      </c>
      <c r="M91" s="4188"/>
      <c r="N91" s="4187">
        <f>N90*O90</f>
        <v>0</v>
      </c>
      <c r="O91" s="4188"/>
      <c r="P91" s="4187">
        <f>P90*Q90</f>
        <v>0</v>
      </c>
      <c r="Q91" s="4188"/>
      <c r="R91" s="4192">
        <f>D91+F91+H91+J91+L91+N91+P91</f>
        <v>4000</v>
      </c>
      <c r="S91" s="4193"/>
    </row>
    <row r="92" spans="2:19" s="1398" customFormat="1" x14ac:dyDescent="0.25">
      <c r="B92" s="4185">
        <f>B90+1</f>
        <v>22</v>
      </c>
      <c r="C92" s="1405" t="s">
        <v>2322</v>
      </c>
      <c r="D92" s="629">
        <v>2</v>
      </c>
      <c r="E92" s="629">
        <v>100</v>
      </c>
      <c r="F92" s="491">
        <v>1</v>
      </c>
      <c r="G92" s="491">
        <v>100</v>
      </c>
      <c r="H92" s="491"/>
      <c r="I92" s="491"/>
      <c r="J92" s="491"/>
      <c r="K92" s="491"/>
      <c r="L92" s="491"/>
      <c r="M92" s="491"/>
      <c r="N92" s="491"/>
      <c r="O92" s="491"/>
      <c r="P92" s="491"/>
      <c r="Q92" s="491"/>
      <c r="R92" s="491">
        <f t="shared" si="2"/>
        <v>3</v>
      </c>
      <c r="S92" s="490">
        <f>R93/R92</f>
        <v>100</v>
      </c>
    </row>
    <row r="93" spans="2:19" s="1398" customFormat="1" ht="16.5" thickBot="1" x14ac:dyDescent="0.3">
      <c r="B93" s="4186"/>
      <c r="C93" s="633" t="s">
        <v>1025</v>
      </c>
      <c r="D93" s="4187">
        <f>D92*E92</f>
        <v>200</v>
      </c>
      <c r="E93" s="4188"/>
      <c r="F93" s="4187">
        <f>F92*G92</f>
        <v>100</v>
      </c>
      <c r="G93" s="4188"/>
      <c r="H93" s="4187">
        <f>H92*I92</f>
        <v>0</v>
      </c>
      <c r="I93" s="4188"/>
      <c r="J93" s="4187">
        <f>J92*K92</f>
        <v>0</v>
      </c>
      <c r="K93" s="4188"/>
      <c r="L93" s="4187">
        <f>L92*M92</f>
        <v>0</v>
      </c>
      <c r="M93" s="4188"/>
      <c r="N93" s="4187">
        <f>N92*O92</f>
        <v>0</v>
      </c>
      <c r="O93" s="4188"/>
      <c r="P93" s="4187">
        <f>P92*Q92</f>
        <v>0</v>
      </c>
      <c r="Q93" s="4188"/>
      <c r="R93" s="4192">
        <f>D93+F93+H93+J93+L93+N93+P93</f>
        <v>300</v>
      </c>
      <c r="S93" s="4193"/>
    </row>
    <row r="94" spans="2:19" s="1398" customFormat="1" x14ac:dyDescent="0.25">
      <c r="B94" s="4185">
        <f>B92+1</f>
        <v>23</v>
      </c>
      <c r="C94" s="635" t="s">
        <v>2323</v>
      </c>
      <c r="D94" s="630">
        <v>1</v>
      </c>
      <c r="E94" s="630">
        <v>130.97999999999999</v>
      </c>
      <c r="F94" s="493">
        <v>1</v>
      </c>
      <c r="G94" s="493">
        <v>130.97999999999999</v>
      </c>
      <c r="H94" s="493"/>
      <c r="I94" s="493"/>
      <c r="J94" s="493"/>
      <c r="K94" s="493"/>
      <c r="L94" s="493">
        <v>1</v>
      </c>
      <c r="M94" s="493">
        <v>130.97999999999999</v>
      </c>
      <c r="N94" s="493"/>
      <c r="O94" s="493"/>
      <c r="P94" s="493"/>
      <c r="Q94" s="493"/>
      <c r="R94" s="493">
        <f t="shared" si="2"/>
        <v>3</v>
      </c>
      <c r="S94" s="490">
        <f>R95/R94</f>
        <v>130.97999999999999</v>
      </c>
    </row>
    <row r="95" spans="2:19" s="1398" customFormat="1" ht="16.5" thickBot="1" x14ac:dyDescent="0.3">
      <c r="B95" s="4186"/>
      <c r="C95" s="631" t="s">
        <v>1025</v>
      </c>
      <c r="D95" s="4187">
        <f>D94*E94</f>
        <v>130.97999999999999</v>
      </c>
      <c r="E95" s="4188"/>
      <c r="F95" s="4187">
        <f>F94*G94</f>
        <v>130.97999999999999</v>
      </c>
      <c r="G95" s="4188"/>
      <c r="H95" s="4187">
        <f>H94*I94</f>
        <v>0</v>
      </c>
      <c r="I95" s="4188"/>
      <c r="J95" s="4187">
        <f>J94*K94</f>
        <v>0</v>
      </c>
      <c r="K95" s="4188"/>
      <c r="L95" s="4187">
        <f>L94*M94</f>
        <v>130.97999999999999</v>
      </c>
      <c r="M95" s="4188"/>
      <c r="N95" s="4187">
        <f>N94*O94</f>
        <v>0</v>
      </c>
      <c r="O95" s="4188"/>
      <c r="P95" s="4187">
        <f>P94*Q94</f>
        <v>0</v>
      </c>
      <c r="Q95" s="4188"/>
      <c r="R95" s="4192">
        <f>D95+F95+H95+J95+L95+N95+P95</f>
        <v>392.93999999999994</v>
      </c>
      <c r="S95" s="4193"/>
    </row>
    <row r="96" spans="2:19" s="1398" customFormat="1" x14ac:dyDescent="0.25">
      <c r="B96" s="4185">
        <f>B94+1</f>
        <v>24</v>
      </c>
      <c r="C96" s="635" t="s">
        <v>2324</v>
      </c>
      <c r="D96" s="628">
        <v>100</v>
      </c>
      <c r="E96" s="628">
        <v>5.51</v>
      </c>
      <c r="F96" s="489">
        <v>100</v>
      </c>
      <c r="G96" s="489">
        <v>5.51</v>
      </c>
      <c r="H96" s="489"/>
      <c r="I96" s="489"/>
      <c r="J96" s="489"/>
      <c r="K96" s="489"/>
      <c r="L96" s="489">
        <v>50</v>
      </c>
      <c r="M96" s="489">
        <v>5.51</v>
      </c>
      <c r="N96" s="489"/>
      <c r="O96" s="489"/>
      <c r="P96" s="489"/>
      <c r="Q96" s="489"/>
      <c r="R96" s="489">
        <f t="shared" si="2"/>
        <v>250</v>
      </c>
      <c r="S96" s="490">
        <f>R97/R96</f>
        <v>5.51</v>
      </c>
    </row>
    <row r="97" spans="2:19" s="1398" customFormat="1" ht="16.5" thickBot="1" x14ac:dyDescent="0.3">
      <c r="B97" s="4186"/>
      <c r="C97" s="631" t="s">
        <v>1025</v>
      </c>
      <c r="D97" s="4187">
        <f>D96*E96</f>
        <v>551</v>
      </c>
      <c r="E97" s="4188"/>
      <c r="F97" s="4187">
        <f>F96*G96</f>
        <v>551</v>
      </c>
      <c r="G97" s="4188"/>
      <c r="H97" s="4187">
        <f>H96*I96</f>
        <v>0</v>
      </c>
      <c r="I97" s="4188"/>
      <c r="J97" s="4187">
        <f>J96*K96</f>
        <v>0</v>
      </c>
      <c r="K97" s="4188"/>
      <c r="L97" s="4187">
        <f>L96*M96</f>
        <v>275.5</v>
      </c>
      <c r="M97" s="4188"/>
      <c r="N97" s="4187">
        <f>N96*O96</f>
        <v>0</v>
      </c>
      <c r="O97" s="4188"/>
      <c r="P97" s="4187">
        <f>P96*Q96</f>
        <v>0</v>
      </c>
      <c r="Q97" s="4188"/>
      <c r="R97" s="4192">
        <f>D97+F97+H97+J97+L97+N97+P97</f>
        <v>1377.5</v>
      </c>
      <c r="S97" s="4193"/>
    </row>
    <row r="98" spans="2:19" s="1398" customFormat="1" ht="28.5" x14ac:dyDescent="0.25">
      <c r="B98" s="4185">
        <f>B96+1</f>
        <v>25</v>
      </c>
      <c r="C98" s="634" t="s">
        <v>2325</v>
      </c>
      <c r="D98" s="628">
        <v>14</v>
      </c>
      <c r="E98" s="628">
        <v>1005</v>
      </c>
      <c r="F98" s="489">
        <v>3</v>
      </c>
      <c r="G98" s="489">
        <v>1005</v>
      </c>
      <c r="H98" s="489"/>
      <c r="I98" s="489"/>
      <c r="J98" s="489"/>
      <c r="K98" s="489"/>
      <c r="L98" s="489"/>
      <c r="M98" s="489"/>
      <c r="N98" s="489"/>
      <c r="O98" s="489"/>
      <c r="P98" s="489"/>
      <c r="Q98" s="489"/>
      <c r="R98" s="489">
        <f t="shared" si="2"/>
        <v>17</v>
      </c>
      <c r="S98" s="490">
        <f>R99/R98</f>
        <v>1005</v>
      </c>
    </row>
    <row r="99" spans="2:19" s="1398" customFormat="1" ht="16.5" thickBot="1" x14ac:dyDescent="0.3">
      <c r="B99" s="4186"/>
      <c r="C99" s="631" t="s">
        <v>1025</v>
      </c>
      <c r="D99" s="4187">
        <f>D98*E98</f>
        <v>14070</v>
      </c>
      <c r="E99" s="4188"/>
      <c r="F99" s="4187">
        <f>F98*G98</f>
        <v>3015</v>
      </c>
      <c r="G99" s="4188"/>
      <c r="H99" s="4187">
        <f>H98*I98</f>
        <v>0</v>
      </c>
      <c r="I99" s="4188"/>
      <c r="J99" s="4187">
        <f>J98*K98</f>
        <v>0</v>
      </c>
      <c r="K99" s="4188"/>
      <c r="L99" s="4187">
        <f>L98*M98</f>
        <v>0</v>
      </c>
      <c r="M99" s="4188"/>
      <c r="N99" s="4187">
        <f>N98*O98</f>
        <v>0</v>
      </c>
      <c r="O99" s="4188"/>
      <c r="P99" s="4187">
        <f>P98*Q98</f>
        <v>0</v>
      </c>
      <c r="Q99" s="4188"/>
      <c r="R99" s="4192">
        <f>D99+F99+H99+J99+L99+N99+P99</f>
        <v>17085</v>
      </c>
      <c r="S99" s="4193"/>
    </row>
    <row r="100" spans="2:19" s="1398" customFormat="1" x14ac:dyDescent="0.25">
      <c r="B100" s="4185">
        <f>B98+1</f>
        <v>26</v>
      </c>
      <c r="C100" s="632"/>
      <c r="D100" s="628"/>
      <c r="E100" s="489"/>
      <c r="F100" s="489"/>
      <c r="G100" s="489"/>
      <c r="H100" s="489"/>
      <c r="I100" s="489"/>
      <c r="J100" s="489"/>
      <c r="K100" s="489"/>
      <c r="L100" s="489"/>
      <c r="M100" s="489"/>
      <c r="N100" s="489"/>
      <c r="O100" s="489"/>
      <c r="P100" s="489"/>
      <c r="Q100" s="489"/>
      <c r="R100" s="489">
        <f t="shared" si="2"/>
        <v>0</v>
      </c>
      <c r="S100" s="490" t="e">
        <f>R101/R100</f>
        <v>#DIV/0!</v>
      </c>
    </row>
    <row r="101" spans="2:19" s="1398" customFormat="1" ht="16.5" thickBot="1" x14ac:dyDescent="0.3">
      <c r="B101" s="4186"/>
      <c r="C101" s="631" t="s">
        <v>1025</v>
      </c>
      <c r="D101" s="4187">
        <f>D100*E100</f>
        <v>0</v>
      </c>
      <c r="E101" s="4188"/>
      <c r="F101" s="4187">
        <f>F100*G100</f>
        <v>0</v>
      </c>
      <c r="G101" s="4188"/>
      <c r="H101" s="4187">
        <f>H100*I100</f>
        <v>0</v>
      </c>
      <c r="I101" s="4188"/>
      <c r="J101" s="4187">
        <f>J100*K100</f>
        <v>0</v>
      </c>
      <c r="K101" s="4188"/>
      <c r="L101" s="4187">
        <f>L100*M100</f>
        <v>0</v>
      </c>
      <c r="M101" s="4188"/>
      <c r="N101" s="4187">
        <f>N100*O100</f>
        <v>0</v>
      </c>
      <c r="O101" s="4188"/>
      <c r="P101" s="4187">
        <f>P100*Q100</f>
        <v>0</v>
      </c>
      <c r="Q101" s="4188"/>
      <c r="R101" s="4192">
        <f>D101+F101+H101+J101+L101+N101+P101</f>
        <v>0</v>
      </c>
      <c r="S101" s="4193"/>
    </row>
    <row r="102" spans="2:19" s="1398" customFormat="1" x14ac:dyDescent="0.25">
      <c r="B102" s="4185">
        <f>B100+1</f>
        <v>27</v>
      </c>
      <c r="C102" s="634" t="s">
        <v>1032</v>
      </c>
      <c r="D102" s="628">
        <v>1</v>
      </c>
      <c r="E102" s="628">
        <v>369.96</v>
      </c>
      <c r="F102" s="489"/>
      <c r="G102" s="489"/>
      <c r="H102" s="489"/>
      <c r="I102" s="489"/>
      <c r="J102" s="489">
        <v>1</v>
      </c>
      <c r="K102" s="489">
        <v>369.96</v>
      </c>
      <c r="L102" s="489">
        <v>2</v>
      </c>
      <c r="M102" s="489">
        <v>369.96</v>
      </c>
      <c r="N102" s="489"/>
      <c r="O102" s="489"/>
      <c r="P102" s="489">
        <v>1</v>
      </c>
      <c r="Q102" s="489">
        <v>369.96</v>
      </c>
      <c r="R102" s="489">
        <f t="shared" si="2"/>
        <v>5</v>
      </c>
      <c r="S102" s="490">
        <f>R103/R102</f>
        <v>369.96</v>
      </c>
    </row>
    <row r="103" spans="2:19" s="1398" customFormat="1" ht="16.5" thickBot="1" x14ac:dyDescent="0.3">
      <c r="B103" s="4186"/>
      <c r="C103" s="631" t="s">
        <v>1025</v>
      </c>
      <c r="D103" s="4187">
        <f>D102*E102</f>
        <v>369.96</v>
      </c>
      <c r="E103" s="4188"/>
      <c r="F103" s="4187">
        <f>F102*G102</f>
        <v>0</v>
      </c>
      <c r="G103" s="4188"/>
      <c r="H103" s="4187">
        <f>H102*I102</f>
        <v>0</v>
      </c>
      <c r="I103" s="4188"/>
      <c r="J103" s="4187">
        <f>J102*K102</f>
        <v>369.96</v>
      </c>
      <c r="K103" s="4188"/>
      <c r="L103" s="4187">
        <f>L102*M102</f>
        <v>739.92</v>
      </c>
      <c r="M103" s="4188"/>
      <c r="N103" s="4187">
        <f>N102*O102</f>
        <v>0</v>
      </c>
      <c r="O103" s="4188"/>
      <c r="P103" s="4187">
        <f>P102*Q102</f>
        <v>369.96</v>
      </c>
      <c r="Q103" s="4188"/>
      <c r="R103" s="4192">
        <f>D103+F103+H103+J103+L103+N103+P103</f>
        <v>1849.8</v>
      </c>
      <c r="S103" s="4193"/>
    </row>
    <row r="104" spans="2:19" s="1398" customFormat="1" x14ac:dyDescent="0.25">
      <c r="B104" s="4185">
        <f>B102+1</f>
        <v>28</v>
      </c>
      <c r="C104" s="1405" t="s">
        <v>1033</v>
      </c>
      <c r="D104" s="629">
        <v>2</v>
      </c>
      <c r="E104" s="629">
        <v>154.15</v>
      </c>
      <c r="F104" s="491">
        <v>4</v>
      </c>
      <c r="G104" s="491">
        <v>154.15</v>
      </c>
      <c r="H104" s="491"/>
      <c r="I104" s="491"/>
      <c r="J104" s="491"/>
      <c r="K104" s="491"/>
      <c r="L104" s="491"/>
      <c r="M104" s="491"/>
      <c r="N104" s="491"/>
      <c r="O104" s="491"/>
      <c r="P104" s="491"/>
      <c r="Q104" s="491"/>
      <c r="R104" s="491">
        <f t="shared" si="2"/>
        <v>6</v>
      </c>
      <c r="S104" s="490">
        <f>R105/R104</f>
        <v>154.15</v>
      </c>
    </row>
    <row r="105" spans="2:19" s="1398" customFormat="1" ht="16.5" thickBot="1" x14ac:dyDescent="0.3">
      <c r="B105" s="4186"/>
      <c r="C105" s="633" t="s">
        <v>1025</v>
      </c>
      <c r="D105" s="4187">
        <f>D104*E104</f>
        <v>308.3</v>
      </c>
      <c r="E105" s="4188"/>
      <c r="F105" s="4187">
        <f>F104*G104</f>
        <v>616.6</v>
      </c>
      <c r="G105" s="4188"/>
      <c r="H105" s="4187">
        <f>H104*I104</f>
        <v>0</v>
      </c>
      <c r="I105" s="4188"/>
      <c r="J105" s="4187">
        <f>J104*K104</f>
        <v>0</v>
      </c>
      <c r="K105" s="4188"/>
      <c r="L105" s="4187">
        <f>L104*M104</f>
        <v>0</v>
      </c>
      <c r="M105" s="4188"/>
      <c r="N105" s="4187">
        <f>N104*O104</f>
        <v>0</v>
      </c>
      <c r="O105" s="4188"/>
      <c r="P105" s="4187">
        <f>P104*Q104</f>
        <v>0</v>
      </c>
      <c r="Q105" s="4188"/>
      <c r="R105" s="4192">
        <f>D105+F105+H105+J105+L105+N105+P105</f>
        <v>924.90000000000009</v>
      </c>
      <c r="S105" s="4193"/>
    </row>
    <row r="106" spans="2:19" s="1398" customFormat="1" x14ac:dyDescent="0.25">
      <c r="B106" s="4185">
        <f>B104+1</f>
        <v>29</v>
      </c>
      <c r="C106" s="634" t="s">
        <v>1034</v>
      </c>
      <c r="D106" s="628">
        <v>6</v>
      </c>
      <c r="E106" s="628">
        <v>83.3</v>
      </c>
      <c r="F106" s="489"/>
      <c r="G106" s="489"/>
      <c r="H106" s="489"/>
      <c r="I106" s="489"/>
      <c r="J106" s="489"/>
      <c r="K106" s="489"/>
      <c r="L106" s="489"/>
      <c r="M106" s="489"/>
      <c r="N106" s="489">
        <v>2</v>
      </c>
      <c r="O106" s="489">
        <v>83.3</v>
      </c>
      <c r="P106" s="489"/>
      <c r="Q106" s="489"/>
      <c r="R106" s="489">
        <f t="shared" si="2"/>
        <v>8</v>
      </c>
      <c r="S106" s="490">
        <f>R107/R106</f>
        <v>83.3</v>
      </c>
    </row>
    <row r="107" spans="2:19" s="1398" customFormat="1" ht="16.5" thickBot="1" x14ac:dyDescent="0.3">
      <c r="B107" s="4186"/>
      <c r="C107" s="631" t="s">
        <v>1025</v>
      </c>
      <c r="D107" s="4187">
        <f>D106*E106</f>
        <v>499.79999999999995</v>
      </c>
      <c r="E107" s="4188"/>
      <c r="F107" s="4187">
        <f>F106*G106</f>
        <v>0</v>
      </c>
      <c r="G107" s="4188"/>
      <c r="H107" s="4187">
        <f>H106*I106</f>
        <v>0</v>
      </c>
      <c r="I107" s="4188"/>
      <c r="J107" s="4187">
        <f>J106*K106</f>
        <v>0</v>
      </c>
      <c r="K107" s="4188"/>
      <c r="L107" s="4187">
        <f>L106*M106</f>
        <v>0</v>
      </c>
      <c r="M107" s="4188"/>
      <c r="N107" s="4187">
        <f>N106*O106</f>
        <v>166.6</v>
      </c>
      <c r="O107" s="4188"/>
      <c r="P107" s="4187">
        <f>P106*Q106</f>
        <v>0</v>
      </c>
      <c r="Q107" s="4188"/>
      <c r="R107" s="4192">
        <f>D107+F107+H107+J107+L107+N107+P107</f>
        <v>666.4</v>
      </c>
      <c r="S107" s="4193"/>
    </row>
    <row r="108" spans="2:19" s="1398" customFormat="1" x14ac:dyDescent="0.25">
      <c r="B108" s="4185">
        <f>B106+1</f>
        <v>30</v>
      </c>
      <c r="C108" s="1405" t="s">
        <v>1035</v>
      </c>
      <c r="D108" s="629">
        <v>5</v>
      </c>
      <c r="E108" s="629">
        <v>60.8</v>
      </c>
      <c r="F108" s="491">
        <v>2</v>
      </c>
      <c r="G108" s="491">
        <v>60.8</v>
      </c>
      <c r="H108" s="491"/>
      <c r="I108" s="491"/>
      <c r="J108" s="491"/>
      <c r="K108" s="491"/>
      <c r="L108" s="491">
        <v>2</v>
      </c>
      <c r="M108" s="491">
        <v>60.8</v>
      </c>
      <c r="N108" s="491"/>
      <c r="O108" s="491"/>
      <c r="P108" s="491"/>
      <c r="Q108" s="491"/>
      <c r="R108" s="491">
        <f t="shared" si="2"/>
        <v>9</v>
      </c>
      <c r="S108" s="490">
        <f>R109/R108</f>
        <v>60.800000000000004</v>
      </c>
    </row>
    <row r="109" spans="2:19" s="1398" customFormat="1" ht="16.5" thickBot="1" x14ac:dyDescent="0.3">
      <c r="B109" s="4186"/>
      <c r="C109" s="633" t="s">
        <v>1025</v>
      </c>
      <c r="D109" s="4187">
        <f>D108*E108</f>
        <v>304</v>
      </c>
      <c r="E109" s="4188"/>
      <c r="F109" s="4187">
        <f>F108*G108</f>
        <v>121.6</v>
      </c>
      <c r="G109" s="4188"/>
      <c r="H109" s="4187">
        <f>H108*I108</f>
        <v>0</v>
      </c>
      <c r="I109" s="4188"/>
      <c r="J109" s="4187">
        <f>J108*K108</f>
        <v>0</v>
      </c>
      <c r="K109" s="4188"/>
      <c r="L109" s="4187">
        <f>L108*M108</f>
        <v>121.6</v>
      </c>
      <c r="M109" s="4188"/>
      <c r="N109" s="4187">
        <f>N108*O108</f>
        <v>0</v>
      </c>
      <c r="O109" s="4188"/>
      <c r="P109" s="4187">
        <f>P108*Q108</f>
        <v>0</v>
      </c>
      <c r="Q109" s="4188"/>
      <c r="R109" s="4192">
        <f>D109+F109+H109+J109+L109+N109+P109</f>
        <v>547.20000000000005</v>
      </c>
      <c r="S109" s="4193"/>
    </row>
    <row r="110" spans="2:19" s="1398" customFormat="1" x14ac:dyDescent="0.25">
      <c r="B110" s="4185">
        <f>B108+1</f>
        <v>31</v>
      </c>
      <c r="C110" s="632" t="s">
        <v>1036</v>
      </c>
      <c r="D110" s="628"/>
      <c r="E110" s="489"/>
      <c r="F110" s="489"/>
      <c r="G110" s="489"/>
      <c r="H110" s="489"/>
      <c r="I110" s="489"/>
      <c r="J110" s="489"/>
      <c r="K110" s="489"/>
      <c r="L110" s="489"/>
      <c r="M110" s="489"/>
      <c r="N110" s="489"/>
      <c r="O110" s="489"/>
      <c r="P110" s="489"/>
      <c r="Q110" s="489"/>
      <c r="R110" s="489">
        <f t="shared" si="2"/>
        <v>0</v>
      </c>
      <c r="S110" s="490" t="e">
        <f>R111/R110</f>
        <v>#DIV/0!</v>
      </c>
    </row>
    <row r="111" spans="2:19" s="1398" customFormat="1" ht="16.5" thickBot="1" x14ac:dyDescent="0.3">
      <c r="B111" s="4186"/>
      <c r="C111" s="631" t="s">
        <v>1025</v>
      </c>
      <c r="D111" s="4187">
        <f>D110*E110</f>
        <v>0</v>
      </c>
      <c r="E111" s="4188"/>
      <c r="F111" s="4187">
        <f>F110*G110</f>
        <v>0</v>
      </c>
      <c r="G111" s="4188"/>
      <c r="H111" s="4187">
        <f>H110*I110</f>
        <v>0</v>
      </c>
      <c r="I111" s="4188"/>
      <c r="J111" s="4187">
        <f>J110*K110</f>
        <v>0</v>
      </c>
      <c r="K111" s="4188"/>
      <c r="L111" s="4187">
        <f>L110*M110</f>
        <v>0</v>
      </c>
      <c r="M111" s="4188"/>
      <c r="N111" s="4187">
        <f>N110*O110</f>
        <v>0</v>
      </c>
      <c r="O111" s="4188"/>
      <c r="P111" s="4187">
        <f>P110*Q110</f>
        <v>0</v>
      </c>
      <c r="Q111" s="4188"/>
      <c r="R111" s="4192">
        <f>D111+F111+H111+J111+L111+N111+P111</f>
        <v>0</v>
      </c>
      <c r="S111" s="4193"/>
    </row>
    <row r="112" spans="2:19" s="1398" customFormat="1" x14ac:dyDescent="0.25">
      <c r="B112" s="4185">
        <f>B110+1</f>
        <v>32</v>
      </c>
      <c r="C112" s="1405" t="s">
        <v>1037</v>
      </c>
      <c r="D112" s="629">
        <v>2</v>
      </c>
      <c r="E112" s="629">
        <v>109.15</v>
      </c>
      <c r="F112" s="491">
        <v>12</v>
      </c>
      <c r="G112" s="491">
        <v>109.15</v>
      </c>
      <c r="H112" s="491"/>
      <c r="I112" s="491"/>
      <c r="J112" s="491"/>
      <c r="K112" s="491"/>
      <c r="L112" s="491">
        <v>1</v>
      </c>
      <c r="M112" s="491">
        <v>109.15</v>
      </c>
      <c r="N112" s="491"/>
      <c r="O112" s="491"/>
      <c r="P112" s="491"/>
      <c r="Q112" s="491"/>
      <c r="R112" s="491">
        <f t="shared" si="2"/>
        <v>15</v>
      </c>
      <c r="S112" s="490">
        <f>R113/R112</f>
        <v>109.15000000000002</v>
      </c>
    </row>
    <row r="113" spans="2:20" s="1398" customFormat="1" ht="16.5" thickBot="1" x14ac:dyDescent="0.3">
      <c r="B113" s="4186"/>
      <c r="C113" s="633" t="s">
        <v>1025</v>
      </c>
      <c r="D113" s="4187">
        <f>D112*E112</f>
        <v>218.3</v>
      </c>
      <c r="E113" s="4188"/>
      <c r="F113" s="4187">
        <f>F112*G112</f>
        <v>1309.8000000000002</v>
      </c>
      <c r="G113" s="4188"/>
      <c r="H113" s="4187">
        <f>H112*I112</f>
        <v>0</v>
      </c>
      <c r="I113" s="4188"/>
      <c r="J113" s="4187">
        <f>J112*K112</f>
        <v>0</v>
      </c>
      <c r="K113" s="4188"/>
      <c r="L113" s="4187">
        <f>L112*M112</f>
        <v>109.15</v>
      </c>
      <c r="M113" s="4188"/>
      <c r="N113" s="4187">
        <f>N112*O112</f>
        <v>0</v>
      </c>
      <c r="O113" s="4188"/>
      <c r="P113" s="4187">
        <f>P112*Q112</f>
        <v>0</v>
      </c>
      <c r="Q113" s="4188"/>
      <c r="R113" s="4192">
        <f>D113+F113+H113+J113+L113+N113+P113</f>
        <v>1637.2500000000002</v>
      </c>
      <c r="S113" s="4193"/>
    </row>
    <row r="114" spans="2:20" s="1398" customFormat="1" x14ac:dyDescent="0.25">
      <c r="B114" s="4185">
        <f>B112+1</f>
        <v>33</v>
      </c>
      <c r="C114" s="632" t="s">
        <v>1038</v>
      </c>
      <c r="D114" s="628"/>
      <c r="E114" s="489"/>
      <c r="F114" s="489"/>
      <c r="G114" s="489"/>
      <c r="H114" s="489"/>
      <c r="I114" s="489"/>
      <c r="J114" s="489"/>
      <c r="K114" s="489"/>
      <c r="L114" s="489"/>
      <c r="M114" s="489"/>
      <c r="N114" s="489"/>
      <c r="O114" s="489"/>
      <c r="P114" s="489"/>
      <c r="Q114" s="489"/>
      <c r="R114" s="489">
        <f t="shared" si="2"/>
        <v>0</v>
      </c>
      <c r="S114" s="490" t="e">
        <f>R115/R114</f>
        <v>#DIV/0!</v>
      </c>
    </row>
    <row r="115" spans="2:20" s="1398" customFormat="1" ht="16.5" thickBot="1" x14ac:dyDescent="0.3">
      <c r="B115" s="4186"/>
      <c r="C115" s="631" t="s">
        <v>1025</v>
      </c>
      <c r="D115" s="4187">
        <f>D114*E114</f>
        <v>0</v>
      </c>
      <c r="E115" s="4188"/>
      <c r="F115" s="4187">
        <f>F114*G114</f>
        <v>0</v>
      </c>
      <c r="G115" s="4188"/>
      <c r="H115" s="4187">
        <f>H114*I114</f>
        <v>0</v>
      </c>
      <c r="I115" s="4188"/>
      <c r="J115" s="4187">
        <f>J114*K114</f>
        <v>0</v>
      </c>
      <c r="K115" s="4188"/>
      <c r="L115" s="4187">
        <f>L114*M114</f>
        <v>0</v>
      </c>
      <c r="M115" s="4188"/>
      <c r="N115" s="4187">
        <f>N114*O114</f>
        <v>0</v>
      </c>
      <c r="O115" s="4188"/>
      <c r="P115" s="4187">
        <f>P114*Q114</f>
        <v>0</v>
      </c>
      <c r="Q115" s="4188"/>
      <c r="R115" s="4192">
        <f>D115+F115+H115+J115+L115+N115+P115</f>
        <v>0</v>
      </c>
      <c r="S115" s="4193"/>
    </row>
    <row r="116" spans="2:20" s="1398" customFormat="1" x14ac:dyDescent="0.25">
      <c r="B116" s="4185">
        <f>B114+1</f>
        <v>34</v>
      </c>
      <c r="C116" s="1405" t="s">
        <v>1039</v>
      </c>
      <c r="D116" s="1410">
        <v>2</v>
      </c>
      <c r="E116" s="629">
        <v>1620.75</v>
      </c>
      <c r="F116" s="1411">
        <v>1</v>
      </c>
      <c r="G116" s="491">
        <v>1620.75</v>
      </c>
      <c r="H116" s="491"/>
      <c r="I116" s="491"/>
      <c r="J116" s="491"/>
      <c r="K116" s="491"/>
      <c r="L116" s="491"/>
      <c r="M116" s="491"/>
      <c r="N116" s="491"/>
      <c r="O116" s="491"/>
      <c r="P116" s="491"/>
      <c r="Q116" s="491"/>
      <c r="R116" s="491">
        <f t="shared" ref="R116:R122" si="3">D116+F116+H116+J116+L116+N116+P116</f>
        <v>3</v>
      </c>
      <c r="S116" s="490">
        <f>R117/R116</f>
        <v>1620.75</v>
      </c>
    </row>
    <row r="117" spans="2:20" s="1398" customFormat="1" ht="16.5" thickBot="1" x14ac:dyDescent="0.3">
      <c r="B117" s="4186"/>
      <c r="C117" s="631" t="s">
        <v>1025</v>
      </c>
      <c r="D117" s="4187">
        <f>D116*E116</f>
        <v>3241.5</v>
      </c>
      <c r="E117" s="4188"/>
      <c r="F117" s="4187">
        <f>F116*G116</f>
        <v>1620.75</v>
      </c>
      <c r="G117" s="4188"/>
      <c r="H117" s="4187">
        <f>H116*I116</f>
        <v>0</v>
      </c>
      <c r="I117" s="4188"/>
      <c r="J117" s="4187">
        <f>J116*K116</f>
        <v>0</v>
      </c>
      <c r="K117" s="4188"/>
      <c r="L117" s="4187">
        <f>L116*M116</f>
        <v>0</v>
      </c>
      <c r="M117" s="4188"/>
      <c r="N117" s="4187">
        <f>N116*O116</f>
        <v>0</v>
      </c>
      <c r="O117" s="4188"/>
      <c r="P117" s="4187">
        <f>P116*Q116</f>
        <v>0</v>
      </c>
      <c r="Q117" s="4188"/>
      <c r="R117" s="4192">
        <f>D117+F117+H117+J117+L117+N117+P117</f>
        <v>4862.25</v>
      </c>
      <c r="S117" s="4193"/>
    </row>
    <row r="118" spans="2:20" s="1398" customFormat="1" x14ac:dyDescent="0.25">
      <c r="B118" s="4185">
        <f>B116+1</f>
        <v>35</v>
      </c>
      <c r="C118" s="1405" t="s">
        <v>2326</v>
      </c>
      <c r="D118" s="629">
        <v>2</v>
      </c>
      <c r="E118" s="629">
        <v>196.14</v>
      </c>
      <c r="F118" s="491">
        <v>1</v>
      </c>
      <c r="G118" s="491">
        <v>196.14</v>
      </c>
      <c r="H118" s="491"/>
      <c r="I118" s="491"/>
      <c r="J118" s="491"/>
      <c r="K118" s="491"/>
      <c r="L118" s="491"/>
      <c r="M118" s="491"/>
      <c r="N118" s="491"/>
      <c r="O118" s="491"/>
      <c r="P118" s="491"/>
      <c r="Q118" s="491"/>
      <c r="R118" s="491">
        <f t="shared" si="3"/>
        <v>3</v>
      </c>
      <c r="S118" s="490">
        <f>R119/R118</f>
        <v>196.14</v>
      </c>
    </row>
    <row r="119" spans="2:20" s="1398" customFormat="1" ht="16.5" thickBot="1" x14ac:dyDescent="0.3">
      <c r="B119" s="4186"/>
      <c r="C119" s="631" t="s">
        <v>1025</v>
      </c>
      <c r="D119" s="4187">
        <f>D118*E118</f>
        <v>392.28</v>
      </c>
      <c r="E119" s="4188"/>
      <c r="F119" s="4187">
        <f>F118*G118</f>
        <v>196.14</v>
      </c>
      <c r="G119" s="4188"/>
      <c r="H119" s="4187">
        <f>H118*I118</f>
        <v>0</v>
      </c>
      <c r="I119" s="4188"/>
      <c r="J119" s="4187">
        <f>J118*K118</f>
        <v>0</v>
      </c>
      <c r="K119" s="4188"/>
      <c r="L119" s="4187">
        <f>L118*M118</f>
        <v>0</v>
      </c>
      <c r="M119" s="4188"/>
      <c r="N119" s="4187">
        <f>N118*O118</f>
        <v>0</v>
      </c>
      <c r="O119" s="4188"/>
      <c r="P119" s="4187">
        <f>P118*Q118</f>
        <v>0</v>
      </c>
      <c r="Q119" s="4188"/>
      <c r="R119" s="4192">
        <f>D119+F119+H119+J119+L119+N119+P119</f>
        <v>588.41999999999996</v>
      </c>
      <c r="S119" s="4193"/>
    </row>
    <row r="120" spans="2:20" s="1398" customFormat="1" ht="28.5" x14ac:dyDescent="0.25">
      <c r="B120" s="4185">
        <f>B118+1</f>
        <v>36</v>
      </c>
      <c r="C120" s="1405" t="s">
        <v>1041</v>
      </c>
      <c r="D120" s="629">
        <v>1</v>
      </c>
      <c r="E120" s="629">
        <v>495</v>
      </c>
      <c r="F120" s="491">
        <v>1</v>
      </c>
      <c r="G120" s="491">
        <v>495</v>
      </c>
      <c r="H120" s="491"/>
      <c r="I120" s="491"/>
      <c r="J120" s="491"/>
      <c r="K120" s="491"/>
      <c r="L120" s="491"/>
      <c r="M120" s="491"/>
      <c r="N120" s="491"/>
      <c r="O120" s="491"/>
      <c r="P120" s="491"/>
      <c r="Q120" s="491"/>
      <c r="R120" s="491">
        <f t="shared" si="3"/>
        <v>2</v>
      </c>
      <c r="S120" s="490">
        <f>R121/R120</f>
        <v>495</v>
      </c>
    </row>
    <row r="121" spans="2:20" s="1398" customFormat="1" ht="16.5" thickBot="1" x14ac:dyDescent="0.3">
      <c r="B121" s="4186"/>
      <c r="C121" s="631" t="s">
        <v>1025</v>
      </c>
      <c r="D121" s="4187">
        <f>D120*E120</f>
        <v>495</v>
      </c>
      <c r="E121" s="4188"/>
      <c r="F121" s="4187">
        <f>F120*G120</f>
        <v>495</v>
      </c>
      <c r="G121" s="4188"/>
      <c r="H121" s="4187">
        <f>H120*I120</f>
        <v>0</v>
      </c>
      <c r="I121" s="4188"/>
      <c r="J121" s="4187">
        <f>J120*K120</f>
        <v>0</v>
      </c>
      <c r="K121" s="4188"/>
      <c r="L121" s="4187">
        <f>L120*M120</f>
        <v>0</v>
      </c>
      <c r="M121" s="4188"/>
      <c r="N121" s="4187">
        <f>N120*O120</f>
        <v>0</v>
      </c>
      <c r="O121" s="4188"/>
      <c r="P121" s="4187">
        <f>P120*Q120</f>
        <v>0</v>
      </c>
      <c r="Q121" s="4188"/>
      <c r="R121" s="4192">
        <f>D121+F121+H121+J121+L121+N121+P121</f>
        <v>990</v>
      </c>
      <c r="S121" s="4193"/>
    </row>
    <row r="122" spans="2:20" s="1398" customFormat="1" x14ac:dyDescent="0.25">
      <c r="B122" s="4185">
        <f>B120+1</f>
        <v>37</v>
      </c>
      <c r="C122" s="1405" t="s">
        <v>2327</v>
      </c>
      <c r="D122" s="629">
        <v>1</v>
      </c>
      <c r="E122" s="629">
        <v>500</v>
      </c>
      <c r="F122" s="491">
        <v>1</v>
      </c>
      <c r="G122" s="491">
        <v>500</v>
      </c>
      <c r="H122" s="491"/>
      <c r="I122" s="491"/>
      <c r="J122" s="491"/>
      <c r="K122" s="491"/>
      <c r="L122" s="491"/>
      <c r="M122" s="491"/>
      <c r="N122" s="491"/>
      <c r="O122" s="494"/>
      <c r="P122" s="491"/>
      <c r="Q122" s="491"/>
      <c r="R122" s="491">
        <f t="shared" si="3"/>
        <v>2</v>
      </c>
      <c r="S122" s="490">
        <f>R123/R122</f>
        <v>500</v>
      </c>
    </row>
    <row r="123" spans="2:20" s="1398" customFormat="1" ht="15.6" customHeight="1" thickBot="1" x14ac:dyDescent="0.3">
      <c r="B123" s="4186"/>
      <c r="C123" s="631" t="s">
        <v>1025</v>
      </c>
      <c r="D123" s="4187">
        <f>D122*E122</f>
        <v>500</v>
      </c>
      <c r="E123" s="4188"/>
      <c r="F123" s="4187">
        <f>F122*G122</f>
        <v>500</v>
      </c>
      <c r="G123" s="4188"/>
      <c r="H123" s="4187">
        <f>H122*I122</f>
        <v>0</v>
      </c>
      <c r="I123" s="4188"/>
      <c r="J123" s="4187">
        <f>J122*K122</f>
        <v>0</v>
      </c>
      <c r="K123" s="4188"/>
      <c r="L123" s="4187">
        <f>L122*M122</f>
        <v>0</v>
      </c>
      <c r="M123" s="4188"/>
      <c r="N123" s="4187">
        <f>N122*O122</f>
        <v>0</v>
      </c>
      <c r="O123" s="4188"/>
      <c r="P123" s="4187">
        <f>P122*Q122</f>
        <v>0</v>
      </c>
      <c r="Q123" s="4188"/>
      <c r="R123" s="4192">
        <f>D123+F123+H123+J123+L123+N123+P123</f>
        <v>1000</v>
      </c>
      <c r="S123" s="4193"/>
      <c r="T123" s="1412">
        <f>R123+R121+R119+R117+R115+R113+R111+R109+R107+R105+R103+R101+R99+R97+R95+R93+R91+R89+R87+R85+R83+R81+R79+R77+R75+R73+R71+R69+R67+R65+R63+R61+R59+R57+R55+R53+R51</f>
        <v>233588.30000000002</v>
      </c>
    </row>
    <row r="124" spans="2:20" s="1398" customFormat="1" ht="16.5" thickBot="1" x14ac:dyDescent="0.3">
      <c r="B124" s="495"/>
      <c r="C124" s="636" t="s">
        <v>1042</v>
      </c>
      <c r="D124" s="4200">
        <f>D51+D53+D55+D57+D59+D61+D63+D65+D67+D69+D71+D73+D75+D77+D79+D81+D83+D85+D87+D89+D91+D93+D95+D97+D99+D101+D103+D105+D107+D109+D111+D113+D115+D117+D119+D121+D123</f>
        <v>92229.92</v>
      </c>
      <c r="E124" s="4201"/>
      <c r="F124" s="4200">
        <f>F51+F53+F55+F57+F59+F61+F63+F65+F67+F69+F71+F73+F75+F77+F79+F81+F83+F85+F87+F89+F91+F93+F95+F97+F99+F101+F103+F105+F107+F109+F111+F113+F115+F117+F119+F121+F123</f>
        <v>105635.46</v>
      </c>
      <c r="G124" s="4201"/>
      <c r="H124" s="4200">
        <f>H51+H53+H55+H57+H59+H61+H63+H65+H67+H69+H71+H73+H75+H77+H79+H81+H83+H85+H87+H89+H91+H93+H95+H97+H99+H101+H103+H105+H107+H109+H111+H113+H115+H117+H119+H121+H123</f>
        <v>0</v>
      </c>
      <c r="I124" s="4201"/>
      <c r="J124" s="4200">
        <f>J51+J53+J55+J57+J59+J61+J63+J65+J67+J69+J71+J73+J75+J77+J79+J81+J83+J85+J87+J89+J91+J93+J95+J97+J99+J101+J103+J105+J107+J109+J111+J113+J115+J117+J119+J121+J123</f>
        <v>3453.8</v>
      </c>
      <c r="K124" s="4201"/>
      <c r="L124" s="4200">
        <f>L51+L53+L55+L57+L59+L61+L63+L65+L67+L69+L71+L73+L75+L77+L79+L81+L83+L85+L87+L89+L91+L93+L95+L97+L99+L101+L103+L105+L107+L109+L111+L113+L115+L117+L119+L121+L123</f>
        <v>10300.109999999999</v>
      </c>
      <c r="M124" s="4201"/>
      <c r="N124" s="4200">
        <f>N51+N53+N55+N57+N59+N61+N63+N65+N67+N69+N71+N73+N75+N77+N79+N81+N83+N85+N87+N89+N91+N93+N95+N97+N99+N101+N103+N105+N107+N109+N111+N113+N115+N117+N119+N121+N123</f>
        <v>15475.230000000001</v>
      </c>
      <c r="O124" s="4201"/>
      <c r="P124" s="4200">
        <f>P51+P53+P55+P57+P59+P61+P63+P65+P67+P69+P71+P73+P75+P77+P79+P81+P83+P85+P87+P89+P91+P93+P95+P97+P99+P101+P103+P105+P107+P109+P111+P113+P115+P117+P119+P121+P123</f>
        <v>6493.78</v>
      </c>
      <c r="Q124" s="4201"/>
      <c r="R124" s="4194">
        <f>IF(D124+F124+H124+J124+L124+N124+P124=R123+R121+R119+R117+R115+R113+R111+R109+R107+R105+R103+R101+R99+R97+R95+R93+R91+R89+R87+R85+R83+R81+R79+R77+R75+R73+R71+R69+R67+R65+R63+R61+R59+R57+R55+R53+R51,D124+F124+H124+J124+L124+N124+P124,"'ошибка'")</f>
        <v>233588.3</v>
      </c>
      <c r="S124" s="4195"/>
      <c r="T124" s="1412">
        <f>D124+F124+H124+J124+L124+N124+P124</f>
        <v>233588.3</v>
      </c>
    </row>
    <row r="126" spans="2:20" ht="15.6" customHeight="1" x14ac:dyDescent="0.25">
      <c r="B126" s="4196" t="s">
        <v>2601</v>
      </c>
      <c r="C126" s="4196"/>
      <c r="D126" s="4196"/>
      <c r="E126" s="4196"/>
      <c r="F126" s="4196"/>
      <c r="G126" s="4196"/>
      <c r="H126" s="4196"/>
      <c r="I126" s="4196"/>
      <c r="J126" s="4196"/>
      <c r="K126" s="4196"/>
      <c r="L126" s="4196"/>
      <c r="M126" s="4196"/>
      <c r="N126" s="4196"/>
      <c r="O126" s="4196"/>
      <c r="P126" s="4196"/>
      <c r="Q126" s="4196"/>
      <c r="R126" s="4196"/>
      <c r="S126" s="4196"/>
    </row>
    <row r="127" spans="2:20" x14ac:dyDescent="0.25">
      <c r="B127" s="1397"/>
      <c r="C127" s="1397"/>
      <c r="D127" s="1397"/>
      <c r="E127" s="1397"/>
      <c r="F127" s="1397"/>
      <c r="G127" s="1397"/>
      <c r="H127" s="1397"/>
      <c r="I127" s="1397"/>
      <c r="J127" s="1397"/>
      <c r="K127" s="1397"/>
      <c r="L127" s="1397"/>
      <c r="M127" s="1397"/>
      <c r="N127" s="1397"/>
      <c r="O127" s="1397"/>
      <c r="P127" s="1397"/>
      <c r="Q127" s="1397"/>
      <c r="R127" s="1397"/>
      <c r="S127" s="1397"/>
    </row>
    <row r="128" spans="2:20" x14ac:dyDescent="0.25">
      <c r="B128" s="1397"/>
      <c r="C128" s="1397"/>
      <c r="D128" s="1397"/>
      <c r="E128" s="1397"/>
      <c r="F128" s="1397"/>
      <c r="G128" s="1397"/>
      <c r="H128" s="1397"/>
      <c r="I128" s="1397"/>
      <c r="J128" s="1397"/>
      <c r="K128" s="1397"/>
      <c r="L128" s="1397"/>
      <c r="M128" s="1397"/>
      <c r="N128" s="1397"/>
      <c r="O128" s="1397"/>
      <c r="P128" s="1397"/>
      <c r="Q128" s="4197" t="s">
        <v>956</v>
      </c>
      <c r="R128" s="4197"/>
      <c r="S128" s="1397"/>
    </row>
    <row r="129" spans="1:25" x14ac:dyDescent="0.25">
      <c r="B129" s="1397"/>
      <c r="C129" s="1397"/>
      <c r="D129" s="1397"/>
      <c r="E129" s="1397"/>
      <c r="F129" s="1397"/>
      <c r="G129" s="1397"/>
      <c r="H129" s="1397"/>
      <c r="I129" s="1397"/>
      <c r="J129" s="1397"/>
      <c r="K129" s="1397"/>
      <c r="L129" s="1397"/>
      <c r="M129" s="1397"/>
      <c r="N129" s="1397"/>
      <c r="O129" s="1397"/>
      <c r="P129" s="1397"/>
      <c r="Q129" s="1397"/>
      <c r="R129" s="1397"/>
      <c r="S129" s="1397"/>
    </row>
    <row r="130" spans="1:25" s="434" customFormat="1" x14ac:dyDescent="0.25">
      <c r="A130" s="1396"/>
      <c r="C130" s="608" t="s">
        <v>1658</v>
      </c>
      <c r="E130" s="608"/>
      <c r="F130" s="608"/>
      <c r="G130" s="608"/>
      <c r="H130" s="1015" t="str">
        <f>'Вхідні дані'!$F$5</f>
        <v>ЧФ ДП "АМПУ"</v>
      </c>
      <c r="I130" s="1015"/>
      <c r="J130" s="1016"/>
      <c r="K130" s="1016"/>
      <c r="L130" s="1392"/>
      <c r="M130" s="1392" t="s">
        <v>461</v>
      </c>
      <c r="N130" s="1398"/>
      <c r="O130" s="1016" t="str">
        <f>'Вхідні дані'!$F$6</f>
        <v>2023-2024</v>
      </c>
      <c r="P130" s="608" t="s">
        <v>648</v>
      </c>
      <c r="Q130" s="608"/>
      <c r="R130" s="608"/>
      <c r="S130" s="608"/>
      <c r="T130" s="433"/>
    </row>
    <row r="131" spans="1:25" ht="16.5" thickBot="1" x14ac:dyDescent="0.3">
      <c r="Q131" s="421" t="s">
        <v>996</v>
      </c>
    </row>
    <row r="132" spans="1:25" x14ac:dyDescent="0.25">
      <c r="B132" s="4182" t="s">
        <v>1013</v>
      </c>
      <c r="C132" s="4198" t="s">
        <v>1014</v>
      </c>
      <c r="D132" s="4189" t="s">
        <v>885</v>
      </c>
      <c r="E132" s="4190"/>
      <c r="F132" s="4190" t="s">
        <v>959</v>
      </c>
      <c r="G132" s="4190"/>
      <c r="H132" s="4190" t="s">
        <v>926</v>
      </c>
      <c r="I132" s="4190"/>
      <c r="J132" s="4190" t="s">
        <v>999</v>
      </c>
      <c r="K132" s="4190"/>
      <c r="L132" s="4190" t="s">
        <v>888</v>
      </c>
      <c r="M132" s="4190"/>
      <c r="N132" s="4190" t="s">
        <v>1000</v>
      </c>
      <c r="O132" s="4190"/>
      <c r="P132" s="4190" t="s">
        <v>1001</v>
      </c>
      <c r="Q132" s="4191"/>
      <c r="R132" s="4205" t="s">
        <v>1002</v>
      </c>
      <c r="S132" s="4206"/>
    </row>
    <row r="133" spans="1:25" x14ac:dyDescent="0.25">
      <c r="B133" s="4174"/>
      <c r="C133" s="4199"/>
      <c r="D133" s="639" t="s">
        <v>1003</v>
      </c>
      <c r="E133" s="595" t="s">
        <v>1015</v>
      </c>
      <c r="F133" s="595" t="s">
        <v>1003</v>
      </c>
      <c r="G133" s="595" t="s">
        <v>1015</v>
      </c>
      <c r="H133" s="595" t="s">
        <v>1003</v>
      </c>
      <c r="I133" s="595" t="s">
        <v>1015</v>
      </c>
      <c r="J133" s="595" t="s">
        <v>1003</v>
      </c>
      <c r="K133" s="595" t="s">
        <v>1015</v>
      </c>
      <c r="L133" s="595" t="s">
        <v>1003</v>
      </c>
      <c r="M133" s="595" t="s">
        <v>1015</v>
      </c>
      <c r="N133" s="595" t="s">
        <v>1003</v>
      </c>
      <c r="O133" s="595" t="s">
        <v>1015</v>
      </c>
      <c r="P133" s="595" t="s">
        <v>1003</v>
      </c>
      <c r="Q133" s="435" t="s">
        <v>1015</v>
      </c>
      <c r="R133" s="595" t="s">
        <v>1003</v>
      </c>
      <c r="S133" s="609" t="s">
        <v>1015</v>
      </c>
    </row>
    <row r="134" spans="1:25" x14ac:dyDescent="0.25">
      <c r="A134" s="4179" t="s">
        <v>1043</v>
      </c>
      <c r="B134" s="4180">
        <v>1</v>
      </c>
      <c r="C134" s="640" t="s">
        <v>1044</v>
      </c>
      <c r="D134" s="442"/>
      <c r="E134" s="441"/>
      <c r="F134" s="441"/>
      <c r="G134" s="441"/>
      <c r="H134" s="441"/>
      <c r="I134" s="441"/>
      <c r="J134" s="441"/>
      <c r="K134" s="441"/>
      <c r="L134" s="441"/>
      <c r="M134" s="441"/>
      <c r="N134" s="441"/>
      <c r="O134" s="441"/>
      <c r="P134" s="441"/>
      <c r="Q134" s="443"/>
      <c r="R134" s="444"/>
      <c r="S134" s="638"/>
    </row>
    <row r="135" spans="1:25" ht="16.5" thickBot="1" x14ac:dyDescent="0.3">
      <c r="A135" s="4179"/>
      <c r="B135" s="4181"/>
      <c r="C135" s="646" t="s">
        <v>1018</v>
      </c>
      <c r="D135" s="4175">
        <f>D134*E134</f>
        <v>0</v>
      </c>
      <c r="E135" s="4176"/>
      <c r="F135" s="4177">
        <f>F134*G134</f>
        <v>0</v>
      </c>
      <c r="G135" s="4176"/>
      <c r="H135" s="4177">
        <f>H134*I134</f>
        <v>0</v>
      </c>
      <c r="I135" s="4176"/>
      <c r="J135" s="4177">
        <f>J134*K134</f>
        <v>0</v>
      </c>
      <c r="K135" s="4176"/>
      <c r="L135" s="4177">
        <f>L134*M134</f>
        <v>0</v>
      </c>
      <c r="M135" s="4176"/>
      <c r="N135" s="4177">
        <f>N134*O134</f>
        <v>0</v>
      </c>
      <c r="O135" s="4176"/>
      <c r="P135" s="4177">
        <f>P134*Q134</f>
        <v>0</v>
      </c>
      <c r="Q135" s="4176"/>
      <c r="R135" s="4171">
        <f>D135+F135+H135+J135+L135+N135</f>
        <v>0</v>
      </c>
      <c r="S135" s="4172"/>
    </row>
    <row r="136" spans="1:25" ht="18" customHeight="1" x14ac:dyDescent="0.25">
      <c r="A136" s="4179" t="s">
        <v>1045</v>
      </c>
      <c r="B136" s="4182">
        <v>2</v>
      </c>
      <c r="C136" s="647" t="s">
        <v>1046</v>
      </c>
      <c r="D136" s="648">
        <v>1</v>
      </c>
      <c r="E136" s="649">
        <v>1800</v>
      </c>
      <c r="F136" s="649"/>
      <c r="G136" s="649"/>
      <c r="H136" s="649"/>
      <c r="I136" s="649"/>
      <c r="J136" s="649"/>
      <c r="K136" s="649"/>
      <c r="L136" s="649"/>
      <c r="M136" s="649"/>
      <c r="N136" s="649"/>
      <c r="O136" s="649"/>
      <c r="P136" s="649"/>
      <c r="Q136" s="649"/>
      <c r="R136" s="650"/>
      <c r="S136" s="651"/>
    </row>
    <row r="137" spans="1:25" ht="16.5" thickBot="1" x14ac:dyDescent="0.3">
      <c r="A137" s="4179"/>
      <c r="B137" s="4183"/>
      <c r="C137" s="646" t="s">
        <v>1018</v>
      </c>
      <c r="D137" s="4175">
        <f>D136*E136</f>
        <v>1800</v>
      </c>
      <c r="E137" s="4176"/>
      <c r="F137" s="4177">
        <f>F136*G136</f>
        <v>0</v>
      </c>
      <c r="G137" s="4176"/>
      <c r="H137" s="4177">
        <f>H136*I136</f>
        <v>0</v>
      </c>
      <c r="I137" s="4176"/>
      <c r="J137" s="4177">
        <f>J136*K136</f>
        <v>0</v>
      </c>
      <c r="K137" s="4176"/>
      <c r="L137" s="4177">
        <f>L136*M136</f>
        <v>0</v>
      </c>
      <c r="M137" s="4176"/>
      <c r="N137" s="4177">
        <f>N136*O136</f>
        <v>0</v>
      </c>
      <c r="O137" s="4176"/>
      <c r="P137" s="4177">
        <f>P136*Q136</f>
        <v>0</v>
      </c>
      <c r="Q137" s="4176"/>
      <c r="R137" s="4171">
        <f>D137+F137+H137+J137+L137+N137</f>
        <v>1800</v>
      </c>
      <c r="S137" s="4172"/>
    </row>
    <row r="138" spans="1:25" hidden="1" x14ac:dyDescent="0.25">
      <c r="B138" s="4184">
        <v>3</v>
      </c>
      <c r="C138" s="641"/>
      <c r="D138" s="442"/>
      <c r="E138" s="441"/>
      <c r="F138" s="441"/>
      <c r="G138" s="441"/>
      <c r="H138" s="441"/>
      <c r="I138" s="441"/>
      <c r="J138" s="441"/>
      <c r="K138" s="441"/>
      <c r="L138" s="441"/>
      <c r="M138" s="441"/>
      <c r="N138" s="441"/>
      <c r="O138" s="441"/>
      <c r="P138" s="441"/>
      <c r="Q138" s="441"/>
      <c r="R138" s="644"/>
      <c r="S138" s="645"/>
    </row>
    <row r="139" spans="1:25" ht="16.5" hidden="1" thickBot="1" x14ac:dyDescent="0.3">
      <c r="B139" s="4174"/>
      <c r="C139" s="618" t="s">
        <v>1018</v>
      </c>
      <c r="D139" s="4175">
        <f>D138*E138</f>
        <v>0</v>
      </c>
      <c r="E139" s="4176"/>
      <c r="F139" s="4177">
        <f>F138*G138</f>
        <v>0</v>
      </c>
      <c r="G139" s="4176"/>
      <c r="H139" s="4177">
        <f>H138*I138</f>
        <v>0</v>
      </c>
      <c r="I139" s="4176"/>
      <c r="J139" s="4177">
        <f>J138*K138</f>
        <v>0</v>
      </c>
      <c r="K139" s="4176"/>
      <c r="L139" s="4177">
        <f>L138*M138</f>
        <v>0</v>
      </c>
      <c r="M139" s="4176"/>
      <c r="N139" s="4177">
        <f>N138*O138</f>
        <v>0</v>
      </c>
      <c r="O139" s="4176"/>
      <c r="P139" s="4177">
        <f>P138*Q138</f>
        <v>0</v>
      </c>
      <c r="Q139" s="4176"/>
      <c r="R139" s="4171">
        <f>D139+F139+H139+J139+L139+N139</f>
        <v>0</v>
      </c>
      <c r="S139" s="4172"/>
    </row>
    <row r="140" spans="1:25" hidden="1" x14ac:dyDescent="0.25">
      <c r="B140" s="4173">
        <v>4</v>
      </c>
      <c r="C140" s="640"/>
      <c r="D140" s="438"/>
      <c r="E140" s="436"/>
      <c r="F140" s="436"/>
      <c r="G140" s="436"/>
      <c r="H140" s="436"/>
      <c r="I140" s="436"/>
      <c r="J140" s="436"/>
      <c r="K140" s="436"/>
      <c r="L140" s="436"/>
      <c r="M140" s="436"/>
      <c r="N140" s="436"/>
      <c r="O140" s="436"/>
      <c r="P140" s="436"/>
      <c r="Q140" s="436"/>
      <c r="R140" s="444"/>
      <c r="S140" s="638"/>
    </row>
    <row r="141" spans="1:25" ht="16.5" hidden="1" thickBot="1" x14ac:dyDescent="0.3">
      <c r="B141" s="4174"/>
      <c r="C141" s="620" t="s">
        <v>1018</v>
      </c>
      <c r="D141" s="4175">
        <f>D140*E140</f>
        <v>0</v>
      </c>
      <c r="E141" s="4176"/>
      <c r="F141" s="4177">
        <f>F140*G140</f>
        <v>0</v>
      </c>
      <c r="G141" s="4176"/>
      <c r="H141" s="4177">
        <f>H140*I140</f>
        <v>0</v>
      </c>
      <c r="I141" s="4176"/>
      <c r="J141" s="4177">
        <f>J140*K140</f>
        <v>0</v>
      </c>
      <c r="K141" s="4176"/>
      <c r="L141" s="4177">
        <f>L140*M140</f>
        <v>0</v>
      </c>
      <c r="M141" s="4176"/>
      <c r="N141" s="4177">
        <f>N140*O140</f>
        <v>0</v>
      </c>
      <c r="O141" s="4176"/>
      <c r="P141" s="4177">
        <f>P140*Q140</f>
        <v>0</v>
      </c>
      <c r="Q141" s="4176"/>
      <c r="R141" s="4171">
        <f>D141+F141+H141+J141+L141+N141</f>
        <v>0</v>
      </c>
      <c r="S141" s="4172"/>
    </row>
    <row r="142" spans="1:25" hidden="1" x14ac:dyDescent="0.25">
      <c r="B142" s="4173">
        <v>5</v>
      </c>
      <c r="C142" s="642"/>
      <c r="D142" s="438"/>
      <c r="E142" s="436"/>
      <c r="F142" s="436"/>
      <c r="G142" s="436"/>
      <c r="H142" s="436"/>
      <c r="I142" s="436"/>
      <c r="J142" s="436"/>
      <c r="K142" s="436"/>
      <c r="L142" s="436"/>
      <c r="M142" s="436"/>
      <c r="N142" s="436"/>
      <c r="O142" s="436"/>
      <c r="P142" s="436"/>
      <c r="Q142" s="436"/>
      <c r="R142" s="444"/>
      <c r="S142" s="638"/>
    </row>
    <row r="143" spans="1:25" s="1395" customFormat="1" ht="16.5" hidden="1" thickBot="1" x14ac:dyDescent="0.3">
      <c r="A143" s="418"/>
      <c r="B143" s="4174"/>
      <c r="C143" s="620" t="s">
        <v>1018</v>
      </c>
      <c r="D143" s="4175">
        <f>D142*E142</f>
        <v>0</v>
      </c>
      <c r="E143" s="4176"/>
      <c r="F143" s="4177">
        <f>F142*G142</f>
        <v>0</v>
      </c>
      <c r="G143" s="4176"/>
      <c r="H143" s="4177">
        <f>H142*I142</f>
        <v>0</v>
      </c>
      <c r="I143" s="4176"/>
      <c r="J143" s="4177">
        <f>J142*K142</f>
        <v>0</v>
      </c>
      <c r="K143" s="4176"/>
      <c r="L143" s="4177">
        <f>L142*M142</f>
        <v>0</v>
      </c>
      <c r="M143" s="4176"/>
      <c r="N143" s="4177">
        <f>N142*O142</f>
        <v>0</v>
      </c>
      <c r="O143" s="4176"/>
      <c r="P143" s="4177">
        <f>P142*Q142</f>
        <v>0</v>
      </c>
      <c r="Q143" s="4176"/>
      <c r="R143" s="4171">
        <f>D143+F143+H143+J143+L143+N143</f>
        <v>0</v>
      </c>
      <c r="S143" s="4172"/>
      <c r="U143" s="421"/>
      <c r="V143" s="421"/>
      <c r="W143" s="421"/>
      <c r="X143" s="421"/>
      <c r="Y143" s="421"/>
    </row>
    <row r="144" spans="1:25" s="1395" customFormat="1" hidden="1" x14ac:dyDescent="0.25">
      <c r="A144" s="418"/>
      <c r="B144" s="4173">
        <v>6</v>
      </c>
      <c r="C144" s="643"/>
      <c r="D144" s="438"/>
      <c r="E144" s="436"/>
      <c r="F144" s="436"/>
      <c r="G144" s="436"/>
      <c r="H144" s="436"/>
      <c r="I144" s="436"/>
      <c r="J144" s="436"/>
      <c r="K144" s="436"/>
      <c r="L144" s="436"/>
      <c r="M144" s="436"/>
      <c r="N144" s="436"/>
      <c r="O144" s="436"/>
      <c r="P144" s="436"/>
      <c r="Q144" s="436"/>
      <c r="R144" s="444"/>
      <c r="S144" s="638"/>
      <c r="U144" s="421"/>
      <c r="V144" s="421"/>
      <c r="W144" s="421"/>
      <c r="X144" s="421"/>
      <c r="Y144" s="421"/>
    </row>
    <row r="145" spans="1:25" s="1395" customFormat="1" ht="16.5" hidden="1" thickBot="1" x14ac:dyDescent="0.3">
      <c r="A145" s="418"/>
      <c r="B145" s="4174"/>
      <c r="C145" s="620" t="s">
        <v>1018</v>
      </c>
      <c r="D145" s="4175">
        <f>D144*E144</f>
        <v>0</v>
      </c>
      <c r="E145" s="4176"/>
      <c r="F145" s="4177">
        <f>F144*G144</f>
        <v>0</v>
      </c>
      <c r="G145" s="4176"/>
      <c r="H145" s="4177">
        <f>H144*I144</f>
        <v>0</v>
      </c>
      <c r="I145" s="4176"/>
      <c r="J145" s="4177">
        <f>J144*K144</f>
        <v>0</v>
      </c>
      <c r="K145" s="4176"/>
      <c r="L145" s="4177">
        <f>L144*M144</f>
        <v>0</v>
      </c>
      <c r="M145" s="4176"/>
      <c r="N145" s="4177">
        <f>N144*O144</f>
        <v>0</v>
      </c>
      <c r="O145" s="4176"/>
      <c r="P145" s="4177">
        <f>P144*Q144</f>
        <v>0</v>
      </c>
      <c r="Q145" s="4176"/>
      <c r="R145" s="4171">
        <f>D145+F145+H145+J145+L145+N145</f>
        <v>0</v>
      </c>
      <c r="S145" s="4172"/>
      <c r="U145" s="421"/>
      <c r="V145" s="421"/>
      <c r="W145" s="421"/>
      <c r="X145" s="421"/>
      <c r="Y145" s="421"/>
    </row>
    <row r="146" spans="1:25" s="1395" customFormat="1" hidden="1" x14ac:dyDescent="0.25">
      <c r="A146" s="418"/>
      <c r="B146" s="4173">
        <v>7</v>
      </c>
      <c r="C146" s="640"/>
      <c r="D146" s="438"/>
      <c r="E146" s="436"/>
      <c r="F146" s="436"/>
      <c r="G146" s="436"/>
      <c r="H146" s="436"/>
      <c r="I146" s="436"/>
      <c r="J146" s="436"/>
      <c r="K146" s="436"/>
      <c r="L146" s="436"/>
      <c r="M146" s="436"/>
      <c r="N146" s="436"/>
      <c r="O146" s="436"/>
      <c r="P146" s="436"/>
      <c r="Q146" s="436"/>
      <c r="R146" s="444"/>
      <c r="S146" s="638"/>
      <c r="U146" s="421"/>
      <c r="V146" s="421"/>
      <c r="W146" s="421"/>
      <c r="X146" s="421"/>
      <c r="Y146" s="421"/>
    </row>
    <row r="147" spans="1:25" s="1395" customFormat="1" ht="16.5" hidden="1" thickBot="1" x14ac:dyDescent="0.3">
      <c r="A147" s="418"/>
      <c r="B147" s="4174"/>
      <c r="C147" s="620" t="s">
        <v>1018</v>
      </c>
      <c r="D147" s="4175">
        <f>D146*E146</f>
        <v>0</v>
      </c>
      <c r="E147" s="4176"/>
      <c r="F147" s="4177">
        <f>F146*G146</f>
        <v>0</v>
      </c>
      <c r="G147" s="4176"/>
      <c r="H147" s="4177">
        <f>H146*I146</f>
        <v>0</v>
      </c>
      <c r="I147" s="4176"/>
      <c r="J147" s="4177">
        <f>J146*K146</f>
        <v>0</v>
      </c>
      <c r="K147" s="4176"/>
      <c r="L147" s="4177">
        <f>L146*M146</f>
        <v>0</v>
      </c>
      <c r="M147" s="4176"/>
      <c r="N147" s="4177">
        <f>N146*O146</f>
        <v>0</v>
      </c>
      <c r="O147" s="4176"/>
      <c r="P147" s="4177">
        <f>P146*Q146</f>
        <v>0</v>
      </c>
      <c r="Q147" s="4176"/>
      <c r="R147" s="4171">
        <f>D147+F147+H147+J147+L147+N147</f>
        <v>0</v>
      </c>
      <c r="S147" s="4172"/>
      <c r="U147" s="421"/>
      <c r="V147" s="421"/>
      <c r="W147" s="421"/>
      <c r="X147" s="421"/>
      <c r="Y147" s="421"/>
    </row>
    <row r="148" spans="1:25" s="1395" customFormat="1" hidden="1" x14ac:dyDescent="0.25">
      <c r="A148" s="418"/>
      <c r="B148" s="4173">
        <v>8</v>
      </c>
      <c r="C148" s="640"/>
      <c r="D148" s="438"/>
      <c r="E148" s="436"/>
      <c r="F148" s="436"/>
      <c r="G148" s="436"/>
      <c r="H148" s="436"/>
      <c r="I148" s="436"/>
      <c r="J148" s="436"/>
      <c r="K148" s="436"/>
      <c r="L148" s="436"/>
      <c r="M148" s="436"/>
      <c r="N148" s="436"/>
      <c r="O148" s="436"/>
      <c r="P148" s="436"/>
      <c r="Q148" s="436"/>
      <c r="R148" s="444"/>
      <c r="S148" s="638"/>
      <c r="U148" s="421"/>
      <c r="V148" s="421"/>
      <c r="W148" s="421"/>
      <c r="X148" s="421"/>
      <c r="Y148" s="421"/>
    </row>
    <row r="149" spans="1:25" s="1395" customFormat="1" ht="16.5" hidden="1" thickBot="1" x14ac:dyDescent="0.3">
      <c r="A149" s="418"/>
      <c r="B149" s="4174"/>
      <c r="C149" s="620" t="s">
        <v>1018</v>
      </c>
      <c r="D149" s="4175">
        <f>D148*E148</f>
        <v>0</v>
      </c>
      <c r="E149" s="4176"/>
      <c r="F149" s="4177">
        <f>F148*G148</f>
        <v>0</v>
      </c>
      <c r="G149" s="4176"/>
      <c r="H149" s="4177">
        <f>H148*I148</f>
        <v>0</v>
      </c>
      <c r="I149" s="4176"/>
      <c r="J149" s="4177">
        <f>J148*K148</f>
        <v>0</v>
      </c>
      <c r="K149" s="4176"/>
      <c r="L149" s="4177">
        <f>L148*M148</f>
        <v>0</v>
      </c>
      <c r="M149" s="4176"/>
      <c r="N149" s="4177">
        <f>N148*O148</f>
        <v>0</v>
      </c>
      <c r="O149" s="4176"/>
      <c r="P149" s="4177">
        <f>P148*Q148</f>
        <v>0</v>
      </c>
      <c r="Q149" s="4176"/>
      <c r="R149" s="4171">
        <f>D149+F149+H149+J149+L149+N149</f>
        <v>0</v>
      </c>
      <c r="S149" s="4172"/>
      <c r="U149" s="421"/>
      <c r="V149" s="421"/>
      <c r="W149" s="421"/>
      <c r="X149" s="421"/>
      <c r="Y149" s="421"/>
    </row>
    <row r="150" spans="1:25" s="1395" customFormat="1" hidden="1" x14ac:dyDescent="0.25">
      <c r="A150" s="418"/>
      <c r="B150" s="4178">
        <v>9</v>
      </c>
      <c r="C150" s="643"/>
      <c r="D150" s="438"/>
      <c r="E150" s="436"/>
      <c r="F150" s="436"/>
      <c r="G150" s="436"/>
      <c r="H150" s="436"/>
      <c r="I150" s="436"/>
      <c r="J150" s="436"/>
      <c r="K150" s="436"/>
      <c r="L150" s="436"/>
      <c r="M150" s="436"/>
      <c r="N150" s="436"/>
      <c r="O150" s="436"/>
      <c r="P150" s="436"/>
      <c r="Q150" s="436"/>
      <c r="R150" s="444"/>
      <c r="S150" s="638"/>
      <c r="U150" s="421"/>
      <c r="V150" s="421"/>
      <c r="W150" s="421"/>
      <c r="X150" s="421"/>
      <c r="Y150" s="421"/>
    </row>
    <row r="151" spans="1:25" s="1395" customFormat="1" ht="16.5" hidden="1" thickBot="1" x14ac:dyDescent="0.3">
      <c r="A151" s="418"/>
      <c r="B151" s="4178"/>
      <c r="C151" s="620" t="s">
        <v>1018</v>
      </c>
      <c r="D151" s="4175">
        <f>D150*E150</f>
        <v>0</v>
      </c>
      <c r="E151" s="4176"/>
      <c r="F151" s="4177">
        <f>F150*G150</f>
        <v>0</v>
      </c>
      <c r="G151" s="4176"/>
      <c r="H151" s="4177">
        <f>H150*I150</f>
        <v>0</v>
      </c>
      <c r="I151" s="4176"/>
      <c r="J151" s="4177">
        <f>J150*K150</f>
        <v>0</v>
      </c>
      <c r="K151" s="4176"/>
      <c r="L151" s="4177">
        <f>L150*M150</f>
        <v>0</v>
      </c>
      <c r="M151" s="4176"/>
      <c r="N151" s="4177">
        <f>N150*O150</f>
        <v>0</v>
      </c>
      <c r="O151" s="4176"/>
      <c r="P151" s="4177">
        <f>P150*Q150</f>
        <v>0</v>
      </c>
      <c r="Q151" s="4176"/>
      <c r="R151" s="4171">
        <f>D151+F151+H151+J151+L151+N151</f>
        <v>0</v>
      </c>
      <c r="S151" s="4172"/>
      <c r="U151" s="421"/>
      <c r="V151" s="421"/>
      <c r="W151" s="421"/>
      <c r="X151" s="421"/>
      <c r="Y151" s="421"/>
    </row>
    <row r="152" spans="1:25" s="1395" customFormat="1" hidden="1" x14ac:dyDescent="0.25">
      <c r="A152" s="418"/>
      <c r="B152" s="4173">
        <v>10</v>
      </c>
      <c r="C152" s="640"/>
      <c r="D152" s="438"/>
      <c r="E152" s="436"/>
      <c r="F152" s="436"/>
      <c r="G152" s="436"/>
      <c r="H152" s="436"/>
      <c r="I152" s="436"/>
      <c r="J152" s="436"/>
      <c r="K152" s="436"/>
      <c r="L152" s="436"/>
      <c r="M152" s="436"/>
      <c r="N152" s="436"/>
      <c r="O152" s="436"/>
      <c r="P152" s="436"/>
      <c r="Q152" s="436"/>
      <c r="R152" s="444"/>
      <c r="S152" s="638"/>
      <c r="U152" s="421"/>
      <c r="V152" s="421"/>
      <c r="W152" s="421"/>
      <c r="X152" s="421"/>
      <c r="Y152" s="421"/>
    </row>
    <row r="153" spans="1:25" s="1395" customFormat="1" ht="16.5" hidden="1" thickBot="1" x14ac:dyDescent="0.3">
      <c r="A153" s="418"/>
      <c r="B153" s="4174"/>
      <c r="C153" s="620" t="s">
        <v>1018</v>
      </c>
      <c r="D153" s="4175">
        <f>D152*E152</f>
        <v>0</v>
      </c>
      <c r="E153" s="4176"/>
      <c r="F153" s="4177">
        <f>F152*G152</f>
        <v>0</v>
      </c>
      <c r="G153" s="4176"/>
      <c r="H153" s="4177">
        <f>H152*I152</f>
        <v>0</v>
      </c>
      <c r="I153" s="4176"/>
      <c r="J153" s="4177">
        <f>J152*K152</f>
        <v>0</v>
      </c>
      <c r="K153" s="4176"/>
      <c r="L153" s="4177">
        <f>L152*M152</f>
        <v>0</v>
      </c>
      <c r="M153" s="4176"/>
      <c r="N153" s="4177">
        <f>N152*O152</f>
        <v>0</v>
      </c>
      <c r="O153" s="4176"/>
      <c r="P153" s="4177">
        <f>P152*Q152</f>
        <v>0</v>
      </c>
      <c r="Q153" s="4176"/>
      <c r="R153" s="4171">
        <f>D153+F153+H153+J153+L153+N153</f>
        <v>0</v>
      </c>
      <c r="S153" s="4172"/>
      <c r="U153" s="421"/>
      <c r="V153" s="421"/>
      <c r="W153" s="421"/>
      <c r="X153" s="421"/>
      <c r="Y153" s="421"/>
    </row>
    <row r="154" spans="1:25" s="1395" customFormat="1" hidden="1" x14ac:dyDescent="0.25">
      <c r="A154" s="418"/>
      <c r="B154" s="4173">
        <v>11</v>
      </c>
      <c r="C154" s="640"/>
      <c r="D154" s="438"/>
      <c r="E154" s="436"/>
      <c r="F154" s="436"/>
      <c r="G154" s="436"/>
      <c r="H154" s="436"/>
      <c r="I154" s="436"/>
      <c r="J154" s="436"/>
      <c r="K154" s="436"/>
      <c r="L154" s="436"/>
      <c r="M154" s="436"/>
      <c r="N154" s="436"/>
      <c r="O154" s="436"/>
      <c r="P154" s="436"/>
      <c r="Q154" s="436"/>
      <c r="R154" s="444"/>
      <c r="S154" s="638"/>
      <c r="U154" s="421"/>
      <c r="V154" s="421"/>
      <c r="W154" s="421"/>
      <c r="X154" s="421"/>
      <c r="Y154" s="421"/>
    </row>
    <row r="155" spans="1:25" s="1395" customFormat="1" ht="16.5" hidden="1" thickBot="1" x14ac:dyDescent="0.3">
      <c r="A155" s="418"/>
      <c r="B155" s="4174"/>
      <c r="C155" s="620" t="s">
        <v>1018</v>
      </c>
      <c r="D155" s="4175">
        <f>D154*E154</f>
        <v>0</v>
      </c>
      <c r="E155" s="4176"/>
      <c r="F155" s="4177">
        <f>F154*G154</f>
        <v>0</v>
      </c>
      <c r="G155" s="4176"/>
      <c r="H155" s="4177">
        <f>H154*I154</f>
        <v>0</v>
      </c>
      <c r="I155" s="4176"/>
      <c r="J155" s="4177">
        <f>J154*K154</f>
        <v>0</v>
      </c>
      <c r="K155" s="4176"/>
      <c r="L155" s="4177">
        <f>L154*M154</f>
        <v>0</v>
      </c>
      <c r="M155" s="4176"/>
      <c r="N155" s="4177">
        <f>N154*O154</f>
        <v>0</v>
      </c>
      <c r="O155" s="4176"/>
      <c r="P155" s="4177">
        <f>P154*Q154</f>
        <v>0</v>
      </c>
      <c r="Q155" s="4176"/>
      <c r="R155" s="4171">
        <f>D155+F155+H155+J155+L155+N155</f>
        <v>0</v>
      </c>
      <c r="S155" s="4172"/>
      <c r="U155" s="421"/>
      <c r="V155" s="421"/>
      <c r="W155" s="421"/>
      <c r="X155" s="421"/>
      <c r="Y155" s="421"/>
    </row>
    <row r="156" spans="1:25" s="1395" customFormat="1" hidden="1" x14ac:dyDescent="0.25">
      <c r="A156" s="418"/>
      <c r="B156" s="4173">
        <v>12</v>
      </c>
      <c r="C156" s="643"/>
      <c r="D156" s="438"/>
      <c r="E156" s="436"/>
      <c r="F156" s="436"/>
      <c r="G156" s="436"/>
      <c r="H156" s="436"/>
      <c r="I156" s="436"/>
      <c r="J156" s="436"/>
      <c r="K156" s="436"/>
      <c r="L156" s="436"/>
      <c r="M156" s="436"/>
      <c r="N156" s="436"/>
      <c r="O156" s="436"/>
      <c r="P156" s="436"/>
      <c r="Q156" s="436"/>
      <c r="R156" s="444"/>
      <c r="S156" s="638"/>
      <c r="U156" s="421"/>
      <c r="V156" s="421"/>
      <c r="W156" s="421"/>
      <c r="X156" s="421"/>
      <c r="Y156" s="421"/>
    </row>
    <row r="157" spans="1:25" s="1395" customFormat="1" ht="16.5" hidden="1" thickBot="1" x14ac:dyDescent="0.3">
      <c r="A157" s="418"/>
      <c r="B157" s="4174"/>
      <c r="C157" s="620" t="s">
        <v>1018</v>
      </c>
      <c r="D157" s="4175">
        <f>D156*E156</f>
        <v>0</v>
      </c>
      <c r="E157" s="4176"/>
      <c r="F157" s="4177">
        <f>F156*G156</f>
        <v>0</v>
      </c>
      <c r="G157" s="4176"/>
      <c r="H157" s="4177">
        <f>H156*I156</f>
        <v>0</v>
      </c>
      <c r="I157" s="4176"/>
      <c r="J157" s="4177">
        <f>J156*K156</f>
        <v>0</v>
      </c>
      <c r="K157" s="4176"/>
      <c r="L157" s="4177">
        <f>L156*M156</f>
        <v>0</v>
      </c>
      <c r="M157" s="4176"/>
      <c r="N157" s="4177">
        <f>N156*O156</f>
        <v>0</v>
      </c>
      <c r="O157" s="4176"/>
      <c r="P157" s="4177">
        <f>P156*Q156</f>
        <v>0</v>
      </c>
      <c r="Q157" s="4176"/>
      <c r="R157" s="4171">
        <f>D157+F157+H157+J157+L157+N157</f>
        <v>0</v>
      </c>
      <c r="S157" s="4172"/>
      <c r="U157" s="421"/>
      <c r="V157" s="421"/>
      <c r="W157" s="421"/>
      <c r="X157" s="421"/>
      <c r="Y157" s="421"/>
    </row>
    <row r="158" spans="1:25" s="1395" customFormat="1" ht="16.5" thickBot="1" x14ac:dyDescent="0.3">
      <c r="A158" s="418"/>
      <c r="B158" s="1391"/>
      <c r="C158" s="623" t="s">
        <v>1023</v>
      </c>
      <c r="D158" s="4252">
        <f>D157+D155+D153+D151+D149+D147+D145+D143+D141+D139+D137+D135</f>
        <v>1800</v>
      </c>
      <c r="E158" s="4253"/>
      <c r="F158" s="4254">
        <f>F157+F155+F153+F151+F149+F147+F145+F143+F141+F139+F137+F135</f>
        <v>0</v>
      </c>
      <c r="G158" s="4253"/>
      <c r="H158" s="4254">
        <f>H157+H155+H153+H151+H149+H147+H145+H143+H141+H139+H137+H135</f>
        <v>0</v>
      </c>
      <c r="I158" s="4253"/>
      <c r="J158" s="4254">
        <f>J157+J155+J153+J151+J149+J147+J145+J143+J141+J139+J137+J135</f>
        <v>0</v>
      </c>
      <c r="K158" s="4253"/>
      <c r="L158" s="4254">
        <f>L157+L155+L153+L151+L149+L147+L145+L143+L141+L139+L137+L135</f>
        <v>0</v>
      </c>
      <c r="M158" s="4253"/>
      <c r="N158" s="4254">
        <f>N157+N155+N153+N151+N149+N147+N145+N143+N141+N139+N137+N135</f>
        <v>0</v>
      </c>
      <c r="O158" s="4253"/>
      <c r="P158" s="4254">
        <f>P157+P155+P153+P151+P149+P147+P145+P143+P141+P139+P137+P135</f>
        <v>0</v>
      </c>
      <c r="Q158" s="4253"/>
      <c r="R158" s="4254">
        <f>R157+R155+R153+R151+R149+R147+R145+R143+R141+R139+R137+R135</f>
        <v>1800</v>
      </c>
      <c r="S158" s="4255"/>
      <c r="U158" s="421"/>
      <c r="V158" s="421"/>
      <c r="W158" s="421"/>
      <c r="X158" s="421"/>
      <c r="Y158" s="421"/>
    </row>
    <row r="161" spans="2:19" ht="16.149999999999999" customHeight="1" x14ac:dyDescent="0.25">
      <c r="B161" s="4196" t="s">
        <v>2601</v>
      </c>
      <c r="C161" s="4196"/>
      <c r="D161" s="4196"/>
      <c r="E161" s="4196"/>
      <c r="F161" s="4196"/>
      <c r="G161" s="4196"/>
      <c r="H161" s="4196"/>
      <c r="I161" s="4196"/>
      <c r="J161" s="4196"/>
      <c r="K161" s="4196"/>
      <c r="L161" s="4196"/>
      <c r="M161" s="4196"/>
      <c r="N161" s="4196"/>
      <c r="O161" s="4196"/>
      <c r="P161" s="4196"/>
      <c r="Q161" s="4196"/>
      <c r="R161" s="4196"/>
      <c r="S161" s="4196"/>
    </row>
    <row r="162" spans="2:19" ht="21.75" customHeight="1" x14ac:dyDescent="0.25">
      <c r="B162" s="608" t="s">
        <v>1832</v>
      </c>
      <c r="D162" s="434"/>
      <c r="E162" s="1015" t="str">
        <f>'Вхідні дані'!$F$5</f>
        <v>ЧФ ДП "АМПУ"</v>
      </c>
      <c r="F162" s="1017"/>
      <c r="G162" s="1015"/>
      <c r="H162" s="1392" t="s">
        <v>461</v>
      </c>
      <c r="I162" s="1016" t="str">
        <f>'Вхідні дані'!$F$6</f>
        <v>2023-2024</v>
      </c>
      <c r="J162" s="434" t="s">
        <v>648</v>
      </c>
      <c r="N162" s="1398"/>
    </row>
    <row r="163" spans="2:19" ht="16.149999999999999" customHeight="1" x14ac:dyDescent="0.25"/>
    <row r="164" spans="2:19" ht="15.6" customHeight="1" thickBot="1" x14ac:dyDescent="0.3"/>
    <row r="165" spans="2:19" ht="15.6" customHeight="1" thickBot="1" x14ac:dyDescent="0.3">
      <c r="C165" s="751" t="s">
        <v>1829</v>
      </c>
      <c r="D165" s="4247">
        <v>2020</v>
      </c>
      <c r="E165" s="4248"/>
      <c r="F165" s="4249" t="str">
        <f>'Вхідні дані'!F6</f>
        <v>2023-2024</v>
      </c>
      <c r="G165" s="4250"/>
      <c r="H165" s="4251"/>
    </row>
    <row r="166" spans="2:19" ht="15.6" customHeight="1" thickBot="1" x14ac:dyDescent="0.3">
      <c r="C166" s="755" t="s">
        <v>1830</v>
      </c>
      <c r="D166" s="1021" t="s">
        <v>1831</v>
      </c>
      <c r="E166" s="1022" t="s">
        <v>1833</v>
      </c>
      <c r="F166" s="1023" t="s">
        <v>1831</v>
      </c>
      <c r="G166" s="1024" t="s">
        <v>1015</v>
      </c>
      <c r="H166" s="1030" t="s">
        <v>1833</v>
      </c>
    </row>
    <row r="167" spans="2:19" ht="15.6" customHeight="1" x14ac:dyDescent="0.25">
      <c r="C167" s="753" t="s">
        <v>885</v>
      </c>
      <c r="D167" s="1777">
        <f>СПЕЦХАРЧ!AA7</f>
        <v>24586.819999999996</v>
      </c>
      <c r="E167" s="1779">
        <f>СПЕЦХАРЧ!Z7</f>
        <v>1596</v>
      </c>
      <c r="F167" s="756">
        <f>H167*G167</f>
        <v>0</v>
      </c>
      <c r="G167" s="1018">
        <f>'Вхідні дані'!D42</f>
        <v>0</v>
      </c>
      <c r="H167" s="754">
        <f>E167</f>
        <v>1596</v>
      </c>
    </row>
    <row r="168" spans="2:19" ht="15.6" customHeight="1" x14ac:dyDescent="0.25">
      <c r="C168" s="752" t="s">
        <v>959</v>
      </c>
      <c r="D168" s="1778">
        <f>СПЕЦХАРЧ!AA8</f>
        <v>16842.13</v>
      </c>
      <c r="E168" s="1779">
        <f>СПЕЦХАРЧ!Z8</f>
        <v>1099</v>
      </c>
      <c r="F168" s="756">
        <f t="shared" ref="F168:F174" si="4">H168*G168</f>
        <v>0</v>
      </c>
      <c r="G168" s="1019">
        <f>G167</f>
        <v>0</v>
      </c>
      <c r="H168" s="90">
        <f>E168</f>
        <v>1099</v>
      </c>
    </row>
    <row r="169" spans="2:19" ht="15.6" customHeight="1" x14ac:dyDescent="0.25">
      <c r="C169" s="752" t="s">
        <v>2432</v>
      </c>
      <c r="D169" s="1778">
        <f>СПЕЦХАРЧ!AA9</f>
        <v>1533.4299999999998</v>
      </c>
      <c r="E169" s="1779">
        <f>СПЕЦХАРЧ!Z9</f>
        <v>95</v>
      </c>
      <c r="F169" s="756">
        <f t="shared" si="4"/>
        <v>0</v>
      </c>
      <c r="G169" s="1019">
        <f>G168</f>
        <v>0</v>
      </c>
      <c r="H169" s="90">
        <f>E169</f>
        <v>95</v>
      </c>
    </row>
    <row r="170" spans="2:19" ht="15.6" customHeight="1" x14ac:dyDescent="0.25">
      <c r="C170" s="752" t="s">
        <v>926</v>
      </c>
      <c r="D170" s="1778"/>
      <c r="E170" s="749"/>
      <c r="F170" s="756">
        <f t="shared" si="4"/>
        <v>0</v>
      </c>
      <c r="G170" s="1019">
        <f>G168</f>
        <v>0</v>
      </c>
      <c r="H170" s="90">
        <f t="shared" ref="H170:H174" si="5">E170</f>
        <v>0</v>
      </c>
    </row>
    <row r="171" spans="2:19" ht="15.6" customHeight="1" x14ac:dyDescent="0.25">
      <c r="C171" s="752" t="s">
        <v>1820</v>
      </c>
      <c r="D171" s="750"/>
      <c r="E171" s="749"/>
      <c r="F171" s="756">
        <f t="shared" si="4"/>
        <v>0</v>
      </c>
      <c r="G171" s="1019">
        <f t="shared" ref="G171:G175" si="6">G170</f>
        <v>0</v>
      </c>
      <c r="H171" s="90">
        <f t="shared" si="5"/>
        <v>0</v>
      </c>
    </row>
    <row r="172" spans="2:19" ht="15.6" customHeight="1" x14ac:dyDescent="0.25">
      <c r="C172" s="752" t="s">
        <v>888</v>
      </c>
      <c r="D172" s="1778">
        <f>СПЕЦХАРЧ!AA12</f>
        <v>330.65999999999997</v>
      </c>
      <c r="E172" s="1780">
        <f>СПЕЦХАРЧ!Z12</f>
        <v>22</v>
      </c>
      <c r="F172" s="756">
        <f t="shared" si="4"/>
        <v>0</v>
      </c>
      <c r="G172" s="1019">
        <f t="shared" si="6"/>
        <v>0</v>
      </c>
      <c r="H172" s="90">
        <f t="shared" si="5"/>
        <v>22</v>
      </c>
    </row>
    <row r="173" spans="2:19" ht="16.149999999999999" customHeight="1" x14ac:dyDescent="0.25">
      <c r="C173" s="752" t="s">
        <v>1834</v>
      </c>
      <c r="D173" s="1778">
        <f>СПЕЦХАРЧ!AA13</f>
        <v>1407.87</v>
      </c>
      <c r="E173" s="1780">
        <f>СПЕЦХАРЧ!Z13</f>
        <v>92</v>
      </c>
      <c r="F173" s="756">
        <f t="shared" si="4"/>
        <v>0</v>
      </c>
      <c r="G173" s="1019">
        <f t="shared" si="6"/>
        <v>0</v>
      </c>
      <c r="H173" s="90">
        <f t="shared" si="5"/>
        <v>92</v>
      </c>
    </row>
    <row r="174" spans="2:19" x14ac:dyDescent="0.25">
      <c r="C174" s="752" t="s">
        <v>1001</v>
      </c>
      <c r="D174" s="1778">
        <f>СПЕЦХАРЧ!AA14</f>
        <v>3862.41</v>
      </c>
      <c r="E174" s="1780">
        <f>СПЕЦХАРЧ!Z14</f>
        <v>255</v>
      </c>
      <c r="F174" s="756">
        <f t="shared" si="4"/>
        <v>0</v>
      </c>
      <c r="G174" s="1019">
        <f t="shared" si="6"/>
        <v>0</v>
      </c>
      <c r="H174" s="90">
        <f t="shared" si="5"/>
        <v>255</v>
      </c>
    </row>
    <row r="175" spans="2:19" x14ac:dyDescent="0.25">
      <c r="C175" s="757" t="s">
        <v>1480</v>
      </c>
      <c r="D175" s="758">
        <f>SUM(D167:D174)</f>
        <v>48563.320000000007</v>
      </c>
      <c r="E175" s="759">
        <f>SUM(E167:E174)</f>
        <v>3159</v>
      </c>
      <c r="F175" s="760">
        <f>SUM(F167:F174)</f>
        <v>0</v>
      </c>
      <c r="G175" s="1020">
        <f t="shared" si="6"/>
        <v>0</v>
      </c>
      <c r="H175" s="761">
        <f>SUM(H167:H174)</f>
        <v>3159</v>
      </c>
    </row>
    <row r="176" spans="2:19" ht="16.5" thickBot="1" x14ac:dyDescent="0.3">
      <c r="C176" s="1025" t="s">
        <v>1836</v>
      </c>
      <c r="D176" s="1026"/>
      <c r="E176" s="1027">
        <f>D175/E175</f>
        <v>15.37300411522634</v>
      </c>
      <c r="F176" s="1028"/>
      <c r="G176" s="1029"/>
      <c r="H176" s="4245">
        <f>G175</f>
        <v>0</v>
      </c>
      <c r="I176" s="4246"/>
    </row>
  </sheetData>
  <mergeCells count="600">
    <mergeCell ref="H176:I176"/>
    <mergeCell ref="R155:S155"/>
    <mergeCell ref="D155:E155"/>
    <mergeCell ref="F155:G155"/>
    <mergeCell ref="H155:I155"/>
    <mergeCell ref="J155:K155"/>
    <mergeCell ref="L155:M155"/>
    <mergeCell ref="N155:O155"/>
    <mergeCell ref="R132:S132"/>
    <mergeCell ref="R137:S137"/>
    <mergeCell ref="P147:Q147"/>
    <mergeCell ref="R147:S147"/>
    <mergeCell ref="B161:S161"/>
    <mergeCell ref="D165:E165"/>
    <mergeCell ref="F165:H165"/>
    <mergeCell ref="R157:S157"/>
    <mergeCell ref="D158:E158"/>
    <mergeCell ref="F158:G158"/>
    <mergeCell ref="H158:I158"/>
    <mergeCell ref="J158:K158"/>
    <mergeCell ref="L158:M158"/>
    <mergeCell ref="N158:O158"/>
    <mergeCell ref="P158:Q158"/>
    <mergeCell ref="R158:S158"/>
    <mergeCell ref="N141:O141"/>
    <mergeCell ref="P141:Q141"/>
    <mergeCell ref="R141:S141"/>
    <mergeCell ref="N139:O139"/>
    <mergeCell ref="P139:Q139"/>
    <mergeCell ref="R139:S139"/>
    <mergeCell ref="B144:B145"/>
    <mergeCell ref="D145:E145"/>
    <mergeCell ref="F145:G145"/>
    <mergeCell ref="H145:I145"/>
    <mergeCell ref="J145:K145"/>
    <mergeCell ref="L145:M145"/>
    <mergeCell ref="N145:O145"/>
    <mergeCell ref="P145:Q145"/>
    <mergeCell ref="R145:S145"/>
    <mergeCell ref="B142:B143"/>
    <mergeCell ref="D143:E143"/>
    <mergeCell ref="F143:G143"/>
    <mergeCell ref="H143:I143"/>
    <mergeCell ref="J143:K143"/>
    <mergeCell ref="L143:M143"/>
    <mergeCell ref="N143:O143"/>
    <mergeCell ref="P143:Q143"/>
    <mergeCell ref="R143:S143"/>
    <mergeCell ref="B122:B123"/>
    <mergeCell ref="D123:E123"/>
    <mergeCell ref="F123:G123"/>
    <mergeCell ref="H123:I123"/>
    <mergeCell ref="J123:K123"/>
    <mergeCell ref="L123:M123"/>
    <mergeCell ref="N123:O123"/>
    <mergeCell ref="P123:Q123"/>
    <mergeCell ref="R123:S123"/>
    <mergeCell ref="H124:I124"/>
    <mergeCell ref="J124:K124"/>
    <mergeCell ref="L124:M124"/>
    <mergeCell ref="N124:O124"/>
    <mergeCell ref="P124:Q124"/>
    <mergeCell ref="D139:E139"/>
    <mergeCell ref="F139:G139"/>
    <mergeCell ref="H139:I139"/>
    <mergeCell ref="J139:K139"/>
    <mergeCell ref="L139:M139"/>
    <mergeCell ref="N137:O137"/>
    <mergeCell ref="P137:Q137"/>
    <mergeCell ref="N135:O135"/>
    <mergeCell ref="P135:Q135"/>
    <mergeCell ref="B114:B115"/>
    <mergeCell ref="D115:E115"/>
    <mergeCell ref="F115:G115"/>
    <mergeCell ref="H115:I115"/>
    <mergeCell ref="J115:K115"/>
    <mergeCell ref="L115:M115"/>
    <mergeCell ref="N115:O115"/>
    <mergeCell ref="P115:Q115"/>
    <mergeCell ref="R115:S115"/>
    <mergeCell ref="B112:B113"/>
    <mergeCell ref="D113:E113"/>
    <mergeCell ref="F113:G113"/>
    <mergeCell ref="H113:I113"/>
    <mergeCell ref="J113:K113"/>
    <mergeCell ref="L113:M113"/>
    <mergeCell ref="N113:O113"/>
    <mergeCell ref="P113:Q113"/>
    <mergeCell ref="R113:S113"/>
    <mergeCell ref="B106:B107"/>
    <mergeCell ref="D107:E107"/>
    <mergeCell ref="F107:G107"/>
    <mergeCell ref="H107:I107"/>
    <mergeCell ref="J107:K107"/>
    <mergeCell ref="L107:M107"/>
    <mergeCell ref="N107:O107"/>
    <mergeCell ref="P107:Q107"/>
    <mergeCell ref="R107:S107"/>
    <mergeCell ref="B104:B105"/>
    <mergeCell ref="D105:E105"/>
    <mergeCell ref="F105:G105"/>
    <mergeCell ref="H105:I105"/>
    <mergeCell ref="J105:K105"/>
    <mergeCell ref="L105:M105"/>
    <mergeCell ref="N105:O105"/>
    <mergeCell ref="P105:Q105"/>
    <mergeCell ref="R105:S105"/>
    <mergeCell ref="B98:B99"/>
    <mergeCell ref="D99:E99"/>
    <mergeCell ref="F99:G99"/>
    <mergeCell ref="H99:I99"/>
    <mergeCell ref="J99:K99"/>
    <mergeCell ref="L99:M99"/>
    <mergeCell ref="N99:O99"/>
    <mergeCell ref="P99:Q99"/>
    <mergeCell ref="R99:S99"/>
    <mergeCell ref="B96:B97"/>
    <mergeCell ref="D97:E97"/>
    <mergeCell ref="F97:G97"/>
    <mergeCell ref="H97:I97"/>
    <mergeCell ref="J97:K97"/>
    <mergeCell ref="L97:M97"/>
    <mergeCell ref="N97:O97"/>
    <mergeCell ref="P97:Q97"/>
    <mergeCell ref="R97:S97"/>
    <mergeCell ref="B90:B91"/>
    <mergeCell ref="D91:E91"/>
    <mergeCell ref="F91:G91"/>
    <mergeCell ref="H91:I91"/>
    <mergeCell ref="J91:K91"/>
    <mergeCell ref="L91:M91"/>
    <mergeCell ref="N91:O91"/>
    <mergeCell ref="P91:Q91"/>
    <mergeCell ref="R91:S91"/>
    <mergeCell ref="B88:B89"/>
    <mergeCell ref="D89:E89"/>
    <mergeCell ref="F89:G89"/>
    <mergeCell ref="H89:I89"/>
    <mergeCell ref="J89:K89"/>
    <mergeCell ref="L89:M89"/>
    <mergeCell ref="N89:O89"/>
    <mergeCell ref="P89:Q89"/>
    <mergeCell ref="R89:S89"/>
    <mergeCell ref="B82:B83"/>
    <mergeCell ref="D83:E83"/>
    <mergeCell ref="F83:G83"/>
    <mergeCell ref="H83:I83"/>
    <mergeCell ref="J83:K83"/>
    <mergeCell ref="L83:M83"/>
    <mergeCell ref="N83:O83"/>
    <mergeCell ref="P83:Q83"/>
    <mergeCell ref="R83:S83"/>
    <mergeCell ref="B80:B81"/>
    <mergeCell ref="D81:E81"/>
    <mergeCell ref="F81:G81"/>
    <mergeCell ref="H81:I81"/>
    <mergeCell ref="J81:K81"/>
    <mergeCell ref="L81:M81"/>
    <mergeCell ref="N81:O81"/>
    <mergeCell ref="P81:Q81"/>
    <mergeCell ref="R81:S81"/>
    <mergeCell ref="B74:B75"/>
    <mergeCell ref="D75:E75"/>
    <mergeCell ref="F75:G75"/>
    <mergeCell ref="H75:I75"/>
    <mergeCell ref="J75:K75"/>
    <mergeCell ref="L75:M75"/>
    <mergeCell ref="N75:O75"/>
    <mergeCell ref="P75:Q75"/>
    <mergeCell ref="R75:S75"/>
    <mergeCell ref="B72:B73"/>
    <mergeCell ref="D73:E73"/>
    <mergeCell ref="F73:G73"/>
    <mergeCell ref="H73:I73"/>
    <mergeCell ref="J73:K73"/>
    <mergeCell ref="L73:M73"/>
    <mergeCell ref="N73:O73"/>
    <mergeCell ref="P73:Q73"/>
    <mergeCell ref="R73:S73"/>
    <mergeCell ref="B66:B67"/>
    <mergeCell ref="D67:E67"/>
    <mergeCell ref="F67:G67"/>
    <mergeCell ref="H67:I67"/>
    <mergeCell ref="J67:K67"/>
    <mergeCell ref="L67:M67"/>
    <mergeCell ref="N67:O67"/>
    <mergeCell ref="P67:Q67"/>
    <mergeCell ref="R67:S67"/>
    <mergeCell ref="B64:B65"/>
    <mergeCell ref="D65:E65"/>
    <mergeCell ref="F65:G65"/>
    <mergeCell ref="H65:I65"/>
    <mergeCell ref="J65:K65"/>
    <mergeCell ref="L65:M65"/>
    <mergeCell ref="N65:O65"/>
    <mergeCell ref="P65:Q65"/>
    <mergeCell ref="R65:S65"/>
    <mergeCell ref="B58:B59"/>
    <mergeCell ref="D59:E59"/>
    <mergeCell ref="F59:G59"/>
    <mergeCell ref="H59:I59"/>
    <mergeCell ref="J59:K59"/>
    <mergeCell ref="L59:M59"/>
    <mergeCell ref="N59:O59"/>
    <mergeCell ref="P59:Q59"/>
    <mergeCell ref="R59:S59"/>
    <mergeCell ref="P41:Q41"/>
    <mergeCell ref="R41:S41"/>
    <mergeCell ref="D48:E48"/>
    <mergeCell ref="F48:G48"/>
    <mergeCell ref="H48:I48"/>
    <mergeCell ref="J48:K48"/>
    <mergeCell ref="L48:M48"/>
    <mergeCell ref="N48:O48"/>
    <mergeCell ref="P48:Q48"/>
    <mergeCell ref="D41:E41"/>
    <mergeCell ref="F41:G41"/>
    <mergeCell ref="H41:I41"/>
    <mergeCell ref="J41:K41"/>
    <mergeCell ref="L41:M41"/>
    <mergeCell ref="N41:O41"/>
    <mergeCell ref="R48:S48"/>
    <mergeCell ref="B46:G46"/>
    <mergeCell ref="B43:S43"/>
    <mergeCell ref="B48:B49"/>
    <mergeCell ref="C48:C49"/>
    <mergeCell ref="P38:Q38"/>
    <mergeCell ref="R38:S38"/>
    <mergeCell ref="D40:E40"/>
    <mergeCell ref="F40:G40"/>
    <mergeCell ref="H40:I40"/>
    <mergeCell ref="J40:K40"/>
    <mergeCell ref="L40:M40"/>
    <mergeCell ref="N40:O40"/>
    <mergeCell ref="P40:Q40"/>
    <mergeCell ref="R40:S40"/>
    <mergeCell ref="D38:E38"/>
    <mergeCell ref="F38:G38"/>
    <mergeCell ref="H38:I38"/>
    <mergeCell ref="J38:K38"/>
    <mergeCell ref="L38:M38"/>
    <mergeCell ref="N38:O38"/>
    <mergeCell ref="P34:Q34"/>
    <mergeCell ref="R34:S34"/>
    <mergeCell ref="D36:E36"/>
    <mergeCell ref="F36:G36"/>
    <mergeCell ref="H36:I36"/>
    <mergeCell ref="J36:K36"/>
    <mergeCell ref="L36:M36"/>
    <mergeCell ref="N36:O36"/>
    <mergeCell ref="P36:Q36"/>
    <mergeCell ref="R36:S36"/>
    <mergeCell ref="D34:E34"/>
    <mergeCell ref="F34:G34"/>
    <mergeCell ref="H34:I34"/>
    <mergeCell ref="J34:K34"/>
    <mergeCell ref="L34:M34"/>
    <mergeCell ref="N34:O34"/>
    <mergeCell ref="D32:E32"/>
    <mergeCell ref="F32:G32"/>
    <mergeCell ref="H32:I32"/>
    <mergeCell ref="J32:K32"/>
    <mergeCell ref="L32:M32"/>
    <mergeCell ref="N32:O32"/>
    <mergeCell ref="P32:Q32"/>
    <mergeCell ref="R32:S32"/>
    <mergeCell ref="D28:E28"/>
    <mergeCell ref="F28:G28"/>
    <mergeCell ref="H28:I28"/>
    <mergeCell ref="J28:K28"/>
    <mergeCell ref="L28:M28"/>
    <mergeCell ref="L23:M23"/>
    <mergeCell ref="N23:O23"/>
    <mergeCell ref="P23:Q23"/>
    <mergeCell ref="R23:S23"/>
    <mergeCell ref="P25:Q25"/>
    <mergeCell ref="R25:S25"/>
    <mergeCell ref="N28:O28"/>
    <mergeCell ref="P28:Q28"/>
    <mergeCell ref="R28:S28"/>
    <mergeCell ref="B26:B27"/>
    <mergeCell ref="C26:C27"/>
    <mergeCell ref="T26:Y26"/>
    <mergeCell ref="N25:O25"/>
    <mergeCell ref="D30:E30"/>
    <mergeCell ref="F30:G30"/>
    <mergeCell ref="H30:I30"/>
    <mergeCell ref="J30:K30"/>
    <mergeCell ref="L30:M30"/>
    <mergeCell ref="D25:E25"/>
    <mergeCell ref="F25:G25"/>
    <mergeCell ref="H25:I25"/>
    <mergeCell ref="J25:K25"/>
    <mergeCell ref="L25:M25"/>
    <mergeCell ref="N30:O30"/>
    <mergeCell ref="P30:Q30"/>
    <mergeCell ref="R30:S30"/>
    <mergeCell ref="R5:S5"/>
    <mergeCell ref="B3:G3"/>
    <mergeCell ref="D13:E13"/>
    <mergeCell ref="F13:G13"/>
    <mergeCell ref="H13:I13"/>
    <mergeCell ref="J13:K13"/>
    <mergeCell ref="L13:M13"/>
    <mergeCell ref="N13:O13"/>
    <mergeCell ref="P13:Q13"/>
    <mergeCell ref="R13:S13"/>
    <mergeCell ref="N20:O20"/>
    <mergeCell ref="P20:Q20"/>
    <mergeCell ref="R20:S20"/>
    <mergeCell ref="D23:E23"/>
    <mergeCell ref="F23:G23"/>
    <mergeCell ref="H23:I23"/>
    <mergeCell ref="J23:K23"/>
    <mergeCell ref="B5:B6"/>
    <mergeCell ref="C5:C6"/>
    <mergeCell ref="D5:E5"/>
    <mergeCell ref="F5:G5"/>
    <mergeCell ref="H5:I5"/>
    <mergeCell ref="J5:K5"/>
    <mergeCell ref="L5:M5"/>
    <mergeCell ref="B20:B21"/>
    <mergeCell ref="C20:C21"/>
    <mergeCell ref="D20:E20"/>
    <mergeCell ref="F20:G20"/>
    <mergeCell ref="H20:I20"/>
    <mergeCell ref="J20:K20"/>
    <mergeCell ref="L20:M20"/>
    <mergeCell ref="B15:S15"/>
    <mergeCell ref="N5:O5"/>
    <mergeCell ref="P5:Q5"/>
    <mergeCell ref="B50:B51"/>
    <mergeCell ref="D51:E51"/>
    <mergeCell ref="F51:G51"/>
    <mergeCell ref="H51:I51"/>
    <mergeCell ref="J51:K51"/>
    <mergeCell ref="L51:M51"/>
    <mergeCell ref="N51:O51"/>
    <mergeCell ref="R51:S51"/>
    <mergeCell ref="B52:B53"/>
    <mergeCell ref="D53:E53"/>
    <mergeCell ref="F53:G53"/>
    <mergeCell ref="H53:I53"/>
    <mergeCell ref="J53:K53"/>
    <mergeCell ref="L53:M53"/>
    <mergeCell ref="N53:O53"/>
    <mergeCell ref="P53:Q53"/>
    <mergeCell ref="R53:S53"/>
    <mergeCell ref="P51:Q51"/>
    <mergeCell ref="P55:Q55"/>
    <mergeCell ref="R55:S55"/>
    <mergeCell ref="B56:B57"/>
    <mergeCell ref="D57:E57"/>
    <mergeCell ref="F57:G57"/>
    <mergeCell ref="H57:I57"/>
    <mergeCell ref="J57:K57"/>
    <mergeCell ref="L57:M57"/>
    <mergeCell ref="N57:O57"/>
    <mergeCell ref="P57:Q57"/>
    <mergeCell ref="R57:S57"/>
    <mergeCell ref="B54:B55"/>
    <mergeCell ref="D55:E55"/>
    <mergeCell ref="F55:G55"/>
    <mergeCell ref="H55:I55"/>
    <mergeCell ref="J55:K55"/>
    <mergeCell ref="L55:M55"/>
    <mergeCell ref="N55:O55"/>
    <mergeCell ref="N61:O61"/>
    <mergeCell ref="P61:Q61"/>
    <mergeCell ref="R61:S61"/>
    <mergeCell ref="B62:B63"/>
    <mergeCell ref="D63:E63"/>
    <mergeCell ref="F63:G63"/>
    <mergeCell ref="H63:I63"/>
    <mergeCell ref="J63:K63"/>
    <mergeCell ref="L63:M63"/>
    <mergeCell ref="N63:O63"/>
    <mergeCell ref="P63:Q63"/>
    <mergeCell ref="R63:S63"/>
    <mergeCell ref="B60:B61"/>
    <mergeCell ref="D61:E61"/>
    <mergeCell ref="F61:G61"/>
    <mergeCell ref="H61:I61"/>
    <mergeCell ref="J61:K61"/>
    <mergeCell ref="L61:M61"/>
    <mergeCell ref="N69:O69"/>
    <mergeCell ref="P69:Q69"/>
    <mergeCell ref="R69:S69"/>
    <mergeCell ref="B70:B71"/>
    <mergeCell ref="D71:E71"/>
    <mergeCell ref="F71:G71"/>
    <mergeCell ref="H71:I71"/>
    <mergeCell ref="J71:K71"/>
    <mergeCell ref="L71:M71"/>
    <mergeCell ref="N71:O71"/>
    <mergeCell ref="P71:Q71"/>
    <mergeCell ref="R71:S71"/>
    <mergeCell ref="B68:B69"/>
    <mergeCell ref="D69:E69"/>
    <mergeCell ref="F69:G69"/>
    <mergeCell ref="H69:I69"/>
    <mergeCell ref="J69:K69"/>
    <mergeCell ref="L69:M69"/>
    <mergeCell ref="N77:O77"/>
    <mergeCell ref="P77:Q77"/>
    <mergeCell ref="R77:S77"/>
    <mergeCell ref="B78:B79"/>
    <mergeCell ref="D79:E79"/>
    <mergeCell ref="F79:G79"/>
    <mergeCell ref="H79:I79"/>
    <mergeCell ref="J79:K79"/>
    <mergeCell ref="L79:M79"/>
    <mergeCell ref="N79:O79"/>
    <mergeCell ref="P79:Q79"/>
    <mergeCell ref="R79:S79"/>
    <mergeCell ref="B76:B77"/>
    <mergeCell ref="D77:E77"/>
    <mergeCell ref="F77:G77"/>
    <mergeCell ref="H77:I77"/>
    <mergeCell ref="J77:K77"/>
    <mergeCell ref="L77:M77"/>
    <mergeCell ref="N85:O85"/>
    <mergeCell ref="P85:Q85"/>
    <mergeCell ref="R85:S85"/>
    <mergeCell ref="B86:B87"/>
    <mergeCell ref="D87:E87"/>
    <mergeCell ref="F87:G87"/>
    <mergeCell ref="H87:I87"/>
    <mergeCell ref="J87:K87"/>
    <mergeCell ref="L87:M87"/>
    <mergeCell ref="N87:O87"/>
    <mergeCell ref="P87:Q87"/>
    <mergeCell ref="R87:S87"/>
    <mergeCell ref="B84:B85"/>
    <mergeCell ref="D85:E85"/>
    <mergeCell ref="F85:G85"/>
    <mergeCell ref="H85:I85"/>
    <mergeCell ref="J85:K85"/>
    <mergeCell ref="L85:M85"/>
    <mergeCell ref="N93:O93"/>
    <mergeCell ref="P93:Q93"/>
    <mergeCell ref="R93:S93"/>
    <mergeCell ref="B94:B95"/>
    <mergeCell ref="D95:E95"/>
    <mergeCell ref="F95:G95"/>
    <mergeCell ref="H95:I95"/>
    <mergeCell ref="J95:K95"/>
    <mergeCell ref="L95:M95"/>
    <mergeCell ref="N95:O95"/>
    <mergeCell ref="P95:Q95"/>
    <mergeCell ref="R95:S95"/>
    <mergeCell ref="B92:B93"/>
    <mergeCell ref="D93:E93"/>
    <mergeCell ref="F93:G93"/>
    <mergeCell ref="H93:I93"/>
    <mergeCell ref="J93:K93"/>
    <mergeCell ref="L93:M93"/>
    <mergeCell ref="N101:O101"/>
    <mergeCell ref="P101:Q101"/>
    <mergeCell ref="R101:S101"/>
    <mergeCell ref="B102:B103"/>
    <mergeCell ref="D103:E103"/>
    <mergeCell ref="F103:G103"/>
    <mergeCell ref="H103:I103"/>
    <mergeCell ref="J103:K103"/>
    <mergeCell ref="L103:M103"/>
    <mergeCell ref="N103:O103"/>
    <mergeCell ref="P103:Q103"/>
    <mergeCell ref="R103:S103"/>
    <mergeCell ref="B100:B101"/>
    <mergeCell ref="D101:E101"/>
    <mergeCell ref="F101:G101"/>
    <mergeCell ref="H101:I101"/>
    <mergeCell ref="J101:K101"/>
    <mergeCell ref="L101:M101"/>
    <mergeCell ref="N109:O109"/>
    <mergeCell ref="P109:Q109"/>
    <mergeCell ref="R109:S109"/>
    <mergeCell ref="B110:B111"/>
    <mergeCell ref="D111:E111"/>
    <mergeCell ref="F111:G111"/>
    <mergeCell ref="H111:I111"/>
    <mergeCell ref="J111:K111"/>
    <mergeCell ref="L111:M111"/>
    <mergeCell ref="N111:O111"/>
    <mergeCell ref="P111:Q111"/>
    <mergeCell ref="R111:S111"/>
    <mergeCell ref="B108:B109"/>
    <mergeCell ref="D109:E109"/>
    <mergeCell ref="F109:G109"/>
    <mergeCell ref="H109:I109"/>
    <mergeCell ref="J109:K109"/>
    <mergeCell ref="L109:M109"/>
    <mergeCell ref="N117:O117"/>
    <mergeCell ref="P117:Q117"/>
    <mergeCell ref="R117:S117"/>
    <mergeCell ref="B118:B119"/>
    <mergeCell ref="D119:E119"/>
    <mergeCell ref="F119:G119"/>
    <mergeCell ref="H119:I119"/>
    <mergeCell ref="J119:K119"/>
    <mergeCell ref="L119:M119"/>
    <mergeCell ref="N119:O119"/>
    <mergeCell ref="P119:Q119"/>
    <mergeCell ref="R119:S119"/>
    <mergeCell ref="B116:B117"/>
    <mergeCell ref="D117:E117"/>
    <mergeCell ref="F117:G117"/>
    <mergeCell ref="H117:I117"/>
    <mergeCell ref="J117:K117"/>
    <mergeCell ref="L117:M117"/>
    <mergeCell ref="B120:B121"/>
    <mergeCell ref="D121:E121"/>
    <mergeCell ref="F121:G121"/>
    <mergeCell ref="H121:I121"/>
    <mergeCell ref="R135:S135"/>
    <mergeCell ref="D132:E132"/>
    <mergeCell ref="F132:G132"/>
    <mergeCell ref="H132:I132"/>
    <mergeCell ref="J132:K132"/>
    <mergeCell ref="L132:M132"/>
    <mergeCell ref="N132:O132"/>
    <mergeCell ref="P132:Q132"/>
    <mergeCell ref="J121:K121"/>
    <mergeCell ref="L121:M121"/>
    <mergeCell ref="N121:O121"/>
    <mergeCell ref="P121:Q121"/>
    <mergeCell ref="R121:S121"/>
    <mergeCell ref="R124:S124"/>
    <mergeCell ref="B126:S126"/>
    <mergeCell ref="Q128:R128"/>
    <mergeCell ref="B132:B133"/>
    <mergeCell ref="C132:C133"/>
    <mergeCell ref="D124:E124"/>
    <mergeCell ref="F124:G124"/>
    <mergeCell ref="A134:A135"/>
    <mergeCell ref="B134:B135"/>
    <mergeCell ref="D135:E135"/>
    <mergeCell ref="F135:G135"/>
    <mergeCell ref="H135:I135"/>
    <mergeCell ref="J135:K135"/>
    <mergeCell ref="L135:M135"/>
    <mergeCell ref="D141:E141"/>
    <mergeCell ref="F141:G141"/>
    <mergeCell ref="H141:I141"/>
    <mergeCell ref="J141:K141"/>
    <mergeCell ref="L141:M141"/>
    <mergeCell ref="B140:B141"/>
    <mergeCell ref="A136:A137"/>
    <mergeCell ref="B136:B137"/>
    <mergeCell ref="D137:E137"/>
    <mergeCell ref="F137:G137"/>
    <mergeCell ref="H137:I137"/>
    <mergeCell ref="J137:K137"/>
    <mergeCell ref="L137:M137"/>
    <mergeCell ref="B138:B139"/>
    <mergeCell ref="R149:S149"/>
    <mergeCell ref="P149:Q149"/>
    <mergeCell ref="B146:B147"/>
    <mergeCell ref="D147:E147"/>
    <mergeCell ref="F147:G147"/>
    <mergeCell ref="H147:I147"/>
    <mergeCell ref="J147:K147"/>
    <mergeCell ref="L147:M147"/>
    <mergeCell ref="N147:O147"/>
    <mergeCell ref="B148:B149"/>
    <mergeCell ref="D149:E149"/>
    <mergeCell ref="F149:G149"/>
    <mergeCell ref="H149:I149"/>
    <mergeCell ref="J149:K149"/>
    <mergeCell ref="L149:M149"/>
    <mergeCell ref="N149:O149"/>
    <mergeCell ref="P151:Q151"/>
    <mergeCell ref="R151:S151"/>
    <mergeCell ref="B150:B151"/>
    <mergeCell ref="D151:E151"/>
    <mergeCell ref="F151:G151"/>
    <mergeCell ref="H151:I151"/>
    <mergeCell ref="J151:K151"/>
    <mergeCell ref="L151:M151"/>
    <mergeCell ref="N151:O151"/>
    <mergeCell ref="R153:S153"/>
    <mergeCell ref="B154:B155"/>
    <mergeCell ref="B156:B157"/>
    <mergeCell ref="D157:E157"/>
    <mergeCell ref="F157:G157"/>
    <mergeCell ref="H157:I157"/>
    <mergeCell ref="J157:K157"/>
    <mergeCell ref="L157:M157"/>
    <mergeCell ref="N157:O157"/>
    <mergeCell ref="P157:Q157"/>
    <mergeCell ref="P155:Q155"/>
    <mergeCell ref="B152:B153"/>
    <mergeCell ref="D153:E153"/>
    <mergeCell ref="F153:G153"/>
    <mergeCell ref="H153:I153"/>
    <mergeCell ref="J153:K153"/>
    <mergeCell ref="L153:M153"/>
    <mergeCell ref="N153:O153"/>
    <mergeCell ref="P153:Q153"/>
  </mergeCells>
  <pageMargins left="0.15748031496062992" right="0.19685039370078741" top="0.85" bottom="0.31" header="0.19685039370078741" footer="0.23"/>
  <pageSetup paperSize="9" scale="80" fitToHeight="4" orientation="landscape"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2" tint="-0.499984740745262"/>
    <pageSetUpPr fitToPage="1"/>
  </sheetPr>
  <dimension ref="A1:Q67"/>
  <sheetViews>
    <sheetView view="pageBreakPreview" topLeftCell="A14" zoomScale="60" zoomScaleNormal="75" workbookViewId="0">
      <selection activeCell="J68" sqref="J68"/>
    </sheetView>
  </sheetViews>
  <sheetFormatPr defaultRowHeight="15" x14ac:dyDescent="0.25"/>
  <cols>
    <col min="1" max="1" width="7" style="486" bestFit="1" customWidth="1"/>
    <col min="2" max="2" width="44.140625" style="486" customWidth="1"/>
    <col min="3" max="3" width="12.5703125" style="486" bestFit="1" customWidth="1"/>
    <col min="4" max="4" width="14.85546875" style="486" bestFit="1" customWidth="1"/>
    <col min="5" max="5" width="15" style="486" customWidth="1"/>
    <col min="6" max="6" width="18.5703125" style="486" customWidth="1"/>
    <col min="7" max="7" width="14.140625" style="486" customWidth="1"/>
    <col min="8" max="8" width="15.28515625" style="486" customWidth="1"/>
    <col min="9" max="9" width="9.140625" style="486"/>
    <col min="10" max="10" width="13.28515625" style="653" bestFit="1" customWidth="1"/>
    <col min="11" max="11" width="9.28515625" style="486" bestFit="1" customWidth="1"/>
    <col min="12" max="12" width="10.7109375" style="486" customWidth="1"/>
    <col min="13" max="13" width="9.140625" style="486"/>
    <col min="14" max="14" width="11.5703125" style="486" bestFit="1" customWidth="1"/>
    <col min="15" max="16" width="9.140625" style="486"/>
    <col min="17" max="17" width="13.7109375" style="486" bestFit="1" customWidth="1"/>
    <col min="18" max="238" width="9.140625" style="486"/>
    <col min="239" max="239" width="7" style="486" bestFit="1" customWidth="1"/>
    <col min="240" max="240" width="40.7109375" style="486" customWidth="1"/>
    <col min="241" max="241" width="13.42578125" style="486" customWidth="1"/>
    <col min="242" max="242" width="12.7109375" style="486" customWidth="1"/>
    <col min="243" max="243" width="13.7109375" style="486" customWidth="1"/>
    <col min="244" max="244" width="12.7109375" style="486" customWidth="1"/>
    <col min="245" max="245" width="20.140625" style="486" bestFit="1" customWidth="1"/>
    <col min="246" max="246" width="13.7109375" style="486" customWidth="1"/>
    <col min="247" max="247" width="15.5703125" style="486" customWidth="1"/>
    <col min="248" max="494" width="9.140625" style="486"/>
    <col min="495" max="495" width="7" style="486" bestFit="1" customWidth="1"/>
    <col min="496" max="496" width="40.7109375" style="486" customWidth="1"/>
    <col min="497" max="497" width="13.42578125" style="486" customWidth="1"/>
    <col min="498" max="498" width="12.7109375" style="486" customWidth="1"/>
    <col min="499" max="499" width="13.7109375" style="486" customWidth="1"/>
    <col min="500" max="500" width="12.7109375" style="486" customWidth="1"/>
    <col min="501" max="501" width="20.140625" style="486" bestFit="1" customWidth="1"/>
    <col min="502" max="502" width="13.7109375" style="486" customWidth="1"/>
    <col min="503" max="503" width="15.5703125" style="486" customWidth="1"/>
    <col min="504" max="750" width="9.140625" style="486"/>
    <col min="751" max="751" width="7" style="486" bestFit="1" customWidth="1"/>
    <col min="752" max="752" width="40.7109375" style="486" customWidth="1"/>
    <col min="753" max="753" width="13.42578125" style="486" customWidth="1"/>
    <col min="754" max="754" width="12.7109375" style="486" customWidth="1"/>
    <col min="755" max="755" width="13.7109375" style="486" customWidth="1"/>
    <col min="756" max="756" width="12.7109375" style="486" customWidth="1"/>
    <col min="757" max="757" width="20.140625" style="486" bestFit="1" customWidth="1"/>
    <col min="758" max="758" width="13.7109375" style="486" customWidth="1"/>
    <col min="759" max="759" width="15.5703125" style="486" customWidth="1"/>
    <col min="760" max="1006" width="9.140625" style="486"/>
    <col min="1007" max="1007" width="7" style="486" bestFit="1" customWidth="1"/>
    <col min="1008" max="1008" width="40.7109375" style="486" customWidth="1"/>
    <col min="1009" max="1009" width="13.42578125" style="486" customWidth="1"/>
    <col min="1010" max="1010" width="12.7109375" style="486" customWidth="1"/>
    <col min="1011" max="1011" width="13.7109375" style="486" customWidth="1"/>
    <col min="1012" max="1012" width="12.7109375" style="486" customWidth="1"/>
    <col min="1013" max="1013" width="20.140625" style="486" bestFit="1" customWidth="1"/>
    <col min="1014" max="1014" width="13.7109375" style="486" customWidth="1"/>
    <col min="1015" max="1015" width="15.5703125" style="486" customWidth="1"/>
    <col min="1016" max="1262" width="9.140625" style="486"/>
    <col min="1263" max="1263" width="7" style="486" bestFit="1" customWidth="1"/>
    <col min="1264" max="1264" width="40.7109375" style="486" customWidth="1"/>
    <col min="1265" max="1265" width="13.42578125" style="486" customWidth="1"/>
    <col min="1266" max="1266" width="12.7109375" style="486" customWidth="1"/>
    <col min="1267" max="1267" width="13.7109375" style="486" customWidth="1"/>
    <col min="1268" max="1268" width="12.7109375" style="486" customWidth="1"/>
    <col min="1269" max="1269" width="20.140625" style="486" bestFit="1" customWidth="1"/>
    <col min="1270" max="1270" width="13.7109375" style="486" customWidth="1"/>
    <col min="1271" max="1271" width="15.5703125" style="486" customWidth="1"/>
    <col min="1272" max="1518" width="9.140625" style="486"/>
    <col min="1519" max="1519" width="7" style="486" bestFit="1" customWidth="1"/>
    <col min="1520" max="1520" width="40.7109375" style="486" customWidth="1"/>
    <col min="1521" max="1521" width="13.42578125" style="486" customWidth="1"/>
    <col min="1522" max="1522" width="12.7109375" style="486" customWidth="1"/>
    <col min="1523" max="1523" width="13.7109375" style="486" customWidth="1"/>
    <col min="1524" max="1524" width="12.7109375" style="486" customWidth="1"/>
    <col min="1525" max="1525" width="20.140625" style="486" bestFit="1" customWidth="1"/>
    <col min="1526" max="1526" width="13.7109375" style="486" customWidth="1"/>
    <col min="1527" max="1527" width="15.5703125" style="486" customWidth="1"/>
    <col min="1528" max="1774" width="9.140625" style="486"/>
    <col min="1775" max="1775" width="7" style="486" bestFit="1" customWidth="1"/>
    <col min="1776" max="1776" width="40.7109375" style="486" customWidth="1"/>
    <col min="1777" max="1777" width="13.42578125" style="486" customWidth="1"/>
    <col min="1778" max="1778" width="12.7109375" style="486" customWidth="1"/>
    <col min="1779" max="1779" width="13.7109375" style="486" customWidth="1"/>
    <col min="1780" max="1780" width="12.7109375" style="486" customWidth="1"/>
    <col min="1781" max="1781" width="20.140625" style="486" bestFit="1" customWidth="1"/>
    <col min="1782" max="1782" width="13.7109375" style="486" customWidth="1"/>
    <col min="1783" max="1783" width="15.5703125" style="486" customWidth="1"/>
    <col min="1784" max="2030" width="9.140625" style="486"/>
    <col min="2031" max="2031" width="7" style="486" bestFit="1" customWidth="1"/>
    <col min="2032" max="2032" width="40.7109375" style="486" customWidth="1"/>
    <col min="2033" max="2033" width="13.42578125" style="486" customWidth="1"/>
    <col min="2034" max="2034" width="12.7109375" style="486" customWidth="1"/>
    <col min="2035" max="2035" width="13.7109375" style="486" customWidth="1"/>
    <col min="2036" max="2036" width="12.7109375" style="486" customWidth="1"/>
    <col min="2037" max="2037" width="20.140625" style="486" bestFit="1" customWidth="1"/>
    <col min="2038" max="2038" width="13.7109375" style="486" customWidth="1"/>
    <col min="2039" max="2039" width="15.5703125" style="486" customWidth="1"/>
    <col min="2040" max="2286" width="9.140625" style="486"/>
    <col min="2287" max="2287" width="7" style="486" bestFit="1" customWidth="1"/>
    <col min="2288" max="2288" width="40.7109375" style="486" customWidth="1"/>
    <col min="2289" max="2289" width="13.42578125" style="486" customWidth="1"/>
    <col min="2290" max="2290" width="12.7109375" style="486" customWidth="1"/>
    <col min="2291" max="2291" width="13.7109375" style="486" customWidth="1"/>
    <col min="2292" max="2292" width="12.7109375" style="486" customWidth="1"/>
    <col min="2293" max="2293" width="20.140625" style="486" bestFit="1" customWidth="1"/>
    <col min="2294" max="2294" width="13.7109375" style="486" customWidth="1"/>
    <col min="2295" max="2295" width="15.5703125" style="486" customWidth="1"/>
    <col min="2296" max="2542" width="9.140625" style="486"/>
    <col min="2543" max="2543" width="7" style="486" bestFit="1" customWidth="1"/>
    <col min="2544" max="2544" width="40.7109375" style="486" customWidth="1"/>
    <col min="2545" max="2545" width="13.42578125" style="486" customWidth="1"/>
    <col min="2546" max="2546" width="12.7109375" style="486" customWidth="1"/>
    <col min="2547" max="2547" width="13.7109375" style="486" customWidth="1"/>
    <col min="2548" max="2548" width="12.7109375" style="486" customWidth="1"/>
    <col min="2549" max="2549" width="20.140625" style="486" bestFit="1" customWidth="1"/>
    <col min="2550" max="2550" width="13.7109375" style="486" customWidth="1"/>
    <col min="2551" max="2551" width="15.5703125" style="486" customWidth="1"/>
    <col min="2552" max="2798" width="9.140625" style="486"/>
    <col min="2799" max="2799" width="7" style="486" bestFit="1" customWidth="1"/>
    <col min="2800" max="2800" width="40.7109375" style="486" customWidth="1"/>
    <col min="2801" max="2801" width="13.42578125" style="486" customWidth="1"/>
    <col min="2802" max="2802" width="12.7109375" style="486" customWidth="1"/>
    <col min="2803" max="2803" width="13.7109375" style="486" customWidth="1"/>
    <col min="2804" max="2804" width="12.7109375" style="486" customWidth="1"/>
    <col min="2805" max="2805" width="20.140625" style="486" bestFit="1" customWidth="1"/>
    <col min="2806" max="2806" width="13.7109375" style="486" customWidth="1"/>
    <col min="2807" max="2807" width="15.5703125" style="486" customWidth="1"/>
    <col min="2808" max="3054" width="9.140625" style="486"/>
    <col min="3055" max="3055" width="7" style="486" bestFit="1" customWidth="1"/>
    <col min="3056" max="3056" width="40.7109375" style="486" customWidth="1"/>
    <col min="3057" max="3057" width="13.42578125" style="486" customWidth="1"/>
    <col min="3058" max="3058" width="12.7109375" style="486" customWidth="1"/>
    <col min="3059" max="3059" width="13.7109375" style="486" customWidth="1"/>
    <col min="3060" max="3060" width="12.7109375" style="486" customWidth="1"/>
    <col min="3061" max="3061" width="20.140625" style="486" bestFit="1" customWidth="1"/>
    <col min="3062" max="3062" width="13.7109375" style="486" customWidth="1"/>
    <col min="3063" max="3063" width="15.5703125" style="486" customWidth="1"/>
    <col min="3064" max="3310" width="9.140625" style="486"/>
    <col min="3311" max="3311" width="7" style="486" bestFit="1" customWidth="1"/>
    <col min="3312" max="3312" width="40.7109375" style="486" customWidth="1"/>
    <col min="3313" max="3313" width="13.42578125" style="486" customWidth="1"/>
    <col min="3314" max="3314" width="12.7109375" style="486" customWidth="1"/>
    <col min="3315" max="3315" width="13.7109375" style="486" customWidth="1"/>
    <col min="3316" max="3316" width="12.7109375" style="486" customWidth="1"/>
    <col min="3317" max="3317" width="20.140625" style="486" bestFit="1" customWidth="1"/>
    <col min="3318" max="3318" width="13.7109375" style="486" customWidth="1"/>
    <col min="3319" max="3319" width="15.5703125" style="486" customWidth="1"/>
    <col min="3320" max="3566" width="9.140625" style="486"/>
    <col min="3567" max="3567" width="7" style="486" bestFit="1" customWidth="1"/>
    <col min="3568" max="3568" width="40.7109375" style="486" customWidth="1"/>
    <col min="3569" max="3569" width="13.42578125" style="486" customWidth="1"/>
    <col min="3570" max="3570" width="12.7109375" style="486" customWidth="1"/>
    <col min="3571" max="3571" width="13.7109375" style="486" customWidth="1"/>
    <col min="3572" max="3572" width="12.7109375" style="486" customWidth="1"/>
    <col min="3573" max="3573" width="20.140625" style="486" bestFit="1" customWidth="1"/>
    <col min="3574" max="3574" width="13.7109375" style="486" customWidth="1"/>
    <col min="3575" max="3575" width="15.5703125" style="486" customWidth="1"/>
    <col min="3576" max="3822" width="9.140625" style="486"/>
    <col min="3823" max="3823" width="7" style="486" bestFit="1" customWidth="1"/>
    <col min="3824" max="3824" width="40.7109375" style="486" customWidth="1"/>
    <col min="3825" max="3825" width="13.42578125" style="486" customWidth="1"/>
    <col min="3826" max="3826" width="12.7109375" style="486" customWidth="1"/>
    <col min="3827" max="3827" width="13.7109375" style="486" customWidth="1"/>
    <col min="3828" max="3828" width="12.7109375" style="486" customWidth="1"/>
    <col min="3829" max="3829" width="20.140625" style="486" bestFit="1" customWidth="1"/>
    <col min="3830" max="3830" width="13.7109375" style="486" customWidth="1"/>
    <col min="3831" max="3831" width="15.5703125" style="486" customWidth="1"/>
    <col min="3832" max="4078" width="9.140625" style="486"/>
    <col min="4079" max="4079" width="7" style="486" bestFit="1" customWidth="1"/>
    <col min="4080" max="4080" width="40.7109375" style="486" customWidth="1"/>
    <col min="4081" max="4081" width="13.42578125" style="486" customWidth="1"/>
    <col min="4082" max="4082" width="12.7109375" style="486" customWidth="1"/>
    <col min="4083" max="4083" width="13.7109375" style="486" customWidth="1"/>
    <col min="4084" max="4084" width="12.7109375" style="486" customWidth="1"/>
    <col min="4085" max="4085" width="20.140625" style="486" bestFit="1" customWidth="1"/>
    <col min="4086" max="4086" width="13.7109375" style="486" customWidth="1"/>
    <col min="4087" max="4087" width="15.5703125" style="486" customWidth="1"/>
    <col min="4088" max="4334" width="9.140625" style="486"/>
    <col min="4335" max="4335" width="7" style="486" bestFit="1" customWidth="1"/>
    <col min="4336" max="4336" width="40.7109375" style="486" customWidth="1"/>
    <col min="4337" max="4337" width="13.42578125" style="486" customWidth="1"/>
    <col min="4338" max="4338" width="12.7109375" style="486" customWidth="1"/>
    <col min="4339" max="4339" width="13.7109375" style="486" customWidth="1"/>
    <col min="4340" max="4340" width="12.7109375" style="486" customWidth="1"/>
    <col min="4341" max="4341" width="20.140625" style="486" bestFit="1" customWidth="1"/>
    <col min="4342" max="4342" width="13.7109375" style="486" customWidth="1"/>
    <col min="4343" max="4343" width="15.5703125" style="486" customWidth="1"/>
    <col min="4344" max="4590" width="9.140625" style="486"/>
    <col min="4591" max="4591" width="7" style="486" bestFit="1" customWidth="1"/>
    <col min="4592" max="4592" width="40.7109375" style="486" customWidth="1"/>
    <col min="4593" max="4593" width="13.42578125" style="486" customWidth="1"/>
    <col min="4594" max="4594" width="12.7109375" style="486" customWidth="1"/>
    <col min="4595" max="4595" width="13.7109375" style="486" customWidth="1"/>
    <col min="4596" max="4596" width="12.7109375" style="486" customWidth="1"/>
    <col min="4597" max="4597" width="20.140625" style="486" bestFit="1" customWidth="1"/>
    <col min="4598" max="4598" width="13.7109375" style="486" customWidth="1"/>
    <col min="4599" max="4599" width="15.5703125" style="486" customWidth="1"/>
    <col min="4600" max="4846" width="9.140625" style="486"/>
    <col min="4847" max="4847" width="7" style="486" bestFit="1" customWidth="1"/>
    <col min="4848" max="4848" width="40.7109375" style="486" customWidth="1"/>
    <col min="4849" max="4849" width="13.42578125" style="486" customWidth="1"/>
    <col min="4850" max="4850" width="12.7109375" style="486" customWidth="1"/>
    <col min="4851" max="4851" width="13.7109375" style="486" customWidth="1"/>
    <col min="4852" max="4852" width="12.7109375" style="486" customWidth="1"/>
    <col min="4853" max="4853" width="20.140625" style="486" bestFit="1" customWidth="1"/>
    <col min="4854" max="4854" width="13.7109375" style="486" customWidth="1"/>
    <col min="4855" max="4855" width="15.5703125" style="486" customWidth="1"/>
    <col min="4856" max="5102" width="9.140625" style="486"/>
    <col min="5103" max="5103" width="7" style="486" bestFit="1" customWidth="1"/>
    <col min="5104" max="5104" width="40.7109375" style="486" customWidth="1"/>
    <col min="5105" max="5105" width="13.42578125" style="486" customWidth="1"/>
    <col min="5106" max="5106" width="12.7109375" style="486" customWidth="1"/>
    <col min="5107" max="5107" width="13.7109375" style="486" customWidth="1"/>
    <col min="5108" max="5108" width="12.7109375" style="486" customWidth="1"/>
    <col min="5109" max="5109" width="20.140625" style="486" bestFit="1" customWidth="1"/>
    <col min="5110" max="5110" width="13.7109375" style="486" customWidth="1"/>
    <col min="5111" max="5111" width="15.5703125" style="486" customWidth="1"/>
    <col min="5112" max="5358" width="9.140625" style="486"/>
    <col min="5359" max="5359" width="7" style="486" bestFit="1" customWidth="1"/>
    <col min="5360" max="5360" width="40.7109375" style="486" customWidth="1"/>
    <col min="5361" max="5361" width="13.42578125" style="486" customWidth="1"/>
    <col min="5362" max="5362" width="12.7109375" style="486" customWidth="1"/>
    <col min="5363" max="5363" width="13.7109375" style="486" customWidth="1"/>
    <col min="5364" max="5364" width="12.7109375" style="486" customWidth="1"/>
    <col min="5365" max="5365" width="20.140625" style="486" bestFit="1" customWidth="1"/>
    <col min="5366" max="5366" width="13.7109375" style="486" customWidth="1"/>
    <col min="5367" max="5367" width="15.5703125" style="486" customWidth="1"/>
    <col min="5368" max="5614" width="9.140625" style="486"/>
    <col min="5615" max="5615" width="7" style="486" bestFit="1" customWidth="1"/>
    <col min="5616" max="5616" width="40.7109375" style="486" customWidth="1"/>
    <col min="5617" max="5617" width="13.42578125" style="486" customWidth="1"/>
    <col min="5618" max="5618" width="12.7109375" style="486" customWidth="1"/>
    <col min="5619" max="5619" width="13.7109375" style="486" customWidth="1"/>
    <col min="5620" max="5620" width="12.7109375" style="486" customWidth="1"/>
    <col min="5621" max="5621" width="20.140625" style="486" bestFit="1" customWidth="1"/>
    <col min="5622" max="5622" width="13.7109375" style="486" customWidth="1"/>
    <col min="5623" max="5623" width="15.5703125" style="486" customWidth="1"/>
    <col min="5624" max="5870" width="9.140625" style="486"/>
    <col min="5871" max="5871" width="7" style="486" bestFit="1" customWidth="1"/>
    <col min="5872" max="5872" width="40.7109375" style="486" customWidth="1"/>
    <col min="5873" max="5873" width="13.42578125" style="486" customWidth="1"/>
    <col min="5874" max="5874" width="12.7109375" style="486" customWidth="1"/>
    <col min="5875" max="5875" width="13.7109375" style="486" customWidth="1"/>
    <col min="5876" max="5876" width="12.7109375" style="486" customWidth="1"/>
    <col min="5877" max="5877" width="20.140625" style="486" bestFit="1" customWidth="1"/>
    <col min="5878" max="5878" width="13.7109375" style="486" customWidth="1"/>
    <col min="5879" max="5879" width="15.5703125" style="486" customWidth="1"/>
    <col min="5880" max="6126" width="9.140625" style="486"/>
    <col min="6127" max="6127" width="7" style="486" bestFit="1" customWidth="1"/>
    <col min="6128" max="6128" width="40.7109375" style="486" customWidth="1"/>
    <col min="6129" max="6129" width="13.42578125" style="486" customWidth="1"/>
    <col min="6130" max="6130" width="12.7109375" style="486" customWidth="1"/>
    <col min="6131" max="6131" width="13.7109375" style="486" customWidth="1"/>
    <col min="6132" max="6132" width="12.7109375" style="486" customWidth="1"/>
    <col min="6133" max="6133" width="20.140625" style="486" bestFit="1" customWidth="1"/>
    <col min="6134" max="6134" width="13.7109375" style="486" customWidth="1"/>
    <col min="6135" max="6135" width="15.5703125" style="486" customWidth="1"/>
    <col min="6136" max="6382" width="9.140625" style="486"/>
    <col min="6383" max="6383" width="7" style="486" bestFit="1" customWidth="1"/>
    <col min="6384" max="6384" width="40.7109375" style="486" customWidth="1"/>
    <col min="6385" max="6385" width="13.42578125" style="486" customWidth="1"/>
    <col min="6386" max="6386" width="12.7109375" style="486" customWidth="1"/>
    <col min="6387" max="6387" width="13.7109375" style="486" customWidth="1"/>
    <col min="6388" max="6388" width="12.7109375" style="486" customWidth="1"/>
    <col min="6389" max="6389" width="20.140625" style="486" bestFit="1" customWidth="1"/>
    <col min="6390" max="6390" width="13.7109375" style="486" customWidth="1"/>
    <col min="6391" max="6391" width="15.5703125" style="486" customWidth="1"/>
    <col min="6392" max="6638" width="9.140625" style="486"/>
    <col min="6639" max="6639" width="7" style="486" bestFit="1" customWidth="1"/>
    <col min="6640" max="6640" width="40.7109375" style="486" customWidth="1"/>
    <col min="6641" max="6641" width="13.42578125" style="486" customWidth="1"/>
    <col min="6642" max="6642" width="12.7109375" style="486" customWidth="1"/>
    <col min="6643" max="6643" width="13.7109375" style="486" customWidth="1"/>
    <col min="6644" max="6644" width="12.7109375" style="486" customWidth="1"/>
    <col min="6645" max="6645" width="20.140625" style="486" bestFit="1" customWidth="1"/>
    <col min="6646" max="6646" width="13.7109375" style="486" customWidth="1"/>
    <col min="6647" max="6647" width="15.5703125" style="486" customWidth="1"/>
    <col min="6648" max="6894" width="9.140625" style="486"/>
    <col min="6895" max="6895" width="7" style="486" bestFit="1" customWidth="1"/>
    <col min="6896" max="6896" width="40.7109375" style="486" customWidth="1"/>
    <col min="6897" max="6897" width="13.42578125" style="486" customWidth="1"/>
    <col min="6898" max="6898" width="12.7109375" style="486" customWidth="1"/>
    <col min="6899" max="6899" width="13.7109375" style="486" customWidth="1"/>
    <col min="6900" max="6900" width="12.7109375" style="486" customWidth="1"/>
    <col min="6901" max="6901" width="20.140625" style="486" bestFit="1" customWidth="1"/>
    <col min="6902" max="6902" width="13.7109375" style="486" customWidth="1"/>
    <col min="6903" max="6903" width="15.5703125" style="486" customWidth="1"/>
    <col min="6904" max="7150" width="9.140625" style="486"/>
    <col min="7151" max="7151" width="7" style="486" bestFit="1" customWidth="1"/>
    <col min="7152" max="7152" width="40.7109375" style="486" customWidth="1"/>
    <col min="7153" max="7153" width="13.42578125" style="486" customWidth="1"/>
    <col min="7154" max="7154" width="12.7109375" style="486" customWidth="1"/>
    <col min="7155" max="7155" width="13.7109375" style="486" customWidth="1"/>
    <col min="7156" max="7156" width="12.7109375" style="486" customWidth="1"/>
    <col min="7157" max="7157" width="20.140625" style="486" bestFit="1" customWidth="1"/>
    <col min="7158" max="7158" width="13.7109375" style="486" customWidth="1"/>
    <col min="7159" max="7159" width="15.5703125" style="486" customWidth="1"/>
    <col min="7160" max="7406" width="9.140625" style="486"/>
    <col min="7407" max="7407" width="7" style="486" bestFit="1" customWidth="1"/>
    <col min="7408" max="7408" width="40.7109375" style="486" customWidth="1"/>
    <col min="7409" max="7409" width="13.42578125" style="486" customWidth="1"/>
    <col min="7410" max="7410" width="12.7109375" style="486" customWidth="1"/>
    <col min="7411" max="7411" width="13.7109375" style="486" customWidth="1"/>
    <col min="7412" max="7412" width="12.7109375" style="486" customWidth="1"/>
    <col min="7413" max="7413" width="20.140625" style="486" bestFit="1" customWidth="1"/>
    <col min="7414" max="7414" width="13.7109375" style="486" customWidth="1"/>
    <col min="7415" max="7415" width="15.5703125" style="486" customWidth="1"/>
    <col min="7416" max="7662" width="9.140625" style="486"/>
    <col min="7663" max="7663" width="7" style="486" bestFit="1" customWidth="1"/>
    <col min="7664" max="7664" width="40.7109375" style="486" customWidth="1"/>
    <col min="7665" max="7665" width="13.42578125" style="486" customWidth="1"/>
    <col min="7666" max="7666" width="12.7109375" style="486" customWidth="1"/>
    <col min="7667" max="7667" width="13.7109375" style="486" customWidth="1"/>
    <col min="7668" max="7668" width="12.7109375" style="486" customWidth="1"/>
    <col min="7669" max="7669" width="20.140625" style="486" bestFit="1" customWidth="1"/>
    <col min="7670" max="7670" width="13.7109375" style="486" customWidth="1"/>
    <col min="7671" max="7671" width="15.5703125" style="486" customWidth="1"/>
    <col min="7672" max="7918" width="9.140625" style="486"/>
    <col min="7919" max="7919" width="7" style="486" bestFit="1" customWidth="1"/>
    <col min="7920" max="7920" width="40.7109375" style="486" customWidth="1"/>
    <col min="7921" max="7921" width="13.42578125" style="486" customWidth="1"/>
    <col min="7922" max="7922" width="12.7109375" style="486" customWidth="1"/>
    <col min="7923" max="7923" width="13.7109375" style="486" customWidth="1"/>
    <col min="7924" max="7924" width="12.7109375" style="486" customWidth="1"/>
    <col min="7925" max="7925" width="20.140625" style="486" bestFit="1" customWidth="1"/>
    <col min="7926" max="7926" width="13.7109375" style="486" customWidth="1"/>
    <col min="7927" max="7927" width="15.5703125" style="486" customWidth="1"/>
    <col min="7928" max="8174" width="9.140625" style="486"/>
    <col min="8175" max="8175" width="7" style="486" bestFit="1" customWidth="1"/>
    <col min="8176" max="8176" width="40.7109375" style="486" customWidth="1"/>
    <col min="8177" max="8177" width="13.42578125" style="486" customWidth="1"/>
    <col min="8178" max="8178" width="12.7109375" style="486" customWidth="1"/>
    <col min="8179" max="8179" width="13.7109375" style="486" customWidth="1"/>
    <col min="8180" max="8180" width="12.7109375" style="486" customWidth="1"/>
    <col min="8181" max="8181" width="20.140625" style="486" bestFit="1" customWidth="1"/>
    <col min="8182" max="8182" width="13.7109375" style="486" customWidth="1"/>
    <col min="8183" max="8183" width="15.5703125" style="486" customWidth="1"/>
    <col min="8184" max="8430" width="9.140625" style="486"/>
    <col min="8431" max="8431" width="7" style="486" bestFit="1" customWidth="1"/>
    <col min="8432" max="8432" width="40.7109375" style="486" customWidth="1"/>
    <col min="8433" max="8433" width="13.42578125" style="486" customWidth="1"/>
    <col min="8434" max="8434" width="12.7109375" style="486" customWidth="1"/>
    <col min="8435" max="8435" width="13.7109375" style="486" customWidth="1"/>
    <col min="8436" max="8436" width="12.7109375" style="486" customWidth="1"/>
    <col min="8437" max="8437" width="20.140625" style="486" bestFit="1" customWidth="1"/>
    <col min="8438" max="8438" width="13.7109375" style="486" customWidth="1"/>
    <col min="8439" max="8439" width="15.5703125" style="486" customWidth="1"/>
    <col min="8440" max="8686" width="9.140625" style="486"/>
    <col min="8687" max="8687" width="7" style="486" bestFit="1" customWidth="1"/>
    <col min="8688" max="8688" width="40.7109375" style="486" customWidth="1"/>
    <col min="8689" max="8689" width="13.42578125" style="486" customWidth="1"/>
    <col min="8690" max="8690" width="12.7109375" style="486" customWidth="1"/>
    <col min="8691" max="8691" width="13.7109375" style="486" customWidth="1"/>
    <col min="8692" max="8692" width="12.7109375" style="486" customWidth="1"/>
    <col min="8693" max="8693" width="20.140625" style="486" bestFit="1" customWidth="1"/>
    <col min="8694" max="8694" width="13.7109375" style="486" customWidth="1"/>
    <col min="8695" max="8695" width="15.5703125" style="486" customWidth="1"/>
    <col min="8696" max="8942" width="9.140625" style="486"/>
    <col min="8943" max="8943" width="7" style="486" bestFit="1" customWidth="1"/>
    <col min="8944" max="8944" width="40.7109375" style="486" customWidth="1"/>
    <col min="8945" max="8945" width="13.42578125" style="486" customWidth="1"/>
    <col min="8946" max="8946" width="12.7109375" style="486" customWidth="1"/>
    <col min="8947" max="8947" width="13.7109375" style="486" customWidth="1"/>
    <col min="8948" max="8948" width="12.7109375" style="486" customWidth="1"/>
    <col min="8949" max="8949" width="20.140625" style="486" bestFit="1" customWidth="1"/>
    <col min="8950" max="8950" width="13.7109375" style="486" customWidth="1"/>
    <col min="8951" max="8951" width="15.5703125" style="486" customWidth="1"/>
    <col min="8952" max="9198" width="9.140625" style="486"/>
    <col min="9199" max="9199" width="7" style="486" bestFit="1" customWidth="1"/>
    <col min="9200" max="9200" width="40.7109375" style="486" customWidth="1"/>
    <col min="9201" max="9201" width="13.42578125" style="486" customWidth="1"/>
    <col min="9202" max="9202" width="12.7109375" style="486" customWidth="1"/>
    <col min="9203" max="9203" width="13.7109375" style="486" customWidth="1"/>
    <col min="9204" max="9204" width="12.7109375" style="486" customWidth="1"/>
    <col min="9205" max="9205" width="20.140625" style="486" bestFit="1" customWidth="1"/>
    <col min="9206" max="9206" width="13.7109375" style="486" customWidth="1"/>
    <col min="9207" max="9207" width="15.5703125" style="486" customWidth="1"/>
    <col min="9208" max="9454" width="9.140625" style="486"/>
    <col min="9455" max="9455" width="7" style="486" bestFit="1" customWidth="1"/>
    <col min="9456" max="9456" width="40.7109375" style="486" customWidth="1"/>
    <col min="9457" max="9457" width="13.42578125" style="486" customWidth="1"/>
    <col min="9458" max="9458" width="12.7109375" style="486" customWidth="1"/>
    <col min="9459" max="9459" width="13.7109375" style="486" customWidth="1"/>
    <col min="9460" max="9460" width="12.7109375" style="486" customWidth="1"/>
    <col min="9461" max="9461" width="20.140625" style="486" bestFit="1" customWidth="1"/>
    <col min="9462" max="9462" width="13.7109375" style="486" customWidth="1"/>
    <col min="9463" max="9463" width="15.5703125" style="486" customWidth="1"/>
    <col min="9464" max="9710" width="9.140625" style="486"/>
    <col min="9711" max="9711" width="7" style="486" bestFit="1" customWidth="1"/>
    <col min="9712" max="9712" width="40.7109375" style="486" customWidth="1"/>
    <col min="9713" max="9713" width="13.42578125" style="486" customWidth="1"/>
    <col min="9714" max="9714" width="12.7109375" style="486" customWidth="1"/>
    <col min="9715" max="9715" width="13.7109375" style="486" customWidth="1"/>
    <col min="9716" max="9716" width="12.7109375" style="486" customWidth="1"/>
    <col min="9717" max="9717" width="20.140625" style="486" bestFit="1" customWidth="1"/>
    <col min="9718" max="9718" width="13.7109375" style="486" customWidth="1"/>
    <col min="9719" max="9719" width="15.5703125" style="486" customWidth="1"/>
    <col min="9720" max="9966" width="9.140625" style="486"/>
    <col min="9967" max="9967" width="7" style="486" bestFit="1" customWidth="1"/>
    <col min="9968" max="9968" width="40.7109375" style="486" customWidth="1"/>
    <col min="9969" max="9969" width="13.42578125" style="486" customWidth="1"/>
    <col min="9970" max="9970" width="12.7109375" style="486" customWidth="1"/>
    <col min="9971" max="9971" width="13.7109375" style="486" customWidth="1"/>
    <col min="9972" max="9972" width="12.7109375" style="486" customWidth="1"/>
    <col min="9973" max="9973" width="20.140625" style="486" bestFit="1" customWidth="1"/>
    <col min="9974" max="9974" width="13.7109375" style="486" customWidth="1"/>
    <col min="9975" max="9975" width="15.5703125" style="486" customWidth="1"/>
    <col min="9976" max="10222" width="9.140625" style="486"/>
    <col min="10223" max="10223" width="7" style="486" bestFit="1" customWidth="1"/>
    <col min="10224" max="10224" width="40.7109375" style="486" customWidth="1"/>
    <col min="10225" max="10225" width="13.42578125" style="486" customWidth="1"/>
    <col min="10226" max="10226" width="12.7109375" style="486" customWidth="1"/>
    <col min="10227" max="10227" width="13.7109375" style="486" customWidth="1"/>
    <col min="10228" max="10228" width="12.7109375" style="486" customWidth="1"/>
    <col min="10229" max="10229" width="20.140625" style="486" bestFit="1" customWidth="1"/>
    <col min="10230" max="10230" width="13.7109375" style="486" customWidth="1"/>
    <col min="10231" max="10231" width="15.5703125" style="486" customWidth="1"/>
    <col min="10232" max="10478" width="9.140625" style="486"/>
    <col min="10479" max="10479" width="7" style="486" bestFit="1" customWidth="1"/>
    <col min="10480" max="10480" width="40.7109375" style="486" customWidth="1"/>
    <col min="10481" max="10481" width="13.42578125" style="486" customWidth="1"/>
    <col min="10482" max="10482" width="12.7109375" style="486" customWidth="1"/>
    <col min="10483" max="10483" width="13.7109375" style="486" customWidth="1"/>
    <col min="10484" max="10484" width="12.7109375" style="486" customWidth="1"/>
    <col min="10485" max="10485" width="20.140625" style="486" bestFit="1" customWidth="1"/>
    <col min="10486" max="10486" width="13.7109375" style="486" customWidth="1"/>
    <col min="10487" max="10487" width="15.5703125" style="486" customWidth="1"/>
    <col min="10488" max="10734" width="9.140625" style="486"/>
    <col min="10735" max="10735" width="7" style="486" bestFit="1" customWidth="1"/>
    <col min="10736" max="10736" width="40.7109375" style="486" customWidth="1"/>
    <col min="10737" max="10737" width="13.42578125" style="486" customWidth="1"/>
    <col min="10738" max="10738" width="12.7109375" style="486" customWidth="1"/>
    <col min="10739" max="10739" width="13.7109375" style="486" customWidth="1"/>
    <col min="10740" max="10740" width="12.7109375" style="486" customWidth="1"/>
    <col min="10741" max="10741" width="20.140625" style="486" bestFit="1" customWidth="1"/>
    <col min="10742" max="10742" width="13.7109375" style="486" customWidth="1"/>
    <col min="10743" max="10743" width="15.5703125" style="486" customWidth="1"/>
    <col min="10744" max="10990" width="9.140625" style="486"/>
    <col min="10991" max="10991" width="7" style="486" bestFit="1" customWidth="1"/>
    <col min="10992" max="10992" width="40.7109375" style="486" customWidth="1"/>
    <col min="10993" max="10993" width="13.42578125" style="486" customWidth="1"/>
    <col min="10994" max="10994" width="12.7109375" style="486" customWidth="1"/>
    <col min="10995" max="10995" width="13.7109375" style="486" customWidth="1"/>
    <col min="10996" max="10996" width="12.7109375" style="486" customWidth="1"/>
    <col min="10997" max="10997" width="20.140625" style="486" bestFit="1" customWidth="1"/>
    <col min="10998" max="10998" width="13.7109375" style="486" customWidth="1"/>
    <col min="10999" max="10999" width="15.5703125" style="486" customWidth="1"/>
    <col min="11000" max="11246" width="9.140625" style="486"/>
    <col min="11247" max="11247" width="7" style="486" bestFit="1" customWidth="1"/>
    <col min="11248" max="11248" width="40.7109375" style="486" customWidth="1"/>
    <col min="11249" max="11249" width="13.42578125" style="486" customWidth="1"/>
    <col min="11250" max="11250" width="12.7109375" style="486" customWidth="1"/>
    <col min="11251" max="11251" width="13.7109375" style="486" customWidth="1"/>
    <col min="11252" max="11252" width="12.7109375" style="486" customWidth="1"/>
    <col min="11253" max="11253" width="20.140625" style="486" bestFit="1" customWidth="1"/>
    <col min="11254" max="11254" width="13.7109375" style="486" customWidth="1"/>
    <col min="11255" max="11255" width="15.5703125" style="486" customWidth="1"/>
    <col min="11256" max="11502" width="9.140625" style="486"/>
    <col min="11503" max="11503" width="7" style="486" bestFit="1" customWidth="1"/>
    <col min="11504" max="11504" width="40.7109375" style="486" customWidth="1"/>
    <col min="11505" max="11505" width="13.42578125" style="486" customWidth="1"/>
    <col min="11506" max="11506" width="12.7109375" style="486" customWidth="1"/>
    <col min="11507" max="11507" width="13.7109375" style="486" customWidth="1"/>
    <col min="11508" max="11508" width="12.7109375" style="486" customWidth="1"/>
    <col min="11509" max="11509" width="20.140625" style="486" bestFit="1" customWidth="1"/>
    <col min="11510" max="11510" width="13.7109375" style="486" customWidth="1"/>
    <col min="11511" max="11511" width="15.5703125" style="486" customWidth="1"/>
    <col min="11512" max="11758" width="9.140625" style="486"/>
    <col min="11759" max="11759" width="7" style="486" bestFit="1" customWidth="1"/>
    <col min="11760" max="11760" width="40.7109375" style="486" customWidth="1"/>
    <col min="11761" max="11761" width="13.42578125" style="486" customWidth="1"/>
    <col min="11762" max="11762" width="12.7109375" style="486" customWidth="1"/>
    <col min="11763" max="11763" width="13.7109375" style="486" customWidth="1"/>
    <col min="11764" max="11764" width="12.7109375" style="486" customWidth="1"/>
    <col min="11765" max="11765" width="20.140625" style="486" bestFit="1" customWidth="1"/>
    <col min="11766" max="11766" width="13.7109375" style="486" customWidth="1"/>
    <col min="11767" max="11767" width="15.5703125" style="486" customWidth="1"/>
    <col min="11768" max="12014" width="9.140625" style="486"/>
    <col min="12015" max="12015" width="7" style="486" bestFit="1" customWidth="1"/>
    <col min="12016" max="12016" width="40.7109375" style="486" customWidth="1"/>
    <col min="12017" max="12017" width="13.42578125" style="486" customWidth="1"/>
    <col min="12018" max="12018" width="12.7109375" style="486" customWidth="1"/>
    <col min="12019" max="12019" width="13.7109375" style="486" customWidth="1"/>
    <col min="12020" max="12020" width="12.7109375" style="486" customWidth="1"/>
    <col min="12021" max="12021" width="20.140625" style="486" bestFit="1" customWidth="1"/>
    <col min="12022" max="12022" width="13.7109375" style="486" customWidth="1"/>
    <col min="12023" max="12023" width="15.5703125" style="486" customWidth="1"/>
    <col min="12024" max="12270" width="9.140625" style="486"/>
    <col min="12271" max="12271" width="7" style="486" bestFit="1" customWidth="1"/>
    <col min="12272" max="12272" width="40.7109375" style="486" customWidth="1"/>
    <col min="12273" max="12273" width="13.42578125" style="486" customWidth="1"/>
    <col min="12274" max="12274" width="12.7109375" style="486" customWidth="1"/>
    <col min="12275" max="12275" width="13.7109375" style="486" customWidth="1"/>
    <col min="12276" max="12276" width="12.7109375" style="486" customWidth="1"/>
    <col min="12277" max="12277" width="20.140625" style="486" bestFit="1" customWidth="1"/>
    <col min="12278" max="12278" width="13.7109375" style="486" customWidth="1"/>
    <col min="12279" max="12279" width="15.5703125" style="486" customWidth="1"/>
    <col min="12280" max="12526" width="9.140625" style="486"/>
    <col min="12527" max="12527" width="7" style="486" bestFit="1" customWidth="1"/>
    <col min="12528" max="12528" width="40.7109375" style="486" customWidth="1"/>
    <col min="12529" max="12529" width="13.42578125" style="486" customWidth="1"/>
    <col min="12530" max="12530" width="12.7109375" style="486" customWidth="1"/>
    <col min="12531" max="12531" width="13.7109375" style="486" customWidth="1"/>
    <col min="12532" max="12532" width="12.7109375" style="486" customWidth="1"/>
    <col min="12533" max="12533" width="20.140625" style="486" bestFit="1" customWidth="1"/>
    <col min="12534" max="12534" width="13.7109375" style="486" customWidth="1"/>
    <col min="12535" max="12535" width="15.5703125" style="486" customWidth="1"/>
    <col min="12536" max="12782" width="9.140625" style="486"/>
    <col min="12783" max="12783" width="7" style="486" bestFit="1" customWidth="1"/>
    <col min="12784" max="12784" width="40.7109375" style="486" customWidth="1"/>
    <col min="12785" max="12785" width="13.42578125" style="486" customWidth="1"/>
    <col min="12786" max="12786" width="12.7109375" style="486" customWidth="1"/>
    <col min="12787" max="12787" width="13.7109375" style="486" customWidth="1"/>
    <col min="12788" max="12788" width="12.7109375" style="486" customWidth="1"/>
    <col min="12789" max="12789" width="20.140625" style="486" bestFit="1" customWidth="1"/>
    <col min="12790" max="12790" width="13.7109375" style="486" customWidth="1"/>
    <col min="12791" max="12791" width="15.5703125" style="486" customWidth="1"/>
    <col min="12792" max="13038" width="9.140625" style="486"/>
    <col min="13039" max="13039" width="7" style="486" bestFit="1" customWidth="1"/>
    <col min="13040" max="13040" width="40.7109375" style="486" customWidth="1"/>
    <col min="13041" max="13041" width="13.42578125" style="486" customWidth="1"/>
    <col min="13042" max="13042" width="12.7109375" style="486" customWidth="1"/>
    <col min="13043" max="13043" width="13.7109375" style="486" customWidth="1"/>
    <col min="13044" max="13044" width="12.7109375" style="486" customWidth="1"/>
    <col min="13045" max="13045" width="20.140625" style="486" bestFit="1" customWidth="1"/>
    <col min="13046" max="13046" width="13.7109375" style="486" customWidth="1"/>
    <col min="13047" max="13047" width="15.5703125" style="486" customWidth="1"/>
    <col min="13048" max="13294" width="9.140625" style="486"/>
    <col min="13295" max="13295" width="7" style="486" bestFit="1" customWidth="1"/>
    <col min="13296" max="13296" width="40.7109375" style="486" customWidth="1"/>
    <col min="13297" max="13297" width="13.42578125" style="486" customWidth="1"/>
    <col min="13298" max="13298" width="12.7109375" style="486" customWidth="1"/>
    <col min="13299" max="13299" width="13.7109375" style="486" customWidth="1"/>
    <col min="13300" max="13300" width="12.7109375" style="486" customWidth="1"/>
    <col min="13301" max="13301" width="20.140625" style="486" bestFit="1" customWidth="1"/>
    <col min="13302" max="13302" width="13.7109375" style="486" customWidth="1"/>
    <col min="13303" max="13303" width="15.5703125" style="486" customWidth="1"/>
    <col min="13304" max="13550" width="9.140625" style="486"/>
    <col min="13551" max="13551" width="7" style="486" bestFit="1" customWidth="1"/>
    <col min="13552" max="13552" width="40.7109375" style="486" customWidth="1"/>
    <col min="13553" max="13553" width="13.42578125" style="486" customWidth="1"/>
    <col min="13554" max="13554" width="12.7109375" style="486" customWidth="1"/>
    <col min="13555" max="13555" width="13.7109375" style="486" customWidth="1"/>
    <col min="13556" max="13556" width="12.7109375" style="486" customWidth="1"/>
    <col min="13557" max="13557" width="20.140625" style="486" bestFit="1" customWidth="1"/>
    <col min="13558" max="13558" width="13.7109375" style="486" customWidth="1"/>
    <col min="13559" max="13559" width="15.5703125" style="486" customWidth="1"/>
    <col min="13560" max="13806" width="9.140625" style="486"/>
    <col min="13807" max="13807" width="7" style="486" bestFit="1" customWidth="1"/>
    <col min="13808" max="13808" width="40.7109375" style="486" customWidth="1"/>
    <col min="13809" max="13809" width="13.42578125" style="486" customWidth="1"/>
    <col min="13810" max="13810" width="12.7109375" style="486" customWidth="1"/>
    <col min="13811" max="13811" width="13.7109375" style="486" customWidth="1"/>
    <col min="13812" max="13812" width="12.7109375" style="486" customWidth="1"/>
    <col min="13813" max="13813" width="20.140625" style="486" bestFit="1" customWidth="1"/>
    <col min="13814" max="13814" width="13.7109375" style="486" customWidth="1"/>
    <col min="13815" max="13815" width="15.5703125" style="486" customWidth="1"/>
    <col min="13816" max="14062" width="9.140625" style="486"/>
    <col min="14063" max="14063" width="7" style="486" bestFit="1" customWidth="1"/>
    <col min="14064" max="14064" width="40.7109375" style="486" customWidth="1"/>
    <col min="14065" max="14065" width="13.42578125" style="486" customWidth="1"/>
    <col min="14066" max="14066" width="12.7109375" style="486" customWidth="1"/>
    <col min="14067" max="14067" width="13.7109375" style="486" customWidth="1"/>
    <col min="14068" max="14068" width="12.7109375" style="486" customWidth="1"/>
    <col min="14069" max="14069" width="20.140625" style="486" bestFit="1" customWidth="1"/>
    <col min="14070" max="14070" width="13.7109375" style="486" customWidth="1"/>
    <col min="14071" max="14071" width="15.5703125" style="486" customWidth="1"/>
    <col min="14072" max="14318" width="9.140625" style="486"/>
    <col min="14319" max="14319" width="7" style="486" bestFit="1" customWidth="1"/>
    <col min="14320" max="14320" width="40.7109375" style="486" customWidth="1"/>
    <col min="14321" max="14321" width="13.42578125" style="486" customWidth="1"/>
    <col min="14322" max="14322" width="12.7109375" style="486" customWidth="1"/>
    <col min="14323" max="14323" width="13.7109375" style="486" customWidth="1"/>
    <col min="14324" max="14324" width="12.7109375" style="486" customWidth="1"/>
    <col min="14325" max="14325" width="20.140625" style="486" bestFit="1" customWidth="1"/>
    <col min="14326" max="14326" width="13.7109375" style="486" customWidth="1"/>
    <col min="14327" max="14327" width="15.5703125" style="486" customWidth="1"/>
    <col min="14328" max="14574" width="9.140625" style="486"/>
    <col min="14575" max="14575" width="7" style="486" bestFit="1" customWidth="1"/>
    <col min="14576" max="14576" width="40.7109375" style="486" customWidth="1"/>
    <col min="14577" max="14577" width="13.42578125" style="486" customWidth="1"/>
    <col min="14578" max="14578" width="12.7109375" style="486" customWidth="1"/>
    <col min="14579" max="14579" width="13.7109375" style="486" customWidth="1"/>
    <col min="14580" max="14580" width="12.7109375" style="486" customWidth="1"/>
    <col min="14581" max="14581" width="20.140625" style="486" bestFit="1" customWidth="1"/>
    <col min="14582" max="14582" width="13.7109375" style="486" customWidth="1"/>
    <col min="14583" max="14583" width="15.5703125" style="486" customWidth="1"/>
    <col min="14584" max="14830" width="9.140625" style="486"/>
    <col min="14831" max="14831" width="7" style="486" bestFit="1" customWidth="1"/>
    <col min="14832" max="14832" width="40.7109375" style="486" customWidth="1"/>
    <col min="14833" max="14833" width="13.42578125" style="486" customWidth="1"/>
    <col min="14834" max="14834" width="12.7109375" style="486" customWidth="1"/>
    <col min="14835" max="14835" width="13.7109375" style="486" customWidth="1"/>
    <col min="14836" max="14836" width="12.7109375" style="486" customWidth="1"/>
    <col min="14837" max="14837" width="20.140625" style="486" bestFit="1" customWidth="1"/>
    <col min="14838" max="14838" width="13.7109375" style="486" customWidth="1"/>
    <col min="14839" max="14839" width="15.5703125" style="486" customWidth="1"/>
    <col min="14840" max="15086" width="9.140625" style="486"/>
    <col min="15087" max="15087" width="7" style="486" bestFit="1" customWidth="1"/>
    <col min="15088" max="15088" width="40.7109375" style="486" customWidth="1"/>
    <col min="15089" max="15089" width="13.42578125" style="486" customWidth="1"/>
    <col min="15090" max="15090" width="12.7109375" style="486" customWidth="1"/>
    <col min="15091" max="15091" width="13.7109375" style="486" customWidth="1"/>
    <col min="15092" max="15092" width="12.7109375" style="486" customWidth="1"/>
    <col min="15093" max="15093" width="20.140625" style="486" bestFit="1" customWidth="1"/>
    <col min="15094" max="15094" width="13.7109375" style="486" customWidth="1"/>
    <col min="15095" max="15095" width="15.5703125" style="486" customWidth="1"/>
    <col min="15096" max="15342" width="9.140625" style="486"/>
    <col min="15343" max="15343" width="7" style="486" bestFit="1" customWidth="1"/>
    <col min="15344" max="15344" width="40.7109375" style="486" customWidth="1"/>
    <col min="15345" max="15345" width="13.42578125" style="486" customWidth="1"/>
    <col min="15346" max="15346" width="12.7109375" style="486" customWidth="1"/>
    <col min="15347" max="15347" width="13.7109375" style="486" customWidth="1"/>
    <col min="15348" max="15348" width="12.7109375" style="486" customWidth="1"/>
    <col min="15349" max="15349" width="20.140625" style="486" bestFit="1" customWidth="1"/>
    <col min="15350" max="15350" width="13.7109375" style="486" customWidth="1"/>
    <col min="15351" max="15351" width="15.5703125" style="486" customWidth="1"/>
    <col min="15352" max="15598" width="9.140625" style="486"/>
    <col min="15599" max="15599" width="7" style="486" bestFit="1" customWidth="1"/>
    <col min="15600" max="15600" width="40.7109375" style="486" customWidth="1"/>
    <col min="15601" max="15601" width="13.42578125" style="486" customWidth="1"/>
    <col min="15602" max="15602" width="12.7109375" style="486" customWidth="1"/>
    <col min="15603" max="15603" width="13.7109375" style="486" customWidth="1"/>
    <col min="15604" max="15604" width="12.7109375" style="486" customWidth="1"/>
    <col min="15605" max="15605" width="20.140625" style="486" bestFit="1" customWidth="1"/>
    <col min="15606" max="15606" width="13.7109375" style="486" customWidth="1"/>
    <col min="15607" max="15607" width="15.5703125" style="486" customWidth="1"/>
    <col min="15608" max="15854" width="9.140625" style="486"/>
    <col min="15855" max="15855" width="7" style="486" bestFit="1" customWidth="1"/>
    <col min="15856" max="15856" width="40.7109375" style="486" customWidth="1"/>
    <col min="15857" max="15857" width="13.42578125" style="486" customWidth="1"/>
    <col min="15858" max="15858" width="12.7109375" style="486" customWidth="1"/>
    <col min="15859" max="15859" width="13.7109375" style="486" customWidth="1"/>
    <col min="15860" max="15860" width="12.7109375" style="486" customWidth="1"/>
    <col min="15861" max="15861" width="20.140625" style="486" bestFit="1" customWidth="1"/>
    <col min="15862" max="15862" width="13.7109375" style="486" customWidth="1"/>
    <col min="15863" max="15863" width="15.5703125" style="486" customWidth="1"/>
    <col min="15864" max="16110" width="9.140625" style="486"/>
    <col min="16111" max="16111" width="7" style="486" bestFit="1" customWidth="1"/>
    <col min="16112" max="16112" width="40.7109375" style="486" customWidth="1"/>
    <col min="16113" max="16113" width="13.42578125" style="486" customWidth="1"/>
    <col min="16114" max="16114" width="12.7109375" style="486" customWidth="1"/>
    <col min="16115" max="16115" width="13.7109375" style="486" customWidth="1"/>
    <col min="16116" max="16116" width="12.7109375" style="486" customWidth="1"/>
    <col min="16117" max="16117" width="20.140625" style="486" bestFit="1" customWidth="1"/>
    <col min="16118" max="16118" width="13.7109375" style="486" customWidth="1"/>
    <col min="16119" max="16119" width="15.5703125" style="486" customWidth="1"/>
    <col min="16120" max="16366" width="9.140625" style="486"/>
    <col min="16367" max="16384" width="9.140625" style="486" customWidth="1"/>
  </cols>
  <sheetData>
    <row r="1" spans="1:13" x14ac:dyDescent="0.25">
      <c r="H1" s="486" t="s">
        <v>1048</v>
      </c>
    </row>
    <row r="4" spans="1:13" ht="36.75" customHeight="1" x14ac:dyDescent="0.25">
      <c r="A4" s="4259" t="s">
        <v>1941</v>
      </c>
      <c r="B4" s="4259"/>
      <c r="C4" s="4259"/>
      <c r="D4" s="4259"/>
      <c r="E4" s="4260" t="str">
        <f>'Вхідні дані'!F5</f>
        <v>ЧФ ДП "АМПУ"</v>
      </c>
      <c r="F4" s="4260"/>
      <c r="G4" s="3330" t="s">
        <v>461</v>
      </c>
      <c r="H4" s="3331" t="str">
        <f>'Вхідні дані'!F6</f>
        <v>2023-2024</v>
      </c>
    </row>
    <row r="5" spans="1:13" ht="15.75" thickBot="1" x14ac:dyDescent="0.3"/>
    <row r="6" spans="1:13" ht="16.5" thickBot="1" x14ac:dyDescent="0.3">
      <c r="A6" s="4261" t="s">
        <v>997</v>
      </c>
      <c r="B6" s="4261" t="s">
        <v>1049</v>
      </c>
      <c r="C6" s="4263" t="s">
        <v>1050</v>
      </c>
      <c r="D6" s="4263"/>
      <c r="E6" s="4263" t="s">
        <v>1051</v>
      </c>
      <c r="F6" s="4263"/>
      <c r="G6" s="4263" t="s">
        <v>1052</v>
      </c>
      <c r="H6" s="4263"/>
    </row>
    <row r="7" spans="1:13" ht="48" thickBot="1" x14ac:dyDescent="0.3">
      <c r="A7" s="4262"/>
      <c r="B7" s="4262"/>
      <c r="C7" s="3336" t="s">
        <v>1053</v>
      </c>
      <c r="D7" s="3337" t="s">
        <v>1054</v>
      </c>
      <c r="E7" s="3337" t="s">
        <v>1053</v>
      </c>
      <c r="F7" s="3337" t="s">
        <v>1054</v>
      </c>
      <c r="G7" s="3336" t="s">
        <v>1053</v>
      </c>
      <c r="H7" s="3337" t="s">
        <v>1054</v>
      </c>
      <c r="K7" s="1358" t="s">
        <v>2273</v>
      </c>
      <c r="L7" s="1358" t="s">
        <v>2274</v>
      </c>
    </row>
    <row r="8" spans="1:13" ht="16.5" thickBot="1" x14ac:dyDescent="0.3">
      <c r="A8" s="3384">
        <v>1</v>
      </c>
      <c r="B8" s="3371">
        <v>2</v>
      </c>
      <c r="C8" s="3385">
        <v>3</v>
      </c>
      <c r="D8" s="3385">
        <v>4</v>
      </c>
      <c r="E8" s="3385">
        <v>5</v>
      </c>
      <c r="F8" s="3385">
        <v>6</v>
      </c>
      <c r="G8" s="3385">
        <v>7</v>
      </c>
      <c r="H8" s="3385">
        <v>8</v>
      </c>
      <c r="K8" s="1358" t="s">
        <v>2275</v>
      </c>
      <c r="L8" s="1358" t="s">
        <v>2275</v>
      </c>
    </row>
    <row r="9" spans="1:13" s="652" customFormat="1" ht="36.75" customHeight="1" x14ac:dyDescent="0.2">
      <c r="A9" s="3338" t="s">
        <v>1055</v>
      </c>
      <c r="B9" s="3339" t="s">
        <v>1056</v>
      </c>
      <c r="C9" s="3339">
        <v>18</v>
      </c>
      <c r="D9" s="3340">
        <f>[47]Лист1!$U$22</f>
        <v>1830795.28</v>
      </c>
      <c r="E9" s="3339">
        <f>C9</f>
        <v>18</v>
      </c>
      <c r="F9" s="3341">
        <f>[47]Лист1!$U$23</f>
        <v>1137086.3400000001</v>
      </c>
      <c r="G9" s="3339">
        <f>(C9*$K$9+E9*$L$9)/$M$9</f>
        <v>18</v>
      </c>
      <c r="H9" s="3340">
        <f>D9+F9</f>
        <v>2967881.62</v>
      </c>
      <c r="J9" s="2312"/>
      <c r="K9" s="1759">
        <f>'Вхідні дані'!D50</f>
        <v>151</v>
      </c>
      <c r="L9" s="1759">
        <f>M9-K9</f>
        <v>214</v>
      </c>
      <c r="M9" s="652">
        <v>365</v>
      </c>
    </row>
    <row r="10" spans="1:13" ht="15.75" hidden="1" x14ac:dyDescent="0.25">
      <c r="A10" s="3342"/>
      <c r="B10" s="3343" t="s">
        <v>1057</v>
      </c>
      <c r="C10" s="3343"/>
      <c r="D10" s="3344"/>
      <c r="E10" s="3343"/>
      <c r="F10" s="3344"/>
      <c r="G10" s="3345">
        <f>C10*K9/366+E10*L9/366</f>
        <v>0</v>
      </c>
      <c r="H10" s="3346">
        <f>D10+F10</f>
        <v>0</v>
      </c>
    </row>
    <row r="11" spans="1:13" s="652" customFormat="1" ht="17.25" customHeight="1" x14ac:dyDescent="0.2">
      <c r="A11" s="3342"/>
      <c r="B11" s="3347" t="s">
        <v>1058</v>
      </c>
      <c r="C11" s="3339"/>
      <c r="D11" s="3340">
        <f>SUM(D12:D13)</f>
        <v>402774.96159999998</v>
      </c>
      <c r="E11" s="3339"/>
      <c r="F11" s="3340">
        <f>SUM(F12:F13)</f>
        <v>250158.99480000001</v>
      </c>
      <c r="G11" s="3345"/>
      <c r="H11" s="3348">
        <f>H12+H13</f>
        <v>652933.95640000002</v>
      </c>
      <c r="J11" s="2312">
        <f>H9/G9/12</f>
        <v>13740.192685185184</v>
      </c>
    </row>
    <row r="12" spans="1:13" ht="15.75" x14ac:dyDescent="0.25">
      <c r="A12" s="3342"/>
      <c r="B12" s="3349" t="s">
        <v>1059</v>
      </c>
      <c r="C12" s="3350">
        <f>'Вхідні дані'!D$44</f>
        <v>0.22</v>
      </c>
      <c r="D12" s="3344">
        <f>(D9-D10)*C12</f>
        <v>402774.96159999998</v>
      </c>
      <c r="E12" s="3344"/>
      <c r="F12" s="3344">
        <f>(F9-F10)*C12</f>
        <v>250158.99480000001</v>
      </c>
      <c r="G12" s="3351"/>
      <c r="H12" s="3346">
        <f>D12+F12</f>
        <v>652933.95640000002</v>
      </c>
    </row>
    <row r="13" spans="1:13" ht="15.75" hidden="1" x14ac:dyDescent="0.25">
      <c r="A13" s="3342"/>
      <c r="B13" s="3349" t="s">
        <v>1060</v>
      </c>
      <c r="C13" s="3352">
        <f>'Вхідні дані'!D$45</f>
        <v>0</v>
      </c>
      <c r="D13" s="3344">
        <f>D10*C13</f>
        <v>0</v>
      </c>
      <c r="E13" s="3344"/>
      <c r="F13" s="3344">
        <f>F10*C13</f>
        <v>0</v>
      </c>
      <c r="G13" s="3351"/>
      <c r="H13" s="3346">
        <f>D13+F13</f>
        <v>0</v>
      </c>
    </row>
    <row r="14" spans="1:13" s="652" customFormat="1" ht="28.5" x14ac:dyDescent="0.2">
      <c r="A14" s="3342" t="s">
        <v>1061</v>
      </c>
      <c r="B14" s="3353" t="s">
        <v>2382</v>
      </c>
      <c r="C14" s="3354">
        <v>9</v>
      </c>
      <c r="D14" s="3355">
        <f>[47]Лист1!$U$32</f>
        <v>1233508.25</v>
      </c>
      <c r="E14" s="3354">
        <f>C14</f>
        <v>9</v>
      </c>
      <c r="F14" s="3356">
        <f>[47]Лист1!$U$33</f>
        <v>832615.43</v>
      </c>
      <c r="G14" s="3339">
        <f>(C14*$K$9+E14*$L$9)/$M$9</f>
        <v>9</v>
      </c>
      <c r="H14" s="3348">
        <f>D14+F14</f>
        <v>2066123.6800000002</v>
      </c>
      <c r="J14" s="2312">
        <f>H14+H19</f>
        <v>2505922.4250000003</v>
      </c>
    </row>
    <row r="15" spans="1:13" ht="15.75" hidden="1" x14ac:dyDescent="0.25">
      <c r="A15" s="3342"/>
      <c r="B15" s="3343" t="s">
        <v>1057</v>
      </c>
      <c r="C15" s="3343">
        <v>0</v>
      </c>
      <c r="D15" s="3344">
        <v>0</v>
      </c>
      <c r="E15" s="3343">
        <v>0</v>
      </c>
      <c r="F15" s="3344"/>
      <c r="G15" s="3357">
        <f>C15*157/366+E15*209/366</f>
        <v>0</v>
      </c>
      <c r="H15" s="3346">
        <f>D15+F15</f>
        <v>0</v>
      </c>
    </row>
    <row r="16" spans="1:13" s="652" customFormat="1" ht="16.5" customHeight="1" x14ac:dyDescent="0.2">
      <c r="A16" s="3342"/>
      <c r="B16" s="3347" t="s">
        <v>1058</v>
      </c>
      <c r="C16" s="3339"/>
      <c r="D16" s="3340">
        <f>SUM(D17:D18)</f>
        <v>271371.815</v>
      </c>
      <c r="E16" s="3339"/>
      <c r="F16" s="3340">
        <f>SUM(F17:F18)</f>
        <v>183175.3946</v>
      </c>
      <c r="G16" s="3357"/>
      <c r="H16" s="3348">
        <f>H17+H18</f>
        <v>454547.2096</v>
      </c>
      <c r="J16" s="2312">
        <f>H14/G14/12</f>
        <v>19130.774814814817</v>
      </c>
    </row>
    <row r="17" spans="1:15" ht="15.75" x14ac:dyDescent="0.25">
      <c r="A17" s="3342"/>
      <c r="B17" s="3349" t="s">
        <v>1059</v>
      </c>
      <c r="C17" s="3350">
        <f>'Вхідні дані'!D$44</f>
        <v>0.22</v>
      </c>
      <c r="D17" s="3344">
        <f>(D14-D15)*C17</f>
        <v>271371.815</v>
      </c>
      <c r="E17" s="3344"/>
      <c r="F17" s="3344">
        <f>(F14-F15)*C17</f>
        <v>183175.3946</v>
      </c>
      <c r="G17" s="3358"/>
      <c r="H17" s="3346">
        <f>D17+F17</f>
        <v>454547.2096</v>
      </c>
      <c r="N17" s="2511">
        <f>H9/1000</f>
        <v>2967.8816200000001</v>
      </c>
    </row>
    <row r="18" spans="1:15" ht="15.75" hidden="1" x14ac:dyDescent="0.25">
      <c r="A18" s="3342"/>
      <c r="B18" s="3349" t="s">
        <v>1060</v>
      </c>
      <c r="C18" s="3352">
        <f>'Вхідні дані'!D$45</f>
        <v>0</v>
      </c>
      <c r="D18" s="3344">
        <f>D15*C18</f>
        <v>0</v>
      </c>
      <c r="E18" s="3344"/>
      <c r="F18" s="3344">
        <f>F15*C18</f>
        <v>0</v>
      </c>
      <c r="G18" s="3358"/>
      <c r="H18" s="3346">
        <f>D18+F18</f>
        <v>0</v>
      </c>
      <c r="N18" s="2511">
        <f>H19/1000</f>
        <v>439.798745</v>
      </c>
    </row>
    <row r="19" spans="1:15" s="652" customFormat="1" ht="42.75" x14ac:dyDescent="0.2">
      <c r="A19" s="3342" t="s">
        <v>1062</v>
      </c>
      <c r="B19" s="3353" t="s">
        <v>2383</v>
      </c>
      <c r="C19" s="3359">
        <v>4</v>
      </c>
      <c r="D19" s="3356">
        <f>[47]Лист1!$W$27</f>
        <v>266097.76</v>
      </c>
      <c r="E19" s="3359">
        <v>4</v>
      </c>
      <c r="F19" s="3356">
        <f>[47]Лист1!$X$27</f>
        <v>173700.98499999999</v>
      </c>
      <c r="G19" s="3360">
        <f>(C19*$K$9+E19*$L$9)/$M$9</f>
        <v>4</v>
      </c>
      <c r="H19" s="3348">
        <f>D19+F19</f>
        <v>439798.745</v>
      </c>
      <c r="J19" s="2312"/>
      <c r="N19" s="2510">
        <f>H14/1000</f>
        <v>2066.1236800000001</v>
      </c>
    </row>
    <row r="20" spans="1:15" ht="15.75" hidden="1" x14ac:dyDescent="0.25">
      <c r="A20" s="3342"/>
      <c r="B20" s="3343" t="s">
        <v>1057</v>
      </c>
      <c r="C20" s="3343"/>
      <c r="D20" s="3344"/>
      <c r="E20" s="3343"/>
      <c r="F20" s="3344"/>
      <c r="G20" s="3357">
        <f>C20*157/366+E20*209/366</f>
        <v>0</v>
      </c>
      <c r="H20" s="3346">
        <f>D20+F20</f>
        <v>0</v>
      </c>
      <c r="N20" s="2511">
        <f>H24/1000</f>
        <v>297.08970999999997</v>
      </c>
    </row>
    <row r="21" spans="1:15" s="652" customFormat="1" ht="16.5" customHeight="1" x14ac:dyDescent="0.2">
      <c r="A21" s="3342"/>
      <c r="B21" s="3347" t="s">
        <v>1058</v>
      </c>
      <c r="C21" s="3339"/>
      <c r="D21" s="3340">
        <f>SUM(D22:D23)</f>
        <v>58541.5072</v>
      </c>
      <c r="E21" s="3339"/>
      <c r="F21" s="3340">
        <f>SUM(F22:F23)</f>
        <v>38214.216699999997</v>
      </c>
      <c r="G21" s="3357"/>
      <c r="H21" s="3348">
        <f>H22+H23</f>
        <v>96755.723899999997</v>
      </c>
      <c r="J21" s="2312">
        <f>H19/G19/12</f>
        <v>9162.4738541666666</v>
      </c>
      <c r="N21" s="2312">
        <f>H9+H14+H19+H24</f>
        <v>5770893.7550000008</v>
      </c>
      <c r="O21" s="2510">
        <f>N21/1000</f>
        <v>5770.893755000001</v>
      </c>
    </row>
    <row r="22" spans="1:15" ht="15.75" x14ac:dyDescent="0.25">
      <c r="A22" s="3342"/>
      <c r="B22" s="3349" t="s">
        <v>1059</v>
      </c>
      <c r="C22" s="3350">
        <f>'Вхідні дані'!D$44</f>
        <v>0.22</v>
      </c>
      <c r="D22" s="3344">
        <f>(D19-D20)*C22</f>
        <v>58541.5072</v>
      </c>
      <c r="E22" s="3344"/>
      <c r="F22" s="3344">
        <f>(F19-F20)*C22</f>
        <v>38214.216699999997</v>
      </c>
      <c r="G22" s="3358"/>
      <c r="H22" s="3346">
        <f>D22+F22</f>
        <v>96755.723899999997</v>
      </c>
    </row>
    <row r="23" spans="1:15" ht="15.75" hidden="1" x14ac:dyDescent="0.25">
      <c r="A23" s="3342"/>
      <c r="B23" s="3349" t="s">
        <v>1060</v>
      </c>
      <c r="C23" s="3352">
        <f>'Вхідні дані'!D$45</f>
        <v>0</v>
      </c>
      <c r="D23" s="3344">
        <f>D20*C23</f>
        <v>0</v>
      </c>
      <c r="E23" s="3344"/>
      <c r="F23" s="3344">
        <f>F20*C23</f>
        <v>0</v>
      </c>
      <c r="G23" s="3358"/>
      <c r="H23" s="3346">
        <f>D23+F23</f>
        <v>0</v>
      </c>
    </row>
    <row r="24" spans="1:15" s="652" customFormat="1" ht="28.5" x14ac:dyDescent="0.2">
      <c r="A24" s="3361" t="s">
        <v>1063</v>
      </c>
      <c r="B24" s="3353" t="s">
        <v>1064</v>
      </c>
      <c r="C24" s="3359">
        <v>1</v>
      </c>
      <c r="D24" s="3355">
        <f>[47]Лист1!$X$39</f>
        <v>125552.93</v>
      </c>
      <c r="E24" s="3359">
        <v>1</v>
      </c>
      <c r="F24" s="3356">
        <f>[47]Лист1!$Y$39</f>
        <v>171536.78</v>
      </c>
      <c r="G24" s="3339">
        <f>(C24*$K$9+E24*$L$9)/$M$9</f>
        <v>1</v>
      </c>
      <c r="H24" s="3348">
        <f>D24+F24</f>
        <v>297089.70999999996</v>
      </c>
      <c r="J24" s="2312"/>
    </row>
    <row r="25" spans="1:15" ht="15.75" hidden="1" x14ac:dyDescent="0.25">
      <c r="A25" s="3342"/>
      <c r="B25" s="3343" t="s">
        <v>1057</v>
      </c>
      <c r="C25" s="3343"/>
      <c r="D25" s="3344"/>
      <c r="E25" s="3343"/>
      <c r="F25" s="3344"/>
      <c r="G25" s="3345">
        <f>C25*157/366+E25*209/366</f>
        <v>0</v>
      </c>
      <c r="H25" s="3346">
        <f>D25+F25</f>
        <v>0</v>
      </c>
    </row>
    <row r="26" spans="1:15" s="652" customFormat="1" ht="17.25" customHeight="1" x14ac:dyDescent="0.2">
      <c r="A26" s="3342"/>
      <c r="B26" s="3347" t="s">
        <v>1058</v>
      </c>
      <c r="C26" s="3339"/>
      <c r="D26" s="3340">
        <f>SUM(D27:D28)</f>
        <v>27621.6446</v>
      </c>
      <c r="E26" s="3339"/>
      <c r="F26" s="3340">
        <f>SUM(F27:F28)</f>
        <v>37738.0916</v>
      </c>
      <c r="G26" s="3345"/>
      <c r="H26" s="3348">
        <f>H27+H28</f>
        <v>65359.736199999999</v>
      </c>
      <c r="J26" s="2312">
        <f>H24/G24/12</f>
        <v>24757.47583333333</v>
      </c>
    </row>
    <row r="27" spans="1:15" ht="15.75" x14ac:dyDescent="0.25">
      <c r="A27" s="3342"/>
      <c r="B27" s="3349" t="s">
        <v>1059</v>
      </c>
      <c r="C27" s="3350">
        <f>'Вхідні дані'!D$44</f>
        <v>0.22</v>
      </c>
      <c r="D27" s="3344">
        <f>(D24-D25)*C27</f>
        <v>27621.6446</v>
      </c>
      <c r="E27" s="3344"/>
      <c r="F27" s="3344">
        <f>(F24-F25)*C27</f>
        <v>37738.0916</v>
      </c>
      <c r="G27" s="3351"/>
      <c r="H27" s="3346">
        <f>D27+F27</f>
        <v>65359.736199999999</v>
      </c>
    </row>
    <row r="28" spans="1:15" ht="15.75" hidden="1" x14ac:dyDescent="0.25">
      <c r="A28" s="3342"/>
      <c r="B28" s="3349" t="s">
        <v>1060</v>
      </c>
      <c r="C28" s="3352">
        <f>'Вхідні дані'!D$45</f>
        <v>0</v>
      </c>
      <c r="D28" s="3344">
        <f>D25*C28</f>
        <v>0</v>
      </c>
      <c r="E28" s="3344"/>
      <c r="F28" s="3344">
        <f>F25*C28</f>
        <v>0</v>
      </c>
      <c r="G28" s="3351"/>
      <c r="H28" s="3346">
        <f>D28+F28</f>
        <v>0</v>
      </c>
    </row>
    <row r="29" spans="1:15" s="652" customFormat="1" ht="28.5" x14ac:dyDescent="0.2">
      <c r="A29" s="3361" t="s">
        <v>1065</v>
      </c>
      <c r="B29" s="3362" t="s">
        <v>1066</v>
      </c>
      <c r="C29" s="3359">
        <v>0</v>
      </c>
      <c r="D29" s="3356">
        <v>0</v>
      </c>
      <c r="E29" s="3359">
        <v>0</v>
      </c>
      <c r="F29" s="3356">
        <f>D29</f>
        <v>0</v>
      </c>
      <c r="G29" s="3339">
        <f>(C29*$K$9+E29*$L$9)/$M$9</f>
        <v>0</v>
      </c>
      <c r="H29" s="3348">
        <f>D29+F29</f>
        <v>0</v>
      </c>
      <c r="J29" s="2313"/>
      <c r="O29" s="2450"/>
    </row>
    <row r="30" spans="1:15" ht="15.75" hidden="1" x14ac:dyDescent="0.25">
      <c r="A30" s="3342"/>
      <c r="B30" s="3343" t="s">
        <v>1057</v>
      </c>
      <c r="C30" s="3343"/>
      <c r="D30" s="3344"/>
      <c r="E30" s="3343"/>
      <c r="F30" s="3344"/>
      <c r="G30" s="3345">
        <f>C30*157/366+E30*209/366</f>
        <v>0</v>
      </c>
      <c r="H30" s="3346">
        <f>D30+F30</f>
        <v>0</v>
      </c>
    </row>
    <row r="31" spans="1:15" s="652" customFormat="1" ht="15" customHeight="1" x14ac:dyDescent="0.2">
      <c r="A31" s="3342"/>
      <c r="B31" s="3347" t="s">
        <v>1058</v>
      </c>
      <c r="C31" s="3339"/>
      <c r="D31" s="3340">
        <f>SUM(D32:D33)</f>
        <v>0</v>
      </c>
      <c r="E31" s="3339"/>
      <c r="F31" s="3340">
        <f>SUM(F32:F33)</f>
        <v>0</v>
      </c>
      <c r="G31" s="3345"/>
      <c r="H31" s="3348">
        <f>H32+H33</f>
        <v>0</v>
      </c>
      <c r="J31" s="2312" t="e">
        <f>H29/G29/12</f>
        <v>#DIV/0!</v>
      </c>
    </row>
    <row r="32" spans="1:15" ht="15.75" x14ac:dyDescent="0.25">
      <c r="A32" s="3342"/>
      <c r="B32" s="3349" t="s">
        <v>1059</v>
      </c>
      <c r="C32" s="3350">
        <f>'Вхідні дані'!D$44</f>
        <v>0.22</v>
      </c>
      <c r="D32" s="3344">
        <f>(D29-D30)*C32</f>
        <v>0</v>
      </c>
      <c r="E32" s="3344"/>
      <c r="F32" s="3344">
        <f>(F29-F30)*C32</f>
        <v>0</v>
      </c>
      <c r="G32" s="3351"/>
      <c r="H32" s="3346">
        <f>D32+F32</f>
        <v>0</v>
      </c>
    </row>
    <row r="33" spans="1:11" ht="15.75" hidden="1" x14ac:dyDescent="0.25">
      <c r="A33" s="3342"/>
      <c r="B33" s="3349" t="s">
        <v>1060</v>
      </c>
      <c r="C33" s="3352">
        <f>'Вхідні дані'!D$45</f>
        <v>0</v>
      </c>
      <c r="D33" s="3344">
        <f>D30*C33</f>
        <v>0</v>
      </c>
      <c r="E33" s="3344"/>
      <c r="F33" s="3344">
        <f>F30*C33</f>
        <v>0</v>
      </c>
      <c r="G33" s="3351"/>
      <c r="H33" s="3346">
        <f>D33+F33</f>
        <v>0</v>
      </c>
    </row>
    <row r="34" spans="1:11" s="652" customFormat="1" ht="28.5" x14ac:dyDescent="0.2">
      <c r="A34" s="3361" t="s">
        <v>1067</v>
      </c>
      <c r="B34" s="3362" t="s">
        <v>1068</v>
      </c>
      <c r="C34" s="3359"/>
      <c r="D34" s="3355"/>
      <c r="E34" s="3363"/>
      <c r="F34" s="3355"/>
      <c r="G34" s="3339">
        <f>(C34*$K$9+E34*$L$9)/$M$9</f>
        <v>0</v>
      </c>
      <c r="H34" s="3348">
        <f>D34+F34</f>
        <v>0</v>
      </c>
      <c r="J34" s="2312" t="s">
        <v>2882</v>
      </c>
    </row>
    <row r="35" spans="1:11" s="652" customFormat="1" ht="15.75" hidden="1" x14ac:dyDescent="0.2">
      <c r="A35" s="3361"/>
      <c r="B35" s="3343" t="s">
        <v>1057</v>
      </c>
      <c r="C35" s="3359"/>
      <c r="D35" s="3355"/>
      <c r="E35" s="3359"/>
      <c r="F35" s="3355"/>
      <c r="G35" s="3345">
        <f>C35*157/366+E35*209/366</f>
        <v>0</v>
      </c>
      <c r="H35" s="3348"/>
      <c r="J35" s="2312">
        <f>H54-H29</f>
        <v>9246945.8849999998</v>
      </c>
      <c r="K35" s="2383">
        <f>G54-G29</f>
        <v>32</v>
      </c>
    </row>
    <row r="36" spans="1:11" s="652" customFormat="1" ht="15.75" x14ac:dyDescent="0.2">
      <c r="A36" s="3361"/>
      <c r="B36" s="3347" t="s">
        <v>1058</v>
      </c>
      <c r="C36" s="3339"/>
      <c r="D36" s="3340">
        <f>SUM(D37:D38)</f>
        <v>0</v>
      </c>
      <c r="E36" s="3339"/>
      <c r="F36" s="3340">
        <f>SUM(F37:F38)</f>
        <v>0</v>
      </c>
      <c r="G36" s="3345"/>
      <c r="H36" s="3348">
        <f>H37+H38</f>
        <v>0</v>
      </c>
      <c r="J36" s="2312">
        <f>J35/K35/12</f>
        <v>24080.588242187499</v>
      </c>
    </row>
    <row r="37" spans="1:11" s="652" customFormat="1" ht="15.75" x14ac:dyDescent="0.2">
      <c r="A37" s="3361"/>
      <c r="B37" s="3349" t="s">
        <v>1059</v>
      </c>
      <c r="C37" s="3350">
        <f>'Вхідні дані'!D$44</f>
        <v>0.22</v>
      </c>
      <c r="D37" s="3344">
        <f>(D34-D35)*C37</f>
        <v>0</v>
      </c>
      <c r="E37" s="3359"/>
      <c r="F37" s="3344">
        <f>(F34-F35)*C37</f>
        <v>0</v>
      </c>
      <c r="G37" s="3364"/>
      <c r="H37" s="3348">
        <f>D37+F37</f>
        <v>0</v>
      </c>
      <c r="J37" s="2312"/>
    </row>
    <row r="38" spans="1:11" s="652" customFormat="1" ht="15.75" hidden="1" x14ac:dyDescent="0.2">
      <c r="A38" s="3361"/>
      <c r="B38" s="3349" t="s">
        <v>1060</v>
      </c>
      <c r="C38" s="3352">
        <f>'Вхідні дані'!D$45</f>
        <v>0</v>
      </c>
      <c r="D38" s="3344">
        <f>D35*C38</f>
        <v>0</v>
      </c>
      <c r="E38" s="3359"/>
      <c r="F38" s="3344">
        <f>F35*C38</f>
        <v>0</v>
      </c>
      <c r="G38" s="3364"/>
      <c r="H38" s="3348">
        <f>D38+F38</f>
        <v>0</v>
      </c>
      <c r="J38" s="2312"/>
    </row>
    <row r="39" spans="1:11" s="652" customFormat="1" ht="42.75" x14ac:dyDescent="0.2">
      <c r="A39" s="3361" t="s">
        <v>1069</v>
      </c>
      <c r="B39" s="3353" t="s">
        <v>1070</v>
      </c>
      <c r="C39" s="3359">
        <f>8-8</f>
        <v>0</v>
      </c>
      <c r="D39" s="3355">
        <f>619486.726290411-619486.726290411</f>
        <v>0</v>
      </c>
      <c r="E39" s="3359">
        <f>8-8</f>
        <v>0</v>
      </c>
      <c r="F39" s="3355">
        <f>940632.061909589-940632.061909589</f>
        <v>0</v>
      </c>
      <c r="G39" s="3339">
        <f>(C39*$K$9+E39*$L$9)/$M$9</f>
        <v>0</v>
      </c>
      <c r="H39" s="3348">
        <f>D39+F39</f>
        <v>0</v>
      </c>
      <c r="J39" s="2312"/>
    </row>
    <row r="40" spans="1:11" s="652" customFormat="1" ht="15.75" hidden="1" x14ac:dyDescent="0.2">
      <c r="A40" s="3361"/>
      <c r="B40" s="3343" t="s">
        <v>1057</v>
      </c>
      <c r="C40" s="3359">
        <f>1-1</f>
        <v>0</v>
      </c>
      <c r="D40" s="3355">
        <f>75919.2867287671-75919.2867287671</f>
        <v>0</v>
      </c>
      <c r="E40" s="3359">
        <f>1-1</f>
        <v>0</v>
      </c>
      <c r="F40" s="3355">
        <f>113276.668471233-113276.668471233</f>
        <v>0</v>
      </c>
      <c r="G40" s="3345">
        <f>C40*157/366+E40*209/366</f>
        <v>0</v>
      </c>
      <c r="H40" s="3348">
        <f>D40+F40</f>
        <v>0</v>
      </c>
      <c r="J40" s="2312"/>
    </row>
    <row r="41" spans="1:11" s="652" customFormat="1" ht="15.75" x14ac:dyDescent="0.2">
      <c r="A41" s="3361"/>
      <c r="B41" s="3347" t="s">
        <v>1058</v>
      </c>
      <c r="C41" s="3339"/>
      <c r="D41" s="3340">
        <f>SUM(D42:D43)</f>
        <v>0</v>
      </c>
      <c r="E41" s="3339"/>
      <c r="F41" s="3340">
        <f>SUM(F42:F43)</f>
        <v>0</v>
      </c>
      <c r="G41" s="3345"/>
      <c r="H41" s="3348">
        <f>H42+H43</f>
        <v>0</v>
      </c>
      <c r="J41" s="2312"/>
    </row>
    <row r="42" spans="1:11" s="652" customFormat="1" ht="15.75" x14ac:dyDescent="0.2">
      <c r="A42" s="3361"/>
      <c r="B42" s="3349" t="s">
        <v>1059</v>
      </c>
      <c r="C42" s="3350">
        <f>'Вхідні дані'!D$44</f>
        <v>0.22</v>
      </c>
      <c r="D42" s="3344">
        <f>(D39-D40)*C42</f>
        <v>0</v>
      </c>
      <c r="E42" s="3355"/>
      <c r="F42" s="3344">
        <f>(F39-F40)*C42</f>
        <v>0</v>
      </c>
      <c r="G42" s="3364"/>
      <c r="H42" s="3348">
        <f>D42+F42</f>
        <v>0</v>
      </c>
      <c r="J42" s="2312"/>
    </row>
    <row r="43" spans="1:11" s="652" customFormat="1" ht="15.75" hidden="1" x14ac:dyDescent="0.2">
      <c r="A43" s="3361"/>
      <c r="B43" s="3349" t="s">
        <v>1060</v>
      </c>
      <c r="C43" s="3352">
        <f>'Вхідні дані'!D$45</f>
        <v>0</v>
      </c>
      <c r="D43" s="3344">
        <f>D40*C43</f>
        <v>0</v>
      </c>
      <c r="E43" s="3355"/>
      <c r="F43" s="3344">
        <f>F40*C43</f>
        <v>0</v>
      </c>
      <c r="G43" s="3364"/>
      <c r="H43" s="3348">
        <f>D43+F43</f>
        <v>0</v>
      </c>
      <c r="J43" s="2312"/>
    </row>
    <row r="44" spans="1:11" ht="15.75" x14ac:dyDescent="0.25">
      <c r="A44" s="3361" t="s">
        <v>1071</v>
      </c>
      <c r="B44" s="3353" t="s">
        <v>1072</v>
      </c>
      <c r="C44" s="3359"/>
      <c r="D44" s="3356">
        <f>[47]Лист1!$AE$86/2</f>
        <v>1408164.56</v>
      </c>
      <c r="E44" s="3365">
        <f>C44</f>
        <v>0</v>
      </c>
      <c r="F44" s="3356">
        <f>D44</f>
        <v>1408164.56</v>
      </c>
      <c r="G44" s="3339">
        <f>(C44*$K$9+E44*$L$9)/$M$9</f>
        <v>0</v>
      </c>
      <c r="H44" s="3348">
        <f>D44+F44</f>
        <v>2816329.12</v>
      </c>
    </row>
    <row r="45" spans="1:11" ht="15.75" hidden="1" x14ac:dyDescent="0.25">
      <c r="A45" s="3342"/>
      <c r="B45" s="3343" t="s">
        <v>1057</v>
      </c>
      <c r="C45" s="3343"/>
      <c r="D45" s="3344"/>
      <c r="E45" s="3343"/>
      <c r="F45" s="3344"/>
      <c r="G45" s="3345">
        <f>C45*157/366+E45*209/366</f>
        <v>0</v>
      </c>
      <c r="H45" s="3346">
        <f>D45+F45</f>
        <v>0</v>
      </c>
    </row>
    <row r="46" spans="1:11" s="652" customFormat="1" ht="15.75" x14ac:dyDescent="0.2">
      <c r="A46" s="3342"/>
      <c r="B46" s="3347" t="s">
        <v>1058</v>
      </c>
      <c r="C46" s="3339"/>
      <c r="D46" s="3340">
        <f>SUM(D47:D48)</f>
        <v>309796.20319999999</v>
      </c>
      <c r="E46" s="3339"/>
      <c r="F46" s="3340">
        <f>SUM(F47:F48)</f>
        <v>309796.20319999999</v>
      </c>
      <c r="G46" s="3345"/>
      <c r="H46" s="3348">
        <f>H47+H48</f>
        <v>619592.40639999998</v>
      </c>
      <c r="J46" s="2312" t="e">
        <f>H44/G44/12</f>
        <v>#DIV/0!</v>
      </c>
    </row>
    <row r="47" spans="1:11" ht="15.75" x14ac:dyDescent="0.25">
      <c r="A47" s="3342"/>
      <c r="B47" s="3349" t="s">
        <v>1059</v>
      </c>
      <c r="C47" s="3350">
        <f>'Вхідні дані'!D$44</f>
        <v>0.22</v>
      </c>
      <c r="D47" s="3344">
        <f>(D44-D45)*C47</f>
        <v>309796.20319999999</v>
      </c>
      <c r="E47" s="3344"/>
      <c r="F47" s="3344">
        <f>(F44-F45)*C47</f>
        <v>309796.20319999999</v>
      </c>
      <c r="G47" s="3351"/>
      <c r="H47" s="3346">
        <f>D47+F47</f>
        <v>619592.40639999998</v>
      </c>
    </row>
    <row r="48" spans="1:11" ht="15.75" hidden="1" x14ac:dyDescent="0.25">
      <c r="A48" s="3342"/>
      <c r="B48" s="3349" t="s">
        <v>1060</v>
      </c>
      <c r="C48" s="3352">
        <f>'Вхідні дані'!D$45</f>
        <v>0</v>
      </c>
      <c r="D48" s="3344">
        <f>D45*C48</f>
        <v>0</v>
      </c>
      <c r="E48" s="3344"/>
      <c r="F48" s="3344">
        <f>F45*C48</f>
        <v>0</v>
      </c>
      <c r="G48" s="3351"/>
      <c r="H48" s="3346">
        <f>D48+F48</f>
        <v>0</v>
      </c>
    </row>
    <row r="49" spans="1:17" ht="28.5" x14ac:dyDescent="0.25">
      <c r="A49" s="3361" t="s">
        <v>1073</v>
      </c>
      <c r="B49" s="3353" t="s">
        <v>1074</v>
      </c>
      <c r="C49" s="3354"/>
      <c r="D49" s="3356">
        <f>[47]Лист1!$AB$112/2</f>
        <v>329861.505</v>
      </c>
      <c r="E49" s="3354"/>
      <c r="F49" s="3356">
        <f>D49</f>
        <v>329861.505</v>
      </c>
      <c r="G49" s="3339">
        <f>(C49*$K$9+E49*$L$9)/$M$9</f>
        <v>0</v>
      </c>
      <c r="H49" s="3348">
        <f>D49+F49</f>
        <v>659723.01</v>
      </c>
    </row>
    <row r="50" spans="1:17" ht="15.75" hidden="1" x14ac:dyDescent="0.25">
      <c r="A50" s="3342"/>
      <c r="B50" s="3343" t="s">
        <v>1057</v>
      </c>
      <c r="C50" s="3343"/>
      <c r="D50" s="3344">
        <v>0</v>
      </c>
      <c r="E50" s="3343"/>
      <c r="F50" s="3344">
        <v>0</v>
      </c>
      <c r="G50" s="3345"/>
      <c r="H50" s="3346">
        <f>D50+F50</f>
        <v>0</v>
      </c>
    </row>
    <row r="51" spans="1:17" s="652" customFormat="1" ht="15.75" x14ac:dyDescent="0.2">
      <c r="A51" s="3342"/>
      <c r="B51" s="3347" t="s">
        <v>1058</v>
      </c>
      <c r="C51" s="3339"/>
      <c r="D51" s="3340">
        <f>SUM(D52:D53)</f>
        <v>72569.531100000007</v>
      </c>
      <c r="E51" s="3339"/>
      <c r="F51" s="3340">
        <f>SUM(F52:F53)</f>
        <v>72569.531100000007</v>
      </c>
      <c r="G51" s="3345"/>
      <c r="H51" s="3348">
        <f>H52+H53</f>
        <v>145139.06220000001</v>
      </c>
      <c r="J51" s="2312" t="e">
        <f>H49/G49/12</f>
        <v>#DIV/0!</v>
      </c>
    </row>
    <row r="52" spans="1:17" ht="16.5" thickBot="1" x14ac:dyDescent="0.3">
      <c r="A52" s="3342"/>
      <c r="B52" s="3349" t="s">
        <v>1059</v>
      </c>
      <c r="C52" s="3350">
        <f>'Вхідні дані'!D$44</f>
        <v>0.22</v>
      </c>
      <c r="D52" s="3344">
        <f>(D49-D50)*C52</f>
        <v>72569.531100000007</v>
      </c>
      <c r="E52" s="3344"/>
      <c r="F52" s="3344">
        <f>(F49-F50)*C52</f>
        <v>72569.531100000007</v>
      </c>
      <c r="G52" s="3351"/>
      <c r="H52" s="3346">
        <f>D52+F52</f>
        <v>145139.06220000001</v>
      </c>
    </row>
    <row r="53" spans="1:17" ht="16.5" hidden="1" thickBot="1" x14ac:dyDescent="0.3">
      <c r="A53" s="3366"/>
      <c r="B53" s="3367" t="s">
        <v>1060</v>
      </c>
      <c r="C53" s="3352">
        <f>'Вхідні дані'!D$45</f>
        <v>0</v>
      </c>
      <c r="D53" s="3344">
        <f>D50*C53</f>
        <v>0</v>
      </c>
      <c r="E53" s="3368"/>
      <c r="F53" s="3344">
        <f>F50*C53</f>
        <v>0</v>
      </c>
      <c r="G53" s="3369"/>
      <c r="H53" s="3370">
        <f>D53+F53</f>
        <v>0</v>
      </c>
    </row>
    <row r="54" spans="1:17" ht="16.5" thickBot="1" x14ac:dyDescent="0.3">
      <c r="A54" s="3371"/>
      <c r="B54" s="3372" t="s">
        <v>1075</v>
      </c>
      <c r="C54" s="3373">
        <f>C9+C14+C19+C24+C29+C34+C39+C44+C49</f>
        <v>32</v>
      </c>
      <c r="D54" s="3374">
        <f t="shared" ref="D54:F54" si="0">D9+D14+D19+D24+D29+D34+D39+D44+D49</f>
        <v>5193980.2850000001</v>
      </c>
      <c r="E54" s="3373">
        <f>E9+E14+E19+E24+E29+E34+E39+E44+E49</f>
        <v>32</v>
      </c>
      <c r="F54" s="3374">
        <f t="shared" si="0"/>
        <v>4052965.5999999996</v>
      </c>
      <c r="G54" s="3375">
        <f>G9+G14+G19+G24+G29+G34+G39+G44+G49</f>
        <v>32</v>
      </c>
      <c r="H54" s="3376">
        <f>H49+H44+H29+H39+H24+H14+H9+H19</f>
        <v>9246945.8849999998</v>
      </c>
    </row>
    <row r="55" spans="1:17" ht="15.75" hidden="1" thickBot="1" x14ac:dyDescent="0.3">
      <c r="A55" s="3377"/>
      <c r="B55" s="3378" t="s">
        <v>1057</v>
      </c>
      <c r="C55" s="3373">
        <f>C10+C15+C20+C25+C30+C35+C40+C45+C50</f>
        <v>0</v>
      </c>
      <c r="D55" s="3373">
        <f t="shared" ref="D55:F55" si="1">D10+D15+D20+D25+D30+D35+D40+D45+D50</f>
        <v>0</v>
      </c>
      <c r="E55" s="3373">
        <f t="shared" si="1"/>
        <v>0</v>
      </c>
      <c r="F55" s="3373">
        <f t="shared" si="1"/>
        <v>0</v>
      </c>
      <c r="G55" s="3379">
        <f>G10+G15+G20+G25+G30+G35+G40+G45+G50</f>
        <v>0</v>
      </c>
      <c r="H55" s="3380">
        <f>H10+H15+H20+H25+H30+H35+H40+H45+H50</f>
        <v>0</v>
      </c>
    </row>
    <row r="56" spans="1:17" ht="15.75" thickBot="1" x14ac:dyDescent="0.3">
      <c r="A56" s="3372"/>
      <c r="B56" s="3372" t="s">
        <v>1076</v>
      </c>
      <c r="C56" s="3372"/>
      <c r="D56" s="3381">
        <f>D11+D16+D21+D26+D31+D36+D41+D46+D51</f>
        <v>1142675.6627</v>
      </c>
      <c r="E56" s="3372"/>
      <c r="F56" s="3381">
        <f>F11+F16+F21+F26+F31+F36+F41+F46+F51</f>
        <v>891652.43200000003</v>
      </c>
      <c r="G56" s="3382"/>
      <c r="H56" s="3383">
        <f>H11+H16+H21+H26+H31+H36+H41+H46+H51</f>
        <v>2034328.0947</v>
      </c>
      <c r="J56" s="2312">
        <f>H54/G54/12</f>
        <v>24080.588242187499</v>
      </c>
    </row>
    <row r="62" spans="1:17" x14ac:dyDescent="0.25">
      <c r="A62" s="3332"/>
      <c r="B62" s="3332"/>
      <c r="C62" s="3332"/>
      <c r="D62" s="3332"/>
      <c r="E62" s="3332"/>
      <c r="F62" s="3332"/>
      <c r="G62" s="3332"/>
      <c r="H62" s="653"/>
      <c r="P62" s="1760" t="s">
        <v>1962</v>
      </c>
      <c r="Q62" s="1761">
        <f>H9+H14+H19+H24+H29+H39</f>
        <v>5770893.7550000008</v>
      </c>
    </row>
    <row r="63" spans="1:17" ht="36" customHeight="1" x14ac:dyDescent="0.3">
      <c r="A63" s="3332"/>
      <c r="B63" s="4258" t="str">
        <f>'Вхідні дані'!B14</f>
        <v>Заступник начальника Адміністрації морського порту Чорноморськ з технічних питань та розвитку</v>
      </c>
      <c r="C63" s="4258"/>
      <c r="D63" s="4258"/>
      <c r="E63" s="3334" t="s">
        <v>369</v>
      </c>
      <c r="F63" s="4264" t="str">
        <f>'Вхідні дані'!F14</f>
        <v>Віталій ЛІПСКИЙ</v>
      </c>
      <c r="G63" s="4264"/>
      <c r="H63" s="4264"/>
      <c r="P63" s="1760" t="s">
        <v>1380</v>
      </c>
      <c r="Q63" s="1761">
        <f>H44</f>
        <v>2816329.12</v>
      </c>
    </row>
    <row r="64" spans="1:17" ht="15.75" x14ac:dyDescent="0.25">
      <c r="A64" s="3332"/>
      <c r="B64" s="3386" t="s">
        <v>1078</v>
      </c>
      <c r="C64" s="3333"/>
      <c r="E64" s="3386" t="s">
        <v>220</v>
      </c>
      <c r="F64" s="3387" t="s">
        <v>3418</v>
      </c>
      <c r="G64" s="3387"/>
      <c r="H64" s="3387"/>
      <c r="P64" s="1760" t="s">
        <v>2146</v>
      </c>
      <c r="Q64" s="1761">
        <f>H49</f>
        <v>659723.01</v>
      </c>
    </row>
    <row r="65" spans="1:9" x14ac:dyDescent="0.25">
      <c r="A65" s="3332"/>
      <c r="B65" s="3335"/>
      <c r="C65" s="3332"/>
      <c r="E65" s="3332"/>
      <c r="F65" s="3332"/>
      <c r="G65" s="3332"/>
    </row>
    <row r="66" spans="1:9" ht="18.75" customHeight="1" x14ac:dyDescent="0.3">
      <c r="B66" s="3646" t="str">
        <f>'Вхідні дані'!$B$16</f>
        <v>Головний бухгалтер</v>
      </c>
      <c r="C66" s="3646"/>
      <c r="D66" s="3211"/>
      <c r="E66" s="3643" t="s">
        <v>3254</v>
      </c>
      <c r="F66" s="4257" t="str">
        <f>'Вхідні дані'!F16</f>
        <v>Тетяна ЗІМАН</v>
      </c>
      <c r="G66" s="4257"/>
      <c r="H66" s="4257"/>
      <c r="I66" s="3644"/>
    </row>
    <row r="67" spans="1:9" ht="15.75" x14ac:dyDescent="0.25">
      <c r="B67" s="3386" t="s">
        <v>1078</v>
      </c>
      <c r="C67" s="3261"/>
      <c r="D67" s="3261"/>
      <c r="E67" s="3643" t="s">
        <v>220</v>
      </c>
      <c r="F67" s="4256" t="s">
        <v>3417</v>
      </c>
      <c r="G67" s="4256"/>
      <c r="H67" s="4256"/>
      <c r="I67" s="3387"/>
    </row>
  </sheetData>
  <mergeCells count="11">
    <mergeCell ref="F67:H67"/>
    <mergeCell ref="F66:H66"/>
    <mergeCell ref="B63:D63"/>
    <mergeCell ref="A4:D4"/>
    <mergeCell ref="E4:F4"/>
    <mergeCell ref="A6:A7"/>
    <mergeCell ref="B6:B7"/>
    <mergeCell ref="C6:D6"/>
    <mergeCell ref="E6:F6"/>
    <mergeCell ref="G6:H6"/>
    <mergeCell ref="F63:H63"/>
  </mergeCells>
  <conditionalFormatting sqref="C67:F67 I67">
    <cfRule type="expression" dxfId="10" priority="5" stopIfTrue="1">
      <formula>ABS(#REF!-(#REF!+$D67+$M67+$O67))&gt;отклонение</formula>
    </cfRule>
    <cfRule type="expression" dxfId="9" priority="9" stopIfTrue="1">
      <formula>ABS(#REF!-(#REF!+$D67+#REF!+#REF!))&gt;отклонение</formula>
    </cfRule>
  </conditionalFormatting>
  <conditionalFormatting sqref="F67 I67 C67:D67">
    <cfRule type="expression" dxfId="8" priority="2" stopIfTrue="1">
      <formula>ABS(#REF!-(#REF!+$D67+$M67+$O67))&gt;отклонение</formula>
    </cfRule>
  </conditionalFormatting>
  <conditionalFormatting sqref="F67 I67">
    <cfRule type="expression" dxfId="7" priority="1" stopIfTrue="1">
      <formula>ABS(#REF!-(#REF!+#REF!+$L67+$N67))&gt;отклонение</formula>
    </cfRule>
    <cfRule type="expression" dxfId="6" priority="3" stopIfTrue="1">
      <formula>ABS(#REF!-(#REF!+$E67+$L67+$N67))&gt;отклонение</formula>
    </cfRule>
    <cfRule type="expression" dxfId="5" priority="4" stopIfTrue="1">
      <formula>ABS(#REF!-(#REF!+$D67+$M67+$O67))&gt;отклонение</formula>
    </cfRule>
    <cfRule type="expression" dxfId="4" priority="6" stopIfTrue="1">
      <formula>ABS(#REF!-(#REF!+$E67+$L67+$N67))&gt;отклонение</formula>
    </cfRule>
    <cfRule type="expression" dxfId="3" priority="7" stopIfTrue="1">
      <formula>ABS(#REF!-(#REF!+$D67+$M67+$O67))&gt;отклонение</formula>
    </cfRule>
    <cfRule type="expression" dxfId="2" priority="8" stopIfTrue="1">
      <formula>ABS(#REF!-(#REF!+$D67+$M67+$O67))&gt;отклонение</formula>
    </cfRule>
  </conditionalFormatting>
  <pageMargins left="0.86614173228346458" right="0.59055118110236227" top="0.74803149606299213" bottom="0.43307086614173229" header="0.31496062992125984" footer="0.31496062992125984"/>
  <pageSetup paperSize="9" scale="6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2" tint="-0.499984740745262"/>
    <pageSetUpPr fitToPage="1"/>
  </sheetPr>
  <dimension ref="A1:S126"/>
  <sheetViews>
    <sheetView workbookViewId="0">
      <selection activeCell="A19" sqref="A19"/>
    </sheetView>
  </sheetViews>
  <sheetFormatPr defaultColWidth="9.140625" defaultRowHeight="12" x14ac:dyDescent="0.25"/>
  <cols>
    <col min="1" max="1" width="31.42578125" style="409" customWidth="1"/>
    <col min="2" max="2" width="15.28515625" style="409" customWidth="1"/>
    <col min="3" max="3" width="11.7109375" style="406" customWidth="1"/>
    <col min="4" max="13" width="11" style="406" bestFit="1" customWidth="1"/>
    <col min="14" max="14" width="10.85546875" style="406" customWidth="1"/>
    <col min="15" max="15" width="14.7109375" style="406" customWidth="1"/>
    <col min="16" max="16" width="11.7109375" style="409" customWidth="1"/>
    <col min="17" max="17" width="22.28515625" style="409" customWidth="1"/>
    <col min="18" max="18" width="10" style="409" bestFit="1" customWidth="1"/>
    <col min="19" max="256" width="9.140625" style="409"/>
    <col min="257" max="257" width="23.5703125" style="409" customWidth="1"/>
    <col min="258" max="258" width="14.28515625" style="409" customWidth="1"/>
    <col min="259" max="270" width="11.28515625" style="409" customWidth="1"/>
    <col min="271" max="271" width="10.140625" style="409" customWidth="1"/>
    <col min="272" max="512" width="9.140625" style="409"/>
    <col min="513" max="513" width="23.5703125" style="409" customWidth="1"/>
    <col min="514" max="514" width="14.28515625" style="409" customWidth="1"/>
    <col min="515" max="526" width="11.28515625" style="409" customWidth="1"/>
    <col min="527" max="527" width="10.140625" style="409" customWidth="1"/>
    <col min="528" max="768" width="9.140625" style="409"/>
    <col min="769" max="769" width="23.5703125" style="409" customWidth="1"/>
    <col min="770" max="770" width="14.28515625" style="409" customWidth="1"/>
    <col min="771" max="782" width="11.28515625" style="409" customWidth="1"/>
    <col min="783" max="783" width="10.140625" style="409" customWidth="1"/>
    <col min="784" max="1024" width="9.140625" style="409"/>
    <col min="1025" max="1025" width="23.5703125" style="409" customWidth="1"/>
    <col min="1026" max="1026" width="14.28515625" style="409" customWidth="1"/>
    <col min="1027" max="1038" width="11.28515625" style="409" customWidth="1"/>
    <col min="1039" max="1039" width="10.140625" style="409" customWidth="1"/>
    <col min="1040" max="1280" width="9.140625" style="409"/>
    <col min="1281" max="1281" width="23.5703125" style="409" customWidth="1"/>
    <col min="1282" max="1282" width="14.28515625" style="409" customWidth="1"/>
    <col min="1283" max="1294" width="11.28515625" style="409" customWidth="1"/>
    <col min="1295" max="1295" width="10.140625" style="409" customWidth="1"/>
    <col min="1296" max="1536" width="9.140625" style="409"/>
    <col min="1537" max="1537" width="23.5703125" style="409" customWidth="1"/>
    <col min="1538" max="1538" width="14.28515625" style="409" customWidth="1"/>
    <col min="1539" max="1550" width="11.28515625" style="409" customWidth="1"/>
    <col min="1551" max="1551" width="10.140625" style="409" customWidth="1"/>
    <col min="1552" max="1792" width="9.140625" style="409"/>
    <col min="1793" max="1793" width="23.5703125" style="409" customWidth="1"/>
    <col min="1794" max="1794" width="14.28515625" style="409" customWidth="1"/>
    <col min="1795" max="1806" width="11.28515625" style="409" customWidth="1"/>
    <col min="1807" max="1807" width="10.140625" style="409" customWidth="1"/>
    <col min="1808" max="2048" width="9.140625" style="409"/>
    <col min="2049" max="2049" width="23.5703125" style="409" customWidth="1"/>
    <col min="2050" max="2050" width="14.28515625" style="409" customWidth="1"/>
    <col min="2051" max="2062" width="11.28515625" style="409" customWidth="1"/>
    <col min="2063" max="2063" width="10.140625" style="409" customWidth="1"/>
    <col min="2064" max="2304" width="9.140625" style="409"/>
    <col min="2305" max="2305" width="23.5703125" style="409" customWidth="1"/>
    <col min="2306" max="2306" width="14.28515625" style="409" customWidth="1"/>
    <col min="2307" max="2318" width="11.28515625" style="409" customWidth="1"/>
    <col min="2319" max="2319" width="10.140625" style="409" customWidth="1"/>
    <col min="2320" max="2560" width="9.140625" style="409"/>
    <col min="2561" max="2561" width="23.5703125" style="409" customWidth="1"/>
    <col min="2562" max="2562" width="14.28515625" style="409" customWidth="1"/>
    <col min="2563" max="2574" width="11.28515625" style="409" customWidth="1"/>
    <col min="2575" max="2575" width="10.140625" style="409" customWidth="1"/>
    <col min="2576" max="2816" width="9.140625" style="409"/>
    <col min="2817" max="2817" width="23.5703125" style="409" customWidth="1"/>
    <col min="2818" max="2818" width="14.28515625" style="409" customWidth="1"/>
    <col min="2819" max="2830" width="11.28515625" style="409" customWidth="1"/>
    <col min="2831" max="2831" width="10.140625" style="409" customWidth="1"/>
    <col min="2832" max="3072" width="9.140625" style="409"/>
    <col min="3073" max="3073" width="23.5703125" style="409" customWidth="1"/>
    <col min="3074" max="3074" width="14.28515625" style="409" customWidth="1"/>
    <col min="3075" max="3086" width="11.28515625" style="409" customWidth="1"/>
    <col min="3087" max="3087" width="10.140625" style="409" customWidth="1"/>
    <col min="3088" max="3328" width="9.140625" style="409"/>
    <col min="3329" max="3329" width="23.5703125" style="409" customWidth="1"/>
    <col min="3330" max="3330" width="14.28515625" style="409" customWidth="1"/>
    <col min="3331" max="3342" width="11.28515625" style="409" customWidth="1"/>
    <col min="3343" max="3343" width="10.140625" style="409" customWidth="1"/>
    <col min="3344" max="3584" width="9.140625" style="409"/>
    <col min="3585" max="3585" width="23.5703125" style="409" customWidth="1"/>
    <col min="3586" max="3586" width="14.28515625" style="409" customWidth="1"/>
    <col min="3587" max="3598" width="11.28515625" style="409" customWidth="1"/>
    <col min="3599" max="3599" width="10.140625" style="409" customWidth="1"/>
    <col min="3600" max="3840" width="9.140625" style="409"/>
    <col min="3841" max="3841" width="23.5703125" style="409" customWidth="1"/>
    <col min="3842" max="3842" width="14.28515625" style="409" customWidth="1"/>
    <col min="3843" max="3854" width="11.28515625" style="409" customWidth="1"/>
    <col min="3855" max="3855" width="10.140625" style="409" customWidth="1"/>
    <col min="3856" max="4096" width="9.140625" style="409"/>
    <col min="4097" max="4097" width="23.5703125" style="409" customWidth="1"/>
    <col min="4098" max="4098" width="14.28515625" style="409" customWidth="1"/>
    <col min="4099" max="4110" width="11.28515625" style="409" customWidth="1"/>
    <col min="4111" max="4111" width="10.140625" style="409" customWidth="1"/>
    <col min="4112" max="4352" width="9.140625" style="409"/>
    <col min="4353" max="4353" width="23.5703125" style="409" customWidth="1"/>
    <col min="4354" max="4354" width="14.28515625" style="409" customWidth="1"/>
    <col min="4355" max="4366" width="11.28515625" style="409" customWidth="1"/>
    <col min="4367" max="4367" width="10.140625" style="409" customWidth="1"/>
    <col min="4368" max="4608" width="9.140625" style="409"/>
    <col min="4609" max="4609" width="23.5703125" style="409" customWidth="1"/>
    <col min="4610" max="4610" width="14.28515625" style="409" customWidth="1"/>
    <col min="4611" max="4622" width="11.28515625" style="409" customWidth="1"/>
    <col min="4623" max="4623" width="10.140625" style="409" customWidth="1"/>
    <col min="4624" max="4864" width="9.140625" style="409"/>
    <col min="4865" max="4865" width="23.5703125" style="409" customWidth="1"/>
    <col min="4866" max="4866" width="14.28515625" style="409" customWidth="1"/>
    <col min="4867" max="4878" width="11.28515625" style="409" customWidth="1"/>
    <col min="4879" max="4879" width="10.140625" style="409" customWidth="1"/>
    <col min="4880" max="5120" width="9.140625" style="409"/>
    <col min="5121" max="5121" width="23.5703125" style="409" customWidth="1"/>
    <col min="5122" max="5122" width="14.28515625" style="409" customWidth="1"/>
    <col min="5123" max="5134" width="11.28515625" style="409" customWidth="1"/>
    <col min="5135" max="5135" width="10.140625" style="409" customWidth="1"/>
    <col min="5136" max="5376" width="9.140625" style="409"/>
    <col min="5377" max="5377" width="23.5703125" style="409" customWidth="1"/>
    <col min="5378" max="5378" width="14.28515625" style="409" customWidth="1"/>
    <col min="5379" max="5390" width="11.28515625" style="409" customWidth="1"/>
    <col min="5391" max="5391" width="10.140625" style="409" customWidth="1"/>
    <col min="5392" max="5632" width="9.140625" style="409"/>
    <col min="5633" max="5633" width="23.5703125" style="409" customWidth="1"/>
    <col min="5634" max="5634" width="14.28515625" style="409" customWidth="1"/>
    <col min="5635" max="5646" width="11.28515625" style="409" customWidth="1"/>
    <col min="5647" max="5647" width="10.140625" style="409" customWidth="1"/>
    <col min="5648" max="5888" width="9.140625" style="409"/>
    <col min="5889" max="5889" width="23.5703125" style="409" customWidth="1"/>
    <col min="5890" max="5890" width="14.28515625" style="409" customWidth="1"/>
    <col min="5891" max="5902" width="11.28515625" style="409" customWidth="1"/>
    <col min="5903" max="5903" width="10.140625" style="409" customWidth="1"/>
    <col min="5904" max="6144" width="9.140625" style="409"/>
    <col min="6145" max="6145" width="23.5703125" style="409" customWidth="1"/>
    <col min="6146" max="6146" width="14.28515625" style="409" customWidth="1"/>
    <col min="6147" max="6158" width="11.28515625" style="409" customWidth="1"/>
    <col min="6159" max="6159" width="10.140625" style="409" customWidth="1"/>
    <col min="6160" max="6400" width="9.140625" style="409"/>
    <col min="6401" max="6401" width="23.5703125" style="409" customWidth="1"/>
    <col min="6402" max="6402" width="14.28515625" style="409" customWidth="1"/>
    <col min="6403" max="6414" width="11.28515625" style="409" customWidth="1"/>
    <col min="6415" max="6415" width="10.140625" style="409" customWidth="1"/>
    <col min="6416" max="6656" width="9.140625" style="409"/>
    <col min="6657" max="6657" width="23.5703125" style="409" customWidth="1"/>
    <col min="6658" max="6658" width="14.28515625" style="409" customWidth="1"/>
    <col min="6659" max="6670" width="11.28515625" style="409" customWidth="1"/>
    <col min="6671" max="6671" width="10.140625" style="409" customWidth="1"/>
    <col min="6672" max="6912" width="9.140625" style="409"/>
    <col min="6913" max="6913" width="23.5703125" style="409" customWidth="1"/>
    <col min="6914" max="6914" width="14.28515625" style="409" customWidth="1"/>
    <col min="6915" max="6926" width="11.28515625" style="409" customWidth="1"/>
    <col min="6927" max="6927" width="10.140625" style="409" customWidth="1"/>
    <col min="6928" max="7168" width="9.140625" style="409"/>
    <col min="7169" max="7169" width="23.5703125" style="409" customWidth="1"/>
    <col min="7170" max="7170" width="14.28515625" style="409" customWidth="1"/>
    <col min="7171" max="7182" width="11.28515625" style="409" customWidth="1"/>
    <col min="7183" max="7183" width="10.140625" style="409" customWidth="1"/>
    <col min="7184" max="7424" width="9.140625" style="409"/>
    <col min="7425" max="7425" width="23.5703125" style="409" customWidth="1"/>
    <col min="7426" max="7426" width="14.28515625" style="409" customWidth="1"/>
    <col min="7427" max="7438" width="11.28515625" style="409" customWidth="1"/>
    <col min="7439" max="7439" width="10.140625" style="409" customWidth="1"/>
    <col min="7440" max="7680" width="9.140625" style="409"/>
    <col min="7681" max="7681" width="23.5703125" style="409" customWidth="1"/>
    <col min="7682" max="7682" width="14.28515625" style="409" customWidth="1"/>
    <col min="7683" max="7694" width="11.28515625" style="409" customWidth="1"/>
    <col min="7695" max="7695" width="10.140625" style="409" customWidth="1"/>
    <col min="7696" max="7936" width="9.140625" style="409"/>
    <col min="7937" max="7937" width="23.5703125" style="409" customWidth="1"/>
    <col min="7938" max="7938" width="14.28515625" style="409" customWidth="1"/>
    <col min="7939" max="7950" width="11.28515625" style="409" customWidth="1"/>
    <col min="7951" max="7951" width="10.140625" style="409" customWidth="1"/>
    <col min="7952" max="8192" width="9.140625" style="409"/>
    <col min="8193" max="8193" width="23.5703125" style="409" customWidth="1"/>
    <col min="8194" max="8194" width="14.28515625" style="409" customWidth="1"/>
    <col min="8195" max="8206" width="11.28515625" style="409" customWidth="1"/>
    <col min="8207" max="8207" width="10.140625" style="409" customWidth="1"/>
    <col min="8208" max="8448" width="9.140625" style="409"/>
    <col min="8449" max="8449" width="23.5703125" style="409" customWidth="1"/>
    <col min="8450" max="8450" width="14.28515625" style="409" customWidth="1"/>
    <col min="8451" max="8462" width="11.28515625" style="409" customWidth="1"/>
    <col min="8463" max="8463" width="10.140625" style="409" customWidth="1"/>
    <col min="8464" max="8704" width="9.140625" style="409"/>
    <col min="8705" max="8705" width="23.5703125" style="409" customWidth="1"/>
    <col min="8706" max="8706" width="14.28515625" style="409" customWidth="1"/>
    <col min="8707" max="8718" width="11.28515625" style="409" customWidth="1"/>
    <col min="8719" max="8719" width="10.140625" style="409" customWidth="1"/>
    <col min="8720" max="8960" width="9.140625" style="409"/>
    <col min="8961" max="8961" width="23.5703125" style="409" customWidth="1"/>
    <col min="8962" max="8962" width="14.28515625" style="409" customWidth="1"/>
    <col min="8963" max="8974" width="11.28515625" style="409" customWidth="1"/>
    <col min="8975" max="8975" width="10.140625" style="409" customWidth="1"/>
    <col min="8976" max="9216" width="9.140625" style="409"/>
    <col min="9217" max="9217" width="23.5703125" style="409" customWidth="1"/>
    <col min="9218" max="9218" width="14.28515625" style="409" customWidth="1"/>
    <col min="9219" max="9230" width="11.28515625" style="409" customWidth="1"/>
    <col min="9231" max="9231" width="10.140625" style="409" customWidth="1"/>
    <col min="9232" max="9472" width="9.140625" style="409"/>
    <col min="9473" max="9473" width="23.5703125" style="409" customWidth="1"/>
    <col min="9474" max="9474" width="14.28515625" style="409" customWidth="1"/>
    <col min="9475" max="9486" width="11.28515625" style="409" customWidth="1"/>
    <col min="9487" max="9487" width="10.140625" style="409" customWidth="1"/>
    <col min="9488" max="9728" width="9.140625" style="409"/>
    <col min="9729" max="9729" width="23.5703125" style="409" customWidth="1"/>
    <col min="9730" max="9730" width="14.28515625" style="409" customWidth="1"/>
    <col min="9731" max="9742" width="11.28515625" style="409" customWidth="1"/>
    <col min="9743" max="9743" width="10.140625" style="409" customWidth="1"/>
    <col min="9744" max="9984" width="9.140625" style="409"/>
    <col min="9985" max="9985" width="23.5703125" style="409" customWidth="1"/>
    <col min="9986" max="9986" width="14.28515625" style="409" customWidth="1"/>
    <col min="9987" max="9998" width="11.28515625" style="409" customWidth="1"/>
    <col min="9999" max="9999" width="10.140625" style="409" customWidth="1"/>
    <col min="10000" max="10240" width="9.140625" style="409"/>
    <col min="10241" max="10241" width="23.5703125" style="409" customWidth="1"/>
    <col min="10242" max="10242" width="14.28515625" style="409" customWidth="1"/>
    <col min="10243" max="10254" width="11.28515625" style="409" customWidth="1"/>
    <col min="10255" max="10255" width="10.140625" style="409" customWidth="1"/>
    <col min="10256" max="10496" width="9.140625" style="409"/>
    <col min="10497" max="10497" width="23.5703125" style="409" customWidth="1"/>
    <col min="10498" max="10498" width="14.28515625" style="409" customWidth="1"/>
    <col min="10499" max="10510" width="11.28515625" style="409" customWidth="1"/>
    <col min="10511" max="10511" width="10.140625" style="409" customWidth="1"/>
    <col min="10512" max="10752" width="9.140625" style="409"/>
    <col min="10753" max="10753" width="23.5703125" style="409" customWidth="1"/>
    <col min="10754" max="10754" width="14.28515625" style="409" customWidth="1"/>
    <col min="10755" max="10766" width="11.28515625" style="409" customWidth="1"/>
    <col min="10767" max="10767" width="10.140625" style="409" customWidth="1"/>
    <col min="10768" max="11008" width="9.140625" style="409"/>
    <col min="11009" max="11009" width="23.5703125" style="409" customWidth="1"/>
    <col min="11010" max="11010" width="14.28515625" style="409" customWidth="1"/>
    <col min="11011" max="11022" width="11.28515625" style="409" customWidth="1"/>
    <col min="11023" max="11023" width="10.140625" style="409" customWidth="1"/>
    <col min="11024" max="11264" width="9.140625" style="409"/>
    <col min="11265" max="11265" width="23.5703125" style="409" customWidth="1"/>
    <col min="11266" max="11266" width="14.28515625" style="409" customWidth="1"/>
    <col min="11267" max="11278" width="11.28515625" style="409" customWidth="1"/>
    <col min="11279" max="11279" width="10.140625" style="409" customWidth="1"/>
    <col min="11280" max="11520" width="9.140625" style="409"/>
    <col min="11521" max="11521" width="23.5703125" style="409" customWidth="1"/>
    <col min="11522" max="11522" width="14.28515625" style="409" customWidth="1"/>
    <col min="11523" max="11534" width="11.28515625" style="409" customWidth="1"/>
    <col min="11535" max="11535" width="10.140625" style="409" customWidth="1"/>
    <col min="11536" max="11776" width="9.140625" style="409"/>
    <col min="11777" max="11777" width="23.5703125" style="409" customWidth="1"/>
    <col min="11778" max="11778" width="14.28515625" style="409" customWidth="1"/>
    <col min="11779" max="11790" width="11.28515625" style="409" customWidth="1"/>
    <col min="11791" max="11791" width="10.140625" style="409" customWidth="1"/>
    <col min="11792" max="12032" width="9.140625" style="409"/>
    <col min="12033" max="12033" width="23.5703125" style="409" customWidth="1"/>
    <col min="12034" max="12034" width="14.28515625" style="409" customWidth="1"/>
    <col min="12035" max="12046" width="11.28515625" style="409" customWidth="1"/>
    <col min="12047" max="12047" width="10.140625" style="409" customWidth="1"/>
    <col min="12048" max="12288" width="9.140625" style="409"/>
    <col min="12289" max="12289" width="23.5703125" style="409" customWidth="1"/>
    <col min="12290" max="12290" width="14.28515625" style="409" customWidth="1"/>
    <col min="12291" max="12302" width="11.28515625" style="409" customWidth="1"/>
    <col min="12303" max="12303" width="10.140625" style="409" customWidth="1"/>
    <col min="12304" max="12544" width="9.140625" style="409"/>
    <col min="12545" max="12545" width="23.5703125" style="409" customWidth="1"/>
    <col min="12546" max="12546" width="14.28515625" style="409" customWidth="1"/>
    <col min="12547" max="12558" width="11.28515625" style="409" customWidth="1"/>
    <col min="12559" max="12559" width="10.140625" style="409" customWidth="1"/>
    <col min="12560" max="12800" width="9.140625" style="409"/>
    <col min="12801" max="12801" width="23.5703125" style="409" customWidth="1"/>
    <col min="12802" max="12802" width="14.28515625" style="409" customWidth="1"/>
    <col min="12803" max="12814" width="11.28515625" style="409" customWidth="1"/>
    <col min="12815" max="12815" width="10.140625" style="409" customWidth="1"/>
    <col min="12816" max="13056" width="9.140625" style="409"/>
    <col min="13057" max="13057" width="23.5703125" style="409" customWidth="1"/>
    <col min="13058" max="13058" width="14.28515625" style="409" customWidth="1"/>
    <col min="13059" max="13070" width="11.28515625" style="409" customWidth="1"/>
    <col min="13071" max="13071" width="10.140625" style="409" customWidth="1"/>
    <col min="13072" max="13312" width="9.140625" style="409"/>
    <col min="13313" max="13313" width="23.5703125" style="409" customWidth="1"/>
    <col min="13314" max="13314" width="14.28515625" style="409" customWidth="1"/>
    <col min="13315" max="13326" width="11.28515625" style="409" customWidth="1"/>
    <col min="13327" max="13327" width="10.140625" style="409" customWidth="1"/>
    <col min="13328" max="13568" width="9.140625" style="409"/>
    <col min="13569" max="13569" width="23.5703125" style="409" customWidth="1"/>
    <col min="13570" max="13570" width="14.28515625" style="409" customWidth="1"/>
    <col min="13571" max="13582" width="11.28515625" style="409" customWidth="1"/>
    <col min="13583" max="13583" width="10.140625" style="409" customWidth="1"/>
    <col min="13584" max="13824" width="9.140625" style="409"/>
    <col min="13825" max="13825" width="23.5703125" style="409" customWidth="1"/>
    <col min="13826" max="13826" width="14.28515625" style="409" customWidth="1"/>
    <col min="13827" max="13838" width="11.28515625" style="409" customWidth="1"/>
    <col min="13839" max="13839" width="10.140625" style="409" customWidth="1"/>
    <col min="13840" max="14080" width="9.140625" style="409"/>
    <col min="14081" max="14081" width="23.5703125" style="409" customWidth="1"/>
    <col min="14082" max="14082" width="14.28515625" style="409" customWidth="1"/>
    <col min="14083" max="14094" width="11.28515625" style="409" customWidth="1"/>
    <col min="14095" max="14095" width="10.140625" style="409" customWidth="1"/>
    <col min="14096" max="14336" width="9.140625" style="409"/>
    <col min="14337" max="14337" width="23.5703125" style="409" customWidth="1"/>
    <col min="14338" max="14338" width="14.28515625" style="409" customWidth="1"/>
    <col min="14339" max="14350" width="11.28515625" style="409" customWidth="1"/>
    <col min="14351" max="14351" width="10.140625" style="409" customWidth="1"/>
    <col min="14352" max="14592" width="9.140625" style="409"/>
    <col min="14593" max="14593" width="23.5703125" style="409" customWidth="1"/>
    <col min="14594" max="14594" width="14.28515625" style="409" customWidth="1"/>
    <col min="14595" max="14606" width="11.28515625" style="409" customWidth="1"/>
    <col min="14607" max="14607" width="10.140625" style="409" customWidth="1"/>
    <col min="14608" max="14848" width="9.140625" style="409"/>
    <col min="14849" max="14849" width="23.5703125" style="409" customWidth="1"/>
    <col min="14850" max="14850" width="14.28515625" style="409" customWidth="1"/>
    <col min="14851" max="14862" width="11.28515625" style="409" customWidth="1"/>
    <col min="14863" max="14863" width="10.140625" style="409" customWidth="1"/>
    <col min="14864" max="15104" width="9.140625" style="409"/>
    <col min="15105" max="15105" width="23.5703125" style="409" customWidth="1"/>
    <col min="15106" max="15106" width="14.28515625" style="409" customWidth="1"/>
    <col min="15107" max="15118" width="11.28515625" style="409" customWidth="1"/>
    <col min="15119" max="15119" width="10.140625" style="409" customWidth="1"/>
    <col min="15120" max="15360" width="9.140625" style="409"/>
    <col min="15361" max="15361" width="23.5703125" style="409" customWidth="1"/>
    <col min="15362" max="15362" width="14.28515625" style="409" customWidth="1"/>
    <col min="15363" max="15374" width="11.28515625" style="409" customWidth="1"/>
    <col min="15375" max="15375" width="10.140625" style="409" customWidth="1"/>
    <col min="15376" max="15616" width="9.140625" style="409"/>
    <col min="15617" max="15617" width="23.5703125" style="409" customWidth="1"/>
    <col min="15618" max="15618" width="14.28515625" style="409" customWidth="1"/>
    <col min="15619" max="15630" width="11.28515625" style="409" customWidth="1"/>
    <col min="15631" max="15631" width="10.140625" style="409" customWidth="1"/>
    <col min="15632" max="15872" width="9.140625" style="409"/>
    <col min="15873" max="15873" width="23.5703125" style="409" customWidth="1"/>
    <col min="15874" max="15874" width="14.28515625" style="409" customWidth="1"/>
    <col min="15875" max="15886" width="11.28515625" style="409" customWidth="1"/>
    <col min="15887" max="15887" width="10.140625" style="409" customWidth="1"/>
    <col min="15888" max="16128" width="9.140625" style="409"/>
    <col min="16129" max="16129" width="23.5703125" style="409" customWidth="1"/>
    <col min="16130" max="16130" width="14.28515625" style="409" customWidth="1"/>
    <col min="16131" max="16142" width="11.28515625" style="409" customWidth="1"/>
    <col min="16143" max="16143" width="10.140625" style="409" customWidth="1"/>
    <col min="16144" max="16384" width="9.140625" style="409"/>
  </cols>
  <sheetData>
    <row r="1" spans="1:17" ht="15.75" x14ac:dyDescent="0.25">
      <c r="O1" s="1001" t="s">
        <v>1083</v>
      </c>
    </row>
    <row r="3" spans="1:17" s="446" customFormat="1" ht="15" customHeight="1" x14ac:dyDescent="0.25">
      <c r="B3" s="4271" t="s">
        <v>1081</v>
      </c>
      <c r="C3" s="4271"/>
      <c r="D3" s="4271"/>
      <c r="E3" s="4272" t="str">
        <f>'Вхідні дані'!F5</f>
        <v>ЧФ ДП "АМПУ"</v>
      </c>
      <c r="F3" s="4272"/>
      <c r="G3" s="4272"/>
      <c r="H3" s="4272"/>
      <c r="I3" s="4273" t="s">
        <v>1082</v>
      </c>
      <c r="J3" s="4273"/>
      <c r="K3" s="4273"/>
      <c r="L3" s="999" t="str">
        <f>'Вхідні дані'!F6</f>
        <v>2023-2024</v>
      </c>
      <c r="M3" s="1000" t="s">
        <v>648</v>
      </c>
      <c r="N3" s="447"/>
      <c r="O3" s="447"/>
    </row>
    <row r="4" spans="1:17" s="446" customFormat="1" ht="15" x14ac:dyDescent="0.25">
      <c r="A4" s="448"/>
      <c r="B4" s="448"/>
      <c r="C4" s="448"/>
      <c r="D4" s="448"/>
      <c r="E4" s="448"/>
      <c r="F4" s="448"/>
      <c r="G4" s="449"/>
      <c r="H4" s="449"/>
      <c r="I4" s="449"/>
      <c r="J4" s="449"/>
      <c r="K4" s="449"/>
      <c r="L4" s="449"/>
      <c r="M4" s="449"/>
      <c r="N4" s="449"/>
      <c r="O4" s="449"/>
    </row>
    <row r="5" spans="1:17" s="446" customFormat="1" ht="15.75" x14ac:dyDescent="0.25">
      <c r="A5" s="4266" t="s">
        <v>1088</v>
      </c>
      <c r="B5" s="4267" t="s">
        <v>2567</v>
      </c>
      <c r="C5" s="4269" t="s">
        <v>1089</v>
      </c>
      <c r="D5" s="4269"/>
      <c r="E5" s="4269"/>
      <c r="F5" s="4269"/>
      <c r="G5" s="4269"/>
      <c r="H5" s="4269"/>
      <c r="I5" s="4269"/>
      <c r="J5" s="4269"/>
      <c r="K5" s="4269"/>
      <c r="L5" s="4269"/>
      <c r="M5" s="4269"/>
      <c r="N5" s="4269"/>
      <c r="O5" s="4270" t="s">
        <v>1084</v>
      </c>
    </row>
    <row r="6" spans="1:17" s="446" customFormat="1" ht="112.15" customHeight="1" x14ac:dyDescent="0.25">
      <c r="A6" s="4266"/>
      <c r="B6" s="4268"/>
      <c r="C6" s="995">
        <v>44470</v>
      </c>
      <c r="D6" s="995">
        <v>44501</v>
      </c>
      <c r="E6" s="995">
        <v>44531</v>
      </c>
      <c r="F6" s="995">
        <v>44562</v>
      </c>
      <c r="G6" s="995">
        <v>44593</v>
      </c>
      <c r="H6" s="995">
        <v>44621</v>
      </c>
      <c r="I6" s="995">
        <v>44652</v>
      </c>
      <c r="J6" s="995">
        <v>44682</v>
      </c>
      <c r="K6" s="995">
        <v>44713</v>
      </c>
      <c r="L6" s="995">
        <v>44743</v>
      </c>
      <c r="M6" s="995">
        <v>44774</v>
      </c>
      <c r="N6" s="995">
        <v>44805</v>
      </c>
      <c r="O6" s="4270"/>
    </row>
    <row r="7" spans="1:17" s="450" customFormat="1" ht="15.75" x14ac:dyDescent="0.25">
      <c r="A7" s="996">
        <v>1</v>
      </c>
      <c r="B7" s="996">
        <v>2</v>
      </c>
      <c r="C7" s="996">
        <v>3</v>
      </c>
      <c r="D7" s="996">
        <v>4</v>
      </c>
      <c r="E7" s="996">
        <v>5</v>
      </c>
      <c r="F7" s="996">
        <v>6</v>
      </c>
      <c r="G7" s="996">
        <v>7</v>
      </c>
      <c r="H7" s="996">
        <v>8</v>
      </c>
      <c r="I7" s="996">
        <v>9</v>
      </c>
      <c r="J7" s="996">
        <v>10</v>
      </c>
      <c r="K7" s="996">
        <v>11</v>
      </c>
      <c r="L7" s="996">
        <v>12</v>
      </c>
      <c r="M7" s="996">
        <v>13</v>
      </c>
      <c r="N7" s="996">
        <v>14</v>
      </c>
      <c r="O7" s="996">
        <v>15</v>
      </c>
    </row>
    <row r="8" spans="1:17" ht="15.75" x14ac:dyDescent="0.25">
      <c r="A8" s="997" t="s">
        <v>1085</v>
      </c>
      <c r="B8" s="1864">
        <f>15027944.37+13558.69-14.5</f>
        <v>15041488.559999999</v>
      </c>
      <c r="C8" s="1864">
        <v>175284.6</v>
      </c>
      <c r="D8" s="1864">
        <v>175284.45</v>
      </c>
      <c r="E8" s="1864">
        <v>175283.64</v>
      </c>
      <c r="F8" s="1864">
        <v>174381.34</v>
      </c>
      <c r="G8" s="1864">
        <v>173064.28</v>
      </c>
      <c r="H8" s="1864">
        <v>172853.65</v>
      </c>
      <c r="I8" s="1864">
        <v>172853.65</v>
      </c>
      <c r="J8" s="1864">
        <v>172853.38</v>
      </c>
      <c r="K8" s="1864">
        <v>172244.85</v>
      </c>
      <c r="L8" s="1864">
        <v>172244.56</v>
      </c>
      <c r="M8" s="1864">
        <v>153619.92000000001</v>
      </c>
      <c r="N8" s="1864">
        <v>153619.64000000001</v>
      </c>
      <c r="O8" s="1865">
        <f>SUM(C8:N8)</f>
        <v>2043587.9600000004</v>
      </c>
      <c r="P8" s="1973">
        <f>15041488.56</f>
        <v>15041488.560000001</v>
      </c>
      <c r="Q8" s="1862">
        <f>B8-P8</f>
        <v>0</v>
      </c>
    </row>
    <row r="9" spans="1:17" ht="15.75" x14ac:dyDescent="0.25">
      <c r="A9" s="997" t="s">
        <v>2569</v>
      </c>
      <c r="B9" s="1864">
        <v>27050337.100000001</v>
      </c>
      <c r="C9" s="1864">
        <v>337061.74</v>
      </c>
      <c r="D9" s="1864">
        <v>337061.74</v>
      </c>
      <c r="E9" s="1864">
        <v>337061.74</v>
      </c>
      <c r="F9" s="1864">
        <v>337061.74</v>
      </c>
      <c r="G9" s="1864">
        <v>337061.74</v>
      </c>
      <c r="H9" s="1864">
        <v>337061.74</v>
      </c>
      <c r="I9" s="1864">
        <v>337048.74</v>
      </c>
      <c r="J9" s="1864">
        <v>337045.35</v>
      </c>
      <c r="K9" s="1864">
        <v>337045.35</v>
      </c>
      <c r="L9" s="1864">
        <v>337045.35</v>
      </c>
      <c r="M9" s="1864">
        <v>337045.12</v>
      </c>
      <c r="N9" s="1864">
        <v>336966.61</v>
      </c>
      <c r="O9" s="1865">
        <f t="shared" ref="O9:O16" si="0">SUM(C9:N9)</f>
        <v>4044566.96</v>
      </c>
      <c r="P9" s="1973">
        <f>29460162.33</f>
        <v>29460162.329999998</v>
      </c>
      <c r="Q9" s="1974">
        <f>P9-B9-B10</f>
        <v>0</v>
      </c>
    </row>
    <row r="10" spans="1:17" ht="15.75" x14ac:dyDescent="0.25">
      <c r="A10" s="997" t="s">
        <v>2568</v>
      </c>
      <c r="B10" s="1864">
        <f>2409836.55-11.32</f>
        <v>2409825.23</v>
      </c>
      <c r="C10" s="1864">
        <v>28763.23</v>
      </c>
      <c r="D10" s="1864">
        <v>28763.23</v>
      </c>
      <c r="E10" s="1864">
        <v>28763.23</v>
      </c>
      <c r="F10" s="1864">
        <v>28763.23</v>
      </c>
      <c r="G10" s="1864">
        <v>28763.23</v>
      </c>
      <c r="H10" s="1864">
        <v>28763.23</v>
      </c>
      <c r="I10" s="1864">
        <v>28763.23</v>
      </c>
      <c r="J10" s="1864">
        <v>28763.23</v>
      </c>
      <c r="K10" s="1864">
        <v>28763.23</v>
      </c>
      <c r="L10" s="1864">
        <v>28763.23</v>
      </c>
      <c r="M10" s="1864">
        <v>28763.23</v>
      </c>
      <c r="N10" s="1864">
        <v>28763.23</v>
      </c>
      <c r="O10" s="1865">
        <f t="shared" si="0"/>
        <v>345158.76</v>
      </c>
      <c r="P10" s="1973"/>
      <c r="Q10" s="1973"/>
    </row>
    <row r="11" spans="1:17" ht="15.75" x14ac:dyDescent="0.25">
      <c r="A11" s="997" t="s">
        <v>1086</v>
      </c>
      <c r="B11" s="1864">
        <f>17792.43+B110</f>
        <v>4039263.9200000004</v>
      </c>
      <c r="C11" s="1864">
        <f>738.2+C110</f>
        <v>73263.3</v>
      </c>
      <c r="D11" s="1864">
        <f>738.2+D110</f>
        <v>73263.3</v>
      </c>
      <c r="E11" s="1864">
        <f t="shared" ref="E11:N11" si="1">738.2+E110</f>
        <v>73263.3</v>
      </c>
      <c r="F11" s="1864">
        <f t="shared" si="1"/>
        <v>73263.3</v>
      </c>
      <c r="G11" s="1864">
        <f t="shared" si="1"/>
        <v>73263.3</v>
      </c>
      <c r="H11" s="1864">
        <f t="shared" si="1"/>
        <v>73263.3</v>
      </c>
      <c r="I11" s="1864">
        <f t="shared" si="1"/>
        <v>73263.3</v>
      </c>
      <c r="J11" s="1864">
        <f t="shared" si="1"/>
        <v>73263.3</v>
      </c>
      <c r="K11" s="1864">
        <f t="shared" si="1"/>
        <v>73263.3</v>
      </c>
      <c r="L11" s="1864">
        <f t="shared" si="1"/>
        <v>73263.3</v>
      </c>
      <c r="M11" s="1864">
        <f t="shared" si="1"/>
        <v>73263.3</v>
      </c>
      <c r="N11" s="1864">
        <f t="shared" si="1"/>
        <v>73263.3</v>
      </c>
      <c r="O11" s="1865">
        <f t="shared" si="0"/>
        <v>879159.60000000021</v>
      </c>
      <c r="P11" s="1973">
        <v>4039263.92</v>
      </c>
      <c r="Q11" s="1862">
        <f>P11-B11</f>
        <v>0</v>
      </c>
    </row>
    <row r="12" spans="1:17" ht="33.75" customHeight="1" x14ac:dyDescent="0.25">
      <c r="A12" s="997" t="s">
        <v>990</v>
      </c>
      <c r="B12" s="1864">
        <v>23737.42</v>
      </c>
      <c r="C12" s="1864">
        <v>840.99</v>
      </c>
      <c r="D12" s="1864">
        <v>840.99</v>
      </c>
      <c r="E12" s="1864">
        <v>840.99</v>
      </c>
      <c r="F12" s="1864">
        <v>840.99</v>
      </c>
      <c r="G12" s="1864">
        <v>840.99</v>
      </c>
      <c r="H12" s="1864">
        <v>840.99</v>
      </c>
      <c r="I12" s="1864">
        <v>840.99</v>
      </c>
      <c r="J12" s="1864">
        <v>840.99</v>
      </c>
      <c r="K12" s="1864">
        <v>840.99</v>
      </c>
      <c r="L12" s="1864">
        <v>840.99</v>
      </c>
      <c r="M12" s="1864">
        <v>840.99</v>
      </c>
      <c r="N12" s="1864">
        <v>840.99</v>
      </c>
      <c r="O12" s="1865">
        <f>SUM(C12:N12)</f>
        <v>10091.879999999999</v>
      </c>
      <c r="P12" s="1973">
        <v>23737.42</v>
      </c>
      <c r="Q12" s="1862">
        <f t="shared" ref="Q12:Q13" si="2">P12-B12</f>
        <v>0</v>
      </c>
    </row>
    <row r="13" spans="1:17" ht="30.75" customHeight="1" x14ac:dyDescent="0.25">
      <c r="A13" s="997" t="s">
        <v>1087</v>
      </c>
      <c r="B13" s="1864">
        <v>15862.42</v>
      </c>
      <c r="C13" s="1864">
        <v>345.71</v>
      </c>
      <c r="D13" s="1864">
        <v>345.71</v>
      </c>
      <c r="E13" s="1864">
        <v>345.71</v>
      </c>
      <c r="F13" s="1864">
        <v>345.71</v>
      </c>
      <c r="G13" s="1864">
        <v>345.71</v>
      </c>
      <c r="H13" s="1864">
        <v>345.71</v>
      </c>
      <c r="I13" s="1864">
        <v>345.71</v>
      </c>
      <c r="J13" s="1864">
        <v>345.71</v>
      </c>
      <c r="K13" s="1864">
        <v>345.71</v>
      </c>
      <c r="L13" s="1864">
        <v>345.71</v>
      </c>
      <c r="M13" s="1864">
        <v>345.71</v>
      </c>
      <c r="N13" s="1864">
        <v>345.71</v>
      </c>
      <c r="O13" s="1865">
        <f>SUM(C13:N13)</f>
        <v>4148.5199999999995</v>
      </c>
      <c r="P13" s="1973">
        <v>15862.42</v>
      </c>
      <c r="Q13" s="1862">
        <f t="shared" si="2"/>
        <v>0</v>
      </c>
    </row>
    <row r="14" spans="1:17" ht="15.75" x14ac:dyDescent="0.25">
      <c r="A14" s="997" t="s">
        <v>2690</v>
      </c>
      <c r="B14" s="1864">
        <f>7769550.14000001-B110</f>
        <v>3748078.6500000097</v>
      </c>
      <c r="C14" s="1864">
        <f>121833.85-C110</f>
        <v>49308.75</v>
      </c>
      <c r="D14" s="1864">
        <f>121833.85-D110</f>
        <v>49308.75</v>
      </c>
      <c r="E14" s="1864">
        <f>121833.85-E110</f>
        <v>49308.75</v>
      </c>
      <c r="F14" s="1864">
        <f>121833.85-F110</f>
        <v>49308.75</v>
      </c>
      <c r="G14" s="1864">
        <f>121833.85-G110</f>
        <v>49308.75</v>
      </c>
      <c r="H14" s="1864">
        <f>121764.94-H110</f>
        <v>49239.839999999997</v>
      </c>
      <c r="I14" s="1864">
        <f t="shared" ref="I14:N14" si="3">121764.42-I110</f>
        <v>49239.319999999992</v>
      </c>
      <c r="J14" s="1864">
        <f t="shared" si="3"/>
        <v>49239.319999999992</v>
      </c>
      <c r="K14" s="1864">
        <f t="shared" si="3"/>
        <v>49239.319999999992</v>
      </c>
      <c r="L14" s="1864">
        <f t="shared" si="3"/>
        <v>49239.319999999992</v>
      </c>
      <c r="M14" s="1864">
        <f t="shared" si="3"/>
        <v>49239.319999999992</v>
      </c>
      <c r="N14" s="1864">
        <f t="shared" si="3"/>
        <v>49239.319999999992</v>
      </c>
      <c r="O14" s="1865">
        <f t="shared" si="0"/>
        <v>591219.50999999989</v>
      </c>
      <c r="P14" s="1973">
        <f>3748078.65</f>
        <v>3748078.65</v>
      </c>
      <c r="Q14" s="1862">
        <f>B14-P14</f>
        <v>9.7788870334625244E-9</v>
      </c>
    </row>
    <row r="15" spans="1:17" ht="15.75" x14ac:dyDescent="0.25">
      <c r="A15" s="997" t="s">
        <v>1001</v>
      </c>
      <c r="B15" s="1864">
        <v>671510.03</v>
      </c>
      <c r="C15" s="1864">
        <v>7738.96</v>
      </c>
      <c r="D15" s="1864">
        <v>7738.96</v>
      </c>
      <c r="E15" s="1864">
        <v>7738.96</v>
      </c>
      <c r="F15" s="1864">
        <v>7738.96</v>
      </c>
      <c r="G15" s="1864">
        <v>7738.96</v>
      </c>
      <c r="H15" s="1864">
        <v>7738.96</v>
      </c>
      <c r="I15" s="1864">
        <v>7693.21</v>
      </c>
      <c r="J15" s="1864">
        <v>7689.79</v>
      </c>
      <c r="K15" s="1864">
        <v>7689.79</v>
      </c>
      <c r="L15" s="1864">
        <v>7689.79</v>
      </c>
      <c r="M15" s="1864">
        <v>7689.79</v>
      </c>
      <c r="N15" s="1864">
        <v>7689.79</v>
      </c>
      <c r="O15" s="1865">
        <f t="shared" si="0"/>
        <v>92575.919999999984</v>
      </c>
      <c r="P15" s="1973">
        <v>671510.03</v>
      </c>
      <c r="Q15" s="1862">
        <f>B15-P15</f>
        <v>0</v>
      </c>
    </row>
    <row r="16" spans="1:17" ht="15.75" x14ac:dyDescent="0.25">
      <c r="A16" s="997" t="s">
        <v>1080</v>
      </c>
      <c r="B16" s="1864">
        <v>179537.8</v>
      </c>
      <c r="C16" s="1864">
        <v>3231.96</v>
      </c>
      <c r="D16" s="1864">
        <v>3231.96</v>
      </c>
      <c r="E16" s="1864">
        <v>3231.96</v>
      </c>
      <c r="F16" s="1864">
        <v>3231.96</v>
      </c>
      <c r="G16" s="1864">
        <v>3231.76</v>
      </c>
      <c r="H16" s="1864">
        <v>2996.89</v>
      </c>
      <c r="I16" s="1864">
        <v>2996.89</v>
      </c>
      <c r="J16" s="1864">
        <v>2996.89</v>
      </c>
      <c r="K16" s="1864">
        <v>2996.89</v>
      </c>
      <c r="L16" s="1864">
        <v>2996.89</v>
      </c>
      <c r="M16" s="1864">
        <v>2996.89</v>
      </c>
      <c r="N16" s="1864">
        <v>2996.89</v>
      </c>
      <c r="O16" s="1865">
        <f t="shared" si="0"/>
        <v>37137.83</v>
      </c>
      <c r="P16" s="1973">
        <v>179537.8</v>
      </c>
      <c r="Q16" s="1862">
        <f>B16-P16</f>
        <v>0</v>
      </c>
    </row>
    <row r="17" spans="1:17" s="451" customFormat="1" ht="15.75" x14ac:dyDescent="0.25">
      <c r="A17" s="998" t="s">
        <v>994</v>
      </c>
      <c r="B17" s="1866">
        <f t="shared" ref="B17:O17" si="4">SUM(B8:B16)</f>
        <v>53179641.13000001</v>
      </c>
      <c r="C17" s="1866">
        <f t="shared" si="4"/>
        <v>675839.23999999987</v>
      </c>
      <c r="D17" s="1866">
        <f t="shared" si="4"/>
        <v>675839.09</v>
      </c>
      <c r="E17" s="1866">
        <f t="shared" si="4"/>
        <v>675838.27999999991</v>
      </c>
      <c r="F17" s="1866">
        <f t="shared" si="4"/>
        <v>674935.97999999986</v>
      </c>
      <c r="G17" s="1866">
        <f t="shared" si="4"/>
        <v>673618.72</v>
      </c>
      <c r="H17" s="1866">
        <f t="shared" si="4"/>
        <v>673104.30999999994</v>
      </c>
      <c r="I17" s="1866">
        <f t="shared" si="4"/>
        <v>673045.03999999992</v>
      </c>
      <c r="J17" s="1866">
        <f t="shared" si="4"/>
        <v>673037.96</v>
      </c>
      <c r="K17" s="1866">
        <f t="shared" si="4"/>
        <v>672429.42999999993</v>
      </c>
      <c r="L17" s="1866">
        <f t="shared" si="4"/>
        <v>672429.14</v>
      </c>
      <c r="M17" s="1866">
        <f t="shared" si="4"/>
        <v>653804.27</v>
      </c>
      <c r="N17" s="1866">
        <f t="shared" si="4"/>
        <v>653725.48</v>
      </c>
      <c r="O17" s="1866">
        <f t="shared" si="4"/>
        <v>8047646.9399999995</v>
      </c>
      <c r="P17" s="451">
        <f>SUM(P8:P16)</f>
        <v>53179641.130000003</v>
      </c>
      <c r="Q17" s="1975">
        <f>P17-B17</f>
        <v>0</v>
      </c>
    </row>
    <row r="18" spans="1:17" ht="23.25" customHeight="1" x14ac:dyDescent="0.25">
      <c r="M18" s="453"/>
      <c r="N18" s="453"/>
      <c r="O18" s="453"/>
    </row>
    <row r="19" spans="1:17" ht="18.75" x14ac:dyDescent="0.25">
      <c r="B19" s="445" t="str">
        <f>'Вхідні дані'!B13</f>
        <v>В.о. начальника Адміністрації морського порту Чорноморськ</v>
      </c>
      <c r="C19" s="409"/>
      <c r="G19" s="407" t="s">
        <v>369</v>
      </c>
      <c r="M19" s="4274" t="str">
        <f>'Вхідні дані'!F13</f>
        <v>Юрій СОКОЛОВ</v>
      </c>
      <c r="N19" s="4274"/>
      <c r="O19" s="4274"/>
    </row>
    <row r="20" spans="1:17" ht="15.75" x14ac:dyDescent="0.25">
      <c r="B20" s="408"/>
      <c r="C20" s="409"/>
      <c r="G20" s="410" t="s">
        <v>220</v>
      </c>
      <c r="M20" s="4265" t="s">
        <v>1946</v>
      </c>
      <c r="N20" s="4265"/>
      <c r="O20" s="4265"/>
    </row>
    <row r="21" spans="1:17" s="406" customFormat="1" ht="18.75" x14ac:dyDescent="0.25">
      <c r="B21" s="445" t="s">
        <v>2591</v>
      </c>
      <c r="G21" s="407" t="s">
        <v>369</v>
      </c>
      <c r="M21" s="4274" t="s">
        <v>2592</v>
      </c>
      <c r="N21" s="4274"/>
      <c r="O21" s="4274"/>
    </row>
    <row r="22" spans="1:17" s="406" customFormat="1" ht="15.75" x14ac:dyDescent="0.25">
      <c r="B22" s="412" t="s">
        <v>1077</v>
      </c>
      <c r="G22" s="410" t="s">
        <v>220</v>
      </c>
      <c r="M22" s="4265" t="s">
        <v>1946</v>
      </c>
      <c r="N22" s="4265"/>
      <c r="O22" s="4265"/>
    </row>
    <row r="23" spans="1:17" s="406" customFormat="1" x14ac:dyDescent="0.25">
      <c r="A23" s="452"/>
      <c r="B23" s="409"/>
    </row>
    <row r="25" spans="1:17" hidden="1" x14ac:dyDescent="0.25"/>
    <row r="26" spans="1:17" hidden="1" x14ac:dyDescent="0.25"/>
    <row r="27" spans="1:17" hidden="1" x14ac:dyDescent="0.25"/>
    <row r="28" spans="1:17" hidden="1" x14ac:dyDescent="0.25"/>
    <row r="29" spans="1:17" hidden="1" x14ac:dyDescent="0.25"/>
    <row r="30" spans="1:17" hidden="1" x14ac:dyDescent="0.25"/>
    <row r="31" spans="1:17" hidden="1" x14ac:dyDescent="0.25"/>
    <row r="32" spans="1:17" hidden="1" x14ac:dyDescent="0.25"/>
    <row r="33" spans="1:19" hidden="1" x14ac:dyDescent="0.25">
      <c r="O33" s="1859"/>
      <c r="P33" s="1859"/>
      <c r="Q33" s="1859"/>
    </row>
    <row r="34" spans="1:19" hidden="1" x14ac:dyDescent="0.25">
      <c r="A34" s="1857" t="s">
        <v>2570</v>
      </c>
      <c r="C34" s="1858" t="s">
        <v>2580</v>
      </c>
      <c r="D34" s="1858" t="s">
        <v>2586</v>
      </c>
      <c r="E34" s="1858" t="s">
        <v>2587</v>
      </c>
      <c r="F34" s="1858" t="s">
        <v>2571</v>
      </c>
      <c r="G34" s="1858" t="s">
        <v>2572</v>
      </c>
      <c r="H34" s="1858" t="s">
        <v>2573</v>
      </c>
      <c r="I34" s="1858" t="s">
        <v>2574</v>
      </c>
      <c r="J34" s="1858" t="s">
        <v>2575</v>
      </c>
      <c r="K34" s="1858" t="s">
        <v>2576</v>
      </c>
      <c r="L34" s="1858" t="s">
        <v>2577</v>
      </c>
      <c r="M34" s="1858" t="s">
        <v>2578</v>
      </c>
      <c r="N34" s="1858" t="s">
        <v>2579</v>
      </c>
      <c r="O34" s="1860" t="s">
        <v>2580</v>
      </c>
      <c r="P34" s="1859"/>
      <c r="Q34" s="1859"/>
      <c r="R34" s="406"/>
      <c r="S34" s="406"/>
    </row>
    <row r="35" spans="1:19" hidden="1" x14ac:dyDescent="0.25">
      <c r="A35" s="409" t="s">
        <v>2581</v>
      </c>
      <c r="C35" s="1858">
        <v>15027944.369999999</v>
      </c>
      <c r="D35" s="1858">
        <v>14852673.01</v>
      </c>
      <c r="E35" s="1858">
        <v>14677401.800000001</v>
      </c>
      <c r="F35" s="1858">
        <v>14502118.34</v>
      </c>
      <c r="G35" s="1858">
        <v>14327741.85</v>
      </c>
      <c r="H35" s="1858">
        <v>14154690.810000001</v>
      </c>
      <c r="I35" s="1858">
        <v>13981850.4</v>
      </c>
      <c r="J35" s="1858">
        <v>13809009.99</v>
      </c>
      <c r="K35" s="1858">
        <v>13636169.85</v>
      </c>
      <c r="L35" s="1858">
        <v>13463938.24</v>
      </c>
      <c r="M35" s="1858">
        <v>13291706.92</v>
      </c>
      <c r="N35" s="1858">
        <v>13138100.24</v>
      </c>
      <c r="O35" s="1860">
        <v>40037896.229999997</v>
      </c>
      <c r="P35" s="1859">
        <f>O35-O37</f>
        <v>39523302.879999995</v>
      </c>
      <c r="Q35" s="1863">
        <f>O38-P35</f>
        <v>0</v>
      </c>
      <c r="R35" s="406"/>
      <c r="S35" s="406"/>
    </row>
    <row r="36" spans="1:19" hidden="1" x14ac:dyDescent="0.25">
      <c r="A36" s="409" t="s">
        <v>2582</v>
      </c>
      <c r="C36" s="1858">
        <v>20003220.239999998</v>
      </c>
      <c r="D36" s="1858">
        <v>20003220.239999998</v>
      </c>
      <c r="E36" s="1858">
        <v>20003220.239999998</v>
      </c>
      <c r="F36" s="1858">
        <v>20003220.239999998</v>
      </c>
      <c r="G36" s="1858">
        <v>20003220.239999998</v>
      </c>
      <c r="H36" s="1858">
        <v>20003220.239999998</v>
      </c>
      <c r="I36" s="1858">
        <v>20003220.239999998</v>
      </c>
      <c r="J36" s="1858">
        <v>20003220.239999998</v>
      </c>
      <c r="K36" s="1858">
        <v>20003220.239999998</v>
      </c>
      <c r="L36" s="1858">
        <v>20003220.239999998</v>
      </c>
      <c r="M36" s="1858">
        <v>20003220.239999998</v>
      </c>
      <c r="N36" s="1858">
        <v>20003220.239999998</v>
      </c>
      <c r="O36" s="1860">
        <v>70685792.939999998</v>
      </c>
      <c r="P36" s="1859"/>
      <c r="Q36" s="1859"/>
      <c r="R36" s="406"/>
      <c r="S36" s="406"/>
    </row>
    <row r="37" spans="1:19" hidden="1" x14ac:dyDescent="0.25">
      <c r="A37" s="409" t="s">
        <v>2583</v>
      </c>
      <c r="C37" s="1858">
        <v>175284.6</v>
      </c>
      <c r="D37" s="1858">
        <v>175284.45</v>
      </c>
      <c r="E37" s="1858">
        <v>175283.64</v>
      </c>
      <c r="F37" s="1858">
        <v>174381.34</v>
      </c>
      <c r="G37" s="1858">
        <v>173064.28</v>
      </c>
      <c r="H37" s="1858">
        <v>172853.65</v>
      </c>
      <c r="I37" s="1858">
        <v>172853.65</v>
      </c>
      <c r="J37" s="1858">
        <v>172853.38</v>
      </c>
      <c r="K37" s="1858">
        <v>172244.85</v>
      </c>
      <c r="L37" s="1858">
        <v>172244.56</v>
      </c>
      <c r="M37" s="1858">
        <v>153619.92000000001</v>
      </c>
      <c r="N37" s="1858">
        <v>153619.64000000001</v>
      </c>
      <c r="O37" s="1860">
        <v>514593.35</v>
      </c>
      <c r="P37" s="1859"/>
      <c r="Q37" s="1859"/>
      <c r="R37" s="406"/>
      <c r="S37" s="406"/>
    </row>
    <row r="38" spans="1:19" hidden="1" x14ac:dyDescent="0.25">
      <c r="A38" s="409" t="s">
        <v>2584</v>
      </c>
      <c r="C38" s="1858">
        <v>14852659.77</v>
      </c>
      <c r="D38" s="1858">
        <v>14677388.560000001</v>
      </c>
      <c r="E38" s="1858">
        <v>14502118.16</v>
      </c>
      <c r="F38" s="1858">
        <v>14327737</v>
      </c>
      <c r="G38" s="1858">
        <v>14154677.57</v>
      </c>
      <c r="H38" s="1858">
        <v>13981837.16</v>
      </c>
      <c r="I38" s="1858">
        <v>13808996.75</v>
      </c>
      <c r="J38" s="1858">
        <v>13636156.609999999</v>
      </c>
      <c r="K38" s="1858">
        <v>13463925</v>
      </c>
      <c r="L38" s="1858">
        <v>13291693.68</v>
      </c>
      <c r="M38" s="1858">
        <v>13138087</v>
      </c>
      <c r="N38" s="1858">
        <v>12984480.6</v>
      </c>
      <c r="O38" s="1860">
        <v>39523302.880000003</v>
      </c>
      <c r="P38" s="1859"/>
      <c r="Q38" s="1859"/>
      <c r="R38" s="406"/>
      <c r="S38" s="406"/>
    </row>
    <row r="39" spans="1:19" hidden="1" x14ac:dyDescent="0.25">
      <c r="A39" s="409" t="s">
        <v>2585</v>
      </c>
      <c r="C39" s="1858"/>
      <c r="D39" s="1858"/>
      <c r="E39" s="1858"/>
      <c r="F39" s="1858">
        <v>174381.34</v>
      </c>
      <c r="G39" s="1858">
        <v>173064.28</v>
      </c>
      <c r="H39" s="1858">
        <v>172853.65</v>
      </c>
      <c r="I39" s="1858">
        <v>172853.65</v>
      </c>
      <c r="J39" s="1858">
        <v>172853.38</v>
      </c>
      <c r="K39" s="1858">
        <v>172244.85</v>
      </c>
      <c r="L39" s="1858">
        <v>172244.56</v>
      </c>
      <c r="M39" s="1858">
        <v>153619.92000000001</v>
      </c>
      <c r="N39" s="1858">
        <v>153619.64000000001</v>
      </c>
      <c r="O39" s="1860">
        <v>513583.71</v>
      </c>
      <c r="P39" s="1859"/>
      <c r="Q39" s="1859"/>
      <c r="R39" s="406"/>
      <c r="S39" s="406"/>
    </row>
    <row r="40" spans="1:19" hidden="1" x14ac:dyDescent="0.25">
      <c r="C40" s="1858">
        <v>175284.6</v>
      </c>
      <c r="D40" s="1858">
        <v>175284.45</v>
      </c>
      <c r="E40" s="1858">
        <v>175283.64</v>
      </c>
      <c r="F40" s="1858">
        <v>174381.34</v>
      </c>
      <c r="G40" s="1858">
        <v>173064.28</v>
      </c>
      <c r="H40" s="1858">
        <v>172853.65</v>
      </c>
      <c r="I40" s="1858">
        <v>172853.65</v>
      </c>
      <c r="J40" s="1858">
        <v>172853.38</v>
      </c>
      <c r="K40" s="1858">
        <v>172244.85</v>
      </c>
      <c r="L40" s="1858">
        <v>172244.56</v>
      </c>
      <c r="M40" s="1858">
        <v>153619.92000000001</v>
      </c>
      <c r="N40" s="1858">
        <v>153619.64000000001</v>
      </c>
      <c r="O40" s="1860">
        <v>514593.35</v>
      </c>
      <c r="P40" s="1859"/>
      <c r="Q40" s="1859"/>
      <c r="R40" s="406"/>
      <c r="S40" s="406"/>
    </row>
    <row r="41" spans="1:19" hidden="1" x14ac:dyDescent="0.25">
      <c r="C41" s="1858"/>
      <c r="D41" s="1858"/>
      <c r="E41" s="1858"/>
      <c r="F41" s="1858"/>
      <c r="G41" s="1858"/>
      <c r="H41" s="1858"/>
      <c r="I41" s="1858"/>
      <c r="J41" s="1858"/>
      <c r="K41" s="1858"/>
      <c r="L41" s="1858"/>
      <c r="M41" s="1858"/>
      <c r="N41" s="1858"/>
      <c r="O41" s="1859"/>
      <c r="P41" s="1859"/>
      <c r="Q41" s="1859"/>
    </row>
    <row r="42" spans="1:19" hidden="1" x14ac:dyDescent="0.25">
      <c r="A42" s="451" t="s">
        <v>2588</v>
      </c>
      <c r="C42" s="1858" t="s">
        <v>2580</v>
      </c>
      <c r="D42" s="1858" t="s">
        <v>2586</v>
      </c>
      <c r="E42" s="1858" t="s">
        <v>2587</v>
      </c>
      <c r="F42" s="1858" t="s">
        <v>2571</v>
      </c>
      <c r="G42" s="1858" t="s">
        <v>2572</v>
      </c>
      <c r="H42" s="1858" t="s">
        <v>2573</v>
      </c>
      <c r="I42" s="1858" t="s">
        <v>2574</v>
      </c>
      <c r="J42" s="1858" t="s">
        <v>2575</v>
      </c>
      <c r="K42" s="1858" t="s">
        <v>2576</v>
      </c>
      <c r="L42" s="1858" t="s">
        <v>2577</v>
      </c>
      <c r="M42" s="1858" t="s">
        <v>2578</v>
      </c>
      <c r="N42" s="1858" t="s">
        <v>2579</v>
      </c>
      <c r="O42" s="1860"/>
      <c r="P42" s="1859"/>
      <c r="Q42" s="1859"/>
    </row>
    <row r="43" spans="1:19" hidden="1" x14ac:dyDescent="0.25">
      <c r="A43" s="409" t="s">
        <v>2581</v>
      </c>
      <c r="C43" s="1858">
        <v>27050337.100000001</v>
      </c>
      <c r="D43" s="1858">
        <v>26713286.68</v>
      </c>
      <c r="E43" s="1858">
        <v>26376236.260000002</v>
      </c>
      <c r="F43" s="1858">
        <v>26039185.84</v>
      </c>
      <c r="G43" s="1858">
        <v>25702135.420000002</v>
      </c>
      <c r="H43" s="1858">
        <v>25365085</v>
      </c>
      <c r="I43" s="1858">
        <v>25028034.579999998</v>
      </c>
      <c r="J43" s="1858">
        <v>24690997.16</v>
      </c>
      <c r="K43" s="1858">
        <v>24353963.129999999</v>
      </c>
      <c r="L43" s="1858">
        <v>24016929.100000001</v>
      </c>
      <c r="M43" s="1858">
        <v>23679895.07</v>
      </c>
      <c r="N43" s="1858">
        <v>23342861.27</v>
      </c>
      <c r="O43" s="1860">
        <f>C43</f>
        <v>27050337.100000001</v>
      </c>
      <c r="P43" s="1859">
        <f>O43-O45</f>
        <v>23005770.140000001</v>
      </c>
      <c r="Q43" s="1861">
        <f>O46-P43</f>
        <v>124.51999999955297</v>
      </c>
    </row>
    <row r="44" spans="1:19" hidden="1" x14ac:dyDescent="0.25">
      <c r="A44" s="409" t="s">
        <v>2582</v>
      </c>
      <c r="C44" s="1858">
        <v>45885568.850000001</v>
      </c>
      <c r="D44" s="1858">
        <v>45885568.850000001</v>
      </c>
      <c r="E44" s="1858">
        <v>45885568.850000001</v>
      </c>
      <c r="F44" s="1858">
        <v>45885568.850000001</v>
      </c>
      <c r="G44" s="1858">
        <v>45885568.850000001</v>
      </c>
      <c r="H44" s="1858">
        <v>45885568.850000001</v>
      </c>
      <c r="I44" s="1858">
        <v>45885568.850000001</v>
      </c>
      <c r="J44" s="1858">
        <v>45885568.850000001</v>
      </c>
      <c r="K44" s="1858">
        <v>45885568.850000001</v>
      </c>
      <c r="L44" s="1858">
        <v>45885568.850000001</v>
      </c>
      <c r="M44" s="1858">
        <v>45885568.850000001</v>
      </c>
      <c r="N44" s="1858">
        <v>45885568.850000001</v>
      </c>
      <c r="O44" s="1860">
        <v>20003220.239999998</v>
      </c>
      <c r="P44" s="1859"/>
      <c r="Q44" s="1859"/>
    </row>
    <row r="45" spans="1:19" hidden="1" x14ac:dyDescent="0.25">
      <c r="A45" s="409" t="s">
        <v>2583</v>
      </c>
      <c r="C45" s="1858">
        <v>337061.74</v>
      </c>
      <c r="D45" s="1858">
        <v>337061.74</v>
      </c>
      <c r="E45" s="1858">
        <v>337061.74</v>
      </c>
      <c r="F45" s="1858">
        <v>337061.74</v>
      </c>
      <c r="G45" s="1858">
        <v>337061.74</v>
      </c>
      <c r="H45" s="1858">
        <v>337061.74</v>
      </c>
      <c r="I45" s="1858">
        <v>337048.74</v>
      </c>
      <c r="J45" s="1858">
        <v>337045.35</v>
      </c>
      <c r="K45" s="1858">
        <v>337045.35</v>
      </c>
      <c r="L45" s="1858">
        <v>337045.35</v>
      </c>
      <c r="M45" s="1858">
        <v>337045.12</v>
      </c>
      <c r="N45" s="1858">
        <v>336966.61</v>
      </c>
      <c r="O45" s="1860">
        <f>SUM(C45:N45)</f>
        <v>4044566.96</v>
      </c>
      <c r="P45" s="1859"/>
      <c r="Q45" s="1859"/>
    </row>
    <row r="46" spans="1:19" hidden="1" x14ac:dyDescent="0.25">
      <c r="A46" s="409" t="s">
        <v>2584</v>
      </c>
      <c r="C46" s="1858">
        <v>26713275.359999999</v>
      </c>
      <c r="D46" s="1858">
        <v>26376224.940000001</v>
      </c>
      <c r="E46" s="1858">
        <v>26039174.52</v>
      </c>
      <c r="F46" s="1858">
        <v>25702124.100000001</v>
      </c>
      <c r="G46" s="1858">
        <v>25365073.68</v>
      </c>
      <c r="H46" s="1858">
        <v>25028023.260000002</v>
      </c>
      <c r="I46" s="1858">
        <v>24690985.84</v>
      </c>
      <c r="J46" s="1858">
        <v>24353951.809999999</v>
      </c>
      <c r="K46" s="1858">
        <v>24016917.780000001</v>
      </c>
      <c r="L46" s="1858">
        <v>23679883.75</v>
      </c>
      <c r="M46" s="1858">
        <v>23342849.949999999</v>
      </c>
      <c r="N46" s="1858">
        <v>23005894.66</v>
      </c>
      <c r="O46" s="1860">
        <f>N46</f>
        <v>23005894.66</v>
      </c>
      <c r="P46" s="1859"/>
      <c r="Q46" s="1859"/>
    </row>
    <row r="47" spans="1:19" hidden="1" x14ac:dyDescent="0.25">
      <c r="A47" s="409" t="s">
        <v>2585</v>
      </c>
      <c r="C47" s="1858"/>
      <c r="D47" s="1858"/>
      <c r="E47" s="1858"/>
      <c r="F47" s="1858">
        <v>337061.74</v>
      </c>
      <c r="G47" s="1858">
        <v>337061.74</v>
      </c>
      <c r="H47" s="1858">
        <v>337061.74</v>
      </c>
      <c r="I47" s="1858">
        <v>337048.74</v>
      </c>
      <c r="J47" s="1858">
        <v>337045.35</v>
      </c>
      <c r="K47" s="1858">
        <v>337045.35</v>
      </c>
      <c r="L47" s="1858">
        <v>337045.35</v>
      </c>
      <c r="M47" s="1858">
        <v>337045.12</v>
      </c>
      <c r="N47" s="1858">
        <v>336966.61</v>
      </c>
      <c r="O47" s="1860"/>
      <c r="P47" s="1859"/>
      <c r="Q47" s="1859"/>
    </row>
    <row r="48" spans="1:19" hidden="1" x14ac:dyDescent="0.25">
      <c r="C48" s="1858">
        <v>337061.74</v>
      </c>
      <c r="D48" s="1858">
        <v>337061.74</v>
      </c>
      <c r="E48" s="1858">
        <v>337061.74</v>
      </c>
      <c r="F48" s="1858">
        <v>337061.74</v>
      </c>
      <c r="G48" s="1858">
        <v>337061.74</v>
      </c>
      <c r="H48" s="1858">
        <v>337061.74</v>
      </c>
      <c r="I48" s="1858">
        <v>337048.74</v>
      </c>
      <c r="J48" s="1858">
        <v>337045.35</v>
      </c>
      <c r="K48" s="1858">
        <v>337045.35</v>
      </c>
      <c r="L48" s="1858">
        <v>337045.35</v>
      </c>
      <c r="M48" s="1858">
        <v>337045.12</v>
      </c>
      <c r="N48" s="1858">
        <v>336966.61</v>
      </c>
      <c r="O48" s="1860">
        <f>O43-O46</f>
        <v>4044442.4400000013</v>
      </c>
      <c r="P48" s="1859"/>
      <c r="Q48" s="1859"/>
    </row>
    <row r="49" spans="1:17" x14ac:dyDescent="0.25">
      <c r="C49" s="1858"/>
      <c r="D49" s="1858"/>
      <c r="E49" s="1858"/>
      <c r="F49" s="1858"/>
      <c r="G49" s="1858"/>
      <c r="H49" s="1858"/>
      <c r="I49" s="1858"/>
      <c r="J49" s="1858"/>
      <c r="K49" s="1858"/>
      <c r="L49" s="1858"/>
      <c r="M49" s="1858"/>
      <c r="N49" s="1858"/>
      <c r="O49" s="1859"/>
      <c r="P49" s="1859"/>
      <c r="Q49" s="1859"/>
    </row>
    <row r="50" spans="1:17" hidden="1" x14ac:dyDescent="0.25">
      <c r="A50" s="451" t="s">
        <v>2589</v>
      </c>
      <c r="C50" s="1858" t="s">
        <v>2580</v>
      </c>
      <c r="D50" s="1858" t="s">
        <v>2586</v>
      </c>
      <c r="E50" s="1858" t="s">
        <v>2587</v>
      </c>
      <c r="F50" s="1858" t="s">
        <v>2571</v>
      </c>
      <c r="G50" s="1858" t="s">
        <v>2572</v>
      </c>
      <c r="H50" s="1858" t="s">
        <v>2573</v>
      </c>
      <c r="I50" s="1858" t="s">
        <v>2574</v>
      </c>
      <c r="J50" s="1858" t="s">
        <v>2575</v>
      </c>
      <c r="K50" s="1858" t="s">
        <v>2576</v>
      </c>
      <c r="L50" s="1858" t="s">
        <v>2577</v>
      </c>
      <c r="M50" s="1858" t="s">
        <v>2578</v>
      </c>
      <c r="N50" s="1858" t="s">
        <v>2579</v>
      </c>
      <c r="O50" s="1860"/>
      <c r="P50" s="1859"/>
      <c r="Q50" s="1859"/>
    </row>
    <row r="51" spans="1:17" hidden="1" x14ac:dyDescent="0.25">
      <c r="A51" s="409" t="s">
        <v>2581</v>
      </c>
      <c r="B51" s="406">
        <f>B10-C51</f>
        <v>-11.319999999832362</v>
      </c>
      <c r="C51" s="1858">
        <v>2409836.5499999998</v>
      </c>
      <c r="D51" s="1858">
        <v>2381073.3199999998</v>
      </c>
      <c r="E51" s="1858">
        <v>2352310.09</v>
      </c>
      <c r="F51" s="1858">
        <v>2323546.86</v>
      </c>
      <c r="G51" s="1858">
        <v>2294783.63</v>
      </c>
      <c r="H51" s="1858">
        <v>2266020.4</v>
      </c>
      <c r="I51" s="1858">
        <v>2237257.17</v>
      </c>
      <c r="J51" s="1858">
        <v>2208493.94</v>
      </c>
      <c r="K51" s="1858">
        <v>2179730.71</v>
      </c>
      <c r="L51" s="1858">
        <v>2150967.48</v>
      </c>
      <c r="M51" s="1858">
        <v>2122204.25</v>
      </c>
      <c r="N51" s="1858">
        <v>2093441.02</v>
      </c>
      <c r="O51" s="1860">
        <f>C51</f>
        <v>2409836.5499999998</v>
      </c>
      <c r="P51" s="1859">
        <f>O51-O53</f>
        <v>2064677.7899999998</v>
      </c>
      <c r="Q51" s="1859">
        <f>O54-P51</f>
        <v>0</v>
      </c>
    </row>
    <row r="52" spans="1:17" hidden="1" x14ac:dyDescent="0.25">
      <c r="A52" s="409" t="s">
        <v>2582</v>
      </c>
      <c r="C52" s="1858">
        <v>5318749.79</v>
      </c>
      <c r="D52" s="1858">
        <v>5318749.79</v>
      </c>
      <c r="E52" s="1858">
        <v>5318749.79</v>
      </c>
      <c r="F52" s="1858">
        <v>5318749.79</v>
      </c>
      <c r="G52" s="1858">
        <v>5318749.79</v>
      </c>
      <c r="H52" s="1858">
        <v>5318749.79</v>
      </c>
      <c r="I52" s="1858">
        <v>5318749.79</v>
      </c>
      <c r="J52" s="1858">
        <v>5318749.79</v>
      </c>
      <c r="K52" s="1858">
        <v>5318749.79</v>
      </c>
      <c r="L52" s="1858">
        <v>5318749.79</v>
      </c>
      <c r="M52" s="1858">
        <v>5318749.79</v>
      </c>
      <c r="N52" s="1858">
        <v>5318749.79</v>
      </c>
      <c r="O52" s="1860">
        <v>20003220.239999998</v>
      </c>
      <c r="P52" s="1859"/>
      <c r="Q52" s="1859"/>
    </row>
    <row r="53" spans="1:17" hidden="1" x14ac:dyDescent="0.25">
      <c r="A53" s="409" t="s">
        <v>2583</v>
      </c>
      <c r="B53" s="406">
        <f>O10-O53</f>
        <v>0</v>
      </c>
      <c r="C53" s="1858">
        <v>28763.23</v>
      </c>
      <c r="D53" s="1858">
        <v>28763.23</v>
      </c>
      <c r="E53" s="1858">
        <v>28763.23</v>
      </c>
      <c r="F53" s="1858">
        <v>28763.23</v>
      </c>
      <c r="G53" s="1858">
        <v>28763.23</v>
      </c>
      <c r="H53" s="1858">
        <v>28763.23</v>
      </c>
      <c r="I53" s="1858">
        <v>28763.23</v>
      </c>
      <c r="J53" s="1858">
        <v>28763.23</v>
      </c>
      <c r="K53" s="1858">
        <v>28763.23</v>
      </c>
      <c r="L53" s="1858">
        <v>28763.23</v>
      </c>
      <c r="M53" s="1858">
        <v>28763.23</v>
      </c>
      <c r="N53" s="1858">
        <v>28763.23</v>
      </c>
      <c r="O53" s="1860">
        <f>SUM(C53:N53)</f>
        <v>345158.76</v>
      </c>
      <c r="P53" s="1859"/>
      <c r="Q53" s="1859"/>
    </row>
    <row r="54" spans="1:17" hidden="1" x14ac:dyDescent="0.25">
      <c r="A54" s="409" t="s">
        <v>2584</v>
      </c>
      <c r="C54" s="1858">
        <v>2381073.3199999998</v>
      </c>
      <c r="D54" s="1858">
        <v>2352310.09</v>
      </c>
      <c r="E54" s="1858">
        <v>2323546.86</v>
      </c>
      <c r="F54" s="1858">
        <v>2294783.63</v>
      </c>
      <c r="G54" s="1858">
        <v>2266020.4</v>
      </c>
      <c r="H54" s="1858">
        <v>2237257.17</v>
      </c>
      <c r="I54" s="1858">
        <v>2208493.94</v>
      </c>
      <c r="J54" s="1858">
        <v>2179730.71</v>
      </c>
      <c r="K54" s="1858">
        <v>2150967.48</v>
      </c>
      <c r="L54" s="1858">
        <v>2122204.25</v>
      </c>
      <c r="M54" s="1858">
        <v>2093441.02</v>
      </c>
      <c r="N54" s="1858">
        <v>2064677.79</v>
      </c>
      <c r="O54" s="1860">
        <f>N54</f>
        <v>2064677.79</v>
      </c>
      <c r="P54" s="1859"/>
      <c r="Q54" s="1859"/>
    </row>
    <row r="55" spans="1:17" hidden="1" x14ac:dyDescent="0.25">
      <c r="A55" s="409" t="s">
        <v>2585</v>
      </c>
      <c r="C55" s="1858">
        <f>C51-C53-C54</f>
        <v>0</v>
      </c>
      <c r="D55" s="1858">
        <f t="shared" ref="D55" si="5">D51-D53-D54</f>
        <v>0</v>
      </c>
      <c r="E55" s="1858">
        <f t="shared" ref="E55" si="6">E51-E53-E54</f>
        <v>0</v>
      </c>
      <c r="F55" s="1858">
        <f t="shared" ref="F55" si="7">F51-F53-F54</f>
        <v>0</v>
      </c>
      <c r="G55" s="1858">
        <f t="shared" ref="G55" si="8">G51-G53-G54</f>
        <v>0</v>
      </c>
      <c r="H55" s="1858">
        <f t="shared" ref="H55" si="9">H51-H53-H54</f>
        <v>0</v>
      </c>
      <c r="I55" s="1858">
        <f t="shared" ref="I55" si="10">I51-I53-I54</f>
        <v>0</v>
      </c>
      <c r="J55" s="1858">
        <f t="shared" ref="J55" si="11">J51-J53-J54</f>
        <v>0</v>
      </c>
      <c r="K55" s="1858">
        <f t="shared" ref="K55" si="12">K51-K53-K54</f>
        <v>0</v>
      </c>
      <c r="L55" s="1858">
        <f t="shared" ref="L55" si="13">L51-L53-L54</f>
        <v>0</v>
      </c>
      <c r="M55" s="1858">
        <f t="shared" ref="M55" si="14">M51-M53-M54</f>
        <v>0</v>
      </c>
      <c r="N55" s="1858">
        <f t="shared" ref="N55" si="15">N51-N53-N54</f>
        <v>0</v>
      </c>
      <c r="O55" s="1860"/>
      <c r="P55" s="1859"/>
      <c r="Q55" s="1859"/>
    </row>
    <row r="56" spans="1:17" hidden="1" x14ac:dyDescent="0.25">
      <c r="C56" s="1858">
        <v>28763.23</v>
      </c>
      <c r="D56" s="1858">
        <v>28763.23</v>
      </c>
      <c r="E56" s="1858">
        <v>28763.23</v>
      </c>
      <c r="F56" s="1858">
        <v>28763.23</v>
      </c>
      <c r="G56" s="1858">
        <v>28763.23</v>
      </c>
      <c r="H56" s="1858">
        <v>28763.23</v>
      </c>
      <c r="I56" s="1858">
        <v>28763.23</v>
      </c>
      <c r="J56" s="1858">
        <v>28763.23</v>
      </c>
      <c r="K56" s="1858">
        <v>28763.23</v>
      </c>
      <c r="L56" s="1858">
        <v>28763.23</v>
      </c>
      <c r="M56" s="1858">
        <v>28763.23</v>
      </c>
      <c r="N56" s="1858">
        <v>28763.23</v>
      </c>
      <c r="O56" s="1860">
        <f>O51-O54</f>
        <v>345158.75999999978</v>
      </c>
      <c r="P56" s="1859"/>
      <c r="Q56" s="1859"/>
    </row>
    <row r="57" spans="1:17" hidden="1" x14ac:dyDescent="0.25">
      <c r="C57" s="1858"/>
      <c r="D57" s="1858"/>
      <c r="E57" s="1858"/>
      <c r="F57" s="1858"/>
      <c r="G57" s="1858"/>
      <c r="H57" s="1858"/>
      <c r="I57" s="1858"/>
      <c r="J57" s="1858"/>
      <c r="K57" s="1858"/>
      <c r="L57" s="1858"/>
      <c r="M57" s="1858"/>
      <c r="N57" s="1858"/>
      <c r="O57" s="1859"/>
      <c r="P57" s="1859"/>
      <c r="Q57" s="1859"/>
    </row>
    <row r="58" spans="1:17" hidden="1" x14ac:dyDescent="0.25">
      <c r="A58" s="451" t="s">
        <v>2590</v>
      </c>
      <c r="C58" s="1858" t="s">
        <v>2580</v>
      </c>
      <c r="D58" s="1858" t="s">
        <v>2586</v>
      </c>
      <c r="E58" s="1858" t="s">
        <v>2587</v>
      </c>
      <c r="F58" s="1858" t="s">
        <v>2571</v>
      </c>
      <c r="G58" s="1858" t="s">
        <v>2572</v>
      </c>
      <c r="H58" s="1858" t="s">
        <v>2573</v>
      </c>
      <c r="I58" s="1858" t="s">
        <v>2574</v>
      </c>
      <c r="J58" s="1858" t="s">
        <v>2575</v>
      </c>
      <c r="K58" s="1858" t="s">
        <v>2576</v>
      </c>
      <c r="L58" s="1858" t="s">
        <v>2577</v>
      </c>
      <c r="M58" s="1858" t="s">
        <v>2578</v>
      </c>
      <c r="N58" s="1858" t="s">
        <v>2579</v>
      </c>
      <c r="O58" s="1859"/>
      <c r="P58" s="1859"/>
      <c r="Q58" s="1859"/>
    </row>
    <row r="59" spans="1:17" hidden="1" x14ac:dyDescent="0.25">
      <c r="A59" s="409" t="s">
        <v>2581</v>
      </c>
      <c r="B59" s="406">
        <f>B11-C59</f>
        <v>4021471.49</v>
      </c>
      <c r="C59" s="1858">
        <v>17792.43</v>
      </c>
      <c r="D59" s="1858">
        <v>17054.23</v>
      </c>
      <c r="E59" s="1858">
        <v>16316.03</v>
      </c>
      <c r="F59" s="1858">
        <v>15577.83</v>
      </c>
      <c r="G59" s="1858">
        <v>14839.63</v>
      </c>
      <c r="H59" s="1858">
        <v>14101.43</v>
      </c>
      <c r="I59" s="1858">
        <v>13363.23</v>
      </c>
      <c r="J59" s="1858">
        <v>12625.03</v>
      </c>
      <c r="K59" s="1858">
        <v>11886.83</v>
      </c>
      <c r="L59" s="1858">
        <v>11148.63</v>
      </c>
      <c r="M59" s="1858">
        <v>10410.43</v>
      </c>
      <c r="N59" s="1858">
        <v>9672.23</v>
      </c>
      <c r="O59" s="1860">
        <f>C59</f>
        <v>17792.43</v>
      </c>
      <c r="P59" s="1859">
        <f>O59-O61</f>
        <v>8934.0300000000007</v>
      </c>
      <c r="Q59" s="1859">
        <f>O62-P59</f>
        <v>0</v>
      </c>
    </row>
    <row r="60" spans="1:17" hidden="1" x14ac:dyDescent="0.25">
      <c r="A60" s="409" t="s">
        <v>2582</v>
      </c>
      <c r="C60" s="1858">
        <v>44290.75</v>
      </c>
      <c r="D60" s="1858">
        <v>44290.75</v>
      </c>
      <c r="E60" s="1858">
        <v>44290.75</v>
      </c>
      <c r="F60" s="1858">
        <v>44290.75</v>
      </c>
      <c r="G60" s="1858">
        <v>44290.75</v>
      </c>
      <c r="H60" s="1858">
        <v>44290.75</v>
      </c>
      <c r="I60" s="1858">
        <v>44290.75</v>
      </c>
      <c r="J60" s="1858">
        <v>44290.75</v>
      </c>
      <c r="K60" s="1858">
        <v>44290.75</v>
      </c>
      <c r="L60" s="1858">
        <v>44290.75</v>
      </c>
      <c r="M60" s="1858">
        <v>44290.75</v>
      </c>
      <c r="N60" s="1858">
        <v>44290.75</v>
      </c>
      <c r="O60" s="1860">
        <v>20003220.239999998</v>
      </c>
      <c r="P60" s="1859"/>
      <c r="Q60" s="1859"/>
    </row>
    <row r="61" spans="1:17" hidden="1" x14ac:dyDescent="0.25">
      <c r="A61" s="409" t="s">
        <v>2583</v>
      </c>
      <c r="B61" s="406">
        <f>O11-O61</f>
        <v>870301.20000000019</v>
      </c>
      <c r="C61" s="1858">
        <v>738.2</v>
      </c>
      <c r="D61" s="1858">
        <v>738.2</v>
      </c>
      <c r="E61" s="1858">
        <v>738.2</v>
      </c>
      <c r="F61" s="1858">
        <v>738.2</v>
      </c>
      <c r="G61" s="1858">
        <v>738.2</v>
      </c>
      <c r="H61" s="1858">
        <v>738.2</v>
      </c>
      <c r="I61" s="1858">
        <v>738.2</v>
      </c>
      <c r="J61" s="1858">
        <v>738.2</v>
      </c>
      <c r="K61" s="1858">
        <v>738.2</v>
      </c>
      <c r="L61" s="1858">
        <v>738.2</v>
      </c>
      <c r="M61" s="1858">
        <v>738.2</v>
      </c>
      <c r="N61" s="1858">
        <v>738.2</v>
      </c>
      <c r="O61" s="1860">
        <f>SUM(C61:N61)</f>
        <v>8858.4</v>
      </c>
      <c r="P61" s="1859"/>
      <c r="Q61" s="1859"/>
    </row>
    <row r="62" spans="1:17" hidden="1" x14ac:dyDescent="0.25">
      <c r="A62" s="409" t="s">
        <v>2584</v>
      </c>
      <c r="C62" s="1858">
        <v>17054.23</v>
      </c>
      <c r="D62" s="1858">
        <v>16316.03</v>
      </c>
      <c r="E62" s="1858">
        <v>15577.83</v>
      </c>
      <c r="F62" s="1858">
        <v>14839.63</v>
      </c>
      <c r="G62" s="1858">
        <v>14101.43</v>
      </c>
      <c r="H62" s="1858">
        <v>13363.23</v>
      </c>
      <c r="I62" s="1858">
        <v>12625.03</v>
      </c>
      <c r="J62" s="1858">
        <v>11886.83</v>
      </c>
      <c r="K62" s="1858">
        <v>11148.63</v>
      </c>
      <c r="L62" s="1858">
        <v>10410.43</v>
      </c>
      <c r="M62" s="1858">
        <v>9672.23</v>
      </c>
      <c r="N62" s="1858">
        <v>8934.0300000000007</v>
      </c>
      <c r="O62" s="1860">
        <f>N62</f>
        <v>8934.0300000000007</v>
      </c>
      <c r="P62" s="1859"/>
      <c r="Q62" s="1859"/>
    </row>
    <row r="63" spans="1:17" hidden="1" x14ac:dyDescent="0.25">
      <c r="A63" s="409" t="s">
        <v>2585</v>
      </c>
      <c r="C63" s="1858">
        <f>C59-C61-C62</f>
        <v>0</v>
      </c>
      <c r="D63" s="1858">
        <f t="shared" ref="D63" si="16">D59-D61-D62</f>
        <v>0</v>
      </c>
      <c r="E63" s="1858">
        <f t="shared" ref="E63" si="17">E59-E61-E62</f>
        <v>0</v>
      </c>
      <c r="F63" s="1858">
        <f t="shared" ref="F63" si="18">F59-F61-F62</f>
        <v>0</v>
      </c>
      <c r="G63" s="1858">
        <f t="shared" ref="G63" si="19">G59-G61-G62</f>
        <v>0</v>
      </c>
      <c r="H63" s="1858">
        <f t="shared" ref="H63" si="20">H59-H61-H62</f>
        <v>0</v>
      </c>
      <c r="I63" s="1858">
        <f t="shared" ref="I63" si="21">I59-I61-I62</f>
        <v>0</v>
      </c>
      <c r="J63" s="1858">
        <f t="shared" ref="J63" si="22">J59-J61-J62</f>
        <v>0</v>
      </c>
      <c r="K63" s="1858">
        <f t="shared" ref="K63" si="23">K59-K61-K62</f>
        <v>0</v>
      </c>
      <c r="L63" s="1858">
        <f t="shared" ref="L63" si="24">L59-L61-L62</f>
        <v>0</v>
      </c>
      <c r="M63" s="1858">
        <f t="shared" ref="M63" si="25">M59-M61-M62</f>
        <v>0</v>
      </c>
      <c r="N63" s="1858">
        <f t="shared" ref="N63" si="26">N59-N61-N62</f>
        <v>0</v>
      </c>
      <c r="O63" s="1860"/>
      <c r="P63" s="1859"/>
      <c r="Q63" s="1859"/>
    </row>
    <row r="64" spans="1:17" hidden="1" x14ac:dyDescent="0.25">
      <c r="C64" s="1858">
        <v>738.2</v>
      </c>
      <c r="D64" s="1858">
        <v>738.2</v>
      </c>
      <c r="E64" s="1858">
        <v>738.2</v>
      </c>
      <c r="F64" s="1858">
        <v>738.2</v>
      </c>
      <c r="G64" s="1858">
        <v>738.2</v>
      </c>
      <c r="H64" s="1858">
        <v>738.2</v>
      </c>
      <c r="I64" s="1858">
        <v>738.2</v>
      </c>
      <c r="J64" s="1858">
        <v>738.2</v>
      </c>
      <c r="K64" s="1858">
        <v>738.2</v>
      </c>
      <c r="L64" s="1858">
        <v>738.2</v>
      </c>
      <c r="M64" s="1858">
        <v>738.2</v>
      </c>
      <c r="N64" s="1858">
        <v>738.2</v>
      </c>
      <c r="O64" s="1860">
        <f>O59-O62</f>
        <v>8858.4</v>
      </c>
      <c r="P64" s="1859"/>
      <c r="Q64" s="1859"/>
    </row>
    <row r="65" spans="1:17" x14ac:dyDescent="0.25">
      <c r="C65" s="1858"/>
      <c r="D65" s="1858"/>
      <c r="E65" s="1858"/>
      <c r="F65" s="1858"/>
      <c r="G65" s="1858"/>
      <c r="H65" s="1858"/>
      <c r="I65" s="1858"/>
      <c r="J65" s="1858"/>
      <c r="K65" s="1858"/>
      <c r="L65" s="1858"/>
      <c r="M65" s="1858"/>
      <c r="N65" s="1858"/>
      <c r="O65" s="1859"/>
      <c r="P65" s="1859"/>
      <c r="Q65" s="1859"/>
    </row>
    <row r="66" spans="1:17" ht="24" hidden="1" x14ac:dyDescent="0.25">
      <c r="A66" s="451" t="s">
        <v>990</v>
      </c>
      <c r="C66" s="1858" t="s">
        <v>2580</v>
      </c>
      <c r="D66" s="1858" t="s">
        <v>2586</v>
      </c>
      <c r="E66" s="1858" t="s">
        <v>2587</v>
      </c>
      <c r="F66" s="1858" t="s">
        <v>2571</v>
      </c>
      <c r="G66" s="1858" t="s">
        <v>2572</v>
      </c>
      <c r="H66" s="1858" t="s">
        <v>2573</v>
      </c>
      <c r="I66" s="1858" t="s">
        <v>2574</v>
      </c>
      <c r="J66" s="1858" t="s">
        <v>2575</v>
      </c>
      <c r="K66" s="1858" t="s">
        <v>2576</v>
      </c>
      <c r="L66" s="1858" t="s">
        <v>2577</v>
      </c>
      <c r="M66" s="1858" t="s">
        <v>2578</v>
      </c>
      <c r="N66" s="1858" t="s">
        <v>2579</v>
      </c>
      <c r="O66" s="1859"/>
      <c r="P66" s="1859"/>
      <c r="Q66" s="1859"/>
    </row>
    <row r="67" spans="1:17" hidden="1" x14ac:dyDescent="0.25">
      <c r="A67" s="409" t="s">
        <v>2581</v>
      </c>
      <c r="B67" s="1858">
        <f>C67-B12</f>
        <v>0</v>
      </c>
      <c r="C67" s="1858">
        <v>23737.42</v>
      </c>
      <c r="D67" s="1858">
        <v>22896.43</v>
      </c>
      <c r="E67" s="1858">
        <v>22055.439999999999</v>
      </c>
      <c r="F67" s="1858">
        <v>21214.45</v>
      </c>
      <c r="G67" s="1858">
        <v>20373.46</v>
      </c>
      <c r="H67" s="1858">
        <v>19532.47</v>
      </c>
      <c r="I67" s="1858">
        <v>18691.48</v>
      </c>
      <c r="J67" s="1858">
        <v>17850.490000000002</v>
      </c>
      <c r="K67" s="1858">
        <v>17009.5</v>
      </c>
      <c r="L67" s="1858">
        <v>16168.51</v>
      </c>
      <c r="M67" s="1858">
        <v>15327.52</v>
      </c>
      <c r="N67" s="1858">
        <v>14486.53</v>
      </c>
      <c r="O67" s="1860">
        <f>C67</f>
        <v>23737.42</v>
      </c>
      <c r="P67" s="1859">
        <f>O67-O69</f>
        <v>13645.539999999999</v>
      </c>
      <c r="Q67" s="1859">
        <f>O70-P67</f>
        <v>0</v>
      </c>
    </row>
    <row r="68" spans="1:17" hidden="1" x14ac:dyDescent="0.25">
      <c r="A68" s="409" t="s">
        <v>2582</v>
      </c>
      <c r="C68" s="1858">
        <v>50458.67</v>
      </c>
      <c r="D68" s="1858">
        <v>50458.67</v>
      </c>
      <c r="E68" s="1858">
        <v>50458.67</v>
      </c>
      <c r="F68" s="1858">
        <v>50458.67</v>
      </c>
      <c r="G68" s="1858">
        <v>50458.67</v>
      </c>
      <c r="H68" s="1858">
        <v>50458.67</v>
      </c>
      <c r="I68" s="1858">
        <v>50458.67</v>
      </c>
      <c r="J68" s="1858">
        <v>50458.67</v>
      </c>
      <c r="K68" s="1858">
        <v>50458.67</v>
      </c>
      <c r="L68" s="1858">
        <v>50458.67</v>
      </c>
      <c r="M68" s="1858">
        <v>50458.67</v>
      </c>
      <c r="N68" s="1858">
        <v>50458.67</v>
      </c>
      <c r="O68" s="1860">
        <v>20003220.239999998</v>
      </c>
      <c r="P68" s="1859"/>
      <c r="Q68" s="1859"/>
    </row>
    <row r="69" spans="1:17" hidden="1" x14ac:dyDescent="0.25">
      <c r="A69" s="409" t="s">
        <v>2583</v>
      </c>
      <c r="B69" s="406">
        <f>O12-O69</f>
        <v>0</v>
      </c>
      <c r="C69" s="1858">
        <v>840.99</v>
      </c>
      <c r="D69" s="1858">
        <v>840.99</v>
      </c>
      <c r="E69" s="1858">
        <v>840.99</v>
      </c>
      <c r="F69" s="1858">
        <v>840.99</v>
      </c>
      <c r="G69" s="1858">
        <v>840.99</v>
      </c>
      <c r="H69" s="1858">
        <v>840.99</v>
      </c>
      <c r="I69" s="1858">
        <v>840.99</v>
      </c>
      <c r="J69" s="1858">
        <v>840.99</v>
      </c>
      <c r="K69" s="1858">
        <v>840.99</v>
      </c>
      <c r="L69" s="1858">
        <v>840.99</v>
      </c>
      <c r="M69" s="1858">
        <v>840.99</v>
      </c>
      <c r="N69" s="1858">
        <v>840.99</v>
      </c>
      <c r="O69" s="1860">
        <f>SUM(C69:N69)</f>
        <v>10091.879999999999</v>
      </c>
      <c r="P69" s="1859"/>
      <c r="Q69" s="1859"/>
    </row>
    <row r="70" spans="1:17" hidden="1" x14ac:dyDescent="0.25">
      <c r="A70" s="409" t="s">
        <v>2584</v>
      </c>
      <c r="C70" s="1858">
        <v>22896.43</v>
      </c>
      <c r="D70" s="1858">
        <v>22055.439999999999</v>
      </c>
      <c r="E70" s="1858">
        <v>21214.45</v>
      </c>
      <c r="F70" s="1858">
        <v>20373.46</v>
      </c>
      <c r="G70" s="1858">
        <v>19532.47</v>
      </c>
      <c r="H70" s="1858">
        <v>18691.48</v>
      </c>
      <c r="I70" s="1858">
        <v>17850.490000000002</v>
      </c>
      <c r="J70" s="1858">
        <v>17009.5</v>
      </c>
      <c r="K70" s="1858">
        <v>16168.51</v>
      </c>
      <c r="L70" s="1858">
        <v>15327.52</v>
      </c>
      <c r="M70" s="1858">
        <v>14486.53</v>
      </c>
      <c r="N70" s="1858">
        <v>13645.54</v>
      </c>
      <c r="O70" s="1860">
        <f>N70</f>
        <v>13645.54</v>
      </c>
      <c r="P70" s="1859"/>
      <c r="Q70" s="1859"/>
    </row>
    <row r="71" spans="1:17" hidden="1" x14ac:dyDescent="0.25">
      <c r="A71" s="409" t="s">
        <v>2585</v>
      </c>
      <c r="C71" s="1858">
        <f>C67-C69-C70</f>
        <v>0</v>
      </c>
      <c r="D71" s="1858">
        <f t="shared" ref="D71" si="27">D67-D69-D70</f>
        <v>0</v>
      </c>
      <c r="E71" s="1858">
        <f t="shared" ref="E71" si="28">E67-E69-E70</f>
        <v>0</v>
      </c>
      <c r="F71" s="1858">
        <f t="shared" ref="F71" si="29">F67-F69-F70</f>
        <v>0</v>
      </c>
      <c r="G71" s="1858">
        <f t="shared" ref="G71" si="30">G67-G69-G70</f>
        <v>0</v>
      </c>
      <c r="H71" s="1858">
        <f t="shared" ref="H71" si="31">H67-H69-H70</f>
        <v>0</v>
      </c>
      <c r="I71" s="1858">
        <f t="shared" ref="I71" si="32">I67-I69-I70</f>
        <v>0</v>
      </c>
      <c r="J71" s="1858">
        <f t="shared" ref="J71" si="33">J67-J69-J70</f>
        <v>0</v>
      </c>
      <c r="K71" s="1858">
        <f t="shared" ref="K71" si="34">K67-K69-K70</f>
        <v>0</v>
      </c>
      <c r="L71" s="1858">
        <f t="shared" ref="L71" si="35">L67-L69-L70</f>
        <v>0</v>
      </c>
      <c r="M71" s="1858">
        <f t="shared" ref="M71" si="36">M67-M69-M70</f>
        <v>0</v>
      </c>
      <c r="N71" s="1858">
        <f t="shared" ref="N71" si="37">N67-N69-N70</f>
        <v>0</v>
      </c>
      <c r="O71" s="1860"/>
      <c r="P71" s="1859"/>
      <c r="Q71" s="1859"/>
    </row>
    <row r="72" spans="1:17" hidden="1" x14ac:dyDescent="0.25">
      <c r="C72" s="1858">
        <v>840.99</v>
      </c>
      <c r="D72" s="1858">
        <v>840.99</v>
      </c>
      <c r="E72" s="1858">
        <v>840.99</v>
      </c>
      <c r="F72" s="1858">
        <v>840.99</v>
      </c>
      <c r="G72" s="1858">
        <v>840.99</v>
      </c>
      <c r="H72" s="1858">
        <v>840.99</v>
      </c>
      <c r="I72" s="1858">
        <v>840.99</v>
      </c>
      <c r="J72" s="1858">
        <v>840.99</v>
      </c>
      <c r="K72" s="1858">
        <v>840.99</v>
      </c>
      <c r="L72" s="1858">
        <v>840.99</v>
      </c>
      <c r="M72" s="1858">
        <v>840.99</v>
      </c>
      <c r="N72" s="1858">
        <v>840.99</v>
      </c>
      <c r="O72" s="1860">
        <f>O67-O70</f>
        <v>10091.879999999997</v>
      </c>
      <c r="P72" s="1859"/>
      <c r="Q72" s="1859"/>
    </row>
    <row r="73" spans="1:17" hidden="1" x14ac:dyDescent="0.25">
      <c r="C73" s="1858"/>
      <c r="D73" s="1858"/>
      <c r="E73" s="1858"/>
      <c r="F73" s="1858"/>
      <c r="G73" s="1858"/>
      <c r="H73" s="1858"/>
      <c r="I73" s="1858"/>
      <c r="J73" s="1858"/>
      <c r="K73" s="1858"/>
      <c r="L73" s="1858"/>
      <c r="M73" s="1858"/>
      <c r="N73" s="1858"/>
      <c r="O73" s="1859"/>
      <c r="P73" s="1859"/>
      <c r="Q73" s="1859"/>
    </row>
    <row r="74" spans="1:17" ht="24" hidden="1" x14ac:dyDescent="0.25">
      <c r="A74" s="451" t="s">
        <v>1087</v>
      </c>
      <c r="C74" s="1858" t="s">
        <v>2580</v>
      </c>
      <c r="D74" s="1858" t="s">
        <v>2586</v>
      </c>
      <c r="E74" s="1858" t="s">
        <v>2587</v>
      </c>
      <c r="F74" s="1858" t="s">
        <v>2571</v>
      </c>
      <c r="G74" s="1858" t="s">
        <v>2572</v>
      </c>
      <c r="H74" s="1858" t="s">
        <v>2573</v>
      </c>
      <c r="I74" s="1858" t="s">
        <v>2574</v>
      </c>
      <c r="J74" s="1858" t="s">
        <v>2575</v>
      </c>
      <c r="K74" s="1858" t="s">
        <v>2576</v>
      </c>
      <c r="L74" s="1858" t="s">
        <v>2577</v>
      </c>
      <c r="M74" s="1858" t="s">
        <v>2578</v>
      </c>
      <c r="N74" s="1858" t="s">
        <v>2579</v>
      </c>
      <c r="O74" s="1859"/>
      <c r="P74" s="1859"/>
      <c r="Q74" s="1859"/>
    </row>
    <row r="75" spans="1:17" hidden="1" x14ac:dyDescent="0.25">
      <c r="A75" s="409" t="s">
        <v>2581</v>
      </c>
      <c r="B75" s="1858">
        <f>C75-B13</f>
        <v>0</v>
      </c>
      <c r="C75" s="1858">
        <v>15862.42</v>
      </c>
      <c r="D75" s="1858">
        <v>15516.71</v>
      </c>
      <c r="E75" s="1858">
        <v>15171</v>
      </c>
      <c r="F75" s="1858">
        <v>14825.29</v>
      </c>
      <c r="G75" s="1858">
        <v>14479.58</v>
      </c>
      <c r="H75" s="1858">
        <v>14133.87</v>
      </c>
      <c r="I75" s="1858">
        <v>13788.16</v>
      </c>
      <c r="J75" s="1858">
        <v>13442.45</v>
      </c>
      <c r="K75" s="1858">
        <v>13096.74</v>
      </c>
      <c r="L75" s="1858">
        <v>12751.03</v>
      </c>
      <c r="M75" s="1858">
        <v>12405.32</v>
      </c>
      <c r="N75" s="1858">
        <v>12059.61</v>
      </c>
      <c r="O75" s="1860">
        <f>C75</f>
        <v>15862.42</v>
      </c>
      <c r="P75" s="1859">
        <f>O75-O77</f>
        <v>11713.900000000001</v>
      </c>
      <c r="Q75" s="1859">
        <f>O78-P75</f>
        <v>0</v>
      </c>
    </row>
    <row r="76" spans="1:17" hidden="1" x14ac:dyDescent="0.25">
      <c r="A76" s="409" t="s">
        <v>2582</v>
      </c>
      <c r="C76" s="1858">
        <v>24822.33</v>
      </c>
      <c r="D76" s="1858">
        <v>24822.33</v>
      </c>
      <c r="E76" s="1858">
        <v>24822.33</v>
      </c>
      <c r="F76" s="1858">
        <v>24822.33</v>
      </c>
      <c r="G76" s="1858">
        <v>24822.33</v>
      </c>
      <c r="H76" s="1858">
        <v>24822.33</v>
      </c>
      <c r="I76" s="1858">
        <v>24822.33</v>
      </c>
      <c r="J76" s="1858">
        <v>24822.33</v>
      </c>
      <c r="K76" s="1858">
        <v>24822.33</v>
      </c>
      <c r="L76" s="1858">
        <v>24822.33</v>
      </c>
      <c r="M76" s="1858">
        <v>24822.33</v>
      </c>
      <c r="N76" s="1858">
        <v>24822.33</v>
      </c>
      <c r="O76" s="1860">
        <v>20003220.239999998</v>
      </c>
      <c r="P76" s="1859"/>
      <c r="Q76" s="1859"/>
    </row>
    <row r="77" spans="1:17" hidden="1" x14ac:dyDescent="0.25">
      <c r="A77" s="409" t="s">
        <v>2583</v>
      </c>
      <c r="B77" s="406">
        <f>O13-O77</f>
        <v>0</v>
      </c>
      <c r="C77" s="1858">
        <v>345.71</v>
      </c>
      <c r="D77" s="1858">
        <v>345.71</v>
      </c>
      <c r="E77" s="1858">
        <v>345.71</v>
      </c>
      <c r="F77" s="1858">
        <v>345.71</v>
      </c>
      <c r="G77" s="1858">
        <v>345.71</v>
      </c>
      <c r="H77" s="1858">
        <v>345.71</v>
      </c>
      <c r="I77" s="1858">
        <v>345.71</v>
      </c>
      <c r="J77" s="1858">
        <v>345.71</v>
      </c>
      <c r="K77" s="1858">
        <v>345.71</v>
      </c>
      <c r="L77" s="1858">
        <v>345.71</v>
      </c>
      <c r="M77" s="1858">
        <v>345.71</v>
      </c>
      <c r="N77" s="1858">
        <v>345.71</v>
      </c>
      <c r="O77" s="1860">
        <f>SUM(C77:N77)</f>
        <v>4148.5199999999995</v>
      </c>
      <c r="P77" s="1859"/>
      <c r="Q77" s="1859"/>
    </row>
    <row r="78" spans="1:17" hidden="1" x14ac:dyDescent="0.25">
      <c r="A78" s="409" t="s">
        <v>2584</v>
      </c>
      <c r="C78" s="1858">
        <v>15516.71</v>
      </c>
      <c r="D78" s="1858">
        <v>15171</v>
      </c>
      <c r="E78" s="1858">
        <v>14825.29</v>
      </c>
      <c r="F78" s="1858">
        <v>14479.58</v>
      </c>
      <c r="G78" s="1858">
        <v>14133.87</v>
      </c>
      <c r="H78" s="1858">
        <v>13788.16</v>
      </c>
      <c r="I78" s="1858">
        <v>13442.45</v>
      </c>
      <c r="J78" s="1858">
        <v>13096.74</v>
      </c>
      <c r="K78" s="1858">
        <v>12751.03</v>
      </c>
      <c r="L78" s="1858">
        <v>12405.32</v>
      </c>
      <c r="M78" s="1858">
        <v>12059.61</v>
      </c>
      <c r="N78" s="1858">
        <v>11713.9</v>
      </c>
      <c r="O78" s="1860">
        <f>N78</f>
        <v>11713.9</v>
      </c>
      <c r="P78" s="1859"/>
      <c r="Q78" s="1859"/>
    </row>
    <row r="79" spans="1:17" hidden="1" x14ac:dyDescent="0.25">
      <c r="A79" s="409" t="s">
        <v>2585</v>
      </c>
      <c r="C79" s="1858">
        <f>C75-C77-C78</f>
        <v>0</v>
      </c>
      <c r="D79" s="1858">
        <f t="shared" ref="D79" si="38">D75-D77-D78</f>
        <v>0</v>
      </c>
      <c r="E79" s="1858">
        <f t="shared" ref="E79" si="39">E75-E77-E78</f>
        <v>0</v>
      </c>
      <c r="F79" s="1858">
        <f t="shared" ref="F79" si="40">F75-F77-F78</f>
        <v>0</v>
      </c>
      <c r="G79" s="1858">
        <f t="shared" ref="G79" si="41">G75-G77-G78</f>
        <v>0</v>
      </c>
      <c r="H79" s="1858">
        <f t="shared" ref="H79" si="42">H75-H77-H78</f>
        <v>0</v>
      </c>
      <c r="I79" s="1858">
        <f t="shared" ref="I79" si="43">I75-I77-I78</f>
        <v>0</v>
      </c>
      <c r="J79" s="1858">
        <f t="shared" ref="J79" si="44">J75-J77-J78</f>
        <v>0</v>
      </c>
      <c r="K79" s="1858">
        <f t="shared" ref="K79" si="45">K75-K77-K78</f>
        <v>0</v>
      </c>
      <c r="L79" s="1858">
        <f t="shared" ref="L79" si="46">L75-L77-L78</f>
        <v>0</v>
      </c>
      <c r="M79" s="1858">
        <f t="shared" ref="M79" si="47">M75-M77-M78</f>
        <v>0</v>
      </c>
      <c r="N79" s="1858">
        <f t="shared" ref="N79" si="48">N75-N77-N78</f>
        <v>0</v>
      </c>
      <c r="O79" s="1860"/>
      <c r="P79" s="1859"/>
      <c r="Q79" s="1859"/>
    </row>
    <row r="80" spans="1:17" hidden="1" x14ac:dyDescent="0.25">
      <c r="C80" s="1858">
        <v>345.71</v>
      </c>
      <c r="D80" s="1858">
        <v>345.71</v>
      </c>
      <c r="E80" s="1858">
        <v>345.71</v>
      </c>
      <c r="F80" s="1858">
        <v>345.71</v>
      </c>
      <c r="G80" s="1858">
        <v>345.71</v>
      </c>
      <c r="H80" s="1858">
        <v>345.71</v>
      </c>
      <c r="I80" s="1858">
        <v>345.71</v>
      </c>
      <c r="J80" s="1858">
        <v>345.71</v>
      </c>
      <c r="K80" s="1858">
        <v>345.71</v>
      </c>
      <c r="L80" s="1858">
        <v>345.71</v>
      </c>
      <c r="M80" s="1858">
        <v>345.71</v>
      </c>
      <c r="N80" s="1858">
        <v>345.71</v>
      </c>
      <c r="O80" s="1860">
        <f>O75-O78</f>
        <v>4148.5200000000004</v>
      </c>
      <c r="P80" s="1859"/>
      <c r="Q80" s="1859"/>
    </row>
    <row r="81" spans="1:18" x14ac:dyDescent="0.25">
      <c r="C81" s="1858"/>
      <c r="D81" s="1858"/>
      <c r="E81" s="1858"/>
      <c r="F81" s="1858"/>
      <c r="G81" s="1858"/>
      <c r="H81" s="1858"/>
      <c r="I81" s="1858"/>
      <c r="J81" s="1858"/>
      <c r="K81" s="1858"/>
      <c r="L81" s="1858"/>
      <c r="M81" s="1858"/>
      <c r="N81" s="1858"/>
      <c r="O81" s="1859"/>
      <c r="P81" s="1859"/>
      <c r="Q81" s="1859"/>
    </row>
    <row r="82" spans="1:18" hidden="1" x14ac:dyDescent="0.25">
      <c r="A82" s="451" t="s">
        <v>1659</v>
      </c>
      <c r="C82" s="1858" t="s">
        <v>2580</v>
      </c>
      <c r="D82" s="1858" t="s">
        <v>2586</v>
      </c>
      <c r="E82" s="1858" t="s">
        <v>2587</v>
      </c>
      <c r="F82" s="1858" t="s">
        <v>2571</v>
      </c>
      <c r="G82" s="1858" t="s">
        <v>2572</v>
      </c>
      <c r="H82" s="1858" t="s">
        <v>2573</v>
      </c>
      <c r="I82" s="1858" t="s">
        <v>2574</v>
      </c>
      <c r="J82" s="1858" t="s">
        <v>2575</v>
      </c>
      <c r="K82" s="1858" t="s">
        <v>2576</v>
      </c>
      <c r="L82" s="1858" t="s">
        <v>2577</v>
      </c>
      <c r="M82" s="1858" t="s">
        <v>2578</v>
      </c>
      <c r="N82" s="1858" t="s">
        <v>2579</v>
      </c>
      <c r="O82" s="1859"/>
      <c r="P82" s="1859"/>
      <c r="Q82" s="1859"/>
    </row>
    <row r="83" spans="1:18" hidden="1" x14ac:dyDescent="0.25">
      <c r="A83" s="409" t="s">
        <v>2581</v>
      </c>
      <c r="B83" s="406">
        <f>B14-C83</f>
        <v>-4021471.48999999</v>
      </c>
      <c r="C83" s="1858">
        <v>7769550.1399999997</v>
      </c>
      <c r="D83" s="1858">
        <v>7647716.29</v>
      </c>
      <c r="E83" s="1858">
        <v>7525882.4400000004</v>
      </c>
      <c r="F83" s="1858">
        <v>7404048.5899999999</v>
      </c>
      <c r="G83" s="1858">
        <v>7282214.7400000002</v>
      </c>
      <c r="H83" s="1858">
        <v>7160380.8899999997</v>
      </c>
      <c r="I83" s="1858">
        <v>7038615.9500000002</v>
      </c>
      <c r="J83" s="1858">
        <v>6916851.5300000003</v>
      </c>
      <c r="K83" s="1858">
        <v>6795087.1100000003</v>
      </c>
      <c r="L83" s="1858">
        <v>6673322.6900000004</v>
      </c>
      <c r="M83" s="1858">
        <v>6551558.2699999996</v>
      </c>
      <c r="N83" s="1858">
        <v>6429793.8499999996</v>
      </c>
      <c r="O83" s="1860">
        <f>C83</f>
        <v>7769550.1399999997</v>
      </c>
      <c r="P83" s="1859">
        <f>O83-O85</f>
        <v>6308029.4299999997</v>
      </c>
      <c r="Q83" s="1859">
        <f>O86-P83</f>
        <v>0</v>
      </c>
    </row>
    <row r="84" spans="1:18" hidden="1" x14ac:dyDescent="0.25">
      <c r="A84" s="409" t="s">
        <v>2582</v>
      </c>
      <c r="C84" s="1858">
        <v>17309851.710000001</v>
      </c>
      <c r="D84" s="1858">
        <v>17309851.710000001</v>
      </c>
      <c r="E84" s="1858">
        <v>17309851.710000001</v>
      </c>
      <c r="F84" s="1858">
        <v>17309851.710000001</v>
      </c>
      <c r="G84" s="1858">
        <v>17309851.710000001</v>
      </c>
      <c r="H84" s="1858">
        <v>17309851.710000001</v>
      </c>
      <c r="I84" s="1858">
        <v>17309851.710000001</v>
      </c>
      <c r="J84" s="1858">
        <v>17309851.710000001</v>
      </c>
      <c r="K84" s="1858">
        <v>17309851.710000001</v>
      </c>
      <c r="L84" s="1858">
        <v>17309851.710000001</v>
      </c>
      <c r="M84" s="1858">
        <v>17309851.710000001</v>
      </c>
      <c r="N84" s="1858">
        <v>17309851.710000001</v>
      </c>
      <c r="O84" s="1860">
        <v>20003220.239999998</v>
      </c>
      <c r="P84" s="1859"/>
      <c r="Q84" s="1859"/>
    </row>
    <row r="85" spans="1:18" hidden="1" x14ac:dyDescent="0.25">
      <c r="A85" s="409" t="s">
        <v>2583</v>
      </c>
      <c r="B85" s="406">
        <f>O14-O85</f>
        <v>-870301.19999999984</v>
      </c>
      <c r="C85" s="1858">
        <v>121833.85</v>
      </c>
      <c r="D85" s="1858">
        <v>121833.85</v>
      </c>
      <c r="E85" s="1858">
        <v>121833.85</v>
      </c>
      <c r="F85" s="1858">
        <v>121833.85</v>
      </c>
      <c r="G85" s="1858">
        <v>121833.85</v>
      </c>
      <c r="H85" s="1858">
        <v>121764.94</v>
      </c>
      <c r="I85" s="1858">
        <v>121764.42</v>
      </c>
      <c r="J85" s="1858">
        <v>121764.42</v>
      </c>
      <c r="K85" s="1858">
        <v>121764.42</v>
      </c>
      <c r="L85" s="1858">
        <v>121764.42</v>
      </c>
      <c r="M85" s="1858">
        <v>121764.42</v>
      </c>
      <c r="N85" s="1858">
        <v>121764.42</v>
      </c>
      <c r="O85" s="1860">
        <f>SUM(C85:N85)</f>
        <v>1461520.7099999997</v>
      </c>
      <c r="P85" s="1859"/>
      <c r="Q85" s="1859"/>
    </row>
    <row r="86" spans="1:18" hidden="1" x14ac:dyDescent="0.25">
      <c r="A86" s="409" t="s">
        <v>2584</v>
      </c>
      <c r="C86" s="1858">
        <v>7647716.29</v>
      </c>
      <c r="D86" s="1858">
        <v>7525882.4400000004</v>
      </c>
      <c r="E86" s="1858">
        <v>7404048.5899999999</v>
      </c>
      <c r="F86" s="1858">
        <v>7282214.7400000002</v>
      </c>
      <c r="G86" s="1858">
        <v>7160380.8899999997</v>
      </c>
      <c r="H86" s="1858">
        <v>7038615.9500000002</v>
      </c>
      <c r="I86" s="1858">
        <v>6916851.5300000003</v>
      </c>
      <c r="J86" s="1858">
        <v>6795087.1100000003</v>
      </c>
      <c r="K86" s="1858">
        <v>6673322.6900000004</v>
      </c>
      <c r="L86" s="1858">
        <v>6551558.2699999996</v>
      </c>
      <c r="M86" s="1858">
        <v>6429793.8499999996</v>
      </c>
      <c r="N86" s="1858">
        <v>6308029.4299999997</v>
      </c>
      <c r="O86" s="1860">
        <f>N86</f>
        <v>6308029.4299999997</v>
      </c>
      <c r="P86" s="1859"/>
      <c r="Q86" s="1859"/>
    </row>
    <row r="87" spans="1:18" hidden="1" x14ac:dyDescent="0.25">
      <c r="A87" s="409" t="s">
        <v>2585</v>
      </c>
      <c r="C87" s="1858">
        <f>C83-C85-C86</f>
        <v>0</v>
      </c>
      <c r="D87" s="1858">
        <f t="shared" ref="D87" si="49">D83-D85-D86</f>
        <v>0</v>
      </c>
      <c r="E87" s="1858">
        <f t="shared" ref="E87" si="50">E83-E85-E86</f>
        <v>0</v>
      </c>
      <c r="F87" s="1858">
        <f t="shared" ref="F87" si="51">F83-F85-F86</f>
        <v>0</v>
      </c>
      <c r="G87" s="1858">
        <f t="shared" ref="G87" si="52">G83-G85-G86</f>
        <v>0</v>
      </c>
      <c r="H87" s="1858">
        <f t="shared" ref="H87" si="53">H83-H85-H86</f>
        <v>0</v>
      </c>
      <c r="I87" s="1858">
        <f t="shared" ref="I87" si="54">I83-I85-I86</f>
        <v>0</v>
      </c>
      <c r="J87" s="1858">
        <f t="shared" ref="J87" si="55">J83-J85-J86</f>
        <v>0</v>
      </c>
      <c r="K87" s="1858">
        <f t="shared" ref="K87" si="56">K83-K85-K86</f>
        <v>0</v>
      </c>
      <c r="L87" s="1858">
        <f t="shared" ref="L87" si="57">L83-L85-L86</f>
        <v>0</v>
      </c>
      <c r="M87" s="1858">
        <f t="shared" ref="M87" si="58">M83-M85-M86</f>
        <v>0</v>
      </c>
      <c r="N87" s="1858">
        <f t="shared" ref="N87" si="59">N83-N85-N86</f>
        <v>0</v>
      </c>
      <c r="O87" s="1860"/>
      <c r="P87" s="1859"/>
      <c r="Q87" s="1859"/>
    </row>
    <row r="88" spans="1:18" hidden="1" x14ac:dyDescent="0.25">
      <c r="C88" s="1858">
        <v>121833.85</v>
      </c>
      <c r="D88" s="1858">
        <v>121833.85</v>
      </c>
      <c r="E88" s="1858">
        <v>121833.85</v>
      </c>
      <c r="F88" s="1858">
        <v>121833.85</v>
      </c>
      <c r="G88" s="1858">
        <v>121833.85</v>
      </c>
      <c r="H88" s="1858">
        <v>121764.94</v>
      </c>
      <c r="I88" s="1858">
        <v>121764.42</v>
      </c>
      <c r="J88" s="1858">
        <v>121764.42</v>
      </c>
      <c r="K88" s="1858">
        <v>121764.42</v>
      </c>
      <c r="L88" s="1858">
        <v>121764.42</v>
      </c>
      <c r="M88" s="1858">
        <v>121764.42</v>
      </c>
      <c r="N88" s="1858">
        <v>121764.42</v>
      </c>
      <c r="O88" s="1860">
        <f>O83-O86</f>
        <v>1461520.71</v>
      </c>
      <c r="P88" s="1859"/>
      <c r="Q88" s="1859"/>
    </row>
    <row r="89" spans="1:18" hidden="1" x14ac:dyDescent="0.25">
      <c r="C89" s="1858"/>
      <c r="D89" s="1858"/>
      <c r="E89" s="1858"/>
      <c r="F89" s="1858"/>
      <c r="G89" s="1858"/>
      <c r="H89" s="1858"/>
      <c r="I89" s="1858"/>
      <c r="J89" s="1858"/>
      <c r="K89" s="1858"/>
      <c r="L89" s="1858"/>
      <c r="M89" s="1858"/>
      <c r="N89" s="1858"/>
      <c r="O89" s="1859"/>
      <c r="P89" s="1859"/>
      <c r="Q89" s="1859"/>
    </row>
    <row r="90" spans="1:18" hidden="1" x14ac:dyDescent="0.25">
      <c r="A90" s="451" t="s">
        <v>1001</v>
      </c>
      <c r="C90" s="1858" t="s">
        <v>2580</v>
      </c>
      <c r="D90" s="1858" t="s">
        <v>2586</v>
      </c>
      <c r="E90" s="1858" t="s">
        <v>2587</v>
      </c>
      <c r="F90" s="1858" t="s">
        <v>2571</v>
      </c>
      <c r="G90" s="1858" t="s">
        <v>2572</v>
      </c>
      <c r="H90" s="1858" t="s">
        <v>2573</v>
      </c>
      <c r="I90" s="1858" t="s">
        <v>2574</v>
      </c>
      <c r="J90" s="1858" t="s">
        <v>2575</v>
      </c>
      <c r="K90" s="1858" t="s">
        <v>2576</v>
      </c>
      <c r="L90" s="1858" t="s">
        <v>2577</v>
      </c>
      <c r="M90" s="1858" t="s">
        <v>2578</v>
      </c>
      <c r="N90" s="1858" t="s">
        <v>2579</v>
      </c>
      <c r="O90" s="1860"/>
      <c r="P90" s="1859"/>
      <c r="Q90" s="1859"/>
    </row>
    <row r="91" spans="1:18" hidden="1" x14ac:dyDescent="0.25">
      <c r="A91" s="409" t="s">
        <v>2581</v>
      </c>
      <c r="B91" s="406">
        <f>B15-C91</f>
        <v>0</v>
      </c>
      <c r="C91" s="1858">
        <v>671510.03</v>
      </c>
      <c r="D91" s="1862">
        <v>663771.06999999995</v>
      </c>
      <c r="E91" s="1862">
        <v>656032.11</v>
      </c>
      <c r="F91" s="1858">
        <v>648293.15</v>
      </c>
      <c r="G91" s="1858">
        <v>640554.18999999994</v>
      </c>
      <c r="H91" s="1858">
        <v>632815.23</v>
      </c>
      <c r="I91" s="1858">
        <v>625076.27</v>
      </c>
      <c r="J91" s="1858">
        <v>617383.06000000006</v>
      </c>
      <c r="K91" s="1858">
        <v>609693.27</v>
      </c>
      <c r="L91" s="1858">
        <v>602003.48</v>
      </c>
      <c r="M91" s="1858">
        <v>594313.68999999994</v>
      </c>
      <c r="N91" s="1858">
        <v>586623.9</v>
      </c>
      <c r="O91" s="1860">
        <f>C91</f>
        <v>671510.03</v>
      </c>
      <c r="P91" s="1859">
        <f>O91-O93</f>
        <v>578934.1100000001</v>
      </c>
      <c r="Q91" s="1861">
        <f>O94-P91</f>
        <v>0</v>
      </c>
      <c r="R91" s="409">
        <f>Q91/12</f>
        <v>0</v>
      </c>
    </row>
    <row r="92" spans="1:18" hidden="1" x14ac:dyDescent="0.25">
      <c r="A92" s="409" t="s">
        <v>2582</v>
      </c>
      <c r="C92" s="1858">
        <v>861376.44</v>
      </c>
      <c r="D92" s="1858">
        <v>861376.44</v>
      </c>
      <c r="E92" s="1858">
        <v>861376.44</v>
      </c>
      <c r="F92" s="1858">
        <v>861376.44</v>
      </c>
      <c r="G92" s="1858">
        <v>861376.44</v>
      </c>
      <c r="H92" s="1858">
        <v>861376.44</v>
      </c>
      <c r="I92" s="1858">
        <v>861376.44</v>
      </c>
      <c r="J92" s="1858">
        <v>861376.44</v>
      </c>
      <c r="K92" s="1858">
        <v>861376.44</v>
      </c>
      <c r="L92" s="1858">
        <v>861376.44</v>
      </c>
      <c r="M92" s="1858">
        <v>861376.44</v>
      </c>
      <c r="N92" s="1858">
        <v>861376.44</v>
      </c>
      <c r="O92" s="1860">
        <v>20003220.239999998</v>
      </c>
      <c r="P92" s="1859"/>
      <c r="Q92" s="1859"/>
    </row>
    <row r="93" spans="1:18" hidden="1" x14ac:dyDescent="0.25">
      <c r="A93" s="409" t="s">
        <v>2583</v>
      </c>
      <c r="B93" s="406">
        <f>O15-O93</f>
        <v>0</v>
      </c>
      <c r="C93" s="1858">
        <v>7738.96</v>
      </c>
      <c r="D93" s="1858">
        <v>7738.96</v>
      </c>
      <c r="E93" s="1858">
        <v>7738.96</v>
      </c>
      <c r="F93" s="1858">
        <v>7738.96</v>
      </c>
      <c r="G93" s="1858">
        <v>7738.96</v>
      </c>
      <c r="H93" s="1858">
        <v>7738.96</v>
      </c>
      <c r="I93" s="1858">
        <v>7693.21</v>
      </c>
      <c r="J93" s="1858">
        <v>7689.79</v>
      </c>
      <c r="K93" s="1858">
        <v>7689.79</v>
      </c>
      <c r="L93" s="1858">
        <v>7689.79</v>
      </c>
      <c r="M93" s="1858">
        <v>7689.79</v>
      </c>
      <c r="N93" s="1858">
        <v>7689.79</v>
      </c>
      <c r="O93" s="1860">
        <f>SUM(C93:N93)</f>
        <v>92575.919999999984</v>
      </c>
      <c r="P93" s="1859"/>
      <c r="Q93" s="1859"/>
    </row>
    <row r="94" spans="1:18" hidden="1" x14ac:dyDescent="0.25">
      <c r="A94" s="409" t="s">
        <v>2584</v>
      </c>
      <c r="C94" s="1862">
        <v>663771.06999999995</v>
      </c>
      <c r="D94" s="1862">
        <v>656032.11</v>
      </c>
      <c r="E94" s="1858">
        <v>648293.15</v>
      </c>
      <c r="F94" s="1858">
        <v>640554.18999999994</v>
      </c>
      <c r="G94" s="1858">
        <v>632815.23</v>
      </c>
      <c r="H94" s="1858">
        <v>625076.27</v>
      </c>
      <c r="I94" s="1858">
        <v>617383.06000000006</v>
      </c>
      <c r="J94" s="1858">
        <v>609693.27</v>
      </c>
      <c r="K94" s="1858">
        <v>602003.48</v>
      </c>
      <c r="L94" s="1858">
        <v>594313.68999999994</v>
      </c>
      <c r="M94" s="1858">
        <v>586623.9</v>
      </c>
      <c r="N94" s="1858">
        <v>578934.11</v>
      </c>
      <c r="O94" s="1860">
        <f>N94</f>
        <v>578934.11</v>
      </c>
      <c r="P94" s="1859"/>
      <c r="Q94" s="1859"/>
    </row>
    <row r="95" spans="1:18" hidden="1" x14ac:dyDescent="0.25">
      <c r="A95" s="409" t="s">
        <v>2585</v>
      </c>
      <c r="C95" s="1858"/>
      <c r="D95" s="1858"/>
      <c r="E95" s="1858"/>
      <c r="F95" s="1858">
        <f t="shared" ref="F95" si="60">F91-F93-F94</f>
        <v>0</v>
      </c>
      <c r="G95" s="1858">
        <f t="shared" ref="G95" si="61">G91-G93-G94</f>
        <v>0</v>
      </c>
      <c r="H95" s="1858">
        <f t="shared" ref="H95" si="62">H91-H93-H94</f>
        <v>0</v>
      </c>
      <c r="I95" s="1858">
        <f t="shared" ref="I95" si="63">I91-I93-I94</f>
        <v>0</v>
      </c>
      <c r="J95" s="1858">
        <f t="shared" ref="J95" si="64">J91-J93-J94</f>
        <v>0</v>
      </c>
      <c r="K95" s="1858">
        <f t="shared" ref="K95" si="65">K91-K93-K94</f>
        <v>0</v>
      </c>
      <c r="L95" s="1858">
        <f t="shared" ref="L95" si="66">L91-L93-L94</f>
        <v>0</v>
      </c>
      <c r="M95" s="1858">
        <f t="shared" ref="M95" si="67">M91-M93-M94</f>
        <v>0</v>
      </c>
      <c r="N95" s="1858">
        <f t="shared" ref="N95" si="68">N91-N93-N94</f>
        <v>0</v>
      </c>
      <c r="O95" s="1860"/>
      <c r="P95" s="1859"/>
      <c r="Q95" s="1859"/>
    </row>
    <row r="96" spans="1:18" hidden="1" x14ac:dyDescent="0.25">
      <c r="C96" s="1858">
        <v>7738.96</v>
      </c>
      <c r="D96" s="1858">
        <v>7738.96</v>
      </c>
      <c r="E96" s="1858">
        <v>7738.96</v>
      </c>
      <c r="F96" s="1858">
        <v>7738.96</v>
      </c>
      <c r="G96" s="1858">
        <v>7738.96</v>
      </c>
      <c r="H96" s="1858">
        <v>7738.96</v>
      </c>
      <c r="I96" s="1858">
        <v>7693.21</v>
      </c>
      <c r="J96" s="1858">
        <v>7689.79</v>
      </c>
      <c r="K96" s="1858">
        <v>7689.79</v>
      </c>
      <c r="L96" s="1858">
        <v>7689.79</v>
      </c>
      <c r="M96" s="1858">
        <v>7689.79</v>
      </c>
      <c r="N96" s="1858">
        <v>7689.79</v>
      </c>
      <c r="O96" s="1860">
        <f>O91-O94</f>
        <v>92575.920000000042</v>
      </c>
      <c r="P96" s="1859"/>
      <c r="Q96" s="1859"/>
    </row>
    <row r="97" spans="1:17" x14ac:dyDescent="0.25">
      <c r="C97" s="1858"/>
      <c r="D97" s="1858"/>
      <c r="E97" s="1858"/>
      <c r="F97" s="1858"/>
      <c r="G97" s="1858"/>
      <c r="H97" s="1858"/>
      <c r="I97" s="1858"/>
      <c r="J97" s="1858"/>
      <c r="K97" s="1858"/>
      <c r="L97" s="1858"/>
      <c r="M97" s="1858"/>
      <c r="N97" s="1858"/>
      <c r="O97" s="1859"/>
      <c r="P97" s="1859"/>
      <c r="Q97" s="1859"/>
    </row>
    <row r="98" spans="1:17" x14ac:dyDescent="0.25">
      <c r="A98" s="451" t="s">
        <v>1080</v>
      </c>
      <c r="C98" s="1858" t="s">
        <v>2580</v>
      </c>
      <c r="D98" s="1858" t="s">
        <v>2586</v>
      </c>
      <c r="E98" s="1858" t="s">
        <v>2587</v>
      </c>
      <c r="F98" s="1858" t="s">
        <v>2571</v>
      </c>
      <c r="G98" s="1858" t="s">
        <v>2572</v>
      </c>
      <c r="H98" s="1858" t="s">
        <v>2573</v>
      </c>
      <c r="I98" s="1858" t="s">
        <v>2574</v>
      </c>
      <c r="J98" s="1858" t="s">
        <v>2575</v>
      </c>
      <c r="K98" s="1858" t="s">
        <v>2576</v>
      </c>
      <c r="L98" s="1858" t="s">
        <v>2577</v>
      </c>
      <c r="M98" s="1858" t="s">
        <v>2578</v>
      </c>
      <c r="N98" s="1858" t="s">
        <v>2579</v>
      </c>
      <c r="O98" s="1860"/>
      <c r="P98" s="1859"/>
      <c r="Q98" s="1859"/>
    </row>
    <row r="99" spans="1:17" x14ac:dyDescent="0.25">
      <c r="A99" s="409" t="s">
        <v>2581</v>
      </c>
      <c r="B99" s="1858">
        <f>C99-B16</f>
        <v>0</v>
      </c>
      <c r="C99" s="1858">
        <v>179537.8</v>
      </c>
      <c r="D99" s="1858">
        <v>176305.84</v>
      </c>
      <c r="E99" s="1858">
        <v>173073.88</v>
      </c>
      <c r="F99" s="1858">
        <v>169841.92000000001</v>
      </c>
      <c r="G99" s="1858">
        <v>166609.96</v>
      </c>
      <c r="H99" s="1858">
        <v>163378.20000000001</v>
      </c>
      <c r="I99" s="1858">
        <v>160381.31</v>
      </c>
      <c r="J99" s="1858">
        <v>157384.42000000001</v>
      </c>
      <c r="K99" s="1858">
        <v>154387.53</v>
      </c>
      <c r="L99" s="1858">
        <v>151390.64000000001</v>
      </c>
      <c r="M99" s="1858">
        <v>148393.75</v>
      </c>
      <c r="N99" s="1858">
        <v>145396.85999999999</v>
      </c>
      <c r="O99" s="1860">
        <f>C99</f>
        <v>179537.8</v>
      </c>
      <c r="P99" s="1859">
        <f>O99-O101</f>
        <v>142399.96999999997</v>
      </c>
      <c r="Q99" s="1859">
        <f>O102-P99</f>
        <v>0</v>
      </c>
    </row>
    <row r="100" spans="1:17" x14ac:dyDescent="0.25">
      <c r="A100" s="409" t="s">
        <v>2582</v>
      </c>
      <c r="C100" s="1858">
        <v>328632.39</v>
      </c>
      <c r="D100" s="1858">
        <v>328632.39</v>
      </c>
      <c r="E100" s="1858">
        <v>328632.39</v>
      </c>
      <c r="F100" s="1858">
        <v>328632.39</v>
      </c>
      <c r="G100" s="1858">
        <v>328632.39</v>
      </c>
      <c r="H100" s="1858">
        <v>328632.39</v>
      </c>
      <c r="I100" s="1858">
        <v>328632.39</v>
      </c>
      <c r="J100" s="1858">
        <v>328632.39</v>
      </c>
      <c r="K100" s="1858">
        <v>328632.39</v>
      </c>
      <c r="L100" s="1858">
        <v>328632.39</v>
      </c>
      <c r="M100" s="1858">
        <v>328632.39</v>
      </c>
      <c r="N100" s="1858">
        <v>328632.39</v>
      </c>
      <c r="O100" s="1860">
        <v>20003220.239999998</v>
      </c>
      <c r="P100" s="1859"/>
      <c r="Q100" s="1859"/>
    </row>
    <row r="101" spans="1:17" x14ac:dyDescent="0.25">
      <c r="A101" s="409" t="s">
        <v>2583</v>
      </c>
      <c r="B101" s="1858">
        <f>O101-O16</f>
        <v>0</v>
      </c>
      <c r="C101" s="1858">
        <v>3231.96</v>
      </c>
      <c r="D101" s="1858">
        <v>3231.96</v>
      </c>
      <c r="E101" s="1858">
        <v>3231.96</v>
      </c>
      <c r="F101" s="1858">
        <v>3231.96</v>
      </c>
      <c r="G101" s="1858">
        <v>3231.76</v>
      </c>
      <c r="H101" s="1858">
        <v>2996.89</v>
      </c>
      <c r="I101" s="1858">
        <v>2996.89</v>
      </c>
      <c r="J101" s="1858">
        <v>2996.89</v>
      </c>
      <c r="K101" s="1858">
        <v>2996.89</v>
      </c>
      <c r="L101" s="1858">
        <v>2996.89</v>
      </c>
      <c r="M101" s="1858">
        <v>2996.89</v>
      </c>
      <c r="N101" s="1858">
        <v>2996.89</v>
      </c>
      <c r="O101" s="1860">
        <f>SUM(C101:N101)</f>
        <v>37137.83</v>
      </c>
      <c r="P101" s="1859"/>
      <c r="Q101" s="1859"/>
    </row>
    <row r="102" spans="1:17" x14ac:dyDescent="0.25">
      <c r="A102" s="409" t="s">
        <v>2584</v>
      </c>
      <c r="C102" s="1858">
        <v>176305.84</v>
      </c>
      <c r="D102" s="1858">
        <v>173073.88</v>
      </c>
      <c r="E102" s="1858">
        <v>169841.92000000001</v>
      </c>
      <c r="F102" s="1858">
        <v>166609.96</v>
      </c>
      <c r="G102" s="1858">
        <v>163378.20000000001</v>
      </c>
      <c r="H102" s="1858">
        <v>160381.31</v>
      </c>
      <c r="I102" s="1858">
        <v>157384.42000000001</v>
      </c>
      <c r="J102" s="1858">
        <v>154387.53</v>
      </c>
      <c r="K102" s="1858">
        <v>151390.64000000001</v>
      </c>
      <c r="L102" s="1858">
        <v>148393.75</v>
      </c>
      <c r="M102" s="1858">
        <v>145396.85999999999</v>
      </c>
      <c r="N102" s="1858">
        <v>142399.97</v>
      </c>
      <c r="O102" s="1860">
        <f>N102</f>
        <v>142399.97</v>
      </c>
      <c r="P102" s="1859"/>
      <c r="Q102" s="1859"/>
    </row>
    <row r="103" spans="1:17" x14ac:dyDescent="0.25">
      <c r="A103" s="409" t="s">
        <v>2585</v>
      </c>
      <c r="C103" s="1858">
        <f>C99-C101-C102</f>
        <v>0</v>
      </c>
      <c r="D103" s="1858">
        <f t="shared" ref="D103" si="69">D99-D101-D102</f>
        <v>0</v>
      </c>
      <c r="E103" s="1858">
        <f t="shared" ref="E103" si="70">E99-E101-E102</f>
        <v>0</v>
      </c>
      <c r="F103" s="1858">
        <f t="shared" ref="F103" si="71">F99-F101-F102</f>
        <v>0</v>
      </c>
      <c r="G103" s="1858">
        <f t="shared" ref="G103" si="72">G99-G101-G102</f>
        <v>0</v>
      </c>
      <c r="H103" s="1858">
        <f t="shared" ref="H103" si="73">H99-H101-H102</f>
        <v>0</v>
      </c>
      <c r="I103" s="1858">
        <f t="shared" ref="I103" si="74">I99-I101-I102</f>
        <v>0</v>
      </c>
      <c r="J103" s="1858">
        <f t="shared" ref="J103" si="75">J99-J101-J102</f>
        <v>0</v>
      </c>
      <c r="K103" s="1858">
        <f t="shared" ref="K103" si="76">K99-K101-K102</f>
        <v>0</v>
      </c>
      <c r="L103" s="1858">
        <f t="shared" ref="L103" si="77">L99-L101-L102</f>
        <v>0</v>
      </c>
      <c r="M103" s="1858">
        <f t="shared" ref="M103" si="78">M99-M101-M102</f>
        <v>0</v>
      </c>
      <c r="N103" s="1858">
        <f t="shared" ref="N103" si="79">N99-N101-N102</f>
        <v>0</v>
      </c>
      <c r="O103" s="1860"/>
      <c r="P103" s="1859"/>
      <c r="Q103" s="1859"/>
    </row>
    <row r="104" spans="1:17" x14ac:dyDescent="0.25">
      <c r="C104" s="1858">
        <v>3231.96</v>
      </c>
      <c r="D104" s="1858">
        <v>3231.96</v>
      </c>
      <c r="E104" s="1858">
        <v>3231.96</v>
      </c>
      <c r="F104" s="1858">
        <v>3231.96</v>
      </c>
      <c r="G104" s="1858">
        <v>3231.76</v>
      </c>
      <c r="H104" s="1858">
        <v>2996.89</v>
      </c>
      <c r="I104" s="1858">
        <v>2996.89</v>
      </c>
      <c r="J104" s="1858">
        <v>2996.89</v>
      </c>
      <c r="K104" s="1858">
        <v>2996.89</v>
      </c>
      <c r="L104" s="1858">
        <v>2996.89</v>
      </c>
      <c r="M104" s="1858">
        <v>2996.89</v>
      </c>
      <c r="N104" s="1858">
        <v>2996.89</v>
      </c>
      <c r="O104" s="1860">
        <f>O99-O102</f>
        <v>37137.829999999987</v>
      </c>
      <c r="P104" s="1859"/>
      <c r="Q104" s="1859"/>
    </row>
    <row r="105" spans="1:17" x14ac:dyDescent="0.25">
      <c r="C105" s="1858"/>
      <c r="D105" s="1858"/>
      <c r="E105" s="1858"/>
      <c r="F105" s="1858"/>
      <c r="G105" s="1858"/>
      <c r="H105" s="1858"/>
      <c r="I105" s="1858"/>
      <c r="J105" s="1858"/>
      <c r="K105" s="1858"/>
      <c r="L105" s="1858"/>
      <c r="M105" s="1858"/>
      <c r="N105" s="1858"/>
    </row>
    <row r="108" spans="1:17" x14ac:dyDescent="0.25">
      <c r="D108" s="406">
        <f>D91-C94</f>
        <v>0</v>
      </c>
      <c r="E108" s="406">
        <f t="shared" ref="E108:N108" si="80">E91-D94</f>
        <v>0</v>
      </c>
      <c r="F108" s="406">
        <f t="shared" si="80"/>
        <v>0</v>
      </c>
      <c r="G108" s="406">
        <f t="shared" si="80"/>
        <v>0</v>
      </c>
      <c r="H108" s="406">
        <f t="shared" si="80"/>
        <v>0</v>
      </c>
      <c r="I108" s="406">
        <f t="shared" si="80"/>
        <v>0</v>
      </c>
      <c r="J108" s="406">
        <f t="shared" si="80"/>
        <v>0</v>
      </c>
      <c r="K108" s="406">
        <f t="shared" si="80"/>
        <v>0</v>
      </c>
      <c r="L108" s="406">
        <f t="shared" si="80"/>
        <v>0</v>
      </c>
      <c r="M108" s="406">
        <f t="shared" si="80"/>
        <v>0</v>
      </c>
      <c r="N108" s="406">
        <f t="shared" si="80"/>
        <v>0</v>
      </c>
    </row>
    <row r="110" spans="1:17" x14ac:dyDescent="0.25">
      <c r="A110" s="409" t="s">
        <v>2686</v>
      </c>
      <c r="B110" s="409">
        <f>4021471.49</f>
        <v>4021471.49</v>
      </c>
      <c r="C110" s="406">
        <v>72525.100000000006</v>
      </c>
      <c r="D110" s="406">
        <v>72525.100000000006</v>
      </c>
      <c r="E110" s="406">
        <v>72525.100000000006</v>
      </c>
      <c r="F110" s="406">
        <v>72525.100000000006</v>
      </c>
      <c r="G110" s="406">
        <v>72525.100000000006</v>
      </c>
      <c r="H110" s="406">
        <v>72525.100000000006</v>
      </c>
      <c r="I110" s="406">
        <v>72525.100000000006</v>
      </c>
      <c r="J110" s="406">
        <v>72525.100000000006</v>
      </c>
      <c r="K110" s="406">
        <v>72525.100000000006</v>
      </c>
      <c r="L110" s="406">
        <v>72525.100000000006</v>
      </c>
      <c r="M110" s="406">
        <v>72525.100000000006</v>
      </c>
      <c r="N110" s="406">
        <v>72525.100000000006</v>
      </c>
      <c r="O110" s="406">
        <f>SUM(C110:N110)</f>
        <v>870301.19999999984</v>
      </c>
    </row>
    <row r="112" spans="1:17" ht="36" customHeight="1" x14ac:dyDescent="0.25">
      <c r="A112" s="4277" t="s">
        <v>2687</v>
      </c>
      <c r="B112" s="4277"/>
      <c r="C112" s="4277"/>
      <c r="D112" s="4277"/>
    </row>
    <row r="113" spans="1:15" ht="24.6" customHeight="1" x14ac:dyDescent="0.25">
      <c r="A113" s="4266" t="s">
        <v>1088</v>
      </c>
      <c r="B113" s="4278" t="s">
        <v>2688</v>
      </c>
      <c r="C113" s="4279" t="s">
        <v>433</v>
      </c>
      <c r="D113" s="4280"/>
    </row>
    <row r="114" spans="1:15" x14ac:dyDescent="0.25">
      <c r="A114" s="4266"/>
      <c r="B114" s="4278"/>
      <c r="C114" s="4281" t="str">
        <f>L3</f>
        <v>2023-2024</v>
      </c>
      <c r="D114" s="4282"/>
    </row>
    <row r="115" spans="1:15" ht="15.75" x14ac:dyDescent="0.25">
      <c r="A115" s="997" t="s">
        <v>1085</v>
      </c>
      <c r="B115" s="1976">
        <v>294894.45</v>
      </c>
      <c r="C115" s="4275">
        <v>19360.22</v>
      </c>
      <c r="D115" s="4275"/>
    </row>
    <row r="116" spans="1:15" ht="15.75" x14ac:dyDescent="0.25">
      <c r="A116" s="997" t="s">
        <v>2689</v>
      </c>
      <c r="B116" s="1976">
        <v>177345.09</v>
      </c>
      <c r="C116" s="4275">
        <v>7577.09</v>
      </c>
      <c r="D116" s="4275"/>
    </row>
    <row r="117" spans="1:15" ht="15.75" x14ac:dyDescent="0.25">
      <c r="A117" s="997" t="s">
        <v>1086</v>
      </c>
      <c r="B117" s="1976">
        <v>25541.25</v>
      </c>
      <c r="C117" s="4275">
        <v>8110</v>
      </c>
      <c r="D117" s="4275"/>
    </row>
    <row r="118" spans="1:15" ht="31.5" x14ac:dyDescent="0.25">
      <c r="A118" s="997" t="s">
        <v>990</v>
      </c>
      <c r="B118" s="1976">
        <v>27209.99</v>
      </c>
      <c r="C118" s="4275">
        <v>9070</v>
      </c>
      <c r="D118" s="4275"/>
    </row>
    <row r="119" spans="1:15" ht="47.25" x14ac:dyDescent="0.25">
      <c r="A119" s="997" t="s">
        <v>1087</v>
      </c>
      <c r="B119" s="1976">
        <v>6040.83</v>
      </c>
      <c r="C119" s="4275">
        <v>2013.61</v>
      </c>
      <c r="D119" s="4275"/>
    </row>
    <row r="120" spans="1:15" ht="15.75" x14ac:dyDescent="0.25">
      <c r="A120" s="1978" t="s">
        <v>1080</v>
      </c>
      <c r="B120" s="1976">
        <v>85704.88</v>
      </c>
      <c r="C120" s="4275">
        <v>11430.45</v>
      </c>
      <c r="D120" s="4275"/>
    </row>
    <row r="121" spans="1:15" ht="15.75" x14ac:dyDescent="0.25">
      <c r="A121" s="1978" t="s">
        <v>1001</v>
      </c>
      <c r="B121" s="1976">
        <v>144457.96</v>
      </c>
      <c r="C121" s="4275">
        <v>2500</v>
      </c>
      <c r="D121" s="4275"/>
    </row>
    <row r="122" spans="1:15" ht="15.75" x14ac:dyDescent="0.25">
      <c r="A122" s="1978" t="s">
        <v>2690</v>
      </c>
      <c r="B122" s="1976">
        <v>10720.17</v>
      </c>
      <c r="C122" s="4275">
        <v>2277.5</v>
      </c>
      <c r="D122" s="4275"/>
    </row>
    <row r="123" spans="1:15" s="451" customFormat="1" ht="15.75" x14ac:dyDescent="0.25">
      <c r="A123" s="998" t="s">
        <v>994</v>
      </c>
      <c r="B123" s="1979">
        <v>771914.62</v>
      </c>
      <c r="C123" s="4276">
        <v>62338.86</v>
      </c>
      <c r="D123" s="4276"/>
      <c r="E123" s="1977"/>
      <c r="F123" s="1977"/>
      <c r="G123" s="1977"/>
      <c r="H123" s="1977"/>
      <c r="I123" s="1977"/>
      <c r="J123" s="1977"/>
      <c r="K123" s="1977"/>
      <c r="L123" s="1977"/>
      <c r="M123" s="1977"/>
      <c r="N123" s="1977"/>
      <c r="O123" s="1977"/>
    </row>
    <row r="126" spans="1:15" s="508" customFormat="1" ht="13.9" customHeight="1" x14ac:dyDescent="0.25">
      <c r="A126" s="508" t="s">
        <v>933</v>
      </c>
      <c r="C126" s="508" t="s">
        <v>2265</v>
      </c>
    </row>
  </sheetData>
  <mergeCells count="25">
    <mergeCell ref="C120:D120"/>
    <mergeCell ref="C121:D121"/>
    <mergeCell ref="C122:D122"/>
    <mergeCell ref="C123:D123"/>
    <mergeCell ref="A112:D112"/>
    <mergeCell ref="C115:D115"/>
    <mergeCell ref="C116:D116"/>
    <mergeCell ref="C117:D117"/>
    <mergeCell ref="C118:D118"/>
    <mergeCell ref="C119:D119"/>
    <mergeCell ref="B113:B114"/>
    <mergeCell ref="A113:A114"/>
    <mergeCell ref="C113:D113"/>
    <mergeCell ref="C114:D114"/>
    <mergeCell ref="B3:D3"/>
    <mergeCell ref="E3:H3"/>
    <mergeCell ref="I3:K3"/>
    <mergeCell ref="M19:O19"/>
    <mergeCell ref="M21:O21"/>
    <mergeCell ref="M20:O20"/>
    <mergeCell ref="M22:O22"/>
    <mergeCell ref="A5:A6"/>
    <mergeCell ref="B5:B6"/>
    <mergeCell ref="C5:N5"/>
    <mergeCell ref="O5:O6"/>
  </mergeCells>
  <pageMargins left="1.23" right="0.15748031496062992" top="0.74803149606299213" bottom="0.27559055118110237" header="0.31496062992125984" footer="0.19685039370078741"/>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0.499984740745262"/>
  </sheetPr>
  <dimension ref="B1:L32"/>
  <sheetViews>
    <sheetView topLeftCell="A13" workbookViewId="0">
      <selection activeCell="G32" sqref="G32"/>
    </sheetView>
  </sheetViews>
  <sheetFormatPr defaultColWidth="8.85546875" defaultRowHeight="15.75" x14ac:dyDescent="0.25"/>
  <cols>
    <col min="1" max="1" width="6.5703125" style="508" customWidth="1"/>
    <col min="2" max="2" width="5.5703125" style="508" bestFit="1" customWidth="1"/>
    <col min="3" max="3" width="30.5703125" style="508" bestFit="1" customWidth="1"/>
    <col min="4" max="4" width="11" style="508" customWidth="1"/>
    <col min="5" max="5" width="10" style="508" customWidth="1"/>
    <col min="6" max="6" width="15.85546875" style="508" customWidth="1"/>
    <col min="7" max="7" width="17.7109375" style="508" bestFit="1" customWidth="1"/>
    <col min="8" max="8" width="19.28515625" style="508" customWidth="1"/>
    <col min="9" max="9" width="19.85546875" style="508" bestFit="1" customWidth="1"/>
    <col min="10" max="16384" width="8.85546875" style="508"/>
  </cols>
  <sheetData>
    <row r="1" spans="2:9" x14ac:dyDescent="0.25">
      <c r="H1" s="508" t="s">
        <v>1371</v>
      </c>
    </row>
    <row r="3" spans="2:9" ht="15.75" customHeight="1" x14ac:dyDescent="0.25">
      <c r="B3" s="4283" t="s">
        <v>1372</v>
      </c>
      <c r="C3" s="4283"/>
      <c r="D3" s="4283"/>
      <c r="E3" s="4283"/>
      <c r="F3" s="4283"/>
      <c r="G3" s="4283"/>
      <c r="H3" s="4283"/>
    </row>
    <row r="4" spans="2:9" ht="15.75" customHeight="1" x14ac:dyDescent="0.25">
      <c r="B4" s="596"/>
      <c r="C4" s="4284" t="str">
        <f>'Вхідні дані'!$F$5</f>
        <v>ЧФ ДП "АМПУ"</v>
      </c>
      <c r="D4" s="4284"/>
      <c r="E4" s="4284"/>
      <c r="F4" s="596" t="s">
        <v>461</v>
      </c>
      <c r="G4" s="990" t="str">
        <f>'Вхідні дані'!$F$6</f>
        <v>2023-2024</v>
      </c>
      <c r="H4" s="596" t="s">
        <v>648</v>
      </c>
    </row>
    <row r="5" spans="2:9" ht="16.5" thickBot="1" x14ac:dyDescent="0.3"/>
    <row r="6" spans="2:9" s="509" customFormat="1" ht="32.25" thickBot="1" x14ac:dyDescent="0.3">
      <c r="B6" s="513" t="s">
        <v>1013</v>
      </c>
      <c r="C6" s="520" t="s">
        <v>1355</v>
      </c>
      <c r="D6" s="516" t="s">
        <v>1356</v>
      </c>
      <c r="E6" s="512" t="s">
        <v>1357</v>
      </c>
      <c r="F6" s="512" t="s">
        <v>1375</v>
      </c>
      <c r="G6" s="665" t="s">
        <v>1358</v>
      </c>
      <c r="H6" s="525" t="s">
        <v>1373</v>
      </c>
      <c r="I6" s="668" t="s">
        <v>1374</v>
      </c>
    </row>
    <row r="7" spans="2:9" x14ac:dyDescent="0.25">
      <c r="B7" s="514">
        <v>1</v>
      </c>
      <c r="C7" s="521"/>
      <c r="D7" s="517"/>
      <c r="E7" s="511">
        <v>0</v>
      </c>
      <c r="F7" s="682"/>
      <c r="G7" s="666" t="s">
        <v>1360</v>
      </c>
      <c r="H7" s="521" t="s">
        <v>1361</v>
      </c>
      <c r="I7" s="669" t="s">
        <v>1080</v>
      </c>
    </row>
    <row r="8" spans="2:9" x14ac:dyDescent="0.25">
      <c r="B8" s="515">
        <v>2</v>
      </c>
      <c r="C8" s="522"/>
      <c r="D8" s="518"/>
      <c r="E8" s="510">
        <v>0</v>
      </c>
      <c r="F8" s="683"/>
      <c r="G8" s="667" t="s">
        <v>1360</v>
      </c>
      <c r="H8" s="522" t="s">
        <v>1362</v>
      </c>
      <c r="I8" s="669" t="s">
        <v>1001</v>
      </c>
    </row>
    <row r="9" spans="2:9" x14ac:dyDescent="0.25">
      <c r="B9" s="515">
        <v>3</v>
      </c>
      <c r="C9" s="522"/>
      <c r="D9" s="518"/>
      <c r="E9" s="510">
        <v>0</v>
      </c>
      <c r="F9" s="683"/>
      <c r="G9" s="667" t="s">
        <v>1360</v>
      </c>
      <c r="H9" s="522" t="s">
        <v>1363</v>
      </c>
      <c r="I9" s="669" t="s">
        <v>1001</v>
      </c>
    </row>
    <row r="10" spans="2:9" x14ac:dyDescent="0.25">
      <c r="B10" s="515">
        <v>4</v>
      </c>
      <c r="C10" s="522"/>
      <c r="D10" s="518"/>
      <c r="E10" s="510">
        <v>0</v>
      </c>
      <c r="F10" s="683"/>
      <c r="G10" s="667" t="s">
        <v>1360</v>
      </c>
      <c r="H10" s="522" t="s">
        <v>1361</v>
      </c>
      <c r="I10" s="670" t="s">
        <v>1000</v>
      </c>
    </row>
    <row r="11" spans="2:9" x14ac:dyDescent="0.25">
      <c r="B11" s="515">
        <v>5</v>
      </c>
      <c r="C11" s="522"/>
      <c r="D11" s="518"/>
      <c r="E11" s="510">
        <v>0</v>
      </c>
      <c r="F11" s="683"/>
      <c r="G11" s="667" t="s">
        <v>1360</v>
      </c>
      <c r="H11" s="522" t="s">
        <v>1364</v>
      </c>
      <c r="I11" s="670" t="s">
        <v>926</v>
      </c>
    </row>
    <row r="12" spans="2:9" x14ac:dyDescent="0.25">
      <c r="B12" s="515">
        <v>6</v>
      </c>
      <c r="C12" s="522"/>
      <c r="D12" s="518"/>
      <c r="E12" s="510">
        <v>0</v>
      </c>
      <c r="F12" s="683"/>
      <c r="G12" s="667" t="s">
        <v>1360</v>
      </c>
      <c r="H12" s="522" t="s">
        <v>1366</v>
      </c>
      <c r="I12" s="670" t="s">
        <v>885</v>
      </c>
    </row>
    <row r="13" spans="2:9" x14ac:dyDescent="0.25">
      <c r="B13" s="515">
        <v>7</v>
      </c>
      <c r="C13" s="522"/>
      <c r="D13" s="518"/>
      <c r="E13" s="510">
        <v>0</v>
      </c>
      <c r="F13" s="683"/>
      <c r="G13" s="667" t="s">
        <v>1360</v>
      </c>
      <c r="H13" s="522" t="s">
        <v>1367</v>
      </c>
      <c r="I13" s="670" t="s">
        <v>1368</v>
      </c>
    </row>
    <row r="14" spans="2:9" x14ac:dyDescent="0.25">
      <c r="B14" s="515">
        <v>8</v>
      </c>
      <c r="C14" s="522"/>
      <c r="D14" s="518"/>
      <c r="E14" s="510">
        <v>0</v>
      </c>
      <c r="F14" s="683"/>
      <c r="G14" s="667" t="s">
        <v>1360</v>
      </c>
      <c r="H14" s="522" t="s">
        <v>1367</v>
      </c>
      <c r="I14" s="670" t="s">
        <v>1368</v>
      </c>
    </row>
    <row r="15" spans="2:9" x14ac:dyDescent="0.25">
      <c r="B15" s="515">
        <v>9</v>
      </c>
      <c r="C15" s="522"/>
      <c r="D15" s="518"/>
      <c r="E15" s="510">
        <v>0</v>
      </c>
      <c r="F15" s="683"/>
      <c r="G15" s="667" t="s">
        <v>1360</v>
      </c>
      <c r="H15" s="522" t="s">
        <v>1369</v>
      </c>
      <c r="I15" s="669" t="s">
        <v>1001</v>
      </c>
    </row>
    <row r="16" spans="2:9" x14ac:dyDescent="0.25">
      <c r="B16" s="515">
        <v>10</v>
      </c>
      <c r="C16" s="522"/>
      <c r="D16" s="519"/>
      <c r="E16" s="510">
        <v>0</v>
      </c>
      <c r="F16" s="683"/>
      <c r="G16" s="667" t="s">
        <v>1360</v>
      </c>
      <c r="H16" s="522" t="s">
        <v>1361</v>
      </c>
      <c r="I16" s="669" t="s">
        <v>1080</v>
      </c>
    </row>
    <row r="17" spans="2:12" ht="16.5" thickBot="1" x14ac:dyDescent="0.3">
      <c r="B17" s="957">
        <v>11</v>
      </c>
      <c r="C17" s="672"/>
      <c r="D17" s="958"/>
      <c r="E17" s="959">
        <v>0</v>
      </c>
      <c r="F17" s="960"/>
      <c r="G17" s="961" t="s">
        <v>1360</v>
      </c>
      <c r="H17" s="672" t="s">
        <v>1361</v>
      </c>
      <c r="I17" s="673" t="s">
        <v>1080</v>
      </c>
    </row>
    <row r="18" spans="2:12" ht="16.5" thickBot="1" x14ac:dyDescent="0.3">
      <c r="B18" s="962"/>
      <c r="C18" s="963"/>
      <c r="D18" s="964"/>
      <c r="E18" s="965"/>
      <c r="F18" s="965"/>
      <c r="G18" s="966"/>
      <c r="H18" s="674" t="s">
        <v>1819</v>
      </c>
      <c r="I18" s="679">
        <f>SUM(I19:I25)</f>
        <v>0</v>
      </c>
    </row>
    <row r="19" spans="2:12" x14ac:dyDescent="0.25">
      <c r="B19" s="514"/>
      <c r="C19" s="521"/>
      <c r="D19" s="517"/>
      <c r="E19" s="511"/>
      <c r="F19" s="511"/>
      <c r="G19" s="666"/>
      <c r="H19" s="521" t="s">
        <v>885</v>
      </c>
      <c r="I19" s="680">
        <f>F12</f>
        <v>0</v>
      </c>
    </row>
    <row r="20" spans="2:12" x14ac:dyDescent="0.25">
      <c r="B20" s="515"/>
      <c r="C20" s="522"/>
      <c r="D20" s="518"/>
      <c r="E20" s="510"/>
      <c r="F20" s="510"/>
      <c r="G20" s="524"/>
      <c r="H20" s="522" t="s">
        <v>959</v>
      </c>
      <c r="I20" s="681"/>
    </row>
    <row r="21" spans="2:12" x14ac:dyDescent="0.25">
      <c r="B21" s="515"/>
      <c r="C21" s="522"/>
      <c r="D21" s="518"/>
      <c r="E21" s="510"/>
      <c r="F21" s="510"/>
      <c r="G21" s="524"/>
      <c r="H21" s="522" t="s">
        <v>926</v>
      </c>
      <c r="I21" s="681">
        <f>F11</f>
        <v>0</v>
      </c>
    </row>
    <row r="22" spans="2:12" x14ac:dyDescent="0.25">
      <c r="B22" s="515"/>
      <c r="C22" s="522"/>
      <c r="D22" s="518"/>
      <c r="E22" s="510"/>
      <c r="F22" s="510"/>
      <c r="G22" s="524"/>
      <c r="H22" s="522" t="s">
        <v>1370</v>
      </c>
      <c r="I22" s="681"/>
    </row>
    <row r="23" spans="2:12" x14ac:dyDescent="0.25">
      <c r="B23" s="515"/>
      <c r="C23" s="522"/>
      <c r="D23" s="518"/>
      <c r="E23" s="510"/>
      <c r="F23" s="510"/>
      <c r="G23" s="524"/>
      <c r="H23" s="522" t="s">
        <v>1368</v>
      </c>
      <c r="I23" s="681">
        <f>F13+F14</f>
        <v>0</v>
      </c>
    </row>
    <row r="24" spans="2:12" x14ac:dyDescent="0.25">
      <c r="B24" s="515"/>
      <c r="C24" s="522"/>
      <c r="D24" s="518"/>
      <c r="E24" s="510"/>
      <c r="F24" s="510"/>
      <c r="G24" s="524"/>
      <c r="H24" s="671" t="s">
        <v>1080</v>
      </c>
      <c r="I24" s="681">
        <f>F7+F10+F16+F17</f>
        <v>0</v>
      </c>
    </row>
    <row r="25" spans="2:12" ht="16.5" thickBot="1" x14ac:dyDescent="0.3">
      <c r="B25" s="675"/>
      <c r="C25" s="523"/>
      <c r="D25" s="676"/>
      <c r="E25" s="677"/>
      <c r="F25" s="677"/>
      <c r="G25" s="678"/>
      <c r="H25" s="967" t="s">
        <v>1001</v>
      </c>
      <c r="I25" s="968">
        <f>F8+F9+F15</f>
        <v>0</v>
      </c>
    </row>
    <row r="28" spans="2:12" ht="15.75" customHeight="1" x14ac:dyDescent="0.25">
      <c r="B28" s="4285" t="s">
        <v>1940</v>
      </c>
      <c r="C28" s="4285"/>
      <c r="D28" s="4285"/>
      <c r="E28" s="4285"/>
      <c r="F28" s="4286" t="str">
        <f>'Вхідні дані'!$F$5</f>
        <v>ЧФ ДП "АМПУ"</v>
      </c>
      <c r="G28" s="4286"/>
      <c r="H28" s="868" t="s">
        <v>461</v>
      </c>
      <c r="I28" s="994" t="str">
        <f>'Вхідні дані'!$F$6</f>
        <v>2023-2024</v>
      </c>
      <c r="J28" s="868" t="s">
        <v>648</v>
      </c>
    </row>
    <row r="29" spans="2:12" ht="16.5" thickBot="1" x14ac:dyDescent="0.3">
      <c r="C29"/>
      <c r="D29"/>
      <c r="E29"/>
      <c r="F29"/>
      <c r="G29"/>
      <c r="H29"/>
      <c r="I29"/>
      <c r="J29"/>
      <c r="K29"/>
    </row>
    <row r="30" spans="2:12" ht="32.25" thickBot="1" x14ac:dyDescent="0.3">
      <c r="B30" s="975" t="s">
        <v>1382</v>
      </c>
      <c r="C30" s="972" t="s">
        <v>885</v>
      </c>
      <c r="D30" s="972" t="s">
        <v>886</v>
      </c>
      <c r="E30" s="972" t="s">
        <v>926</v>
      </c>
      <c r="F30" s="972" t="s">
        <v>1383</v>
      </c>
      <c r="G30" s="972" t="s">
        <v>1368</v>
      </c>
      <c r="H30" s="973" t="s">
        <v>1080</v>
      </c>
      <c r="I30" s="973" t="s">
        <v>1001</v>
      </c>
      <c r="J30" s="974" t="s">
        <v>1381</v>
      </c>
    </row>
    <row r="31" spans="2:12" ht="16.5" thickBot="1" x14ac:dyDescent="0.3">
      <c r="B31" s="976">
        <v>2020</v>
      </c>
      <c r="C31" s="970">
        <v>492.5</v>
      </c>
      <c r="D31" s="970">
        <v>255</v>
      </c>
      <c r="E31" s="970">
        <v>10</v>
      </c>
      <c r="F31" s="970"/>
      <c r="G31" s="970">
        <v>25</v>
      </c>
      <c r="H31" s="970">
        <v>60</v>
      </c>
      <c r="I31" s="970">
        <v>158.5</v>
      </c>
      <c r="J31" s="971">
        <f>SUM(C31:I31)</f>
        <v>1001</v>
      </c>
      <c r="K31" s="1967" t="s">
        <v>2681</v>
      </c>
    </row>
    <row r="32" spans="2:12" ht="16.5" thickBot="1" x14ac:dyDescent="0.3">
      <c r="B32" s="976" t="s">
        <v>2271</v>
      </c>
      <c r="C32" s="526">
        <f>C31</f>
        <v>492.5</v>
      </c>
      <c r="D32" s="526">
        <f t="shared" ref="D32:I32" si="0">D31</f>
        <v>255</v>
      </c>
      <c r="E32" s="526">
        <f t="shared" si="0"/>
        <v>10</v>
      </c>
      <c r="F32" s="526">
        <f t="shared" si="0"/>
        <v>0</v>
      </c>
      <c r="G32" s="526">
        <f t="shared" si="0"/>
        <v>25</v>
      </c>
      <c r="H32" s="526">
        <f t="shared" si="0"/>
        <v>60</v>
      </c>
      <c r="I32" s="526">
        <f t="shared" si="0"/>
        <v>158.5</v>
      </c>
      <c r="J32" s="969">
        <f>SUM(C32:I32)</f>
        <v>1001</v>
      </c>
      <c r="L32" s="508">
        <v>1000</v>
      </c>
    </row>
  </sheetData>
  <mergeCells count="4">
    <mergeCell ref="B3:H3"/>
    <mergeCell ref="C4:E4"/>
    <mergeCell ref="B28:E28"/>
    <mergeCell ref="F28:G28"/>
  </mergeCells>
  <pageMargins left="0.7" right="0.33" top="0.75" bottom="0.75" header="0.3" footer="0.3"/>
  <pageSetup paperSize="9" orientation="portrait" horizontalDpi="0"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2" tint="-0.499984740745262"/>
  </sheetPr>
  <dimension ref="A1:V25"/>
  <sheetViews>
    <sheetView zoomScale="75" zoomScaleNormal="75" workbookViewId="0">
      <selection activeCell="N25" sqref="N25:O25"/>
    </sheetView>
  </sheetViews>
  <sheetFormatPr defaultColWidth="12.5703125" defaultRowHeight="15" x14ac:dyDescent="0.25"/>
  <cols>
    <col min="1" max="1" width="12.5703125" style="847"/>
    <col min="2" max="2" width="6.140625" style="847" customWidth="1"/>
    <col min="3" max="3" width="27.42578125" style="847" customWidth="1"/>
    <col min="4" max="4" width="5.5703125" style="847" customWidth="1"/>
    <col min="5" max="5" width="12.5703125" style="847"/>
    <col min="6" max="6" width="5.7109375" style="847" customWidth="1"/>
    <col min="7" max="7" width="12.5703125" style="847"/>
    <col min="8" max="8" width="5.140625" style="847" customWidth="1"/>
    <col min="9" max="9" width="12.5703125" style="847"/>
    <col min="10" max="10" width="5.140625" style="847" customWidth="1"/>
    <col min="11" max="11" width="12.5703125" style="847"/>
    <col min="12" max="12" width="5" style="847" customWidth="1"/>
    <col min="13" max="13" width="12.5703125" style="847"/>
    <col min="14" max="14" width="5.7109375" style="847" customWidth="1"/>
    <col min="15" max="15" width="12.5703125" style="847"/>
    <col min="16" max="16" width="5" style="847" customWidth="1"/>
    <col min="17" max="17" width="12.5703125" style="847"/>
    <col min="18" max="18" width="12.5703125" style="848"/>
    <col min="19" max="16384" width="12.5703125" style="847"/>
  </cols>
  <sheetData>
    <row r="1" spans="2:18" ht="15.75" x14ac:dyDescent="0.25">
      <c r="R1" s="949" t="s">
        <v>1083</v>
      </c>
    </row>
    <row r="3" spans="2:18" s="780" customFormat="1" ht="21" customHeight="1" x14ac:dyDescent="0.3">
      <c r="B3" s="4298" t="s">
        <v>1926</v>
      </c>
      <c r="C3" s="4298"/>
      <c r="D3" s="4298"/>
      <c r="E3" s="4298"/>
      <c r="F3" s="4298"/>
      <c r="G3" s="4298"/>
      <c r="I3" s="988" t="str">
        <f>'Вхідні дані'!F5</f>
        <v>ЧФ ДП "АМПУ"</v>
      </c>
      <c r="J3" s="988"/>
      <c r="K3" s="988"/>
      <c r="L3" s="988"/>
      <c r="M3" s="988"/>
      <c r="N3" s="780" t="s">
        <v>461</v>
      </c>
      <c r="O3" s="988" t="str">
        <f>'Вхідні дані'!F6</f>
        <v>2023-2024</v>
      </c>
      <c r="P3" s="780" t="s">
        <v>648</v>
      </c>
      <c r="R3" s="851"/>
    </row>
    <row r="4" spans="2:18" x14ac:dyDescent="0.25">
      <c r="C4" s="847" t="s">
        <v>861</v>
      </c>
    </row>
    <row r="5" spans="2:18" ht="15.75" thickBot="1" x14ac:dyDescent="0.3"/>
    <row r="6" spans="2:18" ht="15.75" x14ac:dyDescent="0.25">
      <c r="B6" s="4305" t="s">
        <v>997</v>
      </c>
      <c r="C6" s="4307" t="s">
        <v>1536</v>
      </c>
      <c r="D6" s="4297" t="s">
        <v>885</v>
      </c>
      <c r="E6" s="4297"/>
      <c r="F6" s="4297" t="s">
        <v>959</v>
      </c>
      <c r="G6" s="4297"/>
      <c r="H6" s="4297" t="s">
        <v>926</v>
      </c>
      <c r="I6" s="4297"/>
      <c r="J6" s="4297" t="s">
        <v>999</v>
      </c>
      <c r="K6" s="4297"/>
      <c r="L6" s="4297" t="s">
        <v>888</v>
      </c>
      <c r="M6" s="4297"/>
      <c r="N6" s="4297" t="s">
        <v>1000</v>
      </c>
      <c r="O6" s="4297"/>
      <c r="P6" s="4297" t="s">
        <v>1001</v>
      </c>
      <c r="Q6" s="4299"/>
      <c r="R6" s="4303" t="s">
        <v>1002</v>
      </c>
    </row>
    <row r="7" spans="2:18" ht="16.5" thickBot="1" x14ac:dyDescent="0.3">
      <c r="B7" s="4306"/>
      <c r="C7" s="4308"/>
      <c r="D7" s="941" t="s">
        <v>895</v>
      </c>
      <c r="E7" s="941" t="s">
        <v>1015</v>
      </c>
      <c r="F7" s="941" t="s">
        <v>895</v>
      </c>
      <c r="G7" s="941" t="s">
        <v>1015</v>
      </c>
      <c r="H7" s="941" t="s">
        <v>895</v>
      </c>
      <c r="I7" s="941" t="s">
        <v>1015</v>
      </c>
      <c r="J7" s="941" t="s">
        <v>895</v>
      </c>
      <c r="K7" s="941" t="s">
        <v>1015</v>
      </c>
      <c r="L7" s="941" t="s">
        <v>895</v>
      </c>
      <c r="M7" s="941" t="s">
        <v>1015</v>
      </c>
      <c r="N7" s="941" t="s">
        <v>895</v>
      </c>
      <c r="O7" s="941" t="s">
        <v>1015</v>
      </c>
      <c r="P7" s="941" t="s">
        <v>895</v>
      </c>
      <c r="Q7" s="942" t="s">
        <v>1015</v>
      </c>
      <c r="R7" s="4304"/>
    </row>
    <row r="8" spans="2:18" ht="15.75" x14ac:dyDescent="0.25">
      <c r="B8" s="4300">
        <v>1</v>
      </c>
      <c r="C8" s="4301" t="s">
        <v>1537</v>
      </c>
      <c r="D8" s="775"/>
      <c r="E8" s="775"/>
      <c r="F8" s="775">
        <v>1</v>
      </c>
      <c r="G8" s="775">
        <v>1514</v>
      </c>
      <c r="H8" s="775"/>
      <c r="I8" s="775"/>
      <c r="J8" s="775"/>
      <c r="K8" s="775"/>
      <c r="L8" s="775"/>
      <c r="M8" s="775"/>
      <c r="N8" s="775">
        <v>1</v>
      </c>
      <c r="O8" s="775">
        <v>832</v>
      </c>
      <c r="R8" s="944">
        <f>D8*E8+F8*G8+H8*I8+J8*K8+L8*M8+N8*O8+N10*O10</f>
        <v>3295</v>
      </c>
    </row>
    <row r="9" spans="2:18" ht="15.75" x14ac:dyDescent="0.25">
      <c r="B9" s="4300"/>
      <c r="C9" s="4301"/>
      <c r="D9" s="775"/>
      <c r="E9" s="775"/>
      <c r="F9" s="775">
        <v>1</v>
      </c>
      <c r="G9" s="775">
        <v>1514</v>
      </c>
      <c r="H9" s="775"/>
      <c r="I9" s="775"/>
      <c r="J9" s="775"/>
      <c r="K9" s="775"/>
      <c r="L9" s="775"/>
      <c r="M9" s="775"/>
      <c r="N9" s="775">
        <v>1</v>
      </c>
      <c r="O9" s="775">
        <v>949</v>
      </c>
      <c r="P9" s="775">
        <v>1</v>
      </c>
      <c r="Q9" s="776">
        <v>769</v>
      </c>
      <c r="R9" s="945">
        <f t="shared" ref="R9:R23" si="0">D9*E9+F9*G9+H9*I9+J9*K9+L9*M9+N9*O9+P9*Q9</f>
        <v>3232</v>
      </c>
    </row>
    <row r="10" spans="2:18" ht="15.75" x14ac:dyDescent="0.25">
      <c r="B10" s="4300"/>
      <c r="C10" s="4301"/>
      <c r="D10" s="775"/>
      <c r="E10" s="775"/>
      <c r="F10" s="775">
        <v>1</v>
      </c>
      <c r="G10" s="775">
        <v>1514</v>
      </c>
      <c r="H10" s="775"/>
      <c r="I10" s="775"/>
      <c r="J10" s="775"/>
      <c r="K10" s="775"/>
      <c r="L10" s="775"/>
      <c r="M10" s="775"/>
      <c r="N10" s="775">
        <v>1</v>
      </c>
      <c r="O10" s="776">
        <v>949</v>
      </c>
      <c r="P10" s="775"/>
      <c r="Q10" s="776"/>
      <c r="R10" s="945">
        <f t="shared" si="0"/>
        <v>2463</v>
      </c>
    </row>
    <row r="11" spans="2:18" ht="15.75" x14ac:dyDescent="0.25">
      <c r="B11" s="4300"/>
      <c r="C11" s="4301"/>
      <c r="D11" s="775"/>
      <c r="E11" s="775"/>
      <c r="F11" s="775">
        <v>1</v>
      </c>
      <c r="G11" s="775">
        <v>1514</v>
      </c>
      <c r="H11" s="775"/>
      <c r="I11" s="775"/>
      <c r="J11" s="775"/>
      <c r="K11" s="775"/>
      <c r="L11" s="775"/>
      <c r="M11" s="775"/>
      <c r="N11" s="775"/>
      <c r="O11" s="775"/>
      <c r="P11" s="775"/>
      <c r="Q11" s="776"/>
      <c r="R11" s="945">
        <f t="shared" si="0"/>
        <v>1514</v>
      </c>
    </row>
    <row r="12" spans="2:18" ht="15.75" x14ac:dyDescent="0.25">
      <c r="B12" s="4300"/>
      <c r="C12" s="4301"/>
      <c r="D12" s="775"/>
      <c r="E12" s="775"/>
      <c r="F12" s="775">
        <v>1</v>
      </c>
      <c r="G12" s="775">
        <v>1514</v>
      </c>
      <c r="H12" s="775"/>
      <c r="I12" s="775"/>
      <c r="J12" s="775"/>
      <c r="K12" s="775"/>
      <c r="L12" s="775"/>
      <c r="M12" s="775"/>
      <c r="N12" s="775"/>
      <c r="O12" s="775"/>
      <c r="P12" s="775"/>
      <c r="Q12" s="776"/>
      <c r="R12" s="945">
        <f t="shared" si="0"/>
        <v>1514</v>
      </c>
    </row>
    <row r="13" spans="2:18" ht="15.75" x14ac:dyDescent="0.25">
      <c r="B13" s="4300"/>
      <c r="C13" s="4301"/>
      <c r="D13" s="775"/>
      <c r="E13" s="775"/>
      <c r="F13" s="775">
        <v>1</v>
      </c>
      <c r="G13" s="775">
        <v>1389</v>
      </c>
      <c r="H13" s="775"/>
      <c r="I13" s="775"/>
      <c r="J13" s="775"/>
      <c r="K13" s="775"/>
      <c r="L13" s="775"/>
      <c r="M13" s="775"/>
      <c r="N13" s="775"/>
      <c r="O13" s="775"/>
      <c r="P13" s="775"/>
      <c r="Q13" s="776"/>
      <c r="R13" s="945">
        <f t="shared" si="0"/>
        <v>1389</v>
      </c>
    </row>
    <row r="14" spans="2:18" ht="15.75" x14ac:dyDescent="0.25">
      <c r="B14" s="4300"/>
      <c r="C14" s="4301"/>
      <c r="D14" s="775"/>
      <c r="E14" s="775"/>
      <c r="F14" s="775"/>
      <c r="G14" s="775"/>
      <c r="H14" s="775"/>
      <c r="I14" s="775"/>
      <c r="J14" s="775"/>
      <c r="K14" s="775"/>
      <c r="L14" s="775"/>
      <c r="M14" s="775"/>
      <c r="N14" s="775"/>
      <c r="O14" s="775"/>
      <c r="P14" s="775"/>
      <c r="Q14" s="776"/>
      <c r="R14" s="945">
        <f t="shared" si="0"/>
        <v>0</v>
      </c>
    </row>
    <row r="15" spans="2:18" ht="15.75" x14ac:dyDescent="0.25">
      <c r="B15" s="4300"/>
      <c r="C15" s="4301"/>
      <c r="D15" s="775"/>
      <c r="E15" s="775"/>
      <c r="F15" s="775">
        <v>1</v>
      </c>
      <c r="G15" s="775">
        <v>1265</v>
      </c>
      <c r="H15" s="775"/>
      <c r="I15" s="775"/>
      <c r="J15" s="775"/>
      <c r="K15" s="775"/>
      <c r="L15" s="775"/>
      <c r="M15" s="775"/>
      <c r="N15" s="775"/>
      <c r="O15" s="775"/>
      <c r="P15" s="775"/>
      <c r="Q15" s="776"/>
      <c r="R15" s="945">
        <f t="shared" si="0"/>
        <v>1265</v>
      </c>
    </row>
    <row r="16" spans="2:18" ht="15.75" x14ac:dyDescent="0.25">
      <c r="B16" s="4300"/>
      <c r="C16" s="4301"/>
      <c r="D16" s="775"/>
      <c r="E16" s="775"/>
      <c r="F16" s="775">
        <v>1</v>
      </c>
      <c r="G16" s="775">
        <v>1514</v>
      </c>
      <c r="H16" s="775"/>
      <c r="I16" s="775"/>
      <c r="J16" s="775"/>
      <c r="K16" s="775"/>
      <c r="L16" s="775"/>
      <c r="M16" s="775"/>
      <c r="N16" s="775"/>
      <c r="O16" s="775"/>
      <c r="P16" s="775"/>
      <c r="Q16" s="776"/>
      <c r="R16" s="945">
        <f t="shared" si="0"/>
        <v>1514</v>
      </c>
    </row>
    <row r="17" spans="1:22" ht="15.75" x14ac:dyDescent="0.25">
      <c r="B17" s="4300"/>
      <c r="C17" s="4301"/>
      <c r="D17" s="775"/>
      <c r="E17" s="775"/>
      <c r="F17" s="775"/>
      <c r="G17" s="775"/>
      <c r="H17" s="775"/>
      <c r="I17" s="775"/>
      <c r="J17" s="775"/>
      <c r="K17" s="775"/>
      <c r="L17" s="775"/>
      <c r="M17" s="775"/>
      <c r="N17" s="775"/>
      <c r="O17" s="775"/>
      <c r="P17" s="775"/>
      <c r="Q17" s="776"/>
      <c r="R17" s="945">
        <f t="shared" si="0"/>
        <v>0</v>
      </c>
    </row>
    <row r="18" spans="1:22" ht="15.75" x14ac:dyDescent="0.25">
      <c r="B18" s="4300"/>
      <c r="C18" s="4301"/>
      <c r="D18" s="775"/>
      <c r="E18" s="775"/>
      <c r="F18" s="775"/>
      <c r="G18" s="775"/>
      <c r="H18" s="775"/>
      <c r="I18" s="775"/>
      <c r="J18" s="775"/>
      <c r="K18" s="775"/>
      <c r="L18" s="775"/>
      <c r="M18" s="775"/>
      <c r="N18" s="775"/>
      <c r="O18" s="775"/>
      <c r="P18" s="775"/>
      <c r="Q18" s="776"/>
      <c r="R18" s="945">
        <f t="shared" si="0"/>
        <v>0</v>
      </c>
    </row>
    <row r="19" spans="1:22" ht="18" customHeight="1" x14ac:dyDescent="0.25">
      <c r="A19" s="849" t="s">
        <v>1538</v>
      </c>
      <c r="B19" s="4300"/>
      <c r="C19" s="4302"/>
      <c r="D19" s="846"/>
      <c r="E19" s="846"/>
      <c r="F19" s="846"/>
      <c r="G19" s="846"/>
      <c r="H19" s="846"/>
      <c r="I19" s="846"/>
      <c r="J19" s="846"/>
      <c r="K19" s="846"/>
      <c r="L19" s="846"/>
      <c r="M19" s="846"/>
      <c r="N19" s="846"/>
      <c r="O19" s="846"/>
      <c r="P19" s="846"/>
      <c r="Q19" s="948"/>
      <c r="R19" s="945">
        <f t="shared" si="0"/>
        <v>0</v>
      </c>
      <c r="S19" s="850">
        <f>S20-R20</f>
        <v>-3161</v>
      </c>
    </row>
    <row r="20" spans="1:22" ht="18.600000000000001" customHeight="1" x14ac:dyDescent="0.25">
      <c r="B20" s="4296"/>
      <c r="C20" s="777" t="s">
        <v>1018</v>
      </c>
      <c r="D20" s="4287">
        <f>D8*E8+D9*E9+D10*E10+D11*E11+D12*E12+D13*E13+D14*E14+D15*E15+D16*E16+D17*E17+D18*E18+D19*E19</f>
        <v>0</v>
      </c>
      <c r="E20" s="4288"/>
      <c r="F20" s="4287">
        <f>F8*G8+F9*G9+F10*G10+F11*G11+F12*G12+F13*G13+F14*G14+F15*G15+F16*G16+F17*G17+F18*G18+F19*G19</f>
        <v>11738</v>
      </c>
      <c r="G20" s="4288"/>
      <c r="H20" s="4287">
        <f>H8*I8+H9*I9+H10*I10+H11*I11+H12*I12+H13*I13+H14*I14+H15*I15+H16*I16+H17*I17+H18*I18+H19*I19</f>
        <v>0</v>
      </c>
      <c r="I20" s="4288"/>
      <c r="J20" s="4287">
        <f>J8*K8+J9*K9+J10*K10+J11*K11+J12*K12+J13*K13+J14*K14+J15*K15+J16*K16+J17*K17+J18*K18+J19*K19</f>
        <v>0</v>
      </c>
      <c r="K20" s="4288"/>
      <c r="L20" s="4287">
        <f>L8*M8+L9*M9+L10*M10+L11*M11+L12*M12+L13*M13+L14*M14+L15*M15+L16*M16+L17*M17+L18*M18+L19*M19</f>
        <v>0</v>
      </c>
      <c r="M20" s="4288"/>
      <c r="N20" s="4287">
        <f>N8*O8+N9*O9+N10*O10+N11*O11+N12*O12+N13*O13+N14*O14+N15*O15+N16*O16+N17*O17+N18*O18+N19*O19</f>
        <v>2730</v>
      </c>
      <c r="O20" s="4288"/>
      <c r="P20" s="4287">
        <f>P8*Q8+P9*Q9+P10*Q10+P11*Q11+P12*Q12+P13*Q13+P14*Q14+P15*Q15+P16*Q16+P17*Q17+P18*Q18+P19*Q19</f>
        <v>769</v>
      </c>
      <c r="Q20" s="4288"/>
      <c r="R20" s="946">
        <f>SUM(R8:R19)</f>
        <v>16186</v>
      </c>
      <c r="S20" s="847">
        <f>1106+9161+2758</f>
        <v>13025</v>
      </c>
    </row>
    <row r="21" spans="1:22" ht="45" customHeight="1" x14ac:dyDescent="0.25">
      <c r="A21" s="849" t="s">
        <v>1539</v>
      </c>
      <c r="B21" s="4295">
        <v>2</v>
      </c>
      <c r="C21" s="781" t="s">
        <v>1540</v>
      </c>
      <c r="D21" s="778">
        <v>1</v>
      </c>
      <c r="E21" s="778">
        <f>(2400+3000)-G21</f>
        <v>1000</v>
      </c>
      <c r="F21" s="778">
        <v>1</v>
      </c>
      <c r="G21" s="778">
        <v>4400</v>
      </c>
      <c r="H21" s="778"/>
      <c r="I21" s="778"/>
      <c r="J21" s="778"/>
      <c r="K21" s="778"/>
      <c r="L21" s="778"/>
      <c r="M21" s="778"/>
      <c r="N21" s="779"/>
      <c r="O21" s="779"/>
      <c r="P21" s="778"/>
      <c r="Q21" s="943"/>
      <c r="R21" s="945">
        <f t="shared" si="0"/>
        <v>5400</v>
      </c>
      <c r="S21" s="1380" t="s">
        <v>2603</v>
      </c>
    </row>
    <row r="22" spans="1:22" ht="15.75" x14ac:dyDescent="0.25">
      <c r="B22" s="4296"/>
      <c r="C22" s="777" t="s">
        <v>1018</v>
      </c>
      <c r="D22" s="4287">
        <f>D21*E21</f>
        <v>1000</v>
      </c>
      <c r="E22" s="4288"/>
      <c r="F22" s="4287">
        <f>F21*G21</f>
        <v>4400</v>
      </c>
      <c r="G22" s="4288"/>
      <c r="H22" s="4287"/>
      <c r="I22" s="4288"/>
      <c r="J22" s="4287"/>
      <c r="K22" s="4288"/>
      <c r="L22" s="4287"/>
      <c r="M22" s="4288"/>
      <c r="N22" s="4287"/>
      <c r="O22" s="4288"/>
      <c r="P22" s="4287"/>
      <c r="Q22" s="4289"/>
      <c r="R22" s="946">
        <f>SUM(R21)</f>
        <v>5400</v>
      </c>
    </row>
    <row r="23" spans="1:22" ht="73.900000000000006" customHeight="1" x14ac:dyDescent="0.25">
      <c r="B23" s="4293">
        <v>3</v>
      </c>
      <c r="C23" s="781" t="s">
        <v>1541</v>
      </c>
      <c r="D23" s="778">
        <v>1</v>
      </c>
      <c r="E23" s="778">
        <v>6069</v>
      </c>
      <c r="F23" s="778">
        <v>1</v>
      </c>
      <c r="G23" s="778">
        <f>2400+3000</f>
        <v>5400</v>
      </c>
      <c r="H23" s="778"/>
      <c r="I23" s="778"/>
      <c r="J23" s="779"/>
      <c r="K23" s="779"/>
      <c r="L23" s="778"/>
      <c r="M23" s="778"/>
      <c r="N23" s="778"/>
      <c r="O23" s="778"/>
      <c r="P23" s="778"/>
      <c r="Q23" s="943"/>
      <c r="R23" s="945">
        <f t="shared" si="0"/>
        <v>11469</v>
      </c>
      <c r="S23" s="1380" t="s">
        <v>2603</v>
      </c>
    </row>
    <row r="24" spans="1:22" ht="15.75" x14ac:dyDescent="0.25">
      <c r="B24" s="4294"/>
      <c r="C24" s="777" t="s">
        <v>1018</v>
      </c>
      <c r="D24" s="4287">
        <f>D23*E23</f>
        <v>6069</v>
      </c>
      <c r="E24" s="4288"/>
      <c r="F24" s="4287">
        <f>F23*G23</f>
        <v>5400</v>
      </c>
      <c r="G24" s="4288"/>
      <c r="H24" s="4287">
        <f>H23*I23</f>
        <v>0</v>
      </c>
      <c r="I24" s="4288"/>
      <c r="J24" s="4287">
        <f>J23*K23</f>
        <v>0</v>
      </c>
      <c r="K24" s="4288"/>
      <c r="L24" s="4287">
        <f>L23*M23</f>
        <v>0</v>
      </c>
      <c r="M24" s="4288"/>
      <c r="N24" s="4287">
        <f>N23*O23</f>
        <v>0</v>
      </c>
      <c r="O24" s="4288"/>
      <c r="P24" s="4287">
        <f>P23*Q23</f>
        <v>0</v>
      </c>
      <c r="Q24" s="4289"/>
      <c r="R24" s="946">
        <f>SUM(R23)</f>
        <v>11469</v>
      </c>
    </row>
    <row r="25" spans="1:22" ht="16.5" thickBot="1" x14ac:dyDescent="0.3">
      <c r="B25" s="939"/>
      <c r="C25" s="940" t="s">
        <v>1023</v>
      </c>
      <c r="D25" s="4290">
        <f>D20+D22+D24</f>
        <v>7069</v>
      </c>
      <c r="E25" s="4291"/>
      <c r="F25" s="4290">
        <f>F20+F22+F24</f>
        <v>21538</v>
      </c>
      <c r="G25" s="4291"/>
      <c r="H25" s="4290">
        <f>H20+H22+H24</f>
        <v>0</v>
      </c>
      <c r="I25" s="4291"/>
      <c r="J25" s="4290">
        <f>J20+J22+J24</f>
        <v>0</v>
      </c>
      <c r="K25" s="4291"/>
      <c r="L25" s="4290">
        <f>L20+L22+L24</f>
        <v>0</v>
      </c>
      <c r="M25" s="4291"/>
      <c r="N25" s="4290">
        <f>N20+N22+N24</f>
        <v>2730</v>
      </c>
      <c r="O25" s="4291"/>
      <c r="P25" s="4290">
        <f>P20+P22+P24</f>
        <v>769</v>
      </c>
      <c r="Q25" s="4292"/>
      <c r="R25" s="947">
        <f>R20+R22+R24</f>
        <v>33055</v>
      </c>
      <c r="V25" s="847" t="s">
        <v>1843</v>
      </c>
    </row>
  </sheetData>
  <mergeCells count="43">
    <mergeCell ref="R6:R7"/>
    <mergeCell ref="J6:K6"/>
    <mergeCell ref="B6:B7"/>
    <mergeCell ref="C6:C7"/>
    <mergeCell ref="D6:E6"/>
    <mergeCell ref="F6:G6"/>
    <mergeCell ref="H6:I6"/>
    <mergeCell ref="H20:I20"/>
    <mergeCell ref="L6:M6"/>
    <mergeCell ref="B3:G3"/>
    <mergeCell ref="N6:O6"/>
    <mergeCell ref="P6:Q6"/>
    <mergeCell ref="N20:O20"/>
    <mergeCell ref="P20:Q20"/>
    <mergeCell ref="B8:B20"/>
    <mergeCell ref="C8:C19"/>
    <mergeCell ref="D20:E20"/>
    <mergeCell ref="F20:G20"/>
    <mergeCell ref="B21:B22"/>
    <mergeCell ref="D22:E22"/>
    <mergeCell ref="F22:G22"/>
    <mergeCell ref="H22:I22"/>
    <mergeCell ref="J22:K22"/>
    <mergeCell ref="L22:M22"/>
    <mergeCell ref="N22:O22"/>
    <mergeCell ref="P22:Q22"/>
    <mergeCell ref="J20:K20"/>
    <mergeCell ref="L20:M20"/>
    <mergeCell ref="B23:B24"/>
    <mergeCell ref="D24:E24"/>
    <mergeCell ref="F24:G24"/>
    <mergeCell ref="H24:I24"/>
    <mergeCell ref="J24:K24"/>
    <mergeCell ref="N24:O24"/>
    <mergeCell ref="P24:Q24"/>
    <mergeCell ref="D25:E25"/>
    <mergeCell ref="F25:G25"/>
    <mergeCell ref="H25:I25"/>
    <mergeCell ref="J25:K25"/>
    <mergeCell ref="L25:M25"/>
    <mergeCell ref="N25:O25"/>
    <mergeCell ref="P25:Q25"/>
    <mergeCell ref="L24:M24"/>
  </mergeCell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2" tint="-0.499984740745262"/>
  </sheetPr>
  <dimension ref="A1:S59"/>
  <sheetViews>
    <sheetView topLeftCell="A28" workbookViewId="0">
      <selection activeCell="E31" sqref="E31"/>
    </sheetView>
  </sheetViews>
  <sheetFormatPr defaultColWidth="9.140625" defaultRowHeight="15.75" x14ac:dyDescent="0.25"/>
  <cols>
    <col min="1" max="1" width="7.7109375" style="803" customWidth="1"/>
    <col min="2" max="2" width="5.5703125" style="801" customWidth="1"/>
    <col min="3" max="3" width="44.28515625" style="802" customWidth="1"/>
    <col min="4" max="4" width="4.7109375" style="803" customWidth="1"/>
    <col min="5" max="5" width="11.7109375" style="803" bestFit="1" customWidth="1"/>
    <col min="6" max="6" width="8.42578125" style="803" customWidth="1"/>
    <col min="7" max="7" width="10.140625" style="803" bestFit="1" customWidth="1"/>
    <col min="8" max="8" width="4.28515625" style="803" customWidth="1"/>
    <col min="9" max="9" width="10.85546875" style="803" customWidth="1"/>
    <col min="10" max="10" width="4.42578125" style="803" customWidth="1"/>
    <col min="11" max="11" width="12" style="803" customWidth="1"/>
    <col min="12" max="12" width="4.7109375" style="803" customWidth="1"/>
    <col min="13" max="13" width="10.140625" style="803" bestFit="1" customWidth="1"/>
    <col min="14" max="14" width="4.140625" style="803" customWidth="1"/>
    <col min="15" max="15" width="9.28515625" style="803" customWidth="1"/>
    <col min="16" max="16" width="4.7109375" style="803" customWidth="1"/>
    <col min="17" max="17" width="12.85546875" style="803" customWidth="1"/>
    <col min="18" max="18" width="11.28515625" style="803" bestFit="1" customWidth="1"/>
    <col min="19" max="19" width="21" style="1795" customWidth="1"/>
    <col min="20" max="20" width="10.28515625" style="803" customWidth="1"/>
    <col min="21" max="16384" width="9.140625" style="803"/>
  </cols>
  <sheetData>
    <row r="1" spans="1:19" x14ac:dyDescent="0.25">
      <c r="R1" s="803" t="s">
        <v>1083</v>
      </c>
    </row>
    <row r="3" spans="1:19" s="802" customFormat="1" x14ac:dyDescent="0.25">
      <c r="B3" s="4320" t="s">
        <v>1935</v>
      </c>
      <c r="C3" s="4320"/>
      <c r="D3" s="4320"/>
      <c r="E3" s="4320"/>
      <c r="F3" s="4320"/>
      <c r="H3" s="977" t="str">
        <f>'Вхідні дані'!$F$5</f>
        <v>ЧФ ДП "АМПУ"</v>
      </c>
      <c r="I3" s="977"/>
      <c r="J3" s="977"/>
      <c r="K3" s="977"/>
      <c r="L3" s="977"/>
      <c r="M3" s="1801" t="s">
        <v>461</v>
      </c>
      <c r="N3" s="978" t="str">
        <f>'Вхідні дані'!$F$6</f>
        <v>2023-2024</v>
      </c>
      <c r="O3" s="979"/>
      <c r="P3" s="889" t="s">
        <v>648</v>
      </c>
      <c r="Q3" s="889"/>
      <c r="R3" s="889"/>
      <c r="S3" s="1795"/>
    </row>
    <row r="5" spans="1:19" ht="16.5" thickBot="1" x14ac:dyDescent="0.3">
      <c r="R5" s="803" t="s">
        <v>996</v>
      </c>
    </row>
    <row r="6" spans="1:19" ht="15" x14ac:dyDescent="0.25">
      <c r="B6" s="4321" t="s">
        <v>997</v>
      </c>
      <c r="C6" s="4323" t="s">
        <v>1536</v>
      </c>
      <c r="D6" s="4318" t="s">
        <v>885</v>
      </c>
      <c r="E6" s="4318"/>
      <c r="F6" s="4318" t="s">
        <v>959</v>
      </c>
      <c r="G6" s="4318"/>
      <c r="H6" s="4318" t="s">
        <v>926</v>
      </c>
      <c r="I6" s="4318"/>
      <c r="J6" s="4318" t="s">
        <v>999</v>
      </c>
      <c r="K6" s="4318"/>
      <c r="L6" s="4318" t="s">
        <v>888</v>
      </c>
      <c r="M6" s="4318"/>
      <c r="N6" s="4318" t="s">
        <v>1000</v>
      </c>
      <c r="O6" s="4318"/>
      <c r="P6" s="4318" t="s">
        <v>1001</v>
      </c>
      <c r="Q6" s="4319"/>
      <c r="R6" s="906" t="s">
        <v>1002</v>
      </c>
    </row>
    <row r="7" spans="1:19" thickBot="1" x14ac:dyDescent="0.3">
      <c r="B7" s="4322"/>
      <c r="C7" s="4324"/>
      <c r="D7" s="895" t="s">
        <v>895</v>
      </c>
      <c r="E7" s="895" t="s">
        <v>1015</v>
      </c>
      <c r="F7" s="895" t="s">
        <v>895</v>
      </c>
      <c r="G7" s="895" t="s">
        <v>1015</v>
      </c>
      <c r="H7" s="895" t="s">
        <v>895</v>
      </c>
      <c r="I7" s="895" t="s">
        <v>1015</v>
      </c>
      <c r="J7" s="895" t="s">
        <v>895</v>
      </c>
      <c r="K7" s="895" t="s">
        <v>1015</v>
      </c>
      <c r="L7" s="895" t="s">
        <v>895</v>
      </c>
      <c r="M7" s="895" t="s">
        <v>1015</v>
      </c>
      <c r="N7" s="895" t="s">
        <v>895</v>
      </c>
      <c r="O7" s="895" t="s">
        <v>1015</v>
      </c>
      <c r="P7" s="895" t="s">
        <v>895</v>
      </c>
      <c r="Q7" s="903" t="s">
        <v>1015</v>
      </c>
      <c r="R7" s="907" t="s">
        <v>447</v>
      </c>
    </row>
    <row r="8" spans="1:19" thickBot="1" x14ac:dyDescent="0.3">
      <c r="B8" s="1073"/>
      <c r="C8" s="1070" t="s">
        <v>80</v>
      </c>
      <c r="D8" s="915"/>
      <c r="E8" s="916">
        <f>D9*E9+D10*E10+D11*E11+D12*E12+D13*E13+D14*E14+D15*E15+D16*E16+D17*E17+D18*E18+D19*E19</f>
        <v>37822.19</v>
      </c>
      <c r="F8" s="915"/>
      <c r="G8" s="916">
        <f>F9*G9+F10*G10+F11*G11+F12*G12+F13*G13+F14*G14+F15*G15+F16*G16+F17*G17+F18*G18+F19*G19</f>
        <v>600</v>
      </c>
      <c r="H8" s="4310">
        <f>H9*I9+H10*I10+H11*I11+H12*I12+H13*I13+H14*I14+H15*I15+H16*I16+H17*I17+H18*I18+H19*I19</f>
        <v>0</v>
      </c>
      <c r="I8" s="4310"/>
      <c r="J8" s="4310">
        <f>J9*K9+J10*K10+J11*K11+J12*K12+J13*K13+J14*K14+J15*K15+J16*K16+J17*K17+J18*K18+J19*K19</f>
        <v>0</v>
      </c>
      <c r="K8" s="4310"/>
      <c r="L8" s="4310">
        <f>L9*M9+L10*M10+L11*M11+L12*M12+L13*M13+L14*M14+L15*M15+L16*M16+L17*M17+L18*M18+L19*M19</f>
        <v>0</v>
      </c>
      <c r="M8" s="4310"/>
      <c r="N8" s="915"/>
      <c r="O8" s="916">
        <f>N9*O9+N10*O10+N11*O11+N12*O12+N13*O13+N14*O14+N15*O15+N16*O16+N17*O17+N18*O18+N19*O19</f>
        <v>600</v>
      </c>
      <c r="P8" s="4310">
        <f>P9*Q9+P10*Q10+P11*Q11+P12*Q12+P13*Q13+P14*Q14+P15*Q15+P16*Q16+P17*Q17+P18*Q18+P19*Q19</f>
        <v>0</v>
      </c>
      <c r="Q8" s="4311"/>
      <c r="R8" s="917">
        <f>SUM(R9:R17)</f>
        <v>37822.19</v>
      </c>
    </row>
    <row r="9" spans="1:19" ht="30" x14ac:dyDescent="0.25">
      <c r="A9" s="1902" t="s">
        <v>2618</v>
      </c>
      <c r="B9" s="1071">
        <v>1</v>
      </c>
      <c r="C9" s="1068" t="s">
        <v>1852</v>
      </c>
      <c r="D9" s="892"/>
      <c r="E9" s="893"/>
      <c r="F9" s="894"/>
      <c r="G9" s="894"/>
      <c r="H9" s="894"/>
      <c r="I9" s="894"/>
      <c r="J9" s="894"/>
      <c r="K9" s="894"/>
      <c r="L9" s="894"/>
      <c r="M9" s="894"/>
      <c r="N9" s="894"/>
      <c r="O9" s="894"/>
      <c r="P9" s="894"/>
      <c r="Q9" s="904"/>
      <c r="R9" s="908">
        <f>D9*E9+F9*G9+H9*I9+J9*K9+L9*M9+N9*O9+P9*Q9</f>
        <v>0</v>
      </c>
      <c r="S9" s="1795" t="s">
        <v>2607</v>
      </c>
    </row>
    <row r="10" spans="1:19" ht="15" x14ac:dyDescent="0.25">
      <c r="B10" s="1072">
        <f>B9+1</f>
        <v>2</v>
      </c>
      <c r="C10" s="1069" t="s">
        <v>1853</v>
      </c>
      <c r="D10" s="804"/>
      <c r="E10" s="805"/>
      <c r="F10" s="804"/>
      <c r="G10" s="804"/>
      <c r="H10" s="804"/>
      <c r="I10" s="804"/>
      <c r="J10" s="804"/>
      <c r="K10" s="804"/>
      <c r="L10" s="804"/>
      <c r="M10" s="804"/>
      <c r="N10" s="804"/>
      <c r="O10" s="804"/>
      <c r="P10" s="804"/>
      <c r="Q10" s="905"/>
      <c r="R10" s="909">
        <f t="shared" ref="R10:R19" si="0">D10*E10+F10*G10+H10*I10+J10*K10+L10*M10+N10*O10+P10*Q10</f>
        <v>0</v>
      </c>
    </row>
    <row r="11" spans="1:19" ht="15" x14ac:dyDescent="0.25">
      <c r="B11" s="1072">
        <f t="shared" ref="B11:B19" si="1">B10+1</f>
        <v>3</v>
      </c>
      <c r="C11" s="1069" t="s">
        <v>1854</v>
      </c>
      <c r="D11" s="804">
        <v>1</v>
      </c>
      <c r="E11" s="805">
        <v>17606.580000000002</v>
      </c>
      <c r="F11" s="804"/>
      <c r="G11" s="804"/>
      <c r="H11" s="804"/>
      <c r="I11" s="804"/>
      <c r="J11" s="804"/>
      <c r="K11" s="804"/>
      <c r="L11" s="804"/>
      <c r="M11" s="804"/>
      <c r="N11" s="804"/>
      <c r="O11" s="804"/>
      <c r="P11" s="804"/>
      <c r="Q11" s="905"/>
      <c r="R11" s="909">
        <f t="shared" si="0"/>
        <v>17606.580000000002</v>
      </c>
      <c r="S11" s="1795" t="s">
        <v>2613</v>
      </c>
    </row>
    <row r="12" spans="1:19" ht="15" customHeight="1" x14ac:dyDescent="0.25">
      <c r="B12" s="1072">
        <f t="shared" si="1"/>
        <v>4</v>
      </c>
      <c r="C12" s="1069" t="s">
        <v>1855</v>
      </c>
      <c r="D12" s="804">
        <v>1</v>
      </c>
      <c r="E12" s="805">
        <v>16335.76</v>
      </c>
      <c r="F12" s="804"/>
      <c r="G12" s="804"/>
      <c r="H12" s="804"/>
      <c r="I12" s="804"/>
      <c r="J12" s="804"/>
      <c r="K12" s="804"/>
      <c r="L12" s="804"/>
      <c r="M12" s="804"/>
      <c r="N12" s="804"/>
      <c r="O12" s="804"/>
      <c r="P12" s="804"/>
      <c r="Q12" s="905"/>
      <c r="R12" s="909">
        <f t="shared" si="0"/>
        <v>16335.76</v>
      </c>
      <c r="S12" s="1795" t="s">
        <v>2614</v>
      </c>
    </row>
    <row r="13" spans="1:19" ht="15" x14ac:dyDescent="0.25">
      <c r="B13" s="1072">
        <f t="shared" si="1"/>
        <v>5</v>
      </c>
      <c r="C13" s="1069" t="s">
        <v>1856</v>
      </c>
      <c r="D13" s="804">
        <v>1</v>
      </c>
      <c r="E13" s="805">
        <v>3879.85</v>
      </c>
      <c r="F13" s="804"/>
      <c r="G13" s="804"/>
      <c r="H13" s="804"/>
      <c r="I13" s="804"/>
      <c r="J13" s="804"/>
      <c r="K13" s="804"/>
      <c r="L13" s="804"/>
      <c r="M13" s="804"/>
      <c r="N13" s="804"/>
      <c r="O13" s="804"/>
      <c r="P13" s="804"/>
      <c r="Q13" s="905"/>
      <c r="R13" s="909">
        <f t="shared" si="0"/>
        <v>3879.85</v>
      </c>
      <c r="S13" s="1795" t="s">
        <v>2615</v>
      </c>
    </row>
    <row r="14" spans="1:19" ht="15" x14ac:dyDescent="0.25">
      <c r="B14" s="1072">
        <f t="shared" si="1"/>
        <v>6</v>
      </c>
      <c r="C14" s="1069" t="s">
        <v>1857</v>
      </c>
      <c r="D14" s="804"/>
      <c r="E14" s="805"/>
      <c r="F14" s="804"/>
      <c r="G14" s="806"/>
      <c r="H14" s="804"/>
      <c r="I14" s="804"/>
      <c r="J14" s="804"/>
      <c r="K14" s="804"/>
      <c r="L14" s="804"/>
      <c r="M14" s="804"/>
      <c r="N14" s="804"/>
      <c r="O14" s="804"/>
      <c r="P14" s="804"/>
      <c r="Q14" s="905"/>
      <c r="R14" s="909">
        <f t="shared" si="0"/>
        <v>0</v>
      </c>
      <c r="S14" s="1903" t="s">
        <v>2610</v>
      </c>
    </row>
    <row r="15" spans="1:19" ht="15" x14ac:dyDescent="0.25">
      <c r="B15" s="1072">
        <f t="shared" si="1"/>
        <v>7</v>
      </c>
      <c r="C15" s="1069" t="s">
        <v>1858</v>
      </c>
      <c r="D15" s="804"/>
      <c r="E15" s="805"/>
      <c r="F15" s="804"/>
      <c r="G15" s="804"/>
      <c r="H15" s="804"/>
      <c r="I15" s="804"/>
      <c r="J15" s="804"/>
      <c r="K15" s="804"/>
      <c r="L15" s="804"/>
      <c r="M15" s="804"/>
      <c r="N15" s="804"/>
      <c r="O15" s="804"/>
      <c r="P15" s="804"/>
      <c r="Q15" s="905"/>
      <c r="R15" s="909">
        <f t="shared" si="0"/>
        <v>0</v>
      </c>
    </row>
    <row r="16" spans="1:19" ht="30" x14ac:dyDescent="0.25">
      <c r="B16" s="1072">
        <f t="shared" si="1"/>
        <v>8</v>
      </c>
      <c r="C16" s="1069" t="s">
        <v>1859</v>
      </c>
      <c r="D16" s="804"/>
      <c r="E16" s="805"/>
      <c r="F16" s="804"/>
      <c r="G16" s="804"/>
      <c r="H16" s="804"/>
      <c r="I16" s="804"/>
      <c r="J16" s="804"/>
      <c r="K16" s="804"/>
      <c r="L16" s="804"/>
      <c r="M16" s="804"/>
      <c r="N16" s="804"/>
      <c r="O16" s="804"/>
      <c r="P16" s="804"/>
      <c r="Q16" s="905"/>
      <c r="R16" s="909">
        <f t="shared" si="0"/>
        <v>0</v>
      </c>
    </row>
    <row r="17" spans="1:19" ht="30" x14ac:dyDescent="0.25">
      <c r="A17" s="803" t="s">
        <v>2566</v>
      </c>
      <c r="B17" s="1072">
        <f t="shared" si="1"/>
        <v>9</v>
      </c>
      <c r="C17" s="1069" t="s">
        <v>1860</v>
      </c>
      <c r="D17" s="804"/>
      <c r="E17" s="805"/>
      <c r="F17" s="804"/>
      <c r="G17" s="804"/>
      <c r="H17" s="804"/>
      <c r="I17" s="804"/>
      <c r="J17" s="804"/>
      <c r="K17" s="804"/>
      <c r="L17" s="804"/>
      <c r="M17" s="804"/>
      <c r="N17" s="804"/>
      <c r="O17" s="804"/>
      <c r="P17" s="804"/>
      <c r="Q17" s="905"/>
      <c r="R17" s="909">
        <f t="shared" si="0"/>
        <v>0</v>
      </c>
      <c r="S17" s="1795" t="s">
        <v>2611</v>
      </c>
    </row>
    <row r="18" spans="1:19" ht="30" x14ac:dyDescent="0.25">
      <c r="B18" s="1072">
        <f t="shared" si="1"/>
        <v>10</v>
      </c>
      <c r="C18" s="1069" t="s">
        <v>1861</v>
      </c>
      <c r="D18" s="804"/>
      <c r="E18" s="805"/>
      <c r="F18" s="807">
        <v>1</v>
      </c>
      <c r="G18" s="807">
        <v>600</v>
      </c>
      <c r="H18" s="804"/>
      <c r="I18" s="804"/>
      <c r="J18" s="804"/>
      <c r="K18" s="804"/>
      <c r="L18" s="804"/>
      <c r="M18" s="804"/>
      <c r="N18" s="804">
        <v>1</v>
      </c>
      <c r="O18" s="804">
        <v>600</v>
      </c>
      <c r="P18" s="804"/>
      <c r="Q18" s="905"/>
      <c r="R18" s="909">
        <f t="shared" si="0"/>
        <v>1200</v>
      </c>
      <c r="S18" s="1795" t="s">
        <v>2503</v>
      </c>
    </row>
    <row r="19" spans="1:19" ht="15" x14ac:dyDescent="0.25">
      <c r="B19" s="1072">
        <f t="shared" si="1"/>
        <v>11</v>
      </c>
      <c r="C19" s="1069" t="s">
        <v>1862</v>
      </c>
      <c r="D19" s="804"/>
      <c r="E19" s="805"/>
      <c r="F19" s="804"/>
      <c r="G19" s="804"/>
      <c r="H19" s="804"/>
      <c r="I19" s="804"/>
      <c r="J19" s="804"/>
      <c r="K19" s="804"/>
      <c r="L19" s="804"/>
      <c r="M19" s="804"/>
      <c r="N19" s="804"/>
      <c r="O19" s="804"/>
      <c r="P19" s="804"/>
      <c r="Q19" s="905"/>
      <c r="R19" s="909">
        <f t="shared" si="0"/>
        <v>0</v>
      </c>
    </row>
    <row r="20" spans="1:19" x14ac:dyDescent="0.25">
      <c r="G20" s="1900"/>
    </row>
    <row r="24" spans="1:19" x14ac:dyDescent="0.25">
      <c r="R24" s="803" t="s">
        <v>1083</v>
      </c>
    </row>
    <row r="25" spans="1:19" ht="15" x14ac:dyDescent="0.25">
      <c r="B25" s="803"/>
      <c r="C25" s="803"/>
    </row>
    <row r="26" spans="1:19" ht="32.450000000000003" customHeight="1" x14ac:dyDescent="0.3">
      <c r="B26" s="4309" t="s">
        <v>1866</v>
      </c>
      <c r="C26" s="4309"/>
      <c r="D26" s="4309"/>
      <c r="E26" s="4309"/>
      <c r="F26" s="4309"/>
      <c r="G26" s="888"/>
      <c r="H26" s="977" t="str">
        <f>'Вхідні дані'!$F$5</f>
        <v>ЧФ ДП "АМПУ"</v>
      </c>
      <c r="I26" s="977"/>
      <c r="J26" s="977"/>
      <c r="K26" s="977"/>
      <c r="L26" s="977"/>
      <c r="M26" s="887" t="s">
        <v>461</v>
      </c>
      <c r="N26" s="978" t="str">
        <f>'Вхідні дані'!$F$6</f>
        <v>2023-2024</v>
      </c>
      <c r="O26" s="979"/>
      <c r="P26" s="889" t="s">
        <v>648</v>
      </c>
    </row>
    <row r="27" spans="1:19" thickBot="1" x14ac:dyDescent="0.3">
      <c r="B27" s="803"/>
      <c r="C27" s="803"/>
    </row>
    <row r="28" spans="1:19" x14ac:dyDescent="0.25">
      <c r="B28" s="4312" t="s">
        <v>997</v>
      </c>
      <c r="C28" s="4314" t="s">
        <v>1863</v>
      </c>
      <c r="D28" s="4316" t="s">
        <v>885</v>
      </c>
      <c r="E28" s="4316"/>
      <c r="F28" s="4316" t="s">
        <v>959</v>
      </c>
      <c r="G28" s="4316"/>
      <c r="H28" s="4316" t="s">
        <v>926</v>
      </c>
      <c r="I28" s="4316"/>
      <c r="J28" s="4316" t="s">
        <v>999</v>
      </c>
      <c r="K28" s="4316"/>
      <c r="L28" s="4316" t="s">
        <v>888</v>
      </c>
      <c r="M28" s="4316"/>
      <c r="N28" s="4316" t="s">
        <v>1000</v>
      </c>
      <c r="O28" s="4316"/>
      <c r="P28" s="4316" t="s">
        <v>1001</v>
      </c>
      <c r="Q28" s="4317"/>
      <c r="R28" s="900" t="s">
        <v>1002</v>
      </c>
    </row>
    <row r="29" spans="1:19" ht="16.5" thickBot="1" x14ac:dyDescent="0.3">
      <c r="B29" s="4313"/>
      <c r="C29" s="4315"/>
      <c r="D29" s="898" t="s">
        <v>895</v>
      </c>
      <c r="E29" s="898" t="s">
        <v>1015</v>
      </c>
      <c r="F29" s="898" t="s">
        <v>895</v>
      </c>
      <c r="G29" s="898" t="s">
        <v>1015</v>
      </c>
      <c r="H29" s="898" t="s">
        <v>895</v>
      </c>
      <c r="I29" s="898" t="s">
        <v>1015</v>
      </c>
      <c r="J29" s="898" t="s">
        <v>895</v>
      </c>
      <c r="K29" s="898" t="s">
        <v>1015</v>
      </c>
      <c r="L29" s="898" t="s">
        <v>895</v>
      </c>
      <c r="M29" s="898" t="s">
        <v>1015</v>
      </c>
      <c r="N29" s="898" t="s">
        <v>895</v>
      </c>
      <c r="O29" s="898" t="s">
        <v>1015</v>
      </c>
      <c r="P29" s="898" t="s">
        <v>895</v>
      </c>
      <c r="Q29" s="899" t="s">
        <v>1015</v>
      </c>
      <c r="R29" s="901" t="s">
        <v>447</v>
      </c>
    </row>
    <row r="30" spans="1:19" ht="16.5" thickBot="1" x14ac:dyDescent="0.3">
      <c r="B30" s="910"/>
      <c r="C30" s="911" t="s">
        <v>80</v>
      </c>
      <c r="D30" s="912"/>
      <c r="E30" s="913">
        <f>SUMPRODUCT(D31:D59,E31:E59)</f>
        <v>121770.73000000001</v>
      </c>
      <c r="F30" s="912"/>
      <c r="G30" s="913">
        <f>SUMPRODUCT(F31:F59,G31:G59)</f>
        <v>42198.04</v>
      </c>
      <c r="H30" s="912"/>
      <c r="I30" s="913">
        <f>SUMPRODUCT(H31:H59,I31:I59)</f>
        <v>261</v>
      </c>
      <c r="J30" s="912"/>
      <c r="K30" s="913">
        <f>SUMPRODUCT(J31:J59,K31:K59)</f>
        <v>261</v>
      </c>
      <c r="L30" s="912"/>
      <c r="M30" s="913">
        <f>SUMPRODUCT(L31:L59,M31:M59)</f>
        <v>791.5</v>
      </c>
      <c r="N30" s="912"/>
      <c r="O30" s="913">
        <f>SUMPRODUCT(N31:N59,O31:O59)</f>
        <v>1044</v>
      </c>
      <c r="P30" s="912"/>
      <c r="Q30" s="913">
        <f>SUMPRODUCT(P31:P59,Q31:Q59)</f>
        <v>1689.5</v>
      </c>
      <c r="R30" s="914">
        <f>SUM(R31:R59)</f>
        <v>168015.77000000002</v>
      </c>
    </row>
    <row r="31" spans="1:19" ht="31.5" x14ac:dyDescent="0.25">
      <c r="B31" s="896">
        <v>1</v>
      </c>
      <c r="C31" s="810" t="s">
        <v>2670</v>
      </c>
      <c r="D31" s="897">
        <v>1</v>
      </c>
      <c r="E31" s="1969">
        <f>18594.72/1.2+49633.5/1.2</f>
        <v>56856.850000000006</v>
      </c>
      <c r="F31" s="1960"/>
      <c r="G31" s="1961"/>
      <c r="H31" s="1960"/>
      <c r="I31" s="1961"/>
      <c r="J31" s="1960"/>
      <c r="K31" s="1961"/>
      <c r="L31" s="1960"/>
      <c r="M31" s="1961"/>
      <c r="N31" s="1960"/>
      <c r="O31" s="1961"/>
      <c r="P31" s="1960"/>
      <c r="Q31" s="1962"/>
      <c r="R31" s="902">
        <f>D31*E31+F31*G31+H31*I31+J31*K31+L31*M31+N31*O31+P31*Q31</f>
        <v>56856.850000000006</v>
      </c>
      <c r="S31" s="1795" t="s">
        <v>2682</v>
      </c>
    </row>
    <row r="32" spans="1:19" ht="19.149999999999999" customHeight="1" x14ac:dyDescent="0.25">
      <c r="B32" s="891">
        <f>B31+1</f>
        <v>2</v>
      </c>
      <c r="C32" s="809" t="s">
        <v>2671</v>
      </c>
      <c r="D32" s="880">
        <v>1</v>
      </c>
      <c r="E32" s="881">
        <v>9308.33</v>
      </c>
      <c r="F32" s="1953"/>
      <c r="G32" s="1954"/>
      <c r="H32" s="1953"/>
      <c r="I32" s="1954"/>
      <c r="J32" s="1953"/>
      <c r="K32" s="1954"/>
      <c r="L32" s="1953"/>
      <c r="M32" s="1954"/>
      <c r="N32" s="1953"/>
      <c r="O32" s="1954"/>
      <c r="P32" s="1953"/>
      <c r="Q32" s="1963"/>
      <c r="R32" s="902">
        <f t="shared" ref="R32:R59" si="2">D32*E32+F32*G32+H32*I32+J32*K32+L32*M32+N32*O32+P32*Q32</f>
        <v>9308.33</v>
      </c>
      <c r="S32" s="1950" t="s">
        <v>2672</v>
      </c>
    </row>
    <row r="33" spans="1:19" ht="30" x14ac:dyDescent="0.25">
      <c r="B33" s="891">
        <f t="shared" ref="B33:B58" si="3">B32+1</f>
        <v>3</v>
      </c>
      <c r="C33" s="1796" t="s">
        <v>2479</v>
      </c>
      <c r="D33" s="804">
        <v>1</v>
      </c>
      <c r="E33" s="805">
        <f>1500/1.2*CEILING(('Вхідні дані'!D50/30),1)</f>
        <v>7500</v>
      </c>
      <c r="F33" s="1956"/>
      <c r="G33" s="1956"/>
      <c r="H33" s="1956"/>
      <c r="I33" s="1956"/>
      <c r="J33" s="1956"/>
      <c r="K33" s="1956"/>
      <c r="L33" s="1956"/>
      <c r="M33" s="1956"/>
      <c r="N33" s="1956"/>
      <c r="O33" s="1956"/>
      <c r="P33" s="1956"/>
      <c r="Q33" s="1957"/>
      <c r="R33" s="902">
        <f t="shared" si="2"/>
        <v>7500</v>
      </c>
      <c r="S33" s="1795" t="s">
        <v>2480</v>
      </c>
    </row>
    <row r="34" spans="1:19" ht="30" x14ac:dyDescent="0.25">
      <c r="B34" s="891">
        <f t="shared" si="3"/>
        <v>4</v>
      </c>
      <c r="C34" s="1951" t="s">
        <v>2675</v>
      </c>
      <c r="D34" s="1066"/>
      <c r="E34" s="1067"/>
      <c r="F34" s="1958"/>
      <c r="G34" s="1958"/>
      <c r="H34" s="1958"/>
      <c r="I34" s="1958"/>
      <c r="J34" s="1958"/>
      <c r="K34" s="1958"/>
      <c r="L34" s="1958"/>
      <c r="M34" s="1958"/>
      <c r="N34" s="1958"/>
      <c r="O34" s="1958"/>
      <c r="P34" s="1958"/>
      <c r="Q34" s="1959"/>
      <c r="R34" s="902">
        <f t="shared" si="2"/>
        <v>0</v>
      </c>
    </row>
    <row r="35" spans="1:19" ht="33.6" customHeight="1" x14ac:dyDescent="0.25">
      <c r="A35" s="1901"/>
      <c r="B35" s="891">
        <f t="shared" si="3"/>
        <v>5</v>
      </c>
      <c r="C35" s="809" t="s">
        <v>2619</v>
      </c>
      <c r="D35" s="880">
        <v>1</v>
      </c>
      <c r="E35" s="881">
        <f>1239.08/1.2</f>
        <v>1032.5666666666666</v>
      </c>
      <c r="F35" s="1953"/>
      <c r="G35" s="1954"/>
      <c r="H35" s="1953"/>
      <c r="I35" s="1954"/>
      <c r="J35" s="1953"/>
      <c r="K35" s="1954"/>
      <c r="L35" s="1953"/>
      <c r="M35" s="1954"/>
      <c r="N35" s="1953"/>
      <c r="O35" s="1954"/>
      <c r="P35" s="1953"/>
      <c r="Q35" s="1955"/>
      <c r="R35" s="902">
        <f t="shared" si="2"/>
        <v>1032.5666666666666</v>
      </c>
      <c r="S35" s="1899" t="s">
        <v>2620</v>
      </c>
    </row>
    <row r="36" spans="1:19" ht="33" customHeight="1" x14ac:dyDescent="0.25">
      <c r="A36" s="1901"/>
      <c r="B36" s="891">
        <f t="shared" si="3"/>
        <v>6</v>
      </c>
      <c r="C36" s="809" t="s">
        <v>2621</v>
      </c>
      <c r="D36" s="880">
        <v>1</v>
      </c>
      <c r="E36" s="881">
        <f>1239.08/1.2</f>
        <v>1032.5666666666666</v>
      </c>
      <c r="F36" s="1953"/>
      <c r="G36" s="1954"/>
      <c r="H36" s="1953"/>
      <c r="I36" s="1954"/>
      <c r="J36" s="1953"/>
      <c r="K36" s="1954"/>
      <c r="L36" s="1953"/>
      <c r="M36" s="1954"/>
      <c r="N36" s="1953"/>
      <c r="O36" s="1954"/>
      <c r="P36" s="1953"/>
      <c r="Q36" s="1955"/>
      <c r="R36" s="902">
        <f t="shared" si="2"/>
        <v>1032.5666666666666</v>
      </c>
      <c r="S36" s="1899" t="s">
        <v>2622</v>
      </c>
    </row>
    <row r="37" spans="1:19" ht="33.6" customHeight="1" x14ac:dyDescent="0.25">
      <c r="A37" s="1901"/>
      <c r="B37" s="891">
        <f t="shared" si="3"/>
        <v>7</v>
      </c>
      <c r="C37" s="809" t="s">
        <v>2676</v>
      </c>
      <c r="D37" s="880"/>
      <c r="E37" s="881"/>
      <c r="F37" s="1953"/>
      <c r="G37" s="1954"/>
      <c r="H37" s="1953"/>
      <c r="I37" s="1954"/>
      <c r="J37" s="1953"/>
      <c r="K37" s="1954"/>
      <c r="L37" s="1953"/>
      <c r="M37" s="1954"/>
      <c r="N37" s="1953"/>
      <c r="O37" s="1954"/>
      <c r="P37" s="1953"/>
      <c r="Q37" s="1955"/>
      <c r="R37" s="902">
        <f t="shared" si="2"/>
        <v>0</v>
      </c>
      <c r="S37" s="1899"/>
    </row>
    <row r="38" spans="1:19" ht="30" customHeight="1" x14ac:dyDescent="0.25">
      <c r="A38" s="1901"/>
      <c r="B38" s="891">
        <f t="shared" si="3"/>
        <v>8</v>
      </c>
      <c r="C38" s="2098" t="s">
        <v>2677</v>
      </c>
      <c r="D38" s="880">
        <v>1</v>
      </c>
      <c r="E38" s="2097">
        <f>12900/1.2</f>
        <v>10750</v>
      </c>
      <c r="F38" s="1953"/>
      <c r="G38" s="1954"/>
      <c r="H38" s="1953"/>
      <c r="I38" s="1954"/>
      <c r="J38" s="1953"/>
      <c r="K38" s="1954"/>
      <c r="L38" s="1953"/>
      <c r="M38" s="1954"/>
      <c r="N38" s="1953"/>
      <c r="O38" s="1954"/>
      <c r="P38" s="1953"/>
      <c r="Q38" s="1955"/>
      <c r="R38" s="902">
        <f t="shared" si="2"/>
        <v>10750</v>
      </c>
      <c r="S38" s="1899"/>
    </row>
    <row r="39" spans="1:19" ht="30" x14ac:dyDescent="0.25">
      <c r="B39" s="891">
        <f t="shared" si="3"/>
        <v>9</v>
      </c>
      <c r="C39" s="1796" t="s">
        <v>2674</v>
      </c>
      <c r="D39" s="807"/>
      <c r="E39" s="805"/>
      <c r="F39" s="804">
        <v>1</v>
      </c>
      <c r="G39" s="805">
        <f>3000/1.2*CEILING(('Вхідні дані'!D50/30),1)</f>
        <v>15000</v>
      </c>
      <c r="H39" s="807"/>
      <c r="I39" s="807"/>
      <c r="J39" s="807"/>
      <c r="K39" s="807"/>
      <c r="L39" s="807"/>
      <c r="M39" s="807"/>
      <c r="N39" s="807"/>
      <c r="O39" s="807"/>
      <c r="P39" s="807"/>
      <c r="Q39" s="807"/>
      <c r="R39" s="902">
        <f t="shared" si="2"/>
        <v>15000</v>
      </c>
      <c r="S39" s="1795" t="s">
        <v>2481</v>
      </c>
    </row>
    <row r="40" spans="1:19" ht="30" customHeight="1" x14ac:dyDescent="0.25">
      <c r="A40" s="1901"/>
      <c r="B40" s="891">
        <f t="shared" si="3"/>
        <v>10</v>
      </c>
      <c r="C40" s="1796" t="s">
        <v>2680</v>
      </c>
      <c r="D40" s="880"/>
      <c r="E40" s="881"/>
      <c r="F40" s="1964"/>
      <c r="G40" s="1965"/>
      <c r="H40" s="1964"/>
      <c r="I40" s="1965"/>
      <c r="J40" s="1964"/>
      <c r="K40" s="1965"/>
      <c r="L40" s="1964"/>
      <c r="M40" s="1965"/>
      <c r="N40" s="1964"/>
      <c r="O40" s="1965"/>
      <c r="P40" s="1964"/>
      <c r="Q40" s="1966"/>
      <c r="R40" s="902">
        <f t="shared" si="2"/>
        <v>0</v>
      </c>
      <c r="S40" s="1899"/>
    </row>
    <row r="41" spans="1:19" ht="31.5" x14ac:dyDescent="0.25">
      <c r="B41" s="891">
        <f t="shared" si="3"/>
        <v>11</v>
      </c>
      <c r="C41" s="809" t="s">
        <v>2501</v>
      </c>
      <c r="D41" s="1800"/>
      <c r="E41" s="1800"/>
      <c r="F41" s="880">
        <v>8</v>
      </c>
      <c r="G41" s="881">
        <v>2006.88</v>
      </c>
      <c r="H41" s="882"/>
      <c r="I41" s="881"/>
      <c r="J41" s="882"/>
      <c r="K41" s="881"/>
      <c r="L41" s="882"/>
      <c r="M41" s="881"/>
      <c r="N41" s="882"/>
      <c r="O41" s="881"/>
      <c r="P41" s="882"/>
      <c r="Q41" s="885"/>
      <c r="R41" s="902">
        <f t="shared" si="2"/>
        <v>16055.04</v>
      </c>
      <c r="S41" s="1795" t="s">
        <v>2502</v>
      </c>
    </row>
    <row r="42" spans="1:19" ht="46.15" customHeight="1" x14ac:dyDescent="0.25">
      <c r="A42" s="1901" t="s">
        <v>2566</v>
      </c>
      <c r="B42" s="891">
        <f t="shared" si="3"/>
        <v>12</v>
      </c>
      <c r="C42" s="1952" t="s">
        <v>2673</v>
      </c>
      <c r="D42" s="880"/>
      <c r="E42" s="881"/>
      <c r="F42" s="882"/>
      <c r="G42" s="881"/>
      <c r="H42" s="882"/>
      <c r="I42" s="881"/>
      <c r="J42" s="882"/>
      <c r="K42" s="881"/>
      <c r="L42" s="882"/>
      <c r="M42" s="881"/>
      <c r="N42" s="882"/>
      <c r="O42" s="881"/>
      <c r="P42" s="882"/>
      <c r="Q42" s="885"/>
      <c r="R42" s="902">
        <f t="shared" si="2"/>
        <v>0</v>
      </c>
    </row>
    <row r="43" spans="1:19" x14ac:dyDescent="0.25">
      <c r="B43" s="891">
        <f t="shared" si="3"/>
        <v>13</v>
      </c>
      <c r="C43" s="808"/>
      <c r="D43" s="20"/>
      <c r="E43" s="883"/>
      <c r="F43" s="882"/>
      <c r="G43" s="884"/>
      <c r="H43" s="882"/>
      <c r="I43" s="881"/>
      <c r="J43" s="882"/>
      <c r="K43" s="881"/>
      <c r="L43" s="882"/>
      <c r="M43" s="881"/>
      <c r="N43" s="882"/>
      <c r="O43" s="881"/>
      <c r="P43" s="882"/>
      <c r="Q43" s="885"/>
      <c r="R43" s="902">
        <f t="shared" si="2"/>
        <v>0</v>
      </c>
    </row>
    <row r="44" spans="1:19" ht="47.25" x14ac:dyDescent="0.25">
      <c r="B44" s="891">
        <f t="shared" si="3"/>
        <v>14</v>
      </c>
      <c r="C44" s="1783" t="s">
        <v>2444</v>
      </c>
      <c r="D44" s="880">
        <v>1</v>
      </c>
      <c r="E44" s="1809">
        <f>5588.3/1.2</f>
        <v>4656.916666666667</v>
      </c>
      <c r="F44" s="882"/>
      <c r="G44" s="881"/>
      <c r="H44" s="882"/>
      <c r="I44" s="881"/>
      <c r="J44" s="882"/>
      <c r="K44" s="881"/>
      <c r="L44" s="882"/>
      <c r="M44" s="881"/>
      <c r="N44" s="882"/>
      <c r="O44" s="881"/>
      <c r="P44" s="882"/>
      <c r="Q44" s="885"/>
      <c r="R44" s="902">
        <f t="shared" si="2"/>
        <v>4656.916666666667</v>
      </c>
      <c r="S44" s="1784" t="s">
        <v>2445</v>
      </c>
    </row>
    <row r="45" spans="1:19" x14ac:dyDescent="0.25">
      <c r="B45" s="891">
        <f t="shared" si="3"/>
        <v>15</v>
      </c>
      <c r="C45" s="809"/>
      <c r="D45" s="880"/>
      <c r="E45" s="881"/>
      <c r="F45" s="882"/>
      <c r="G45" s="881"/>
      <c r="H45" s="882"/>
      <c r="I45" s="881"/>
      <c r="J45" s="882"/>
      <c r="K45" s="881"/>
      <c r="L45" s="882"/>
      <c r="M45" s="881"/>
      <c r="N45" s="882"/>
      <c r="O45" s="881"/>
      <c r="P45" s="882"/>
      <c r="Q45" s="885"/>
      <c r="R45" s="902">
        <f t="shared" si="2"/>
        <v>0</v>
      </c>
    </row>
    <row r="46" spans="1:19" x14ac:dyDescent="0.25">
      <c r="B46" s="891">
        <f t="shared" si="3"/>
        <v>16</v>
      </c>
      <c r="C46" s="803"/>
      <c r="D46" s="880"/>
      <c r="E46" s="881"/>
      <c r="F46" s="882"/>
      <c r="G46" s="881"/>
      <c r="H46" s="882"/>
      <c r="I46" s="881"/>
      <c r="J46" s="882"/>
      <c r="K46" s="881"/>
      <c r="L46" s="882"/>
      <c r="M46" s="881"/>
      <c r="N46" s="882"/>
      <c r="O46" s="881"/>
      <c r="P46" s="882"/>
      <c r="Q46" s="885"/>
      <c r="R46" s="902">
        <f t="shared" si="2"/>
        <v>0</v>
      </c>
    </row>
    <row r="47" spans="1:19" x14ac:dyDescent="0.25">
      <c r="B47" s="891">
        <f t="shared" si="3"/>
        <v>17</v>
      </c>
      <c r="C47" s="803"/>
      <c r="D47" s="880"/>
      <c r="E47" s="881"/>
      <c r="F47" s="882"/>
      <c r="G47" s="881"/>
      <c r="H47" s="882"/>
      <c r="I47" s="881"/>
      <c r="J47" s="882"/>
      <c r="K47" s="881"/>
      <c r="L47" s="882"/>
      <c r="M47" s="881"/>
      <c r="N47" s="882"/>
      <c r="O47" s="881"/>
      <c r="P47" s="882"/>
      <c r="Q47" s="885"/>
      <c r="R47" s="902">
        <f t="shared" si="2"/>
        <v>0</v>
      </c>
    </row>
    <row r="48" spans="1:19" ht="18.75" customHeight="1" x14ac:dyDescent="0.25">
      <c r="B48" s="891">
        <f t="shared" si="3"/>
        <v>18</v>
      </c>
      <c r="C48" s="809"/>
      <c r="D48" s="880"/>
      <c r="E48" s="881"/>
      <c r="F48" s="882"/>
      <c r="G48" s="881"/>
      <c r="H48" s="882"/>
      <c r="I48" s="881"/>
      <c r="J48" s="882"/>
      <c r="K48" s="881"/>
      <c r="L48" s="882"/>
      <c r="M48" s="881"/>
      <c r="N48" s="882"/>
      <c r="O48" s="881"/>
      <c r="P48" s="882"/>
      <c r="Q48" s="885"/>
      <c r="R48" s="902">
        <f t="shared" si="2"/>
        <v>0</v>
      </c>
    </row>
    <row r="49" spans="1:19" x14ac:dyDescent="0.25">
      <c r="B49" s="891">
        <f t="shared" si="3"/>
        <v>19</v>
      </c>
      <c r="C49" s="809"/>
      <c r="D49" s="880"/>
      <c r="E49" s="881"/>
      <c r="F49" s="882"/>
      <c r="G49" s="881"/>
      <c r="H49" s="882"/>
      <c r="I49" s="881"/>
      <c r="J49" s="882"/>
      <c r="K49" s="881"/>
      <c r="L49" s="882"/>
      <c r="M49" s="881"/>
      <c r="N49" s="882"/>
      <c r="O49" s="881"/>
      <c r="P49" s="882"/>
      <c r="Q49" s="885"/>
      <c r="R49" s="902">
        <f t="shared" si="2"/>
        <v>0</v>
      </c>
    </row>
    <row r="50" spans="1:19" ht="47.25" x14ac:dyDescent="0.25">
      <c r="B50" s="891">
        <f t="shared" si="3"/>
        <v>20</v>
      </c>
      <c r="C50" s="809" t="s">
        <v>2683</v>
      </c>
      <c r="D50" s="880"/>
      <c r="E50" s="881"/>
      <c r="F50" s="882"/>
      <c r="G50" s="881"/>
      <c r="H50" s="882"/>
      <c r="I50" s="881"/>
      <c r="J50" s="882"/>
      <c r="K50" s="881"/>
      <c r="L50" s="882"/>
      <c r="M50" s="881"/>
      <c r="N50" s="882"/>
      <c r="O50" s="881"/>
      <c r="P50" s="882"/>
      <c r="Q50" s="885"/>
      <c r="R50" s="902">
        <f t="shared" si="2"/>
        <v>0</v>
      </c>
    </row>
    <row r="51" spans="1:19" ht="46.5" customHeight="1" x14ac:dyDescent="0.25">
      <c r="B51" s="891">
        <f t="shared" si="3"/>
        <v>21</v>
      </c>
      <c r="C51" s="809" t="s">
        <v>2684</v>
      </c>
      <c r="D51" s="1078"/>
      <c r="E51" s="881"/>
      <c r="F51" s="882"/>
      <c r="G51" s="881"/>
      <c r="H51" s="882"/>
      <c r="I51" s="881"/>
      <c r="J51" s="882"/>
      <c r="K51" s="881"/>
      <c r="L51" s="882"/>
      <c r="M51" s="881"/>
      <c r="N51" s="882"/>
      <c r="O51" s="881"/>
      <c r="P51" s="882"/>
      <c r="Q51" s="885"/>
      <c r="R51" s="902">
        <f t="shared" si="2"/>
        <v>0</v>
      </c>
      <c r="S51" s="1972">
        <f>D53+D54+F53+F54+H54+J54+L54+N54+P53</f>
        <v>29</v>
      </c>
    </row>
    <row r="52" spans="1:19" x14ac:dyDescent="0.25">
      <c r="B52" s="891">
        <f t="shared" si="3"/>
        <v>22</v>
      </c>
      <c r="C52" s="1970" t="s">
        <v>1864</v>
      </c>
      <c r="D52" s="880">
        <v>1</v>
      </c>
      <c r="E52" s="881">
        <v>1655.5</v>
      </c>
      <c r="F52" s="882">
        <v>1</v>
      </c>
      <c r="G52" s="881">
        <v>984</v>
      </c>
      <c r="H52" s="882"/>
      <c r="I52" s="881"/>
      <c r="J52" s="882"/>
      <c r="K52" s="881"/>
      <c r="L52" s="882">
        <v>1</v>
      </c>
      <c r="M52" s="881">
        <v>128.5</v>
      </c>
      <c r="N52" s="882"/>
      <c r="O52" s="881"/>
      <c r="P52" s="882">
        <v>1</v>
      </c>
      <c r="Q52" s="885">
        <v>483.5</v>
      </c>
      <c r="R52" s="902">
        <f t="shared" si="2"/>
        <v>3251.5</v>
      </c>
      <c r="S52" s="1795" t="s">
        <v>2685</v>
      </c>
    </row>
    <row r="53" spans="1:19" x14ac:dyDescent="0.25">
      <c r="B53" s="891">
        <f t="shared" si="3"/>
        <v>23</v>
      </c>
      <c r="C53" s="1970" t="s">
        <v>1864</v>
      </c>
      <c r="D53" s="1971">
        <v>4</v>
      </c>
      <c r="E53" s="881">
        <v>402</v>
      </c>
      <c r="F53" s="882">
        <v>7</v>
      </c>
      <c r="G53" s="881">
        <v>402</v>
      </c>
      <c r="H53" s="882"/>
      <c r="I53" s="881"/>
      <c r="J53" s="882"/>
      <c r="K53" s="881"/>
      <c r="L53" s="882">
        <v>1</v>
      </c>
      <c r="M53" s="881">
        <v>402</v>
      </c>
      <c r="N53" s="882"/>
      <c r="O53" s="881"/>
      <c r="P53" s="882">
        <v>3</v>
      </c>
      <c r="Q53" s="885">
        <v>402</v>
      </c>
      <c r="R53" s="902">
        <f t="shared" si="2"/>
        <v>6030</v>
      </c>
      <c r="S53" s="1795" t="s">
        <v>2492</v>
      </c>
    </row>
    <row r="54" spans="1:19" x14ac:dyDescent="0.25">
      <c r="B54" s="891">
        <f t="shared" si="3"/>
        <v>24</v>
      </c>
      <c r="C54" s="1970" t="s">
        <v>1864</v>
      </c>
      <c r="D54" s="1971">
        <v>1</v>
      </c>
      <c r="E54" s="881">
        <v>1620</v>
      </c>
      <c r="F54" s="882">
        <v>7</v>
      </c>
      <c r="G54" s="881">
        <v>735</v>
      </c>
      <c r="H54" s="882">
        <v>1</v>
      </c>
      <c r="I54" s="881">
        <v>261</v>
      </c>
      <c r="J54" s="882">
        <v>1</v>
      </c>
      <c r="K54" s="881">
        <v>261</v>
      </c>
      <c r="L54" s="882">
        <v>1</v>
      </c>
      <c r="M54" s="881">
        <v>261</v>
      </c>
      <c r="N54" s="882">
        <v>4</v>
      </c>
      <c r="O54" s="881">
        <v>261</v>
      </c>
      <c r="P54" s="882"/>
      <c r="Q54" s="885"/>
      <c r="R54" s="902">
        <f t="shared" si="2"/>
        <v>8592</v>
      </c>
      <c r="S54" s="1795" t="s">
        <v>2492</v>
      </c>
    </row>
    <row r="55" spans="1:19" ht="78.75" x14ac:dyDescent="0.25">
      <c r="A55" s="1901" t="s">
        <v>2566</v>
      </c>
      <c r="B55" s="891">
        <f t="shared" si="3"/>
        <v>25</v>
      </c>
      <c r="C55" s="1952" t="s">
        <v>1865</v>
      </c>
      <c r="D55" s="880"/>
      <c r="E55" s="881"/>
      <c r="F55" s="882"/>
      <c r="G55" s="881"/>
      <c r="H55" s="882"/>
      <c r="I55" s="881"/>
      <c r="J55" s="882"/>
      <c r="K55" s="881"/>
      <c r="L55" s="882"/>
      <c r="M55" s="881"/>
      <c r="N55" s="882"/>
      <c r="O55" s="881"/>
      <c r="P55" s="882"/>
      <c r="Q55" s="885"/>
      <c r="R55" s="902">
        <f t="shared" si="2"/>
        <v>0</v>
      </c>
      <c r="S55" s="1899" t="s">
        <v>2609</v>
      </c>
    </row>
    <row r="56" spans="1:19" ht="47.25" x14ac:dyDescent="0.25">
      <c r="B56" s="891">
        <f t="shared" si="3"/>
        <v>26</v>
      </c>
      <c r="C56" s="1782" t="s">
        <v>2433</v>
      </c>
      <c r="D56" s="807">
        <v>1</v>
      </c>
      <c r="E56" s="807">
        <f>5700/1.2</f>
        <v>4750</v>
      </c>
      <c r="F56" s="807"/>
      <c r="G56" s="807"/>
      <c r="H56" s="807"/>
      <c r="I56" s="807"/>
      <c r="J56" s="807"/>
      <c r="K56" s="807"/>
      <c r="L56" s="807"/>
      <c r="M56" s="807"/>
      <c r="N56" s="807"/>
      <c r="O56" s="807"/>
      <c r="P56" s="807"/>
      <c r="Q56" s="807"/>
      <c r="R56" s="902">
        <f t="shared" si="2"/>
        <v>4750</v>
      </c>
      <c r="S56" s="1795" t="s">
        <v>2678</v>
      </c>
    </row>
    <row r="57" spans="1:19" ht="31.5" x14ac:dyDescent="0.25">
      <c r="B57" s="891">
        <f t="shared" si="3"/>
        <v>27</v>
      </c>
      <c r="C57" s="1782" t="s">
        <v>2485</v>
      </c>
      <c r="D57" s="807"/>
      <c r="E57" s="807"/>
      <c r="F57" s="807">
        <v>1</v>
      </c>
      <c r="G57" s="807">
        <f>1200</f>
        <v>1200</v>
      </c>
      <c r="H57" s="807"/>
      <c r="I57" s="807"/>
      <c r="J57" s="807"/>
      <c r="K57" s="807"/>
      <c r="L57" s="807"/>
      <c r="M57" s="807"/>
      <c r="N57" s="807"/>
      <c r="O57" s="807"/>
      <c r="P57" s="807"/>
      <c r="Q57" s="807"/>
      <c r="R57" s="902">
        <f t="shared" si="2"/>
        <v>1200</v>
      </c>
      <c r="S57" s="1795" t="s">
        <v>2486</v>
      </c>
    </row>
    <row r="58" spans="1:19" ht="31.5" x14ac:dyDescent="0.25">
      <c r="B58" s="891">
        <f t="shared" si="3"/>
        <v>28</v>
      </c>
      <c r="C58" s="1782" t="s">
        <v>2487</v>
      </c>
      <c r="D58" s="807"/>
      <c r="E58" s="807"/>
      <c r="F58" s="807">
        <v>1</v>
      </c>
      <c r="G58" s="807">
        <f>1200/1.2</f>
        <v>1000</v>
      </c>
      <c r="H58" s="807"/>
      <c r="I58" s="807"/>
      <c r="J58" s="807"/>
      <c r="K58" s="807"/>
      <c r="L58" s="807"/>
      <c r="M58" s="807"/>
      <c r="N58" s="807"/>
      <c r="O58" s="807"/>
      <c r="P58" s="807"/>
      <c r="Q58" s="807"/>
      <c r="R58" s="902">
        <f t="shared" si="2"/>
        <v>1000</v>
      </c>
      <c r="S58" s="1795" t="s">
        <v>2488</v>
      </c>
    </row>
    <row r="59" spans="1:19" ht="30" x14ac:dyDescent="0.25">
      <c r="B59" s="891">
        <f>B39+1</f>
        <v>10</v>
      </c>
      <c r="C59" s="1796" t="s">
        <v>2482</v>
      </c>
      <c r="D59" s="807">
        <v>1</v>
      </c>
      <c r="E59" s="805">
        <f>4200/1.2*CEILING(('Вхідні дані'!D50/30),1)</f>
        <v>21000</v>
      </c>
      <c r="F59" s="807"/>
      <c r="G59" s="807"/>
      <c r="H59" s="807"/>
      <c r="I59" s="807"/>
      <c r="J59" s="807"/>
      <c r="K59" s="807"/>
      <c r="L59" s="807"/>
      <c r="M59" s="807"/>
      <c r="N59" s="807"/>
      <c r="O59" s="807"/>
      <c r="P59" s="807"/>
      <c r="Q59" s="807"/>
      <c r="R59" s="902">
        <f t="shared" si="2"/>
        <v>21000</v>
      </c>
      <c r="S59" s="1795" t="s">
        <v>2483</v>
      </c>
    </row>
  </sheetData>
  <mergeCells count="24">
    <mergeCell ref="J6:K6"/>
    <mergeCell ref="L6:M6"/>
    <mergeCell ref="N6:O6"/>
    <mergeCell ref="P6:Q6"/>
    <mergeCell ref="B3:F3"/>
    <mergeCell ref="B6:B7"/>
    <mergeCell ref="C6:C7"/>
    <mergeCell ref="D6:E6"/>
    <mergeCell ref="F6:G6"/>
    <mergeCell ref="H6:I6"/>
    <mergeCell ref="B26:F26"/>
    <mergeCell ref="P8:Q8"/>
    <mergeCell ref="B28:B29"/>
    <mergeCell ref="C28:C29"/>
    <mergeCell ref="D28:E28"/>
    <mergeCell ref="F28:G28"/>
    <mergeCell ref="H28:I28"/>
    <mergeCell ref="J28:K28"/>
    <mergeCell ref="L28:M28"/>
    <mergeCell ref="N28:O28"/>
    <mergeCell ref="P28:Q28"/>
    <mergeCell ref="H8:I8"/>
    <mergeCell ref="J8:K8"/>
    <mergeCell ref="L8:M8"/>
  </mergeCell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2" tint="-0.499984740745262"/>
    <pageSetUpPr fitToPage="1"/>
  </sheetPr>
  <dimension ref="A1:M29"/>
  <sheetViews>
    <sheetView topLeftCell="A5" workbookViewId="0">
      <selection activeCell="E28" sqref="E28"/>
    </sheetView>
  </sheetViews>
  <sheetFormatPr defaultColWidth="9.140625" defaultRowHeight="15" x14ac:dyDescent="0.25"/>
  <cols>
    <col min="1" max="1" width="34.42578125" style="1834" customWidth="1"/>
    <col min="2" max="2" width="11.28515625" style="18" customWidth="1"/>
    <col min="3" max="3" width="13.5703125" style="18" customWidth="1"/>
    <col min="4" max="4" width="13.85546875" style="18" customWidth="1"/>
    <col min="5" max="5" width="11.5703125" style="18" customWidth="1"/>
    <col min="6" max="6" width="11.28515625" style="18" customWidth="1"/>
    <col min="7" max="7" width="11.7109375" style="18" customWidth="1"/>
    <col min="8" max="8" width="13" style="18" customWidth="1"/>
    <col min="9" max="9" width="12.28515625" style="787" customWidth="1"/>
    <col min="10" max="10" width="25.140625" style="18" customWidth="1"/>
    <col min="11" max="16384" width="9.140625" style="18"/>
  </cols>
  <sheetData>
    <row r="1" spans="1:9" ht="43.5" customHeight="1" thickBot="1" x14ac:dyDescent="0.3">
      <c r="A1" s="4325" t="s">
        <v>2525</v>
      </c>
      <c r="B1" s="4325"/>
      <c r="C1" s="4325"/>
      <c r="D1" s="4325"/>
      <c r="E1" s="4325"/>
      <c r="F1" s="4325"/>
      <c r="G1" s="4325"/>
      <c r="H1" s="4325"/>
      <c r="I1" s="4325"/>
    </row>
    <row r="2" spans="1:9" s="110" customFormat="1" ht="35.25" customHeight="1" thickBot="1" x14ac:dyDescent="0.3">
      <c r="A2" s="1812" t="s">
        <v>2436</v>
      </c>
      <c r="B2" s="1813" t="s">
        <v>2526</v>
      </c>
      <c r="C2" s="1813" t="s">
        <v>2527</v>
      </c>
      <c r="D2" s="1813" t="s">
        <v>926</v>
      </c>
      <c r="E2" s="1813" t="s">
        <v>1370</v>
      </c>
      <c r="F2" s="1813" t="s">
        <v>888</v>
      </c>
      <c r="G2" s="1813" t="s">
        <v>1000</v>
      </c>
      <c r="H2" s="1814" t="s">
        <v>2528</v>
      </c>
      <c r="I2" s="1815" t="s">
        <v>1002</v>
      </c>
    </row>
    <row r="3" spans="1:9" s="1819" customFormat="1" ht="23.25" customHeight="1" thickBot="1" x14ac:dyDescent="0.25">
      <c r="A3" s="1816" t="s">
        <v>2529</v>
      </c>
      <c r="B3" s="1817">
        <f>SUM(B4:B23)</f>
        <v>0</v>
      </c>
      <c r="C3" s="1817">
        <f t="shared" ref="C3:I3" si="0">SUM(C4:C23)</f>
        <v>6763.2</v>
      </c>
      <c r="D3" s="1817">
        <f t="shared" si="0"/>
        <v>0</v>
      </c>
      <c r="E3" s="1817">
        <f t="shared" si="0"/>
        <v>1489.2</v>
      </c>
      <c r="F3" s="1817">
        <f t="shared" si="0"/>
        <v>0</v>
      </c>
      <c r="G3" s="1847">
        <f t="shared" si="0"/>
        <v>20047.608333333334</v>
      </c>
      <c r="H3" s="1818">
        <f t="shared" si="0"/>
        <v>32373.96</v>
      </c>
      <c r="I3" s="1846">
        <f t="shared" si="0"/>
        <v>60673.968333333331</v>
      </c>
    </row>
    <row r="4" spans="1:9" x14ac:dyDescent="0.25">
      <c r="A4" s="1820" t="s">
        <v>2530</v>
      </c>
      <c r="B4" s="1821"/>
      <c r="C4" s="1821"/>
      <c r="D4" s="1821"/>
      <c r="E4" s="1821"/>
      <c r="F4" s="1821"/>
      <c r="G4" s="1821"/>
      <c r="H4" s="1822">
        <v>832.8</v>
      </c>
      <c r="I4" s="1823">
        <f>SUM(B4:H4)</f>
        <v>832.8</v>
      </c>
    </row>
    <row r="5" spans="1:9" x14ac:dyDescent="0.25">
      <c r="A5" s="1824" t="s">
        <v>2552</v>
      </c>
      <c r="B5" s="1825"/>
      <c r="C5" s="1825"/>
      <c r="D5" s="1825"/>
      <c r="E5" s="1825">
        <v>436.8</v>
      </c>
      <c r="F5" s="1825"/>
      <c r="G5" s="1825"/>
      <c r="H5" s="1826"/>
      <c r="I5" s="1827">
        <f t="shared" ref="I5:I23" si="1">SUM(B5:H5)</f>
        <v>436.8</v>
      </c>
    </row>
    <row r="6" spans="1:9" ht="15.75" customHeight="1" x14ac:dyDescent="0.25">
      <c r="A6" s="1824" t="s">
        <v>2531</v>
      </c>
      <c r="B6" s="1825"/>
      <c r="C6" s="1825"/>
      <c r="D6" s="1825"/>
      <c r="E6" s="1825"/>
      <c r="F6" s="1825"/>
      <c r="G6" s="1825"/>
      <c r="H6" s="1826">
        <v>5776.8</v>
      </c>
      <c r="I6" s="1827">
        <f t="shared" si="1"/>
        <v>5776.8</v>
      </c>
    </row>
    <row r="7" spans="1:9" x14ac:dyDescent="0.25">
      <c r="A7" s="1824" t="s">
        <v>2532</v>
      </c>
      <c r="B7" s="1825"/>
      <c r="C7" s="1825"/>
      <c r="D7" s="1825"/>
      <c r="E7" s="1825"/>
      <c r="F7" s="1825"/>
      <c r="G7" s="1825"/>
      <c r="H7" s="1826">
        <v>1749.84</v>
      </c>
      <c r="I7" s="1827">
        <f t="shared" si="1"/>
        <v>1749.84</v>
      </c>
    </row>
    <row r="8" spans="1:9" x14ac:dyDescent="0.25">
      <c r="A8" s="1824" t="s">
        <v>2533</v>
      </c>
      <c r="B8" s="1825"/>
      <c r="C8" s="1825"/>
      <c r="D8" s="1825"/>
      <c r="E8" s="1825"/>
      <c r="F8" s="1825"/>
      <c r="G8" s="1825"/>
      <c r="H8" s="1826">
        <v>684</v>
      </c>
      <c r="I8" s="1827">
        <f t="shared" si="1"/>
        <v>684</v>
      </c>
    </row>
    <row r="9" spans="1:9" x14ac:dyDescent="0.25">
      <c r="A9" s="1824" t="s">
        <v>2534</v>
      </c>
      <c r="B9" s="1825"/>
      <c r="C9" s="1825"/>
      <c r="D9" s="1825"/>
      <c r="E9" s="1825"/>
      <c r="F9" s="1825"/>
      <c r="G9" s="1825"/>
      <c r="H9" s="1826">
        <v>220.8</v>
      </c>
      <c r="I9" s="1827">
        <f t="shared" si="1"/>
        <v>220.8</v>
      </c>
    </row>
    <row r="10" spans="1:9" x14ac:dyDescent="0.25">
      <c r="A10" s="1824" t="s">
        <v>2535</v>
      </c>
      <c r="B10" s="1825"/>
      <c r="C10" s="1825"/>
      <c r="D10" s="1825"/>
      <c r="E10" s="1825"/>
      <c r="F10" s="1825"/>
      <c r="G10" s="1825"/>
      <c r="H10" s="1826">
        <v>492.48</v>
      </c>
      <c r="I10" s="1827">
        <f t="shared" si="1"/>
        <v>492.48</v>
      </c>
    </row>
    <row r="11" spans="1:9" x14ac:dyDescent="0.25">
      <c r="A11" s="1824" t="s">
        <v>2551</v>
      </c>
      <c r="B11" s="1825"/>
      <c r="C11" s="1825"/>
      <c r="D11" s="1825"/>
      <c r="E11" s="1825">
        <v>840</v>
      </c>
      <c r="F11" s="1825"/>
      <c r="G11" s="1825"/>
      <c r="H11" s="1826"/>
      <c r="I11" s="1827">
        <f t="shared" si="1"/>
        <v>840</v>
      </c>
    </row>
    <row r="12" spans="1:9" x14ac:dyDescent="0.25">
      <c r="A12" s="1824" t="s">
        <v>2536</v>
      </c>
      <c r="B12" s="1825"/>
      <c r="C12" s="1825"/>
      <c r="D12" s="1825"/>
      <c r="E12" s="1825"/>
      <c r="F12" s="1825"/>
      <c r="G12" s="1825"/>
      <c r="H12" s="1826">
        <v>300</v>
      </c>
      <c r="I12" s="1827">
        <f t="shared" si="1"/>
        <v>300</v>
      </c>
    </row>
    <row r="13" spans="1:9" x14ac:dyDescent="0.25">
      <c r="A13" s="1824" t="s">
        <v>2537</v>
      </c>
      <c r="B13" s="1825"/>
      <c r="C13" s="1825"/>
      <c r="D13" s="1825"/>
      <c r="E13" s="1825"/>
      <c r="F13" s="1825"/>
      <c r="G13" s="1825"/>
      <c r="H13" s="1826">
        <v>6399.24</v>
      </c>
      <c r="I13" s="1827">
        <f t="shared" si="1"/>
        <v>6399.24</v>
      </c>
    </row>
    <row r="14" spans="1:9" x14ac:dyDescent="0.25">
      <c r="A14" s="1824" t="s">
        <v>2538</v>
      </c>
      <c r="B14" s="1825"/>
      <c r="C14" s="1825"/>
      <c r="D14" s="1825"/>
      <c r="E14" s="1825"/>
      <c r="F14" s="1825"/>
      <c r="G14" s="1825">
        <v>3599.16</v>
      </c>
      <c r="H14" s="1826"/>
      <c r="I14" s="1827">
        <f t="shared" si="1"/>
        <v>3599.16</v>
      </c>
    </row>
    <row r="15" spans="1:9" x14ac:dyDescent="0.25">
      <c r="A15" s="1824" t="s">
        <v>2539</v>
      </c>
      <c r="B15" s="1825"/>
      <c r="C15" s="1825"/>
      <c r="D15" s="1825"/>
      <c r="E15" s="1825"/>
      <c r="F15" s="1825"/>
      <c r="G15" s="1844">
        <f>4075.32/12*3+4075.32/2/12*9</f>
        <v>2547.0750000000003</v>
      </c>
      <c r="H15" s="1826"/>
      <c r="I15" s="1827">
        <f t="shared" si="1"/>
        <v>2547.0750000000003</v>
      </c>
    </row>
    <row r="16" spans="1:9" ht="45" customHeight="1" x14ac:dyDescent="0.25">
      <c r="A16" s="1824" t="s">
        <v>2540</v>
      </c>
      <c r="B16" s="1825"/>
      <c r="C16" s="1825"/>
      <c r="D16" s="1825"/>
      <c r="E16" s="1825"/>
      <c r="F16" s="1825"/>
      <c r="G16" s="1825">
        <v>3231.24</v>
      </c>
      <c r="H16" s="1826"/>
      <c r="I16" s="1827">
        <f t="shared" si="1"/>
        <v>3231.24</v>
      </c>
    </row>
    <row r="17" spans="1:13" x14ac:dyDescent="0.25">
      <c r="A17" s="1824" t="s">
        <v>2541</v>
      </c>
      <c r="B17" s="1825"/>
      <c r="C17" s="1825"/>
      <c r="D17" s="1825"/>
      <c r="E17" s="1825"/>
      <c r="F17" s="1825"/>
      <c r="G17" s="1825"/>
      <c r="H17" s="1826">
        <v>6763.2</v>
      </c>
      <c r="I17" s="1827">
        <f t="shared" si="1"/>
        <v>6763.2</v>
      </c>
    </row>
    <row r="18" spans="1:13" ht="16.5" customHeight="1" x14ac:dyDescent="0.25">
      <c r="A18" s="1824" t="s">
        <v>2542</v>
      </c>
      <c r="B18" s="1825"/>
      <c r="C18" s="1826">
        <v>6763.2</v>
      </c>
      <c r="D18" s="1825"/>
      <c r="E18" s="1825"/>
      <c r="F18" s="1825"/>
      <c r="G18" s="1825"/>
      <c r="H18" s="1826"/>
      <c r="I18" s="1827">
        <f t="shared" si="1"/>
        <v>6763.2</v>
      </c>
    </row>
    <row r="19" spans="1:13" x14ac:dyDescent="0.25">
      <c r="A19" s="1824" t="s">
        <v>2543</v>
      </c>
      <c r="B19" s="1825"/>
      <c r="C19" s="1825"/>
      <c r="D19" s="1825"/>
      <c r="E19" s="1825"/>
      <c r="F19" s="1825"/>
      <c r="G19" s="1825"/>
      <c r="H19" s="1826">
        <v>6827.28</v>
      </c>
      <c r="I19" s="1827">
        <f t="shared" si="1"/>
        <v>6827.28</v>
      </c>
    </row>
    <row r="20" spans="1:13" ht="30" x14ac:dyDescent="0.25">
      <c r="A20" s="1824" t="s">
        <v>2544</v>
      </c>
      <c r="B20" s="1825"/>
      <c r="C20" s="1825"/>
      <c r="D20" s="1825"/>
      <c r="E20" s="1825"/>
      <c r="F20" s="1825"/>
      <c r="G20" s="1825"/>
      <c r="H20" s="1826">
        <v>2115.12</v>
      </c>
      <c r="I20" s="1827">
        <f t="shared" si="1"/>
        <v>2115.12</v>
      </c>
    </row>
    <row r="21" spans="1:13" ht="30.75" thickBot="1" x14ac:dyDescent="0.3">
      <c r="A21" s="1824" t="s">
        <v>1507</v>
      </c>
      <c r="B21" s="1825"/>
      <c r="C21" s="1825"/>
      <c r="D21" s="1825"/>
      <c r="E21" s="1826">
        <f>306/9*12/2+16.8/2</f>
        <v>212.4</v>
      </c>
      <c r="F21" s="1825"/>
      <c r="G21" s="1825"/>
      <c r="H21" s="1826">
        <f>306/9*12/2+16.8/2</f>
        <v>212.4</v>
      </c>
      <c r="I21" s="1827">
        <f t="shared" si="1"/>
        <v>424.8</v>
      </c>
      <c r="J21" s="1842" t="s">
        <v>2434</v>
      </c>
      <c r="K21" s="18">
        <v>424.8</v>
      </c>
      <c r="L21" s="18">
        <f>K21/1.2</f>
        <v>354</v>
      </c>
    </row>
    <row r="22" spans="1:13" ht="30" x14ac:dyDescent="0.25">
      <c r="A22" s="1828" t="s">
        <v>2545</v>
      </c>
      <c r="B22" s="1829"/>
      <c r="C22" s="1829"/>
      <c r="D22" s="1829"/>
      <c r="E22" s="1829"/>
      <c r="F22" s="1829"/>
      <c r="G22" s="1829">
        <v>4920</v>
      </c>
      <c r="H22" s="1830"/>
      <c r="I22" s="1827">
        <f t="shared" si="1"/>
        <v>4920</v>
      </c>
    </row>
    <row r="23" spans="1:13" ht="15.75" thickBot="1" x14ac:dyDescent="0.3">
      <c r="A23" s="1831" t="s">
        <v>2546</v>
      </c>
      <c r="B23" s="1832"/>
      <c r="C23" s="1832"/>
      <c r="D23" s="1832"/>
      <c r="E23" s="1832"/>
      <c r="F23" s="1832"/>
      <c r="G23" s="1845">
        <f>4300/9*12+16.8</f>
        <v>5750.1333333333332</v>
      </c>
      <c r="H23" s="1833"/>
      <c r="I23" s="1843">
        <f t="shared" si="1"/>
        <v>5750.1333333333332</v>
      </c>
      <c r="J23" s="1842" t="s">
        <v>2434</v>
      </c>
    </row>
    <row r="25" spans="1:13" s="401" customFormat="1" ht="15.75" x14ac:dyDescent="0.25">
      <c r="A25" s="4170" t="str">
        <f>'Вхідні дані'!B13</f>
        <v>В.о. начальника Адміністрації морського порту Чорноморськ</v>
      </c>
      <c r="B25" s="4170"/>
      <c r="C25" s="1876"/>
      <c r="D25" s="407" t="s">
        <v>369</v>
      </c>
      <c r="E25" s="1876"/>
      <c r="F25" s="4124" t="str">
        <f>'Вхідні дані'!$F$13</f>
        <v>Юрій СОКОЛОВ</v>
      </c>
      <c r="G25" s="4124"/>
      <c r="H25" s="4124"/>
      <c r="I25" s="406"/>
      <c r="J25" s="406"/>
      <c r="K25" s="406"/>
      <c r="L25" s="406"/>
      <c r="M25" s="406"/>
    </row>
    <row r="26" spans="1:13" s="401" customFormat="1" x14ac:dyDescent="0.25">
      <c r="B26" s="408"/>
      <c r="C26" s="409"/>
      <c r="D26" s="410" t="s">
        <v>220</v>
      </c>
      <c r="E26" s="406"/>
      <c r="F26" s="4125" t="s">
        <v>1946</v>
      </c>
      <c r="G26" s="4125"/>
      <c r="H26" s="4125"/>
      <c r="I26" s="406"/>
      <c r="J26" s="406"/>
      <c r="K26" s="406"/>
      <c r="L26" s="406"/>
      <c r="M26" s="406"/>
    </row>
    <row r="27" spans="1:13" s="401" customFormat="1" ht="15.75" x14ac:dyDescent="0.25">
      <c r="A27" s="4170" t="str">
        <f>'Вхідні дані'!B14</f>
        <v>Заступник начальника Адміністрації морського порту Чорноморськ з технічних питань та розвитку</v>
      </c>
      <c r="B27" s="4170"/>
      <c r="C27" s="1876"/>
      <c r="D27" s="407" t="s">
        <v>369</v>
      </c>
      <c r="E27" s="1876"/>
      <c r="F27" s="4124" t="str">
        <f>'Вхідні дані'!$F$15</f>
        <v>Наталія БАРТОШИК</v>
      </c>
      <c r="G27" s="4124"/>
      <c r="H27" s="4124"/>
      <c r="I27" s="406"/>
      <c r="J27" s="406"/>
      <c r="K27" s="406"/>
      <c r="L27" s="406"/>
      <c r="M27" s="406"/>
    </row>
    <row r="28" spans="1:13" s="401" customFormat="1" ht="15.75" x14ac:dyDescent="0.25">
      <c r="B28" s="412"/>
      <c r="C28" s="409"/>
      <c r="D28" s="410" t="s">
        <v>220</v>
      </c>
      <c r="E28" s="406"/>
      <c r="F28" s="4125" t="s">
        <v>1946</v>
      </c>
      <c r="G28" s="4125"/>
      <c r="H28" s="4125"/>
      <c r="I28" s="406"/>
      <c r="J28" s="406"/>
      <c r="K28" s="406"/>
      <c r="L28" s="406"/>
      <c r="M28" s="406"/>
    </row>
    <row r="29" spans="1:13" s="401" customFormat="1" x14ac:dyDescent="0.25">
      <c r="A29" s="1875" t="s">
        <v>925</v>
      </c>
      <c r="B29" s="1875"/>
      <c r="C29" s="1875"/>
      <c r="D29" s="1875"/>
      <c r="E29" s="1875"/>
    </row>
  </sheetData>
  <mergeCells count="7">
    <mergeCell ref="F28:H28"/>
    <mergeCell ref="A25:B25"/>
    <mergeCell ref="A27:B27"/>
    <mergeCell ref="A1:I1"/>
    <mergeCell ref="F25:H25"/>
    <mergeCell ref="F26:H26"/>
    <mergeCell ref="F27:H27"/>
  </mergeCells>
  <pageMargins left="0.70866141732283472" right="0.70866141732283472" top="0.74803149606299213" bottom="0.74803149606299213" header="0.31496062992125984" footer="0.31496062992125984"/>
  <pageSetup paperSize="9" scale="90" orientation="landscape" horizontalDpi="0"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2" tint="-0.499984740745262"/>
  </sheetPr>
  <dimension ref="A1:S83"/>
  <sheetViews>
    <sheetView workbookViewId="0">
      <selection activeCell="C27" sqref="C27:F27"/>
    </sheetView>
  </sheetViews>
  <sheetFormatPr defaultRowHeight="15" x14ac:dyDescent="0.25"/>
  <cols>
    <col min="6" max="6" width="10.85546875" customWidth="1"/>
    <col min="10" max="10" width="11" customWidth="1"/>
    <col min="13" max="13" width="10.7109375" customWidth="1"/>
    <col min="14" max="14" width="11" customWidth="1"/>
  </cols>
  <sheetData>
    <row r="1" spans="1:19" ht="15.75" x14ac:dyDescent="0.25">
      <c r="A1" s="890"/>
      <c r="B1" s="890"/>
      <c r="C1" s="890"/>
      <c r="D1" s="890"/>
      <c r="E1" s="890"/>
      <c r="F1" s="890"/>
      <c r="G1" s="890"/>
      <c r="H1" s="890"/>
      <c r="I1" s="890"/>
      <c r="J1" s="890"/>
      <c r="K1" s="890"/>
      <c r="L1" s="890"/>
      <c r="M1" s="890"/>
      <c r="N1" s="890" t="s">
        <v>956</v>
      </c>
      <c r="O1" s="890"/>
      <c r="P1" s="890"/>
      <c r="Q1" s="890" t="s">
        <v>2669</v>
      </c>
    </row>
    <row r="2" spans="1:19" ht="15.75" x14ac:dyDescent="0.25">
      <c r="A2" s="890"/>
      <c r="B2" s="890"/>
      <c r="C2" s="890"/>
      <c r="D2" s="890"/>
      <c r="E2" s="890"/>
      <c r="F2" s="890"/>
      <c r="G2" s="890"/>
      <c r="H2" s="890"/>
      <c r="I2" s="890"/>
      <c r="J2" s="890"/>
      <c r="K2" s="890"/>
      <c r="L2" s="890"/>
      <c r="M2" s="890"/>
      <c r="N2" s="890"/>
      <c r="O2" s="890"/>
      <c r="P2" s="890"/>
      <c r="Q2" s="890"/>
      <c r="S2" s="1949">
        <f>SUM(S3:S4)</f>
        <v>78632</v>
      </c>
    </row>
    <row r="3" spans="1:19" ht="15.75" x14ac:dyDescent="0.25">
      <c r="A3" s="890"/>
      <c r="B3" s="886" t="s">
        <v>1934</v>
      </c>
      <c r="C3" s="886"/>
      <c r="D3" s="886"/>
      <c r="E3" s="886"/>
      <c r="F3" s="886"/>
      <c r="G3" s="886"/>
      <c r="H3" s="1904" t="str">
        <f>'Вхідні дані'!$F$5</f>
        <v>ЧФ ДП "АМПУ"</v>
      </c>
      <c r="I3" s="1904"/>
      <c r="J3" s="1904"/>
      <c r="K3" s="1904"/>
      <c r="L3" s="886" t="s">
        <v>461</v>
      </c>
      <c r="M3" s="1904" t="str">
        <f>'Вхідні дані'!$F$6</f>
        <v>2023-2024</v>
      </c>
      <c r="N3" s="886" t="s">
        <v>648</v>
      </c>
      <c r="O3" s="890"/>
      <c r="P3" s="890"/>
      <c r="Q3" s="890" t="s">
        <v>1839</v>
      </c>
      <c r="S3">
        <v>68726</v>
      </c>
    </row>
    <row r="4" spans="1:19" ht="15.75" x14ac:dyDescent="0.25">
      <c r="A4" s="890"/>
      <c r="B4" s="869"/>
      <c r="C4" s="869"/>
      <c r="D4" s="869"/>
      <c r="E4" s="869"/>
      <c r="F4" s="869"/>
      <c r="G4" s="869"/>
      <c r="H4" s="869"/>
      <c r="I4" s="869"/>
      <c r="J4" s="869"/>
      <c r="K4" s="869"/>
      <c r="L4" s="869"/>
      <c r="M4" s="890"/>
      <c r="N4" s="890"/>
      <c r="O4" s="890"/>
      <c r="P4" s="890"/>
      <c r="Q4" s="890" t="s">
        <v>1840</v>
      </c>
      <c r="S4">
        <v>9906</v>
      </c>
    </row>
    <row r="5" spans="1:19" ht="16.5" thickBot="1" x14ac:dyDescent="0.3">
      <c r="A5" s="890"/>
      <c r="B5" s="890"/>
      <c r="C5" s="890"/>
      <c r="D5" s="890"/>
      <c r="E5" s="890"/>
      <c r="F5" s="890"/>
      <c r="G5" s="890"/>
      <c r="H5" s="890"/>
      <c r="I5" s="1905" t="s">
        <v>885</v>
      </c>
      <c r="J5" s="1906"/>
      <c r="K5" s="890"/>
      <c r="L5" s="890"/>
      <c r="M5" s="890"/>
      <c r="N5" s="890" t="s">
        <v>1867</v>
      </c>
      <c r="O5" s="890"/>
      <c r="P5" s="890"/>
      <c r="Q5" s="890"/>
    </row>
    <row r="6" spans="1:19" ht="15.75" x14ac:dyDescent="0.25">
      <c r="A6" s="890"/>
      <c r="B6" s="4350" t="s">
        <v>997</v>
      </c>
      <c r="C6" s="4352" t="s">
        <v>1868</v>
      </c>
      <c r="D6" s="4353"/>
      <c r="E6" s="4353"/>
      <c r="F6" s="4354"/>
      <c r="G6" s="4355" t="s">
        <v>1869</v>
      </c>
      <c r="H6" s="4348" t="s">
        <v>1870</v>
      </c>
      <c r="I6" s="4348" t="s">
        <v>1871</v>
      </c>
      <c r="J6" s="4344" t="s">
        <v>1872</v>
      </c>
      <c r="K6" s="4346" t="s">
        <v>2522</v>
      </c>
      <c r="L6" s="4348" t="s">
        <v>1937</v>
      </c>
      <c r="M6" s="4337" t="s">
        <v>1873</v>
      </c>
      <c r="N6" s="4339" t="s">
        <v>1938</v>
      </c>
      <c r="O6" s="890"/>
      <c r="P6" s="890"/>
      <c r="Q6" s="890"/>
    </row>
    <row r="7" spans="1:19" ht="15.75" x14ac:dyDescent="0.25">
      <c r="A7" s="890"/>
      <c r="B7" s="4351"/>
      <c r="C7" s="4332" t="s">
        <v>1874</v>
      </c>
      <c r="D7" s="4333"/>
      <c r="E7" s="4333"/>
      <c r="F7" s="4334"/>
      <c r="G7" s="4356"/>
      <c r="H7" s="4349"/>
      <c r="I7" s="4349"/>
      <c r="J7" s="4345"/>
      <c r="K7" s="4347"/>
      <c r="L7" s="4349"/>
      <c r="M7" s="4338"/>
      <c r="N7" s="4340"/>
      <c r="O7" s="890"/>
      <c r="P7" s="890"/>
      <c r="Q7" s="890"/>
    </row>
    <row r="8" spans="1:19" ht="15.75" x14ac:dyDescent="0.25">
      <c r="A8" s="890"/>
      <c r="B8" s="1907">
        <v>1</v>
      </c>
      <c r="C8" s="4341" t="s">
        <v>2623</v>
      </c>
      <c r="D8" s="4342"/>
      <c r="E8" s="4342"/>
      <c r="F8" s="4343"/>
      <c r="G8" s="1908">
        <v>5</v>
      </c>
      <c r="H8" s="1909" t="s">
        <v>1875</v>
      </c>
      <c r="I8" s="1909"/>
      <c r="J8" s="1909">
        <f t="shared" ref="J8:J22" si="0">I8*G8</f>
        <v>0</v>
      </c>
      <c r="K8" s="1909"/>
      <c r="L8" s="1909"/>
      <c r="M8" s="1910">
        <f>L8*G8</f>
        <v>0</v>
      </c>
      <c r="N8" s="1911"/>
      <c r="O8" s="890"/>
      <c r="P8" s="890"/>
      <c r="Q8" s="890"/>
    </row>
    <row r="9" spans="1:19" ht="15.75" x14ac:dyDescent="0.25">
      <c r="A9" s="890"/>
      <c r="B9" s="1907">
        <f>B8+1</f>
        <v>2</v>
      </c>
      <c r="C9" s="4332" t="s">
        <v>2555</v>
      </c>
      <c r="D9" s="4333"/>
      <c r="E9" s="4333"/>
      <c r="F9" s="4334"/>
      <c r="G9" s="1908">
        <v>1</v>
      </c>
      <c r="H9" s="1909" t="s">
        <v>1876</v>
      </c>
      <c r="I9" s="1909"/>
      <c r="J9" s="1909">
        <f t="shared" si="0"/>
        <v>0</v>
      </c>
      <c r="K9" s="1909"/>
      <c r="L9" s="1909"/>
      <c r="M9" s="1910"/>
      <c r="N9" s="1911"/>
      <c r="O9" s="890"/>
      <c r="P9" s="890"/>
      <c r="Q9" s="890"/>
    </row>
    <row r="10" spans="1:19" ht="15.75" x14ac:dyDescent="0.25">
      <c r="A10" s="890"/>
      <c r="B10" s="1907">
        <f t="shared" ref="B10:B23" si="1">B9+1</f>
        <v>3</v>
      </c>
      <c r="C10" s="4332" t="s">
        <v>1877</v>
      </c>
      <c r="D10" s="4333"/>
      <c r="E10" s="4333"/>
      <c r="F10" s="4334"/>
      <c r="G10" s="1912">
        <v>17</v>
      </c>
      <c r="H10" s="1909" t="s">
        <v>1875</v>
      </c>
      <c r="I10" s="1909"/>
      <c r="J10" s="1909">
        <f t="shared" si="0"/>
        <v>0</v>
      </c>
      <c r="K10" s="1909"/>
      <c r="L10" s="1909"/>
      <c r="M10" s="1910">
        <f>L10*G10</f>
        <v>0</v>
      </c>
      <c r="N10" s="1911"/>
      <c r="O10" s="890"/>
      <c r="P10" s="890"/>
      <c r="Q10" s="890"/>
    </row>
    <row r="11" spans="1:19" ht="15.75" x14ac:dyDescent="0.25">
      <c r="A11" s="890"/>
      <c r="B11" s="1907">
        <f t="shared" si="1"/>
        <v>4</v>
      </c>
      <c r="C11" s="4332" t="s">
        <v>1878</v>
      </c>
      <c r="D11" s="4333"/>
      <c r="E11" s="4333"/>
      <c r="F11" s="4334"/>
      <c r="G11" s="1912">
        <v>6</v>
      </c>
      <c r="H11" s="1909" t="s">
        <v>1875</v>
      </c>
      <c r="I11" s="1909"/>
      <c r="J11" s="1909">
        <f t="shared" si="0"/>
        <v>0</v>
      </c>
      <c r="K11" s="1909"/>
      <c r="L11" s="1909"/>
      <c r="M11" s="1910">
        <f>L11*G11</f>
        <v>0</v>
      </c>
      <c r="N11" s="1911"/>
      <c r="O11" s="890"/>
      <c r="P11" s="890"/>
      <c r="Q11" s="890"/>
    </row>
    <row r="12" spans="1:19" ht="15.75" x14ac:dyDescent="0.25">
      <c r="A12" s="890"/>
      <c r="B12" s="1907">
        <f t="shared" si="1"/>
        <v>5</v>
      </c>
      <c r="C12" s="4341" t="s">
        <v>2624</v>
      </c>
      <c r="D12" s="4342"/>
      <c r="E12" s="4342"/>
      <c r="F12" s="4343"/>
      <c r="G12" s="1908">
        <v>6</v>
      </c>
      <c r="H12" s="1909" t="s">
        <v>1876</v>
      </c>
      <c r="I12" s="1909"/>
      <c r="J12" s="1909">
        <f t="shared" si="0"/>
        <v>0</v>
      </c>
      <c r="K12" s="1909"/>
      <c r="L12" s="1909"/>
      <c r="M12" s="1910">
        <f>L12*G12</f>
        <v>0</v>
      </c>
      <c r="N12" s="1913"/>
      <c r="O12" s="890"/>
      <c r="P12" s="890"/>
      <c r="Q12" s="890"/>
    </row>
    <row r="13" spans="1:19" ht="15.75" x14ac:dyDescent="0.25">
      <c r="A13" s="890"/>
      <c r="B13" s="1907">
        <f t="shared" si="1"/>
        <v>6</v>
      </c>
      <c r="C13" s="4341" t="s">
        <v>2625</v>
      </c>
      <c r="D13" s="4333"/>
      <c r="E13" s="4333"/>
      <c r="F13" s="4334"/>
      <c r="G13" s="1908">
        <v>2</v>
      </c>
      <c r="H13" s="1909" t="s">
        <v>1876</v>
      </c>
      <c r="I13" s="1909"/>
      <c r="J13" s="1909">
        <f t="shared" si="0"/>
        <v>0</v>
      </c>
      <c r="K13" s="1909"/>
      <c r="L13" s="1909"/>
      <c r="M13" s="1910">
        <f t="shared" ref="M13:M24" si="2">L13*G13</f>
        <v>0</v>
      </c>
      <c r="N13" s="1911"/>
      <c r="O13" s="890"/>
      <c r="P13" s="890"/>
      <c r="Q13" s="890"/>
    </row>
    <row r="14" spans="1:19" ht="15.75" x14ac:dyDescent="0.25">
      <c r="A14" s="890"/>
      <c r="B14" s="1907">
        <f t="shared" si="1"/>
        <v>7</v>
      </c>
      <c r="C14" s="4332" t="s">
        <v>1879</v>
      </c>
      <c r="D14" s="4333"/>
      <c r="E14" s="4333"/>
      <c r="F14" s="4334"/>
      <c r="G14" s="1908">
        <v>104</v>
      </c>
      <c r="H14" s="1909" t="s">
        <v>1876</v>
      </c>
      <c r="I14" s="1909"/>
      <c r="J14" s="1909">
        <f t="shared" si="0"/>
        <v>0</v>
      </c>
      <c r="K14" s="1909"/>
      <c r="L14" s="1909"/>
      <c r="M14" s="1910">
        <f t="shared" si="2"/>
        <v>0</v>
      </c>
      <c r="N14" s="1911"/>
      <c r="O14" s="890">
        <v>3328</v>
      </c>
      <c r="P14" s="890"/>
      <c r="Q14" s="890">
        <f>N14/G14*96</f>
        <v>0</v>
      </c>
      <c r="S14">
        <f>G14*31.78</f>
        <v>3305.12</v>
      </c>
    </row>
    <row r="15" spans="1:19" ht="15.75" x14ac:dyDescent="0.25">
      <c r="A15" s="890"/>
      <c r="B15" s="1907">
        <f t="shared" si="1"/>
        <v>8</v>
      </c>
      <c r="C15" s="4332" t="s">
        <v>1880</v>
      </c>
      <c r="D15" s="4333"/>
      <c r="E15" s="4333"/>
      <c r="F15" s="4334"/>
      <c r="G15" s="1908">
        <v>20</v>
      </c>
      <c r="H15" s="1909" t="s">
        <v>1876</v>
      </c>
      <c r="I15" s="1909"/>
      <c r="J15" s="1909">
        <f t="shared" si="0"/>
        <v>0</v>
      </c>
      <c r="K15" s="1909"/>
      <c r="L15" s="1909"/>
      <c r="M15" s="1910">
        <f t="shared" si="2"/>
        <v>0</v>
      </c>
      <c r="N15" s="1911"/>
      <c r="O15" s="890">
        <v>908</v>
      </c>
      <c r="P15" s="890"/>
      <c r="Q15" s="890"/>
    </row>
    <row r="16" spans="1:19" ht="15.75" x14ac:dyDescent="0.25">
      <c r="A16" s="890"/>
      <c r="B16" s="1907">
        <f t="shared" si="1"/>
        <v>9</v>
      </c>
      <c r="C16" s="4332" t="s">
        <v>1881</v>
      </c>
      <c r="D16" s="4333"/>
      <c r="E16" s="4333"/>
      <c r="F16" s="4334"/>
      <c r="G16" s="1908">
        <v>1</v>
      </c>
      <c r="H16" s="1909" t="s">
        <v>1882</v>
      </c>
      <c r="I16" s="1909"/>
      <c r="J16" s="1909">
        <f t="shared" si="0"/>
        <v>0</v>
      </c>
      <c r="K16" s="1909"/>
      <c r="L16" s="1909"/>
      <c r="M16" s="1910">
        <f t="shared" si="2"/>
        <v>0</v>
      </c>
      <c r="N16" s="1911"/>
      <c r="O16" s="890">
        <v>225</v>
      </c>
      <c r="P16" s="890"/>
      <c r="Q16" s="890"/>
    </row>
    <row r="17" spans="1:17" ht="15.75" x14ac:dyDescent="0.25">
      <c r="A17" s="890"/>
      <c r="B17" s="1907">
        <f t="shared" si="1"/>
        <v>10</v>
      </c>
      <c r="C17" s="4332" t="s">
        <v>1883</v>
      </c>
      <c r="D17" s="4333"/>
      <c r="E17" s="4333"/>
      <c r="F17" s="4334"/>
      <c r="G17" s="1908">
        <v>1</v>
      </c>
      <c r="H17" s="1909" t="s">
        <v>1876</v>
      </c>
      <c r="I17" s="1909"/>
      <c r="J17" s="1909">
        <f t="shared" si="0"/>
        <v>0</v>
      </c>
      <c r="K17" s="1909"/>
      <c r="L17" s="1909"/>
      <c r="M17" s="1910">
        <f t="shared" si="2"/>
        <v>0</v>
      </c>
      <c r="N17" s="1911"/>
      <c r="O17" s="890">
        <v>318</v>
      </c>
      <c r="P17" s="890"/>
      <c r="Q17" s="890"/>
    </row>
    <row r="18" spans="1:17" ht="15.75" x14ac:dyDescent="0.25">
      <c r="A18" s="890"/>
      <c r="B18" s="1907">
        <f t="shared" si="1"/>
        <v>11</v>
      </c>
      <c r="C18" s="4331" t="s">
        <v>1884</v>
      </c>
      <c r="D18" s="4331"/>
      <c r="E18" s="4331"/>
      <c r="F18" s="4331"/>
      <c r="G18" s="1908">
        <v>2</v>
      </c>
      <c r="H18" s="1909" t="s">
        <v>1876</v>
      </c>
      <c r="I18" s="1909"/>
      <c r="J18" s="1909">
        <f t="shared" si="0"/>
        <v>0</v>
      </c>
      <c r="K18" s="1909"/>
      <c r="L18" s="1909"/>
      <c r="M18" s="1910">
        <f t="shared" si="2"/>
        <v>0</v>
      </c>
      <c r="N18" s="1911"/>
      <c r="O18" s="890">
        <v>930</v>
      </c>
      <c r="P18" s="890"/>
      <c r="Q18" s="890"/>
    </row>
    <row r="19" spans="1:17" ht="15.75" x14ac:dyDescent="0.25">
      <c r="A19" s="890"/>
      <c r="B19" s="1907">
        <f t="shared" si="1"/>
        <v>12</v>
      </c>
      <c r="C19" s="4332" t="s">
        <v>2757</v>
      </c>
      <c r="D19" s="4333"/>
      <c r="E19" s="4333"/>
      <c r="F19" s="4334"/>
      <c r="G19" s="1908">
        <v>12</v>
      </c>
      <c r="H19" s="1909" t="s">
        <v>1876</v>
      </c>
      <c r="I19" s="1909"/>
      <c r="J19" s="1909">
        <f t="shared" si="0"/>
        <v>0</v>
      </c>
      <c r="K19" s="1909"/>
      <c r="L19" s="1909"/>
      <c r="M19" s="1910">
        <f t="shared" si="2"/>
        <v>0</v>
      </c>
      <c r="N19" s="1911"/>
      <c r="O19" s="890"/>
      <c r="P19" s="890"/>
      <c r="Q19" s="890"/>
    </row>
    <row r="20" spans="1:17" ht="15.75" x14ac:dyDescent="0.25">
      <c r="A20" s="890"/>
      <c r="B20" s="1907">
        <f t="shared" si="1"/>
        <v>13</v>
      </c>
      <c r="C20" s="4331" t="s">
        <v>1885</v>
      </c>
      <c r="D20" s="4331"/>
      <c r="E20" s="4331"/>
      <c r="F20" s="4331"/>
      <c r="G20" s="1908">
        <v>6</v>
      </c>
      <c r="H20" s="1909" t="s">
        <v>1886</v>
      </c>
      <c r="I20" s="1909"/>
      <c r="J20" s="1909">
        <f t="shared" si="0"/>
        <v>0</v>
      </c>
      <c r="K20" s="1909"/>
      <c r="L20" s="1909"/>
      <c r="M20" s="1910">
        <f t="shared" si="2"/>
        <v>0</v>
      </c>
      <c r="N20" s="1911"/>
      <c r="O20" s="890">
        <v>4698</v>
      </c>
      <c r="P20" s="890"/>
      <c r="Q20" s="890"/>
    </row>
    <row r="21" spans="1:17" ht="15.75" x14ac:dyDescent="0.25">
      <c r="A21" s="890"/>
      <c r="B21" s="1907">
        <f t="shared" si="1"/>
        <v>14</v>
      </c>
      <c r="C21" s="4331" t="s">
        <v>1887</v>
      </c>
      <c r="D21" s="4331"/>
      <c r="E21" s="4331"/>
      <c r="F21" s="4331"/>
      <c r="G21" s="1914">
        <v>4</v>
      </c>
      <c r="H21" s="1909" t="s">
        <v>1876</v>
      </c>
      <c r="I21" s="1909"/>
      <c r="J21" s="1909">
        <f t="shared" si="0"/>
        <v>0</v>
      </c>
      <c r="K21" s="1909"/>
      <c r="L21" s="1909"/>
      <c r="M21" s="1910">
        <f t="shared" si="2"/>
        <v>0</v>
      </c>
      <c r="N21" s="1911"/>
      <c r="O21" s="890">
        <v>1271</v>
      </c>
      <c r="P21" s="890"/>
      <c r="Q21" s="890"/>
    </row>
    <row r="22" spans="1:17" ht="15.75" x14ac:dyDescent="0.25">
      <c r="A22" s="890"/>
      <c r="B22" s="1907">
        <f t="shared" si="1"/>
        <v>15</v>
      </c>
      <c r="C22" s="4331" t="s">
        <v>1888</v>
      </c>
      <c r="D22" s="4331"/>
      <c r="E22" s="4331"/>
      <c r="F22" s="4331"/>
      <c r="G22" s="1908">
        <v>6</v>
      </c>
      <c r="H22" s="1909" t="s">
        <v>1876</v>
      </c>
      <c r="I22" s="1909"/>
      <c r="J22" s="1909">
        <f t="shared" si="0"/>
        <v>0</v>
      </c>
      <c r="K22" s="1909"/>
      <c r="L22" s="1909"/>
      <c r="M22" s="1910">
        <f t="shared" si="2"/>
        <v>0</v>
      </c>
      <c r="N22" s="1911"/>
      <c r="O22" s="890">
        <v>2790</v>
      </c>
      <c r="P22" s="890"/>
      <c r="Q22" s="890"/>
    </row>
    <row r="23" spans="1:17" ht="15.75" x14ac:dyDescent="0.25">
      <c r="A23" s="890"/>
      <c r="B23" s="1907">
        <f t="shared" si="1"/>
        <v>16</v>
      </c>
      <c r="C23" s="4331" t="s">
        <v>1889</v>
      </c>
      <c r="D23" s="4331"/>
      <c r="E23" s="4331"/>
      <c r="F23" s="4331"/>
      <c r="G23" s="1914">
        <v>16</v>
      </c>
      <c r="H23" s="1909" t="s">
        <v>1876</v>
      </c>
      <c r="I23" s="1909"/>
      <c r="J23" s="1909">
        <f>I23*G23</f>
        <v>0</v>
      </c>
      <c r="K23" s="1909"/>
      <c r="L23" s="1909"/>
      <c r="M23" s="1910">
        <f t="shared" si="2"/>
        <v>0</v>
      </c>
      <c r="N23" s="1911"/>
      <c r="O23" s="890">
        <v>4112</v>
      </c>
      <c r="P23" s="890"/>
      <c r="Q23" s="890"/>
    </row>
    <row r="24" spans="1:17" ht="15.75" x14ac:dyDescent="0.25">
      <c r="A24" s="890"/>
      <c r="B24" s="1907" t="s">
        <v>2033</v>
      </c>
      <c r="C24" s="4331" t="s">
        <v>2626</v>
      </c>
      <c r="D24" s="4331"/>
      <c r="E24" s="4331"/>
      <c r="F24" s="4331"/>
      <c r="G24" s="1908">
        <v>34</v>
      </c>
      <c r="H24" s="1909" t="s">
        <v>1886</v>
      </c>
      <c r="I24" s="1909"/>
      <c r="J24" s="1909">
        <f>I24*G24</f>
        <v>0</v>
      </c>
      <c r="K24" s="1909"/>
      <c r="L24" s="1909"/>
      <c r="M24" s="1910">
        <f t="shared" si="2"/>
        <v>0</v>
      </c>
      <c r="N24" s="1915"/>
      <c r="O24" s="890"/>
      <c r="P24" s="890"/>
      <c r="Q24" s="890"/>
    </row>
    <row r="25" spans="1:17" ht="16.5" thickBot="1" x14ac:dyDescent="0.3">
      <c r="A25" s="890"/>
      <c r="B25" s="1916"/>
      <c r="C25" s="4335" t="s">
        <v>1890</v>
      </c>
      <c r="D25" s="4335"/>
      <c r="E25" s="4335"/>
      <c r="F25" s="4335"/>
      <c r="G25" s="1947">
        <f>SUM(G8:G24)</f>
        <v>243</v>
      </c>
      <c r="H25" s="1917"/>
      <c r="I25" s="1917"/>
      <c r="J25" s="1917">
        <f>SUM(J8:J24)</f>
        <v>0</v>
      </c>
      <c r="K25" s="1917"/>
      <c r="L25" s="1917"/>
      <c r="M25" s="1918">
        <f>SUM(M8:M24)</f>
        <v>0</v>
      </c>
      <c r="N25" s="1919">
        <f>105636.806584362+N27+N28</f>
        <v>114248.966584362</v>
      </c>
      <c r="O25" s="890" t="s">
        <v>2500</v>
      </c>
      <c r="P25" s="890"/>
      <c r="Q25" s="890"/>
    </row>
    <row r="26" spans="1:17" ht="15.75" x14ac:dyDescent="0.25">
      <c r="A26" s="890"/>
      <c r="B26" s="1920" t="s">
        <v>2627</v>
      </c>
      <c r="C26" s="4336" t="s">
        <v>2628</v>
      </c>
      <c r="D26" s="4336"/>
      <c r="E26" s="4336"/>
      <c r="F26" s="4336"/>
      <c r="G26" s="1921"/>
      <c r="H26" s="1921"/>
      <c r="I26" s="1921"/>
      <c r="J26" s="1921"/>
      <c r="K26" s="1921"/>
      <c r="L26" s="1921"/>
      <c r="M26" s="1921"/>
      <c r="N26" s="1921"/>
      <c r="O26" s="890"/>
      <c r="P26" s="890"/>
      <c r="Q26" s="890"/>
    </row>
    <row r="27" spans="1:17" ht="15.75" x14ac:dyDescent="0.25">
      <c r="A27" s="890"/>
      <c r="B27" s="1908" t="s">
        <v>2629</v>
      </c>
      <c r="C27" s="4331" t="s">
        <v>2630</v>
      </c>
      <c r="D27" s="4331"/>
      <c r="E27" s="4331"/>
      <c r="F27" s="4331"/>
      <c r="G27" s="1909"/>
      <c r="H27" s="1909" t="s">
        <v>2631</v>
      </c>
      <c r="I27" s="1909"/>
      <c r="J27" s="1909"/>
      <c r="K27" s="1909"/>
      <c r="L27" s="1909"/>
      <c r="M27" s="1909"/>
      <c r="N27" s="1909">
        <v>4306.08</v>
      </c>
      <c r="O27" s="890"/>
      <c r="P27" s="890"/>
      <c r="Q27" s="890"/>
    </row>
    <row r="28" spans="1:17" ht="15.75" x14ac:dyDescent="0.25">
      <c r="A28" s="890"/>
      <c r="B28" s="1908" t="s">
        <v>2041</v>
      </c>
      <c r="C28" s="4331" t="s">
        <v>2632</v>
      </c>
      <c r="D28" s="4331"/>
      <c r="E28" s="4331"/>
      <c r="F28" s="4331"/>
      <c r="G28" s="1909"/>
      <c r="H28" s="1909" t="s">
        <v>2633</v>
      </c>
      <c r="I28" s="1909"/>
      <c r="J28" s="1909"/>
      <c r="K28" s="1909"/>
      <c r="L28" s="1909"/>
      <c r="M28" s="1909"/>
      <c r="N28" s="1909">
        <v>4306.08</v>
      </c>
      <c r="O28" s="890"/>
      <c r="P28" s="890"/>
      <c r="Q28" s="890"/>
    </row>
    <row r="29" spans="1:17" ht="15.75" x14ac:dyDescent="0.25">
      <c r="A29" s="890"/>
      <c r="B29" s="890"/>
      <c r="C29" s="890"/>
      <c r="D29" s="4326"/>
      <c r="E29" s="4326"/>
      <c r="F29" s="890"/>
      <c r="G29" s="1948">
        <f>95000/1.2/G25</f>
        <v>325.78875171467769</v>
      </c>
      <c r="H29" s="890"/>
      <c r="I29" s="890"/>
      <c r="J29" s="890"/>
      <c r="K29" s="890"/>
      <c r="L29" s="890"/>
      <c r="M29" s="890"/>
      <c r="N29" s="890"/>
      <c r="O29" s="890"/>
      <c r="P29" s="890"/>
      <c r="Q29" s="890"/>
    </row>
    <row r="30" spans="1:17" ht="15.75" x14ac:dyDescent="0.25">
      <c r="A30" s="890"/>
      <c r="B30" s="890"/>
      <c r="C30" s="890"/>
      <c r="D30" s="890"/>
      <c r="E30" s="890"/>
      <c r="F30" s="890"/>
      <c r="G30" s="890"/>
      <c r="H30" s="890"/>
      <c r="I30" s="890"/>
      <c r="J30" s="890"/>
      <c r="K30" s="890"/>
      <c r="L30" s="890"/>
      <c r="M30" s="890"/>
      <c r="N30" s="890"/>
      <c r="O30" s="890"/>
      <c r="P30" s="890"/>
      <c r="Q30" s="890"/>
    </row>
    <row r="31" spans="1:17" ht="15.75" x14ac:dyDescent="0.25">
      <c r="A31" s="890"/>
      <c r="B31" s="890"/>
      <c r="C31" s="4327" t="s">
        <v>1891</v>
      </c>
      <c r="D31" s="4327"/>
      <c r="E31" s="4327"/>
      <c r="F31" s="4327"/>
      <c r="G31" s="4327"/>
      <c r="H31" s="4327"/>
      <c r="I31" s="4327"/>
      <c r="J31" s="890"/>
      <c r="K31" s="890"/>
      <c r="L31" s="890" t="s">
        <v>1892</v>
      </c>
      <c r="M31" s="890"/>
      <c r="N31" s="890"/>
      <c r="O31" s="890"/>
      <c r="P31" s="890"/>
      <c r="Q31" s="890"/>
    </row>
    <row r="32" spans="1:17" ht="15.75" x14ac:dyDescent="0.25">
      <c r="A32" s="890"/>
      <c r="B32" s="890"/>
      <c r="C32" s="890"/>
      <c r="D32" s="890"/>
      <c r="E32" s="890"/>
      <c r="F32" s="890"/>
      <c r="G32" s="890"/>
      <c r="H32" s="890"/>
      <c r="I32" s="890"/>
      <c r="J32" s="890"/>
      <c r="K32" s="890"/>
      <c r="L32" s="890"/>
      <c r="M32" s="890"/>
      <c r="N32" s="890"/>
      <c r="O32" s="890"/>
      <c r="P32" s="890"/>
      <c r="Q32" s="890"/>
    </row>
    <row r="33" spans="1:17" ht="15.75" x14ac:dyDescent="0.25">
      <c r="A33" s="890"/>
      <c r="B33" s="890"/>
      <c r="C33" s="890"/>
      <c r="D33" s="890"/>
      <c r="E33" s="890"/>
      <c r="F33" s="890"/>
      <c r="G33" s="890"/>
      <c r="H33" s="890"/>
      <c r="I33" s="890"/>
      <c r="J33" s="890"/>
      <c r="K33" s="890"/>
      <c r="L33" s="890"/>
      <c r="M33" s="890"/>
      <c r="N33" s="890"/>
      <c r="O33" s="890"/>
      <c r="P33" s="890"/>
      <c r="Q33" s="890"/>
    </row>
    <row r="34" spans="1:17" ht="15.75" hidden="1" x14ac:dyDescent="0.25">
      <c r="A34" s="890"/>
      <c r="B34" s="890"/>
      <c r="C34" s="1922" t="s">
        <v>2634</v>
      </c>
      <c r="D34" s="1923"/>
      <c r="E34" s="1923"/>
      <c r="F34" s="1923"/>
      <c r="G34" s="1923"/>
      <c r="H34" s="1923"/>
      <c r="I34" s="1923"/>
      <c r="J34" s="1924"/>
      <c r="K34" s="1925"/>
      <c r="L34" s="890"/>
      <c r="M34" s="890"/>
      <c r="N34" s="890"/>
      <c r="O34" s="890"/>
      <c r="P34" s="890"/>
      <c r="Q34" s="890"/>
    </row>
    <row r="35" spans="1:17" ht="15.75" hidden="1" x14ac:dyDescent="0.25">
      <c r="A35" s="890"/>
      <c r="B35" s="890"/>
      <c r="C35" s="4328" t="s">
        <v>2269</v>
      </c>
      <c r="D35" s="4329"/>
      <c r="E35" s="4329"/>
      <c r="F35" s="4329"/>
      <c r="G35" s="4329"/>
      <c r="H35" s="4329"/>
      <c r="I35" s="4329"/>
      <c r="J35" s="4330"/>
      <c r="K35" s="1925"/>
      <c r="L35" s="890"/>
      <c r="M35" s="890"/>
      <c r="N35" s="890"/>
      <c r="O35" s="890"/>
      <c r="P35" s="890"/>
      <c r="Q35" s="890"/>
    </row>
    <row r="36" spans="1:17" ht="15.75" hidden="1" x14ac:dyDescent="0.25">
      <c r="A36" s="890"/>
      <c r="B36" s="890"/>
      <c r="C36" s="1926" t="s">
        <v>2635</v>
      </c>
      <c r="D36" s="1927"/>
      <c r="E36" s="1927"/>
      <c r="F36" s="1927"/>
      <c r="G36" s="1927"/>
      <c r="H36" s="1927"/>
      <c r="I36" s="1925"/>
      <c r="J36" s="1928"/>
      <c r="K36" s="1925"/>
      <c r="L36" s="1925"/>
      <c r="M36" s="890"/>
      <c r="N36" s="890"/>
      <c r="O36" s="890"/>
      <c r="P36" s="890"/>
      <c r="Q36" s="890"/>
    </row>
    <row r="37" spans="1:17" ht="15.75" hidden="1" x14ac:dyDescent="0.25">
      <c r="A37" s="890"/>
      <c r="B37" s="890"/>
      <c r="C37" s="1926" t="s">
        <v>2636</v>
      </c>
      <c r="D37" s="1927"/>
      <c r="E37" s="1927"/>
      <c r="F37" s="1927"/>
      <c r="G37" s="1927"/>
      <c r="H37" s="1927"/>
      <c r="I37" s="1925"/>
      <c r="J37" s="1928"/>
      <c r="K37" s="1925"/>
      <c r="L37" s="1925"/>
      <c r="M37" s="890"/>
      <c r="N37" s="890"/>
      <c r="O37" s="890"/>
      <c r="P37" s="890"/>
      <c r="Q37" s="890"/>
    </row>
    <row r="38" spans="1:17" ht="15.75" hidden="1" x14ac:dyDescent="0.25">
      <c r="A38" s="890"/>
      <c r="B38" s="890"/>
      <c r="C38" s="1926" t="s">
        <v>2637</v>
      </c>
      <c r="D38" s="1927"/>
      <c r="E38" s="1927"/>
      <c r="F38" s="1927"/>
      <c r="G38" s="1927"/>
      <c r="H38" s="1927"/>
      <c r="I38" s="1925"/>
      <c r="J38" s="1928"/>
      <c r="K38" s="1925"/>
      <c r="L38" s="1925"/>
      <c r="M38" s="890"/>
      <c r="N38" s="890"/>
      <c r="O38" s="890"/>
      <c r="P38" s="890"/>
      <c r="Q38" s="890"/>
    </row>
    <row r="39" spans="1:17" ht="15.75" hidden="1" x14ac:dyDescent="0.25">
      <c r="A39" s="890"/>
      <c r="B39" s="890"/>
      <c r="C39" s="1926" t="s">
        <v>2638</v>
      </c>
      <c r="D39" s="1927"/>
      <c r="E39" s="1927"/>
      <c r="F39" s="1927"/>
      <c r="G39" s="1927"/>
      <c r="H39" s="1927"/>
      <c r="I39" s="1925"/>
      <c r="J39" s="1928"/>
      <c r="K39" s="1925"/>
      <c r="L39" s="1925"/>
      <c r="M39" s="890"/>
      <c r="N39" s="890"/>
      <c r="O39" s="890"/>
      <c r="P39" s="890"/>
      <c r="Q39" s="890"/>
    </row>
    <row r="40" spans="1:17" ht="15.75" hidden="1" x14ac:dyDescent="0.25">
      <c r="A40" s="890"/>
      <c r="B40" s="890"/>
      <c r="C40" s="1926" t="s">
        <v>2639</v>
      </c>
      <c r="D40" s="1927"/>
      <c r="E40" s="1927"/>
      <c r="F40" s="1927"/>
      <c r="G40" s="1927"/>
      <c r="H40" s="1927"/>
      <c r="I40" s="1925"/>
      <c r="J40" s="1928"/>
      <c r="K40" s="1925"/>
      <c r="L40" s="1925"/>
      <c r="M40" s="890"/>
      <c r="N40" s="890"/>
      <c r="O40" s="890"/>
      <c r="P40" s="890"/>
      <c r="Q40" s="890"/>
    </row>
    <row r="41" spans="1:17" ht="15.75" hidden="1" x14ac:dyDescent="0.25">
      <c r="A41" s="890"/>
      <c r="B41" s="890"/>
      <c r="C41" s="1926" t="s">
        <v>2640</v>
      </c>
      <c r="D41" s="1927"/>
      <c r="E41" s="1927"/>
      <c r="F41" s="1927"/>
      <c r="G41" s="1927"/>
      <c r="H41" s="1927"/>
      <c r="I41" s="1925"/>
      <c r="J41" s="1928"/>
      <c r="K41" s="1925"/>
      <c r="L41" s="1925"/>
      <c r="M41" s="890"/>
      <c r="N41" s="890"/>
      <c r="O41" s="890"/>
      <c r="P41" s="890"/>
      <c r="Q41" s="890"/>
    </row>
    <row r="42" spans="1:17" ht="15.75" hidden="1" x14ac:dyDescent="0.25">
      <c r="A42" s="890"/>
      <c r="B42" s="890"/>
      <c r="C42" s="1926" t="s">
        <v>2641</v>
      </c>
      <c r="D42" s="1927"/>
      <c r="E42" s="1927"/>
      <c r="F42" s="1927"/>
      <c r="G42" s="1927"/>
      <c r="H42" s="1927"/>
      <c r="I42" s="1925"/>
      <c r="J42" s="1928"/>
      <c r="K42" s="1925"/>
      <c r="L42" s="1925"/>
      <c r="M42" s="890"/>
      <c r="N42" s="890"/>
      <c r="O42" s="890"/>
      <c r="P42" s="890"/>
      <c r="Q42" s="890"/>
    </row>
    <row r="43" spans="1:17" ht="15.75" hidden="1" x14ac:dyDescent="0.25">
      <c r="A43" s="890"/>
      <c r="B43" s="890"/>
      <c r="C43" s="1926" t="s">
        <v>2642</v>
      </c>
      <c r="D43" s="1927"/>
      <c r="E43" s="1927"/>
      <c r="F43" s="1927"/>
      <c r="G43" s="1927"/>
      <c r="H43" s="1927"/>
      <c r="I43" s="1925"/>
      <c r="J43" s="1928"/>
      <c r="K43" s="1925"/>
      <c r="L43" s="1925"/>
      <c r="M43" s="890"/>
      <c r="N43" s="890"/>
      <c r="O43" s="890"/>
      <c r="P43" s="890"/>
      <c r="Q43" s="890"/>
    </row>
    <row r="44" spans="1:17" ht="15.75" hidden="1" x14ac:dyDescent="0.25">
      <c r="A44" s="890"/>
      <c r="B44" s="890"/>
      <c r="C44" s="1926" t="s">
        <v>2643</v>
      </c>
      <c r="D44" s="1927"/>
      <c r="E44" s="1927"/>
      <c r="F44" s="1927"/>
      <c r="G44" s="1927"/>
      <c r="H44" s="1927"/>
      <c r="I44" s="1925"/>
      <c r="J44" s="1928"/>
      <c r="K44" s="1925"/>
      <c r="L44" s="1925"/>
      <c r="M44" s="890"/>
      <c r="N44" s="890"/>
      <c r="O44" s="890"/>
      <c r="P44" s="890"/>
      <c r="Q44" s="890"/>
    </row>
    <row r="45" spans="1:17" ht="15.75" hidden="1" x14ac:dyDescent="0.25">
      <c r="A45" s="890"/>
      <c r="B45" s="890"/>
      <c r="C45" s="1926" t="s">
        <v>2644</v>
      </c>
      <c r="D45" s="1927"/>
      <c r="E45" s="1927"/>
      <c r="F45" s="1927"/>
      <c r="G45" s="1927"/>
      <c r="H45" s="1927"/>
      <c r="I45" s="1925"/>
      <c r="J45" s="1928"/>
      <c r="K45" s="1925"/>
      <c r="L45" s="1925"/>
      <c r="M45" s="890"/>
      <c r="N45" s="890"/>
      <c r="O45" s="890"/>
      <c r="P45" s="890"/>
      <c r="Q45" s="890"/>
    </row>
    <row r="46" spans="1:17" ht="15.75" hidden="1" x14ac:dyDescent="0.25">
      <c r="A46" s="890"/>
      <c r="B46" s="890"/>
      <c r="C46" s="1926" t="s">
        <v>2645</v>
      </c>
      <c r="D46" s="1927"/>
      <c r="E46" s="1927"/>
      <c r="F46" s="1927"/>
      <c r="G46" s="1927"/>
      <c r="H46" s="1927"/>
      <c r="I46" s="1925"/>
      <c r="J46" s="1928"/>
      <c r="K46" s="1925"/>
      <c r="L46" s="1925"/>
      <c r="M46" s="890"/>
      <c r="N46" s="890"/>
      <c r="O46" s="890"/>
      <c r="P46" s="890"/>
      <c r="Q46" s="890"/>
    </row>
    <row r="47" spans="1:17" ht="15.75" hidden="1" x14ac:dyDescent="0.25">
      <c r="A47" s="890"/>
      <c r="B47" s="890"/>
      <c r="C47" s="1926" t="s">
        <v>2646</v>
      </c>
      <c r="D47" s="1927"/>
      <c r="E47" s="1927"/>
      <c r="F47" s="1927"/>
      <c r="G47" s="1927"/>
      <c r="H47" s="1927"/>
      <c r="I47" s="1925"/>
      <c r="J47" s="1928"/>
      <c r="K47" s="1925"/>
      <c r="L47" s="1925"/>
      <c r="M47" s="890"/>
      <c r="N47" s="890"/>
      <c r="O47" s="890"/>
      <c r="P47" s="890"/>
      <c r="Q47" s="890"/>
    </row>
    <row r="48" spans="1:17" ht="15.75" hidden="1" x14ac:dyDescent="0.25">
      <c r="A48" s="890"/>
      <c r="B48" s="890"/>
      <c r="C48" s="1926" t="s">
        <v>2647</v>
      </c>
      <c r="D48" s="1927"/>
      <c r="E48" s="1927"/>
      <c r="F48" s="1927"/>
      <c r="G48" s="1927"/>
      <c r="H48" s="1927"/>
      <c r="I48" s="1925"/>
      <c r="J48" s="1928"/>
      <c r="K48" s="1925"/>
      <c r="L48" s="1925"/>
      <c r="M48" s="890"/>
      <c r="N48" s="890"/>
      <c r="O48" s="890"/>
      <c r="P48" s="890"/>
      <c r="Q48" s="890"/>
    </row>
    <row r="49" spans="1:17" ht="15.75" hidden="1" x14ac:dyDescent="0.25">
      <c r="A49" s="890"/>
      <c r="B49" s="890"/>
      <c r="C49" s="1926" t="s">
        <v>2648</v>
      </c>
      <c r="D49" s="1927"/>
      <c r="E49" s="1927"/>
      <c r="F49" s="1927"/>
      <c r="G49" s="1927"/>
      <c r="H49" s="1927"/>
      <c r="I49" s="1925"/>
      <c r="J49" s="1928"/>
      <c r="K49" s="1925"/>
      <c r="L49" s="1925"/>
      <c r="M49" s="890"/>
      <c r="N49" s="890"/>
      <c r="O49" s="890"/>
      <c r="P49" s="890"/>
      <c r="Q49" s="890"/>
    </row>
    <row r="50" spans="1:17" ht="15.75" hidden="1" x14ac:dyDescent="0.25">
      <c r="A50" s="890"/>
      <c r="B50" s="890"/>
      <c r="C50" s="1926" t="s">
        <v>2649</v>
      </c>
      <c r="D50" s="1927"/>
      <c r="E50" s="1925"/>
      <c r="F50" s="1925"/>
      <c r="G50" s="1925"/>
      <c r="H50" s="1925"/>
      <c r="I50" s="1925"/>
      <c r="J50" s="1928"/>
      <c r="K50" s="1925"/>
      <c r="L50" s="1925"/>
      <c r="M50" s="890"/>
      <c r="N50" s="890"/>
      <c r="O50" s="890"/>
      <c r="P50" s="890"/>
      <c r="Q50" s="890"/>
    </row>
    <row r="51" spans="1:17" ht="15.75" hidden="1" x14ac:dyDescent="0.25">
      <c r="A51" s="890"/>
      <c r="B51" s="890"/>
      <c r="C51" s="1926" t="s">
        <v>2650</v>
      </c>
      <c r="D51" s="1925"/>
      <c r="E51" s="1925"/>
      <c r="F51" s="1925"/>
      <c r="G51" s="1925"/>
      <c r="H51" s="1925"/>
      <c r="I51" s="1925"/>
      <c r="J51" s="1928"/>
      <c r="K51" s="1925"/>
      <c r="L51" s="1925"/>
      <c r="M51" s="890"/>
      <c r="N51" s="890"/>
      <c r="O51" s="890"/>
      <c r="P51" s="890"/>
      <c r="Q51" s="890"/>
    </row>
    <row r="52" spans="1:17" ht="15.75" hidden="1" x14ac:dyDescent="0.25">
      <c r="A52" s="890"/>
      <c r="B52" s="890"/>
      <c r="C52" s="1926" t="s">
        <v>2651</v>
      </c>
      <c r="D52" s="1925"/>
      <c r="E52" s="1925"/>
      <c r="F52" s="1925"/>
      <c r="G52" s="1925"/>
      <c r="H52" s="1925"/>
      <c r="I52" s="1925"/>
      <c r="J52" s="1928"/>
      <c r="K52" s="1925"/>
      <c r="L52" s="1925"/>
      <c r="M52" s="890"/>
      <c r="N52" s="890"/>
      <c r="O52" s="890"/>
      <c r="P52" s="890"/>
      <c r="Q52" s="890"/>
    </row>
    <row r="53" spans="1:17" ht="15.75" hidden="1" x14ac:dyDescent="0.25">
      <c r="A53" s="890"/>
      <c r="B53" s="890"/>
      <c r="C53" s="1926" t="s">
        <v>2652</v>
      </c>
      <c r="D53" s="1925"/>
      <c r="E53" s="1925"/>
      <c r="F53" s="1925"/>
      <c r="G53" s="1925"/>
      <c r="H53" s="1925"/>
      <c r="I53" s="1925"/>
      <c r="J53" s="1928"/>
      <c r="K53" s="1925"/>
      <c r="L53" s="1925"/>
      <c r="M53" s="890"/>
      <c r="N53" s="890"/>
      <c r="O53" s="890"/>
      <c r="P53" s="890"/>
      <c r="Q53" s="890"/>
    </row>
    <row r="54" spans="1:17" ht="15.75" hidden="1" x14ac:dyDescent="0.25">
      <c r="A54" s="890"/>
      <c r="B54" s="890"/>
      <c r="C54" s="1926" t="s">
        <v>2653</v>
      </c>
      <c r="D54" s="1925"/>
      <c r="E54" s="1925"/>
      <c r="F54" s="1925"/>
      <c r="G54" s="1925"/>
      <c r="H54" s="1925"/>
      <c r="I54" s="1925"/>
      <c r="J54" s="1928"/>
      <c r="K54" s="1925"/>
      <c r="L54" s="1925"/>
      <c r="M54" s="890"/>
      <c r="N54" s="890"/>
      <c r="O54" s="890"/>
      <c r="P54" s="890"/>
      <c r="Q54" s="890"/>
    </row>
    <row r="55" spans="1:17" ht="15.75" hidden="1" x14ac:dyDescent="0.25">
      <c r="A55" s="890"/>
      <c r="B55" s="890"/>
      <c r="C55" s="1926" t="s">
        <v>2654</v>
      </c>
      <c r="D55" s="1925"/>
      <c r="E55" s="1925"/>
      <c r="F55" s="1925"/>
      <c r="G55" s="1925"/>
      <c r="H55" s="1925"/>
      <c r="I55" s="1925"/>
      <c r="J55" s="1928"/>
      <c r="K55" s="1925"/>
      <c r="L55" s="1925"/>
      <c r="M55" s="890"/>
      <c r="N55" s="890"/>
      <c r="O55" s="890"/>
      <c r="P55" s="890"/>
      <c r="Q55" s="890"/>
    </row>
    <row r="56" spans="1:17" ht="15.75" hidden="1" x14ac:dyDescent="0.25">
      <c r="A56" s="890"/>
      <c r="B56" s="890"/>
      <c r="C56" s="1926" t="s">
        <v>2655</v>
      </c>
      <c r="D56" s="1925"/>
      <c r="E56" s="1925"/>
      <c r="F56" s="1925"/>
      <c r="G56" s="1925"/>
      <c r="H56" s="1925"/>
      <c r="I56" s="1925"/>
      <c r="J56" s="1928"/>
      <c r="K56" s="1925"/>
      <c r="L56" s="1925"/>
      <c r="M56" s="890"/>
      <c r="N56" s="890"/>
      <c r="O56" s="890"/>
      <c r="P56" s="890"/>
      <c r="Q56" s="890"/>
    </row>
    <row r="57" spans="1:17" ht="15.75" hidden="1" x14ac:dyDescent="0.25">
      <c r="A57" s="890"/>
      <c r="B57" s="890"/>
      <c r="C57" s="1926" t="s">
        <v>2656</v>
      </c>
      <c r="D57" s="1925"/>
      <c r="E57" s="1925"/>
      <c r="F57" s="1925"/>
      <c r="G57" s="1925"/>
      <c r="H57" s="1925"/>
      <c r="I57" s="1925"/>
      <c r="J57" s="1928"/>
      <c r="K57" s="1925"/>
      <c r="L57" s="1925"/>
      <c r="M57" s="890"/>
      <c r="N57" s="890"/>
      <c r="O57" s="890"/>
      <c r="P57" s="890"/>
      <c r="Q57" s="890"/>
    </row>
    <row r="58" spans="1:17" ht="15.75" hidden="1" x14ac:dyDescent="0.25">
      <c r="A58" s="890"/>
      <c r="B58" s="890"/>
      <c r="C58" s="1926" t="s">
        <v>2657</v>
      </c>
      <c r="D58" s="1925"/>
      <c r="E58" s="1925"/>
      <c r="F58" s="1925"/>
      <c r="G58" s="1925"/>
      <c r="H58" s="1925"/>
      <c r="I58" s="1925"/>
      <c r="J58" s="1928"/>
      <c r="K58" s="1925"/>
      <c r="L58" s="1925"/>
      <c r="M58" s="890"/>
      <c r="N58" s="890"/>
      <c r="O58" s="890"/>
      <c r="P58" s="890"/>
      <c r="Q58" s="890"/>
    </row>
    <row r="59" spans="1:17" ht="15.75" hidden="1" x14ac:dyDescent="0.25">
      <c r="A59" s="890"/>
      <c r="B59" s="890"/>
      <c r="C59" s="1926" t="s">
        <v>2658</v>
      </c>
      <c r="D59" s="1925"/>
      <c r="E59" s="1925"/>
      <c r="F59" s="1925"/>
      <c r="G59" s="1925"/>
      <c r="H59" s="1925"/>
      <c r="I59" s="1925"/>
      <c r="J59" s="1928"/>
      <c r="K59" s="1925"/>
      <c r="L59" s="1925"/>
      <c r="M59" s="890"/>
      <c r="N59" s="890"/>
      <c r="O59" s="890"/>
      <c r="P59" s="890"/>
      <c r="Q59" s="890"/>
    </row>
    <row r="60" spans="1:17" ht="15.75" hidden="1" x14ac:dyDescent="0.25">
      <c r="A60" s="890"/>
      <c r="B60" s="890"/>
      <c r="C60" s="1926" t="s">
        <v>2659</v>
      </c>
      <c r="D60" s="1925"/>
      <c r="E60" s="1925"/>
      <c r="F60" s="1925"/>
      <c r="G60" s="1925"/>
      <c r="H60" s="1925"/>
      <c r="I60" s="1925"/>
      <c r="J60" s="1928"/>
      <c r="K60" s="1925"/>
      <c r="L60" s="1925"/>
      <c r="M60" s="890"/>
      <c r="N60" s="890"/>
      <c r="O60" s="890"/>
      <c r="P60" s="890"/>
      <c r="Q60" s="890"/>
    </row>
    <row r="61" spans="1:17" ht="15.75" hidden="1" x14ac:dyDescent="0.25">
      <c r="A61" s="890"/>
      <c r="B61" s="890"/>
      <c r="C61" s="1064" t="s">
        <v>2660</v>
      </c>
      <c r="D61" s="1925"/>
      <c r="E61" s="1925"/>
      <c r="F61" s="1925"/>
      <c r="G61" s="1925"/>
      <c r="H61" s="1925"/>
      <c r="I61" s="1925"/>
      <c r="J61" s="1928"/>
      <c r="K61" s="1925"/>
      <c r="L61" s="1925"/>
      <c r="M61" s="890"/>
      <c r="N61" s="890"/>
      <c r="O61" s="890"/>
      <c r="P61" s="890"/>
      <c r="Q61" s="890"/>
    </row>
    <row r="62" spans="1:17" ht="16.5" hidden="1" thickBot="1" x14ac:dyDescent="0.3">
      <c r="A62" s="890"/>
      <c r="B62" s="890"/>
      <c r="C62" s="1065" t="s">
        <v>2661</v>
      </c>
      <c r="D62" s="1929"/>
      <c r="E62" s="1929"/>
      <c r="F62" s="1929"/>
      <c r="G62" s="1929"/>
      <c r="H62" s="1929"/>
      <c r="I62" s="1929"/>
      <c r="J62" s="1930"/>
      <c r="K62" s="1925"/>
      <c r="L62" s="1925"/>
      <c r="M62" s="890"/>
      <c r="N62" s="890"/>
      <c r="O62" s="890"/>
      <c r="P62" s="890"/>
      <c r="Q62" s="890"/>
    </row>
    <row r="63" spans="1:17" ht="15.75" hidden="1" x14ac:dyDescent="0.25">
      <c r="A63" s="890"/>
      <c r="B63" s="890"/>
      <c r="C63" s="1931"/>
      <c r="D63" s="1932"/>
      <c r="E63" s="1932"/>
      <c r="F63" s="1932"/>
      <c r="G63" s="1932"/>
      <c r="H63" s="1932"/>
      <c r="I63" s="1932"/>
      <c r="J63" s="1933"/>
      <c r="K63" s="890"/>
      <c r="L63" s="890"/>
      <c r="M63" s="890"/>
      <c r="N63" s="890"/>
      <c r="O63" s="890"/>
      <c r="P63" s="890"/>
      <c r="Q63" s="890"/>
    </row>
    <row r="64" spans="1:17" ht="16.5" hidden="1" thickBot="1" x14ac:dyDescent="0.3">
      <c r="A64" s="890"/>
      <c r="B64" s="890"/>
      <c r="C64" s="1934"/>
      <c r="D64" s="1935" t="s">
        <v>1966</v>
      </c>
      <c r="E64" s="1935"/>
      <c r="F64" s="1935"/>
      <c r="G64" s="1935"/>
      <c r="H64" s="1935"/>
      <c r="I64" s="1935"/>
      <c r="J64" s="1936">
        <f>N25+J34</f>
        <v>114248.966584362</v>
      </c>
      <c r="K64" s="890"/>
      <c r="L64" s="890"/>
      <c r="M64" s="890"/>
      <c r="N64" s="890"/>
      <c r="O64" s="890"/>
      <c r="P64" s="890"/>
      <c r="Q64" s="890"/>
    </row>
    <row r="65" spans="1:17" ht="15.75" hidden="1" x14ac:dyDescent="0.25">
      <c r="A65" s="890"/>
      <c r="B65" s="890"/>
      <c r="C65" s="890"/>
      <c r="D65" s="890"/>
      <c r="E65" s="890"/>
      <c r="F65" s="890"/>
      <c r="G65" s="890"/>
      <c r="H65" s="890"/>
      <c r="I65" s="890"/>
      <c r="J65" s="890"/>
      <c r="K65" s="890"/>
      <c r="L65" s="890"/>
      <c r="M65" s="890"/>
      <c r="N65" s="890"/>
      <c r="O65" s="890"/>
      <c r="P65" s="890"/>
      <c r="Q65" s="890"/>
    </row>
    <row r="66" spans="1:17" ht="16.5" thickBot="1" x14ac:dyDescent="0.3">
      <c r="A66" s="890"/>
      <c r="B66" s="890"/>
      <c r="C66" s="890"/>
      <c r="D66" s="890"/>
      <c r="E66" s="890"/>
      <c r="F66" s="890"/>
      <c r="G66" s="890"/>
      <c r="H66" s="890"/>
      <c r="I66" s="890"/>
      <c r="J66" s="890"/>
      <c r="K66" s="890"/>
      <c r="L66" s="890"/>
      <c r="M66" s="890"/>
      <c r="N66" s="890"/>
      <c r="O66" s="890"/>
      <c r="P66" s="890"/>
      <c r="Q66" s="890"/>
    </row>
    <row r="67" spans="1:17" ht="15.75" x14ac:dyDescent="0.25">
      <c r="A67" s="890"/>
      <c r="B67" s="890"/>
      <c r="C67" s="1931"/>
      <c r="D67" s="1932"/>
      <c r="E67" s="1932"/>
      <c r="F67" s="1937" t="s">
        <v>1963</v>
      </c>
      <c r="G67" s="1938"/>
      <c r="H67" s="1938"/>
      <c r="I67" s="1938"/>
      <c r="J67" s="1939"/>
      <c r="K67" s="1925"/>
      <c r="L67" s="1925"/>
      <c r="M67" s="1925"/>
      <c r="N67" s="890"/>
      <c r="O67" s="890"/>
      <c r="P67" s="890"/>
      <c r="Q67" s="890"/>
    </row>
    <row r="68" spans="1:17" ht="15.75" x14ac:dyDescent="0.25">
      <c r="A68" s="890"/>
      <c r="B68" s="890"/>
      <c r="C68" s="1940"/>
      <c r="D68" s="1925"/>
      <c r="E68" s="1925"/>
      <c r="F68" s="1925"/>
      <c r="G68" s="1925"/>
      <c r="H68" s="1925"/>
      <c r="I68" s="1925"/>
      <c r="J68" s="1928"/>
      <c r="K68" s="1925"/>
      <c r="L68" s="1925"/>
      <c r="M68" s="1925"/>
      <c r="N68" s="890"/>
      <c r="O68" s="890"/>
      <c r="P68" s="890"/>
      <c r="Q68" s="890"/>
    </row>
    <row r="69" spans="1:17" ht="15.75" x14ac:dyDescent="0.25">
      <c r="A69" s="890"/>
      <c r="B69" s="890"/>
      <c r="C69" s="1941"/>
      <c r="D69" s="1925"/>
      <c r="E69" s="1925"/>
      <c r="F69" s="1925"/>
      <c r="G69" s="1925"/>
      <c r="H69" s="1925"/>
      <c r="I69" s="1925"/>
      <c r="J69" s="1928"/>
      <c r="K69" s="1925"/>
      <c r="L69" s="1925"/>
      <c r="M69" s="1925"/>
      <c r="N69" s="890"/>
      <c r="O69" s="890"/>
      <c r="P69" s="890"/>
      <c r="Q69" s="890"/>
    </row>
    <row r="70" spans="1:17" ht="15.75" x14ac:dyDescent="0.25">
      <c r="A70" s="890"/>
      <c r="B70" s="890"/>
      <c r="C70" s="1942" t="s">
        <v>2662</v>
      </c>
      <c r="D70" s="1925"/>
      <c r="E70" s="1925"/>
      <c r="F70" s="1925"/>
      <c r="G70" s="1925"/>
      <c r="H70" s="1925"/>
      <c r="I70" s="1925"/>
      <c r="J70" s="1928">
        <v>2033.92</v>
      </c>
      <c r="K70" s="1925" t="s">
        <v>2565</v>
      </c>
      <c r="L70" s="1925" t="s">
        <v>2679</v>
      </c>
      <c r="M70" s="1925"/>
      <c r="N70" s="890"/>
      <c r="O70" s="890"/>
      <c r="P70" s="890"/>
      <c r="Q70" s="890"/>
    </row>
    <row r="71" spans="1:17" ht="15.75" x14ac:dyDescent="0.25">
      <c r="A71" s="890"/>
      <c r="B71" s="890"/>
      <c r="C71" s="1942" t="s">
        <v>2663</v>
      </c>
      <c r="D71" s="1925"/>
      <c r="E71" s="1925"/>
      <c r="F71" s="1925"/>
      <c r="G71" s="1925"/>
      <c r="H71" s="1925"/>
      <c r="I71" s="1925"/>
      <c r="J71" s="1928"/>
      <c r="K71" s="1925"/>
      <c r="L71" s="1925"/>
      <c r="M71" s="1925"/>
      <c r="N71" s="890"/>
      <c r="O71" s="890"/>
      <c r="P71" s="890"/>
      <c r="Q71" s="890"/>
    </row>
    <row r="72" spans="1:17" ht="15.75" x14ac:dyDescent="0.25">
      <c r="A72" s="890"/>
      <c r="B72" s="890"/>
      <c r="C72" s="1942" t="s">
        <v>2664</v>
      </c>
      <c r="D72" s="1925"/>
      <c r="E72" s="1925"/>
      <c r="F72" s="1925"/>
      <c r="G72" s="1925"/>
      <c r="H72" s="1925"/>
      <c r="I72" s="1925"/>
      <c r="J72" s="1928"/>
      <c r="K72" s="1925"/>
      <c r="L72" s="1925"/>
      <c r="M72" s="1925"/>
      <c r="N72" s="890"/>
      <c r="O72" s="890"/>
      <c r="P72" s="890"/>
      <c r="Q72" s="890"/>
    </row>
    <row r="73" spans="1:17" ht="15.75" x14ac:dyDescent="0.25">
      <c r="A73" s="890"/>
      <c r="B73" s="890"/>
      <c r="C73" s="1942" t="s">
        <v>2665</v>
      </c>
      <c r="D73" s="1925"/>
      <c r="E73" s="1925"/>
      <c r="F73" s="1925"/>
      <c r="G73" s="1925"/>
      <c r="H73" s="1925"/>
      <c r="I73" s="1925"/>
      <c r="J73" s="1928"/>
      <c r="K73" s="1925"/>
      <c r="L73" s="1925"/>
      <c r="M73" s="1925"/>
      <c r="N73" s="890"/>
      <c r="O73" s="890"/>
      <c r="P73" s="890"/>
      <c r="Q73" s="890"/>
    </row>
    <row r="74" spans="1:17" ht="15.75" x14ac:dyDescent="0.25">
      <c r="A74" s="890"/>
      <c r="B74" s="890"/>
      <c r="C74" s="1942" t="s">
        <v>2666</v>
      </c>
      <c r="D74" s="1925"/>
      <c r="E74" s="1925"/>
      <c r="F74" s="1925"/>
      <c r="G74" s="1925"/>
      <c r="H74" s="1925"/>
      <c r="I74" s="1925"/>
      <c r="J74" s="1928">
        <v>286.02</v>
      </c>
      <c r="K74" s="1925"/>
      <c r="L74" s="1925"/>
      <c r="M74" s="1925"/>
      <c r="N74" s="890"/>
      <c r="O74" s="890"/>
      <c r="P74" s="890"/>
      <c r="Q74" s="890"/>
    </row>
    <row r="75" spans="1:17" ht="15.75" x14ac:dyDescent="0.25">
      <c r="A75" s="890"/>
      <c r="B75" s="890"/>
      <c r="C75" s="1942" t="s">
        <v>2667</v>
      </c>
      <c r="D75" s="1925"/>
      <c r="E75" s="1925"/>
      <c r="F75" s="1925"/>
      <c r="G75" s="1925"/>
      <c r="H75" s="1925"/>
      <c r="I75" s="1925"/>
      <c r="J75" s="1928"/>
      <c r="K75" s="1925"/>
      <c r="L75" s="1925"/>
      <c r="M75" s="1925"/>
      <c r="N75" s="890"/>
      <c r="O75" s="890"/>
      <c r="P75" s="890"/>
      <c r="Q75" s="890"/>
    </row>
    <row r="76" spans="1:17" ht="16.5" thickBot="1" x14ac:dyDescent="0.3">
      <c r="A76" s="890"/>
      <c r="B76" s="890"/>
      <c r="C76" s="1943" t="s">
        <v>2668</v>
      </c>
      <c r="D76" s="1929"/>
      <c r="E76" s="1929"/>
      <c r="F76" s="1929"/>
      <c r="G76" s="1929"/>
      <c r="H76" s="1929"/>
      <c r="I76" s="1925"/>
      <c r="J76" s="1928"/>
      <c r="K76" s="1925"/>
      <c r="L76" s="1925"/>
      <c r="M76" s="1925"/>
      <c r="N76" s="890"/>
      <c r="O76" s="890"/>
      <c r="P76" s="890"/>
      <c r="Q76" s="890"/>
    </row>
    <row r="77" spans="1:17" ht="16.5" thickBot="1" x14ac:dyDescent="0.3">
      <c r="A77" s="890"/>
      <c r="B77" s="890"/>
      <c r="C77" s="1943" t="s">
        <v>1964</v>
      </c>
      <c r="D77" s="1929"/>
      <c r="E77" s="1929"/>
      <c r="F77" s="1929"/>
      <c r="G77" s="1929"/>
      <c r="H77" s="1929"/>
      <c r="I77" s="1929"/>
      <c r="J77" s="1944">
        <f>96*31.78</f>
        <v>3050.88</v>
      </c>
      <c r="K77" s="1925"/>
      <c r="L77" s="1925"/>
      <c r="M77" s="1925"/>
      <c r="N77" s="890"/>
      <c r="O77" s="890"/>
      <c r="P77" s="890"/>
      <c r="Q77" s="890"/>
    </row>
    <row r="78" spans="1:17" ht="15.75" x14ac:dyDescent="0.25">
      <c r="A78" s="890"/>
      <c r="B78" s="890"/>
      <c r="C78" s="1945"/>
      <c r="D78" s="890"/>
      <c r="E78" s="890"/>
      <c r="F78" s="890"/>
      <c r="G78" s="890"/>
      <c r="H78" s="890"/>
      <c r="I78" s="890"/>
      <c r="J78" s="1946"/>
      <c r="K78" s="890"/>
      <c r="L78" s="1925"/>
      <c r="M78" s="890"/>
      <c r="N78" s="890"/>
      <c r="O78" s="890"/>
      <c r="P78" s="890"/>
      <c r="Q78" s="890"/>
    </row>
    <row r="79" spans="1:17" ht="16.5" thickBot="1" x14ac:dyDescent="0.3">
      <c r="A79" s="890"/>
      <c r="B79" s="890"/>
      <c r="C79" s="1934"/>
      <c r="D79" s="1935" t="s">
        <v>1965</v>
      </c>
      <c r="E79" s="1935"/>
      <c r="F79" s="1935"/>
      <c r="G79" s="1935"/>
      <c r="H79" s="1935"/>
      <c r="I79" s="1935"/>
      <c r="J79" s="1936">
        <f>SUM(J67:J77)</f>
        <v>5370.82</v>
      </c>
      <c r="K79" s="890"/>
      <c r="L79" s="1925"/>
      <c r="M79" s="890"/>
      <c r="N79" s="890"/>
      <c r="O79" s="890"/>
      <c r="P79" s="890"/>
      <c r="Q79" s="890"/>
    </row>
    <row r="80" spans="1:17" ht="15.75" x14ac:dyDescent="0.25">
      <c r="A80" s="890"/>
      <c r="B80" s="890"/>
      <c r="C80" s="890"/>
      <c r="D80" s="890"/>
      <c r="E80" s="890"/>
      <c r="F80" s="890"/>
      <c r="G80" s="890"/>
      <c r="H80" s="890"/>
      <c r="I80" s="890"/>
      <c r="J80" s="890"/>
      <c r="K80" s="890"/>
      <c r="L80" s="890"/>
      <c r="M80" s="890"/>
      <c r="N80" s="890"/>
      <c r="O80" s="890"/>
      <c r="P80" s="890"/>
      <c r="Q80" s="890"/>
    </row>
    <row r="81" spans="1:17" ht="15.75" x14ac:dyDescent="0.25">
      <c r="A81" s="890"/>
      <c r="B81" s="890"/>
      <c r="C81" s="890"/>
      <c r="D81" s="890"/>
      <c r="E81" s="890"/>
      <c r="F81" s="890"/>
      <c r="G81" s="890"/>
      <c r="H81" s="890"/>
      <c r="I81" s="890"/>
      <c r="J81" s="890"/>
      <c r="K81" s="890"/>
      <c r="L81" s="890"/>
      <c r="M81" s="890"/>
      <c r="N81" s="890"/>
      <c r="O81" s="890"/>
      <c r="P81" s="890"/>
      <c r="Q81" s="890"/>
    </row>
    <row r="82" spans="1:17" ht="15.75" x14ac:dyDescent="0.25">
      <c r="A82" s="890"/>
      <c r="B82" s="890"/>
      <c r="C82" s="890"/>
      <c r="D82" s="890"/>
      <c r="E82" s="890"/>
      <c r="F82" s="890"/>
      <c r="G82" s="890"/>
      <c r="H82" s="890"/>
      <c r="I82" s="890"/>
      <c r="J82" s="890"/>
      <c r="K82" s="890"/>
      <c r="L82" s="890"/>
      <c r="M82" s="890"/>
      <c r="N82" s="890"/>
      <c r="O82" s="890"/>
      <c r="P82" s="890"/>
      <c r="Q82" s="890"/>
    </row>
    <row r="83" spans="1:17" ht="15.75" x14ac:dyDescent="0.25">
      <c r="A83" s="890"/>
      <c r="B83" s="890"/>
      <c r="C83" s="890"/>
      <c r="D83" s="890"/>
      <c r="E83" s="890"/>
      <c r="F83" s="890"/>
      <c r="G83" s="890"/>
      <c r="H83" s="890"/>
      <c r="I83" s="890"/>
      <c r="J83" s="890"/>
      <c r="K83" s="890"/>
      <c r="L83" s="890"/>
      <c r="M83" s="890"/>
      <c r="N83" s="890"/>
      <c r="O83" s="890"/>
      <c r="P83" s="890"/>
      <c r="Q83" s="890"/>
    </row>
  </sheetData>
  <mergeCells count="35">
    <mergeCell ref="B6:B7"/>
    <mergeCell ref="C6:F6"/>
    <mergeCell ref="G6:G7"/>
    <mergeCell ref="H6:H7"/>
    <mergeCell ref="I6:I7"/>
    <mergeCell ref="C16:F16"/>
    <mergeCell ref="M6:M7"/>
    <mergeCell ref="N6:N7"/>
    <mergeCell ref="C7:F7"/>
    <mergeCell ref="C8:F8"/>
    <mergeCell ref="C9:F9"/>
    <mergeCell ref="C10:F10"/>
    <mergeCell ref="C11:F11"/>
    <mergeCell ref="C12:F12"/>
    <mergeCell ref="C13:F13"/>
    <mergeCell ref="C14:F14"/>
    <mergeCell ref="C15:F15"/>
    <mergeCell ref="J6:J7"/>
    <mergeCell ref="K6:K7"/>
    <mergeCell ref="L6:L7"/>
    <mergeCell ref="D29:E29"/>
    <mergeCell ref="C31:I31"/>
    <mergeCell ref="C35:J35"/>
    <mergeCell ref="C28:F28"/>
    <mergeCell ref="C17:F17"/>
    <mergeCell ref="C18:F18"/>
    <mergeCell ref="C19:F19"/>
    <mergeCell ref="C20:F20"/>
    <mergeCell ref="C21:F21"/>
    <mergeCell ref="C22:F22"/>
    <mergeCell ref="C23:F23"/>
    <mergeCell ref="C24:F24"/>
    <mergeCell ref="C25:F25"/>
    <mergeCell ref="C26:F26"/>
    <mergeCell ref="C27:F27"/>
  </mergeCells>
  <pageMargins left="0.70866141732283472" right="0.70866141732283472" top="0.74803149606299213" bottom="0.22" header="0.31496062992125984" footer="0.23"/>
  <pageSetup paperSize="9" orientation="landscape"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A78"/>
  <sheetViews>
    <sheetView view="pageBreakPreview" topLeftCell="A55" zoomScale="120" zoomScaleNormal="125" zoomScaleSheetLayoutView="120" workbookViewId="0">
      <selection activeCell="B72" sqref="B72"/>
    </sheetView>
  </sheetViews>
  <sheetFormatPr defaultColWidth="9.140625" defaultRowHeight="15" x14ac:dyDescent="0.25"/>
  <cols>
    <col min="1" max="1" width="5.85546875" style="147" customWidth="1"/>
    <col min="2" max="2" width="50.7109375" style="138" customWidth="1"/>
    <col min="3" max="3" width="7.5703125" style="138" customWidth="1"/>
    <col min="4" max="4" width="12.28515625" style="138" customWidth="1"/>
    <col min="5" max="5" width="10.140625" style="138" customWidth="1"/>
    <col min="6" max="6" width="11.140625" style="138" customWidth="1"/>
    <col min="7" max="7" width="11.5703125" style="138" customWidth="1"/>
    <col min="8" max="9" width="7.7109375" style="138" customWidth="1"/>
    <col min="10" max="10" width="7.85546875" style="138" customWidth="1"/>
    <col min="11" max="11" width="9.140625" style="138" customWidth="1"/>
    <col min="12" max="12" width="9.28515625" style="1056" bestFit="1" customWidth="1"/>
    <col min="13" max="13" width="9.140625" style="1056"/>
    <col min="14" max="14" width="9.42578125" style="1056" bestFit="1" customWidth="1"/>
    <col min="15" max="27" width="9.140625" style="1056"/>
    <col min="28" max="16384" width="9.140625" style="138"/>
  </cols>
  <sheetData>
    <row r="1" spans="1:27" ht="42.6" customHeight="1" x14ac:dyDescent="0.25">
      <c r="A1" s="2766"/>
      <c r="B1" s="2767"/>
      <c r="C1" s="2764"/>
      <c r="D1" s="2765"/>
      <c r="E1" s="2765"/>
      <c r="F1" s="2765"/>
      <c r="G1" s="2765"/>
      <c r="H1" s="3718" t="s">
        <v>3233</v>
      </c>
      <c r="I1" s="3718"/>
      <c r="J1" s="3718"/>
      <c r="K1" s="3718"/>
    </row>
    <row r="2" spans="1:27" ht="14.45" customHeight="1" x14ac:dyDescent="0.25">
      <c r="A2" s="2766"/>
      <c r="B2" s="2767"/>
      <c r="C2" s="2764"/>
      <c r="D2" s="2924"/>
      <c r="E2" s="2924"/>
      <c r="F2" s="2924"/>
      <c r="G2" s="2872"/>
      <c r="H2" s="2768" t="str">
        <f>'Вхідні дані'!F1</f>
        <v>станом на 01.08.2023 року</v>
      </c>
      <c r="I2" s="2734"/>
      <c r="J2" s="2734"/>
      <c r="K2" s="2734"/>
    </row>
    <row r="3" spans="1:27" x14ac:dyDescent="0.25">
      <c r="A3" s="3719" t="s">
        <v>451</v>
      </c>
      <c r="B3" s="3719"/>
      <c r="C3" s="3719"/>
      <c r="D3" s="3719"/>
      <c r="E3" s="3719"/>
      <c r="F3" s="3719"/>
      <c r="G3" s="3719"/>
      <c r="H3" s="3719"/>
      <c r="I3" s="3719"/>
      <c r="J3" s="3719"/>
      <c r="K3" s="3719"/>
    </row>
    <row r="4" spans="1:27" x14ac:dyDescent="0.25">
      <c r="A4" s="3719" t="s">
        <v>600</v>
      </c>
      <c r="B4" s="3719"/>
      <c r="C4" s="3719"/>
      <c r="D4" s="3719"/>
      <c r="E4" s="3719"/>
      <c r="F4" s="3719"/>
      <c r="G4" s="3719"/>
      <c r="H4" s="3719"/>
      <c r="I4" s="3719"/>
      <c r="J4" s="3719"/>
      <c r="K4" s="3719"/>
    </row>
    <row r="5" spans="1:27" ht="0.6" customHeight="1" x14ac:dyDescent="0.25">
      <c r="A5" s="2766"/>
      <c r="B5" s="3738"/>
      <c r="C5" s="3738"/>
      <c r="D5" s="3738"/>
      <c r="E5" s="3738"/>
      <c r="F5" s="3738"/>
      <c r="G5" s="2764"/>
      <c r="H5" s="2734"/>
      <c r="I5" s="2734"/>
      <c r="J5" s="2734"/>
      <c r="K5" s="2734"/>
    </row>
    <row r="6" spans="1:27" x14ac:dyDescent="0.25">
      <c r="A6" s="3743" t="s">
        <v>221</v>
      </c>
      <c r="B6" s="3743"/>
      <c r="C6" s="3743"/>
      <c r="D6" s="3743"/>
      <c r="E6" s="3743"/>
      <c r="F6" s="3743"/>
      <c r="G6" s="3743"/>
      <c r="H6" s="3743"/>
      <c r="I6" s="3743"/>
      <c r="J6" s="3743"/>
      <c r="K6" s="3743"/>
    </row>
    <row r="7" spans="1:27" ht="13.15" customHeight="1" x14ac:dyDescent="0.25">
      <c r="A7" s="3744" t="s">
        <v>7</v>
      </c>
      <c r="B7" s="3747" t="s">
        <v>8</v>
      </c>
      <c r="C7" s="3750" t="s">
        <v>35</v>
      </c>
      <c r="D7" s="3753" t="s">
        <v>80</v>
      </c>
      <c r="E7" s="3754"/>
      <c r="F7" s="3754"/>
      <c r="G7" s="3755" t="s">
        <v>3131</v>
      </c>
      <c r="H7" s="3740" t="s">
        <v>3132</v>
      </c>
      <c r="I7" s="3741"/>
      <c r="J7" s="3741"/>
      <c r="K7" s="3742"/>
    </row>
    <row r="8" spans="1:27" ht="34.5" customHeight="1" x14ac:dyDescent="0.25">
      <c r="A8" s="3745"/>
      <c r="B8" s="3748"/>
      <c r="C8" s="3751"/>
      <c r="D8" s="2192" t="s">
        <v>251</v>
      </c>
      <c r="E8" s="2192" t="s">
        <v>223</v>
      </c>
      <c r="F8" s="2870" t="s">
        <v>224</v>
      </c>
      <c r="G8" s="3755"/>
      <c r="H8" s="2192" t="s">
        <v>3</v>
      </c>
      <c r="I8" s="2192" t="s">
        <v>174</v>
      </c>
      <c r="J8" s="2192" t="s">
        <v>98</v>
      </c>
      <c r="K8" s="2192" t="s">
        <v>99</v>
      </c>
      <c r="N8" s="127" t="s">
        <v>3</v>
      </c>
      <c r="O8" s="127" t="s">
        <v>174</v>
      </c>
      <c r="P8" s="127" t="s">
        <v>98</v>
      </c>
      <c r="Q8" s="127" t="s">
        <v>99</v>
      </c>
    </row>
    <row r="9" spans="1:27" ht="30.6" customHeight="1" x14ac:dyDescent="0.25">
      <c r="A9" s="3746"/>
      <c r="B9" s="3749"/>
      <c r="C9" s="3752"/>
      <c r="D9" s="2192">
        <f>'Вхідні дані'!$F$8</f>
        <v>2021</v>
      </c>
      <c r="E9" s="2192">
        <f>'Вхідні дані'!$F$7</f>
        <v>2022</v>
      </c>
      <c r="F9" s="2757" t="str">
        <f>'Вхідні дані'!$F$9</f>
        <v xml:space="preserve">Ріш. № 297 від 25.10.2022 </v>
      </c>
      <c r="G9" s="2192" t="str">
        <f>'Вхідні дані'!$F$6</f>
        <v>2023-2024</v>
      </c>
      <c r="H9" s="2192" t="str">
        <f>'Вхідні дані'!$F$6</f>
        <v>2023-2024</v>
      </c>
      <c r="I9" s="2192" t="str">
        <f>'Вхідні дані'!$F$6</f>
        <v>2023-2024</v>
      </c>
      <c r="J9" s="2192" t="str">
        <f>'Вхідні дані'!$F$6</f>
        <v>2023-2024</v>
      </c>
      <c r="K9" s="2192" t="str">
        <f>'Вхідні дані'!$F$6</f>
        <v>2023-2024</v>
      </c>
    </row>
    <row r="10" spans="1:27" ht="12" customHeight="1" x14ac:dyDescent="0.25">
      <c r="A10" s="2771">
        <v>1</v>
      </c>
      <c r="B10" s="2873">
        <v>2</v>
      </c>
      <c r="C10" s="2192">
        <v>3</v>
      </c>
      <c r="D10" s="2192">
        <v>4</v>
      </c>
      <c r="E10" s="2192">
        <v>5</v>
      </c>
      <c r="F10" s="2192">
        <v>6</v>
      </c>
      <c r="G10" s="2192">
        <v>7</v>
      </c>
      <c r="H10" s="2192">
        <v>8</v>
      </c>
      <c r="I10" s="2192">
        <v>9</v>
      </c>
      <c r="J10" s="2192">
        <v>10</v>
      </c>
      <c r="K10" s="2192">
        <v>11</v>
      </c>
    </row>
    <row r="11" spans="1:27" s="140" customFormat="1" ht="12" customHeight="1" x14ac:dyDescent="0.25">
      <c r="A11" s="2772">
        <v>1</v>
      </c>
      <c r="B11" s="2552" t="s">
        <v>225</v>
      </c>
      <c r="C11" s="2774" t="s">
        <v>40</v>
      </c>
      <c r="D11" s="2758">
        <f>D12+D18+D19+D23</f>
        <v>10355.666024</v>
      </c>
      <c r="E11" s="2758">
        <f>E12+E18+E19+E23</f>
        <v>5322.9368000000004</v>
      </c>
      <c r="F11" s="2758">
        <f>F12+F18+F19+F23</f>
        <v>2994.5</v>
      </c>
      <c r="G11" s="2758">
        <f>G12+G18+G19+G23</f>
        <v>3329.478980740736</v>
      </c>
      <c r="H11" s="2758">
        <f t="shared" ref="H11:J11" si="0">H12+H18+H19+H23</f>
        <v>0</v>
      </c>
      <c r="I11" s="2758">
        <f t="shared" si="0"/>
        <v>0</v>
      </c>
      <c r="J11" s="2758">
        <f t="shared" si="0"/>
        <v>0</v>
      </c>
      <c r="K11" s="2758">
        <f>K12+K18+K19+K23</f>
        <v>3329.478980740736</v>
      </c>
      <c r="L11" s="1057"/>
      <c r="M11" s="1057"/>
      <c r="N11" s="1060">
        <v>0</v>
      </c>
      <c r="O11" s="1060">
        <v>0</v>
      </c>
      <c r="P11" s="1060">
        <v>0</v>
      </c>
      <c r="Q11" s="1060">
        <f t="shared" ref="Q11:Q26" si="1">K11/K$56*1000</f>
        <v>2951.1895541505955</v>
      </c>
      <c r="R11" s="1060">
        <f>K11/$R$46</f>
        <v>2951.1895541505951</v>
      </c>
      <c r="S11" s="1057"/>
      <c r="T11" s="1057"/>
      <c r="U11" s="1057"/>
      <c r="V11" s="1057"/>
      <c r="W11" s="1057"/>
      <c r="X11" s="1057"/>
      <c r="Y11" s="1057"/>
      <c r="Z11" s="1057"/>
      <c r="AA11" s="1057"/>
    </row>
    <row r="12" spans="1:27" ht="12" customHeight="1" x14ac:dyDescent="0.25">
      <c r="A12" s="2776" t="s">
        <v>23</v>
      </c>
      <c r="B12" s="2552" t="s">
        <v>226</v>
      </c>
      <c r="C12" s="2791" t="s">
        <v>40</v>
      </c>
      <c r="D12" s="2759">
        <f>D13+D14+D15+D16</f>
        <v>1926.458934</v>
      </c>
      <c r="E12" s="2759">
        <f>E13+E14+E15+E16</f>
        <v>1161.1842200000001</v>
      </c>
      <c r="F12" s="2759">
        <f>F13+F14+F15+F16</f>
        <v>1778.0300000000002</v>
      </c>
      <c r="G12" s="2759">
        <f>G13+G14+G15+G16</f>
        <v>1337.7118298214109</v>
      </c>
      <c r="H12" s="2759">
        <f t="shared" ref="H12:K12" si="2">H13+H14+H15+H16</f>
        <v>0</v>
      </c>
      <c r="I12" s="2759">
        <f t="shared" si="2"/>
        <v>0</v>
      </c>
      <c r="J12" s="2759">
        <f t="shared" si="2"/>
        <v>0</v>
      </c>
      <c r="K12" s="2759">
        <f t="shared" si="2"/>
        <v>1337.7118298214109</v>
      </c>
      <c r="N12" s="1060">
        <v>0</v>
      </c>
      <c r="O12" s="1060">
        <v>0</v>
      </c>
      <c r="P12" s="1060">
        <v>0</v>
      </c>
      <c r="Q12" s="1060">
        <f>K12/K$56*1000</f>
        <v>1185.7234124224201</v>
      </c>
      <c r="R12" s="1060">
        <f t="shared" ref="R12:R45" si="3">K12/$R$46</f>
        <v>1185.7234124224201</v>
      </c>
    </row>
    <row r="13" spans="1:27" ht="12" customHeight="1" x14ac:dyDescent="0.25">
      <c r="A13" s="2776" t="s">
        <v>41</v>
      </c>
      <c r="B13" s="2552" t="s">
        <v>43</v>
      </c>
      <c r="C13" s="2791" t="s">
        <v>40</v>
      </c>
      <c r="D13" s="2759">
        <f>Виробництво_Транспортування_1ст!C102</f>
        <v>1582.4759839999999</v>
      </c>
      <c r="E13" s="2759">
        <f>Виробництво_Транспортування_1ст!D102</f>
        <v>994.13666000000001</v>
      </c>
      <c r="F13" s="2759">
        <v>290.05</v>
      </c>
      <c r="G13" s="2759">
        <f>Виробництво_Транспортування_1ст!K102</f>
        <v>224.21895046888267</v>
      </c>
      <c r="H13" s="2758">
        <f t="shared" ref="H13:K26" si="4">$G13/$G$56*H$56</f>
        <v>0</v>
      </c>
      <c r="I13" s="2758">
        <f t="shared" si="4"/>
        <v>0</v>
      </c>
      <c r="J13" s="2758">
        <f t="shared" si="4"/>
        <v>0</v>
      </c>
      <c r="K13" s="2758">
        <f t="shared" si="4"/>
        <v>224.21895046888267</v>
      </c>
      <c r="N13" s="1060">
        <v>0</v>
      </c>
      <c r="O13" s="1060">
        <v>0</v>
      </c>
      <c r="P13" s="1060">
        <v>0</v>
      </c>
      <c r="Q13" s="1060">
        <f t="shared" si="1"/>
        <v>198.74359570792657</v>
      </c>
      <c r="R13" s="1060">
        <f t="shared" si="3"/>
        <v>198.74359570792657</v>
      </c>
    </row>
    <row r="14" spans="1:27" ht="23.45" customHeight="1" x14ac:dyDescent="0.25">
      <c r="A14" s="2776" t="s">
        <v>42</v>
      </c>
      <c r="B14" s="2552" t="s">
        <v>596</v>
      </c>
      <c r="C14" s="2791" t="s">
        <v>40</v>
      </c>
      <c r="D14" s="2759">
        <v>0</v>
      </c>
      <c r="E14" s="2759">
        <v>0</v>
      </c>
      <c r="F14" s="2760">
        <v>0</v>
      </c>
      <c r="G14" s="2759">
        <v>0</v>
      </c>
      <c r="H14" s="2758">
        <f t="shared" si="4"/>
        <v>0</v>
      </c>
      <c r="I14" s="2758">
        <f t="shared" si="4"/>
        <v>0</v>
      </c>
      <c r="J14" s="2758">
        <f t="shared" si="4"/>
        <v>0</v>
      </c>
      <c r="K14" s="2758">
        <f t="shared" si="4"/>
        <v>0</v>
      </c>
      <c r="L14" s="1058"/>
      <c r="M14" s="1058"/>
      <c r="N14" s="1060">
        <v>0</v>
      </c>
      <c r="O14" s="1060">
        <v>0</v>
      </c>
      <c r="P14" s="1060">
        <v>0</v>
      </c>
      <c r="Q14" s="1060">
        <f t="shared" si="1"/>
        <v>0</v>
      </c>
      <c r="R14" s="1060">
        <f t="shared" si="3"/>
        <v>0</v>
      </c>
    </row>
    <row r="15" spans="1:27" ht="12" customHeight="1" x14ac:dyDescent="0.25">
      <c r="A15" s="2776" t="s">
        <v>44</v>
      </c>
      <c r="B15" s="2552" t="s">
        <v>597</v>
      </c>
      <c r="C15" s="2791" t="s">
        <v>40</v>
      </c>
      <c r="D15" s="2759">
        <f>Виробництво_Транспортування_1ст!C103</f>
        <v>210.97</v>
      </c>
      <c r="E15" s="2759">
        <f>Виробництво_Транспортування_1ст!D103</f>
        <v>119.67381</v>
      </c>
      <c r="F15" s="2759">
        <v>60.05</v>
      </c>
      <c r="G15" s="2759">
        <f>Виробництво_Транспортування_1ст!K103</f>
        <v>36.329496310799996</v>
      </c>
      <c r="H15" s="2758">
        <f t="shared" si="4"/>
        <v>0</v>
      </c>
      <c r="I15" s="2758">
        <f t="shared" si="4"/>
        <v>0</v>
      </c>
      <c r="J15" s="2758">
        <f t="shared" si="4"/>
        <v>0</v>
      </c>
      <c r="K15" s="2758">
        <f t="shared" si="4"/>
        <v>36.329496310799996</v>
      </c>
      <c r="L15" s="1058"/>
      <c r="N15" s="1060">
        <v>0</v>
      </c>
      <c r="O15" s="1060">
        <v>0</v>
      </c>
      <c r="P15" s="1060">
        <v>0</v>
      </c>
      <c r="Q15" s="1060">
        <f t="shared" si="1"/>
        <v>32.201804138175547</v>
      </c>
      <c r="R15" s="1060">
        <f t="shared" si="3"/>
        <v>32.201804138175547</v>
      </c>
    </row>
    <row r="16" spans="1:27" ht="12" customHeight="1" x14ac:dyDescent="0.25">
      <c r="A16" s="2776" t="s">
        <v>45</v>
      </c>
      <c r="B16" s="2552" t="s">
        <v>598</v>
      </c>
      <c r="C16" s="2791" t="s">
        <v>40</v>
      </c>
      <c r="D16" s="2759">
        <f>Виробництво_Транспортування_1ст!C101-Виробництво_Транспортування_1ст!C102-Виробництво_Транспортування_1ст!C103</f>
        <v>133.01295000000007</v>
      </c>
      <c r="E16" s="2759">
        <f>Виробництво_Транспортування_1ст!D101-Виробництво_Транспортування_1ст!D102-Виробництво_Транспортування_1ст!D103</f>
        <v>47.373750000000086</v>
      </c>
      <c r="F16" s="2759">
        <f>21.71+F17</f>
        <v>1427.93</v>
      </c>
      <c r="G16" s="2759">
        <f>Виробництво_Транспортування_1ст!K101-Виробництво_Транспортування_1ст!K102-Виробництво_Транспортування_1ст!K103</f>
        <v>1077.1633830417281</v>
      </c>
      <c r="H16" s="2758">
        <f>($G16-$G17)/$G$56*H$56+H17</f>
        <v>0</v>
      </c>
      <c r="I16" s="2758">
        <f t="shared" ref="I16:J16" si="5">($G16-$G17)/$G$56*I$56+I17</f>
        <v>0</v>
      </c>
      <c r="J16" s="2758">
        <f t="shared" si="5"/>
        <v>0</v>
      </c>
      <c r="K16" s="2758">
        <f>($G16-$G17)/$G$56*K$56+K17</f>
        <v>1077.1633830417281</v>
      </c>
      <c r="L16" s="1058"/>
      <c r="N16" s="1060">
        <v>0</v>
      </c>
      <c r="O16" s="1060">
        <v>0</v>
      </c>
      <c r="P16" s="1060">
        <v>0</v>
      </c>
      <c r="Q16" s="1060">
        <f t="shared" si="1"/>
        <v>954.77801257631802</v>
      </c>
      <c r="R16" s="1060">
        <f t="shared" si="3"/>
        <v>954.77801257631791</v>
      </c>
    </row>
    <row r="17" spans="1:27" ht="23.45" customHeight="1" x14ac:dyDescent="0.25">
      <c r="A17" s="2776" t="s">
        <v>1957</v>
      </c>
      <c r="B17" s="2649" t="s">
        <v>2786</v>
      </c>
      <c r="C17" s="2791" t="s">
        <v>40</v>
      </c>
      <c r="D17" s="2759">
        <v>0</v>
      </c>
      <c r="E17" s="2759">
        <v>0</v>
      </c>
      <c r="F17" s="2759">
        <v>1406.22</v>
      </c>
      <c r="G17" s="2759">
        <f>Виробництво_Транспортування_1ст!K114</f>
        <v>1062.3733038807425</v>
      </c>
      <c r="H17" s="2758">
        <f>'Покриття втрат в мережах'!D12</f>
        <v>0</v>
      </c>
      <c r="I17" s="2758">
        <f>'Покриття втрат в мережах'!E12</f>
        <v>0</v>
      </c>
      <c r="J17" s="2758">
        <f>'Покриття втрат в мережах'!F12</f>
        <v>0</v>
      </c>
      <c r="K17" s="2758">
        <f>'Покриття втрат в мережах'!G12</f>
        <v>1062.3733038807425</v>
      </c>
      <c r="L17" s="1058"/>
      <c r="N17" s="1060">
        <v>0</v>
      </c>
      <c r="O17" s="1060">
        <v>0</v>
      </c>
      <c r="P17" s="1060">
        <v>0</v>
      </c>
      <c r="Q17" s="1060">
        <f t="shared" si="1"/>
        <v>941.66835566680038</v>
      </c>
      <c r="R17" s="1060">
        <f t="shared" si="3"/>
        <v>941.66835566680038</v>
      </c>
    </row>
    <row r="18" spans="1:27" ht="12" customHeight="1" x14ac:dyDescent="0.25">
      <c r="A18" s="2777" t="s">
        <v>24</v>
      </c>
      <c r="B18" s="2925" t="s">
        <v>47</v>
      </c>
      <c r="C18" s="2874" t="s">
        <v>40</v>
      </c>
      <c r="D18" s="2779">
        <f>Виробництво_Транспортування_1ст!C115</f>
        <v>2897.5093500000003</v>
      </c>
      <c r="E18" s="2779">
        <f>Виробництво_Транспортування_1ст!D115</f>
        <v>1892.82411</v>
      </c>
      <c r="F18" s="2779">
        <v>593.91999999999996</v>
      </c>
      <c r="G18" s="2779">
        <f>Виробництво_Транспортування_1ст!K115</f>
        <v>1037.5551852318399</v>
      </c>
      <c r="H18" s="2758">
        <f t="shared" si="4"/>
        <v>0</v>
      </c>
      <c r="I18" s="2758">
        <f t="shared" si="4"/>
        <v>0</v>
      </c>
      <c r="J18" s="2758">
        <f t="shared" si="4"/>
        <v>0</v>
      </c>
      <c r="K18" s="2758">
        <f t="shared" si="4"/>
        <v>1037.5551852318399</v>
      </c>
      <c r="N18" s="1060">
        <v>0</v>
      </c>
      <c r="O18" s="1060">
        <v>0</v>
      </c>
      <c r="P18" s="1060">
        <v>0</v>
      </c>
      <c r="Q18" s="1060">
        <f t="shared" si="1"/>
        <v>919.67002711930604</v>
      </c>
      <c r="R18" s="1060">
        <f t="shared" si="3"/>
        <v>919.67002711930604</v>
      </c>
    </row>
    <row r="19" spans="1:27" ht="12" customHeight="1" x14ac:dyDescent="0.25">
      <c r="A19" s="2776" t="s">
        <v>48</v>
      </c>
      <c r="B19" s="2552" t="s">
        <v>227</v>
      </c>
      <c r="C19" s="2791" t="s">
        <v>40</v>
      </c>
      <c r="D19" s="2759">
        <f>D20+D21+D22</f>
        <v>3396.3777399999999</v>
      </c>
      <c r="E19" s="2759">
        <f>E20+E21+E22</f>
        <v>2165.7184700000003</v>
      </c>
      <c r="F19" s="2759">
        <f>F20+F21+F22</f>
        <v>545.85</v>
      </c>
      <c r="G19" s="2759">
        <f>G20+G21+G22</f>
        <v>657.444765867765</v>
      </c>
      <c r="H19" s="2758">
        <f t="shared" si="4"/>
        <v>0</v>
      </c>
      <c r="I19" s="2758">
        <f t="shared" si="4"/>
        <v>0</v>
      </c>
      <c r="J19" s="2758">
        <f t="shared" si="4"/>
        <v>0</v>
      </c>
      <c r="K19" s="2758">
        <f t="shared" si="4"/>
        <v>657.44476586776489</v>
      </c>
      <c r="N19" s="1060">
        <v>0</v>
      </c>
      <c r="O19" s="1060">
        <v>0</v>
      </c>
      <c r="P19" s="1060">
        <v>0</v>
      </c>
      <c r="Q19" s="1060">
        <f t="shared" si="1"/>
        <v>582.7470714436738</v>
      </c>
      <c r="R19" s="1060">
        <f t="shared" si="3"/>
        <v>582.74707144367369</v>
      </c>
    </row>
    <row r="20" spans="1:27" ht="24" customHeight="1" x14ac:dyDescent="0.25">
      <c r="A20" s="2776" t="s">
        <v>49</v>
      </c>
      <c r="B20" s="2552" t="s">
        <v>452</v>
      </c>
      <c r="C20" s="2791" t="s">
        <v>40</v>
      </c>
      <c r="D20" s="2779">
        <f>Виробництво_Транспортування_1ст!C118</f>
        <v>641.78502000000003</v>
      </c>
      <c r="E20" s="2779">
        <f>Виробництво_Транспортування_1ст!D118</f>
        <v>425.07799</v>
      </c>
      <c r="F20" s="2779">
        <v>130.66</v>
      </c>
      <c r="G20" s="2779">
        <f>Виробництво_Транспортування_1ст!K118</f>
        <v>228.26214075100478</v>
      </c>
      <c r="H20" s="2758">
        <f t="shared" si="4"/>
        <v>0</v>
      </c>
      <c r="I20" s="2758">
        <f t="shared" si="4"/>
        <v>0</v>
      </c>
      <c r="J20" s="2758">
        <f t="shared" si="4"/>
        <v>0</v>
      </c>
      <c r="K20" s="2758">
        <f t="shared" si="4"/>
        <v>228.26214075100478</v>
      </c>
      <c r="L20" s="1059"/>
      <c r="N20" s="1060">
        <v>0</v>
      </c>
      <c r="O20" s="1060">
        <v>0</v>
      </c>
      <c r="P20" s="1060">
        <v>0</v>
      </c>
      <c r="Q20" s="1060">
        <f t="shared" si="1"/>
        <v>202.32740596624731</v>
      </c>
      <c r="R20" s="1060">
        <f t="shared" si="3"/>
        <v>202.32740596624731</v>
      </c>
    </row>
    <row r="21" spans="1:27" ht="12" customHeight="1" x14ac:dyDescent="0.25">
      <c r="A21" s="2776" t="s">
        <v>50</v>
      </c>
      <c r="B21" s="2552" t="s">
        <v>460</v>
      </c>
      <c r="C21" s="2791" t="s">
        <v>40</v>
      </c>
      <c r="D21" s="2779">
        <f>Виробництво_Транспортування_1ст!C119+Виробництво_Транспортування_1ст!C120</f>
        <v>286.92779999999999</v>
      </c>
      <c r="E21" s="2779">
        <f>Виробництво_Транспортування_1ст!D119+Виробництво_Транспортування_1ст!D120</f>
        <v>286.81142</v>
      </c>
      <c r="F21" s="2779">
        <v>32.56</v>
      </c>
      <c r="G21" s="2779">
        <f>Виробництво_Транспортування_1ст!K119+Виробництво_Транспортування_1ст!K120</f>
        <v>21.787722475140004</v>
      </c>
      <c r="H21" s="2758">
        <f t="shared" si="4"/>
        <v>0</v>
      </c>
      <c r="I21" s="2758">
        <f t="shared" si="4"/>
        <v>0</v>
      </c>
      <c r="J21" s="2758">
        <f t="shared" si="4"/>
        <v>0</v>
      </c>
      <c r="K21" s="2758">
        <f t="shared" si="4"/>
        <v>21.787722475140004</v>
      </c>
      <c r="L21" s="1059"/>
      <c r="N21" s="1060">
        <v>0</v>
      </c>
      <c r="O21" s="1060">
        <v>0</v>
      </c>
      <c r="P21" s="1060">
        <v>0</v>
      </c>
      <c r="Q21" s="1060">
        <f t="shared" si="1"/>
        <v>19.312240548537737</v>
      </c>
      <c r="R21" s="1060">
        <f t="shared" si="3"/>
        <v>19.312240548537737</v>
      </c>
    </row>
    <row r="22" spans="1:27" ht="12" customHeight="1" x14ac:dyDescent="0.25">
      <c r="A22" s="2776" t="s">
        <v>51</v>
      </c>
      <c r="B22" s="2926" t="s">
        <v>82</v>
      </c>
      <c r="C22" s="2791" t="s">
        <v>40</v>
      </c>
      <c r="D22" s="2759">
        <f>Виробництво_Транспортування_1ст!C117-Виробництво_Транспортування_1ст!C118-Виробництво_Транспортування_1ст!C119-Виробництво_Транспортування_1ст!C120</f>
        <v>2467.6649199999997</v>
      </c>
      <c r="E22" s="2759">
        <f>Виробництво_Транспортування_1ст!D117-Виробництво_Транспортування_1ст!D118-Виробництво_Транспортування_1ст!D119-Виробництво_Транспортування_1ст!D120</f>
        <v>1453.8290600000003</v>
      </c>
      <c r="F22" s="2759">
        <v>382.63</v>
      </c>
      <c r="G22" s="2759">
        <f>Виробництво_Транспортування_1ст!K117-Виробництво_Транспортування_1ст!K118-Виробництво_Транспортування_1ст!K119-Виробництво_Транспортування_1ст!K120</f>
        <v>407.39490264162021</v>
      </c>
      <c r="H22" s="2758">
        <f t="shared" si="4"/>
        <v>0</v>
      </c>
      <c r="I22" s="2758">
        <f t="shared" si="4"/>
        <v>0</v>
      </c>
      <c r="J22" s="2758">
        <f t="shared" si="4"/>
        <v>0</v>
      </c>
      <c r="K22" s="2758">
        <f t="shared" si="4"/>
        <v>407.39490264162021</v>
      </c>
      <c r="L22" s="1059"/>
      <c r="M22" s="1059"/>
      <c r="N22" s="1060">
        <v>0</v>
      </c>
      <c r="O22" s="1060">
        <v>0</v>
      </c>
      <c r="P22" s="1060">
        <v>0</v>
      </c>
      <c r="Q22" s="1060">
        <f t="shared" si="1"/>
        <v>361.10742492888875</v>
      </c>
      <c r="R22" s="1060">
        <f t="shared" si="3"/>
        <v>361.10742492888875</v>
      </c>
    </row>
    <row r="23" spans="1:27" ht="12" customHeight="1" x14ac:dyDescent="0.25">
      <c r="A23" s="2776" t="s">
        <v>53</v>
      </c>
      <c r="B23" s="2806" t="s">
        <v>228</v>
      </c>
      <c r="C23" s="2774" t="s">
        <v>40</v>
      </c>
      <c r="D23" s="2758">
        <f>D24+D25+D26</f>
        <v>2135.3200000000002</v>
      </c>
      <c r="E23" s="2758">
        <f t="shared" ref="E23:F23" si="6">E24+E25+E26</f>
        <v>103.21000000000001</v>
      </c>
      <c r="F23" s="2758">
        <f t="shared" si="6"/>
        <v>76.7</v>
      </c>
      <c r="G23" s="2758">
        <f>ЗВВ_1ст!I8</f>
        <v>296.76719981972013</v>
      </c>
      <c r="H23" s="2758">
        <f t="shared" si="4"/>
        <v>0</v>
      </c>
      <c r="I23" s="2758">
        <f t="shared" si="4"/>
        <v>0</v>
      </c>
      <c r="J23" s="2758">
        <f t="shared" si="4"/>
        <v>0</v>
      </c>
      <c r="K23" s="2758">
        <f t="shared" si="4"/>
        <v>296.76719981972013</v>
      </c>
      <c r="N23" s="1060">
        <v>0</v>
      </c>
      <c r="O23" s="1060">
        <v>0</v>
      </c>
      <c r="P23" s="1060">
        <v>0</v>
      </c>
      <c r="Q23" s="1060">
        <f t="shared" si="1"/>
        <v>263.04904316519531</v>
      </c>
      <c r="R23" s="1060">
        <f t="shared" si="3"/>
        <v>263.04904316519537</v>
      </c>
    </row>
    <row r="24" spans="1:27" ht="12" customHeight="1" x14ac:dyDescent="0.25">
      <c r="A24" s="2776" t="s">
        <v>54</v>
      </c>
      <c r="B24" s="2552" t="s">
        <v>55</v>
      </c>
      <c r="C24" s="2791" t="s">
        <v>40</v>
      </c>
      <c r="D24" s="2759">
        <v>1535.43</v>
      </c>
      <c r="E24" s="2759">
        <v>71.88</v>
      </c>
      <c r="F24" s="2760">
        <v>51.09</v>
      </c>
      <c r="G24" s="2759">
        <f>ЗВВ_1ст!I21</f>
        <v>214.91847863848719</v>
      </c>
      <c r="H24" s="2758">
        <f t="shared" si="4"/>
        <v>0</v>
      </c>
      <c r="I24" s="2758">
        <f t="shared" si="4"/>
        <v>0</v>
      </c>
      <c r="J24" s="2758">
        <f t="shared" si="4"/>
        <v>0</v>
      </c>
      <c r="K24" s="2758">
        <f t="shared" si="4"/>
        <v>214.91847863848719</v>
      </c>
      <c r="N24" s="1060">
        <v>0</v>
      </c>
      <c r="O24" s="1060">
        <v>0</v>
      </c>
      <c r="P24" s="1060">
        <v>0</v>
      </c>
      <c r="Q24" s="1060">
        <f t="shared" si="1"/>
        <v>190.49982679594245</v>
      </c>
      <c r="R24" s="1060">
        <f t="shared" si="3"/>
        <v>190.49982679594245</v>
      </c>
    </row>
    <row r="25" spans="1:27" ht="24" customHeight="1" x14ac:dyDescent="0.25">
      <c r="A25" s="2776" t="s">
        <v>56</v>
      </c>
      <c r="B25" s="2552" t="s">
        <v>452</v>
      </c>
      <c r="C25" s="2791" t="s">
        <v>40</v>
      </c>
      <c r="D25" s="2759">
        <v>319.23</v>
      </c>
      <c r="E25" s="2759">
        <v>15.12</v>
      </c>
      <c r="F25" s="2760">
        <v>11.24</v>
      </c>
      <c r="G25" s="2759">
        <f>ЗВВ_1ст!I23</f>
        <v>47.282065300467181</v>
      </c>
      <c r="H25" s="2758">
        <f t="shared" si="4"/>
        <v>0</v>
      </c>
      <c r="I25" s="2758">
        <f t="shared" si="4"/>
        <v>0</v>
      </c>
      <c r="J25" s="2758">
        <f t="shared" si="4"/>
        <v>0</v>
      </c>
      <c r="K25" s="2758">
        <f t="shared" si="4"/>
        <v>47.282065300467181</v>
      </c>
      <c r="L25" s="1059"/>
      <c r="N25" s="1060">
        <v>0</v>
      </c>
      <c r="O25" s="1060">
        <v>0</v>
      </c>
      <c r="P25" s="1060">
        <v>0</v>
      </c>
      <c r="Q25" s="1060">
        <f t="shared" si="1"/>
        <v>41.909961895107344</v>
      </c>
      <c r="R25" s="1060">
        <f t="shared" si="3"/>
        <v>41.909961895107344</v>
      </c>
    </row>
    <row r="26" spans="1:27" ht="12" customHeight="1" x14ac:dyDescent="0.25">
      <c r="A26" s="2776" t="s">
        <v>57</v>
      </c>
      <c r="B26" s="2552" t="s">
        <v>58</v>
      </c>
      <c r="C26" s="2791" t="s">
        <v>40</v>
      </c>
      <c r="D26" s="2759">
        <v>280.66000000000003</v>
      </c>
      <c r="E26" s="2759">
        <v>16.21</v>
      </c>
      <c r="F26" s="2760">
        <f>0.7+13.67</f>
        <v>14.37</v>
      </c>
      <c r="G26" s="2759">
        <f>G23-G24-G25</f>
        <v>34.566655880765765</v>
      </c>
      <c r="H26" s="2758">
        <f t="shared" si="4"/>
        <v>0</v>
      </c>
      <c r="I26" s="2758">
        <f t="shared" si="4"/>
        <v>0</v>
      </c>
      <c r="J26" s="2758">
        <f t="shared" si="4"/>
        <v>0</v>
      </c>
      <c r="K26" s="2758">
        <f t="shared" si="4"/>
        <v>34.566655880765765</v>
      </c>
      <c r="N26" s="1060">
        <v>0</v>
      </c>
      <c r="O26" s="1060">
        <v>0</v>
      </c>
      <c r="P26" s="1060">
        <v>0</v>
      </c>
      <c r="Q26" s="1060">
        <f t="shared" si="1"/>
        <v>30.639254474145552</v>
      </c>
      <c r="R26" s="1060">
        <f t="shared" si="3"/>
        <v>30.639254474145552</v>
      </c>
    </row>
    <row r="27" spans="1:27" s="140" customFormat="1" ht="12" customHeight="1" x14ac:dyDescent="0.25">
      <c r="A27" s="2781">
        <v>2</v>
      </c>
      <c r="B27" s="2927" t="s">
        <v>229</v>
      </c>
      <c r="C27" s="2783" t="s">
        <v>40</v>
      </c>
      <c r="D27" s="2758">
        <f>D28+D29+D30</f>
        <v>486.78</v>
      </c>
      <c r="E27" s="2758">
        <f>E28+E29+E30</f>
        <v>41.66</v>
      </c>
      <c r="F27" s="2758">
        <f>F28+F29+F30</f>
        <v>30.580000000000002</v>
      </c>
      <c r="G27" s="2758">
        <f>Адміністративні_1ст!I8</f>
        <v>90.972112089695358</v>
      </c>
      <c r="H27" s="2758">
        <f>$G27/$G$56*H$56</f>
        <v>0</v>
      </c>
      <c r="I27" s="2758">
        <f t="shared" ref="I27:K27" si="7">$G27/$G$56*I$56</f>
        <v>0</v>
      </c>
      <c r="J27" s="2758">
        <f t="shared" si="7"/>
        <v>0</v>
      </c>
      <c r="K27" s="2758">
        <f t="shared" si="7"/>
        <v>90.972112089695358</v>
      </c>
      <c r="L27" s="1057"/>
      <c r="M27" s="1057"/>
      <c r="N27" s="1060">
        <v>0</v>
      </c>
      <c r="O27" s="1060">
        <v>0</v>
      </c>
      <c r="P27" s="1060">
        <v>0</v>
      </c>
      <c r="Q27" s="1060">
        <f t="shared" ref="Q27:Q44" si="8">K27/K$56*1000</f>
        <v>80.636023975858237</v>
      </c>
      <c r="R27" s="1060">
        <f t="shared" si="3"/>
        <v>80.636023975858237</v>
      </c>
      <c r="S27" s="1057"/>
      <c r="T27" s="1057"/>
      <c r="U27" s="1057"/>
      <c r="V27" s="1057"/>
      <c r="W27" s="1057"/>
      <c r="X27" s="1057"/>
      <c r="Y27" s="1057"/>
      <c r="Z27" s="1057"/>
      <c r="AA27" s="1057"/>
    </row>
    <row r="28" spans="1:27" ht="12" customHeight="1" x14ac:dyDescent="0.25">
      <c r="A28" s="2784" t="s">
        <v>25</v>
      </c>
      <c r="B28" s="2928" t="s">
        <v>55</v>
      </c>
      <c r="C28" s="2192" t="s">
        <v>40</v>
      </c>
      <c r="D28" s="2759">
        <v>313.79000000000002</v>
      </c>
      <c r="E28" s="2759">
        <v>22.08</v>
      </c>
      <c r="F28" s="2760">
        <v>19.03</v>
      </c>
      <c r="G28" s="2759">
        <f>Адміністративні_1ст!I21</f>
        <v>50.344494407671881</v>
      </c>
      <c r="H28" s="2758">
        <f t="shared" ref="H28:K36" si="9">$G28/$G$56*H$56</f>
        <v>0</v>
      </c>
      <c r="I28" s="2758">
        <f t="shared" si="9"/>
        <v>0</v>
      </c>
      <c r="J28" s="2758">
        <f t="shared" si="9"/>
        <v>0</v>
      </c>
      <c r="K28" s="2758">
        <f t="shared" si="9"/>
        <v>50.344494407671881</v>
      </c>
      <c r="L28" s="1057"/>
      <c r="M28" s="1057"/>
      <c r="N28" s="1060">
        <v>0</v>
      </c>
      <c r="O28" s="1060">
        <v>0</v>
      </c>
      <c r="P28" s="1060">
        <v>0</v>
      </c>
      <c r="Q28" s="1060">
        <f t="shared" si="8"/>
        <v>44.624443303095845</v>
      </c>
      <c r="R28" s="1060">
        <f t="shared" si="3"/>
        <v>44.624443303095845</v>
      </c>
    </row>
    <row r="29" spans="1:27" ht="24" customHeight="1" x14ac:dyDescent="0.25">
      <c r="A29" s="2784" t="s">
        <v>26</v>
      </c>
      <c r="B29" s="2928" t="s">
        <v>452</v>
      </c>
      <c r="C29" s="2192" t="s">
        <v>40</v>
      </c>
      <c r="D29" s="2759">
        <v>67.849999999999994</v>
      </c>
      <c r="E29" s="2759">
        <v>5</v>
      </c>
      <c r="F29" s="2760">
        <v>4.1900000000000004</v>
      </c>
      <c r="G29" s="2759">
        <f>Адміністративні_1ст!I23</f>
        <v>11.075788769687813</v>
      </c>
      <c r="H29" s="2758">
        <f t="shared" si="9"/>
        <v>0</v>
      </c>
      <c r="I29" s="2758">
        <f t="shared" si="9"/>
        <v>0</v>
      </c>
      <c r="J29" s="2758">
        <f t="shared" si="9"/>
        <v>0</v>
      </c>
      <c r="K29" s="2758">
        <f t="shared" si="9"/>
        <v>11.075788769687813</v>
      </c>
      <c r="L29" s="1059"/>
      <c r="M29" s="1057"/>
      <c r="N29" s="1060">
        <v>0</v>
      </c>
      <c r="O29" s="1060">
        <v>0</v>
      </c>
      <c r="P29" s="1060">
        <v>0</v>
      </c>
      <c r="Q29" s="1060">
        <f t="shared" si="8"/>
        <v>9.8173775266810868</v>
      </c>
      <c r="R29" s="1060">
        <f t="shared" si="3"/>
        <v>9.817377526681085</v>
      </c>
    </row>
    <row r="30" spans="1:27" ht="12" customHeight="1" x14ac:dyDescent="0.25">
      <c r="A30" s="2784" t="s">
        <v>59</v>
      </c>
      <c r="B30" s="2929" t="s">
        <v>58</v>
      </c>
      <c r="C30" s="2192" t="s">
        <v>40</v>
      </c>
      <c r="D30" s="2759">
        <v>105.14</v>
      </c>
      <c r="E30" s="2759">
        <v>14.58</v>
      </c>
      <c r="F30" s="2760">
        <f>0.48+6.88</f>
        <v>7.3599999999999994</v>
      </c>
      <c r="G30" s="2759">
        <f>G27-G28-G29</f>
        <v>29.551828912335665</v>
      </c>
      <c r="H30" s="2758">
        <f t="shared" si="9"/>
        <v>0</v>
      </c>
      <c r="I30" s="2758">
        <f t="shared" si="9"/>
        <v>0</v>
      </c>
      <c r="J30" s="2758">
        <f t="shared" si="9"/>
        <v>0</v>
      </c>
      <c r="K30" s="2758">
        <f t="shared" si="9"/>
        <v>29.551828912335665</v>
      </c>
      <c r="L30" s="1057"/>
      <c r="M30" s="1057"/>
      <c r="N30" s="1060">
        <v>0</v>
      </c>
      <c r="O30" s="1060">
        <v>0</v>
      </c>
      <c r="P30" s="1060">
        <v>0</v>
      </c>
      <c r="Q30" s="1060">
        <f t="shared" si="8"/>
        <v>26.194203146081307</v>
      </c>
      <c r="R30" s="1060">
        <f t="shared" si="3"/>
        <v>26.194203146081303</v>
      </c>
    </row>
    <row r="31" spans="1:27" s="140" customFormat="1" ht="12" customHeight="1" x14ac:dyDescent="0.25">
      <c r="A31" s="2772" t="s">
        <v>181</v>
      </c>
      <c r="B31" s="2806" t="s">
        <v>230</v>
      </c>
      <c r="C31" s="2783" t="s">
        <v>40</v>
      </c>
      <c r="D31" s="2758">
        <f>D32+D33+D34</f>
        <v>0</v>
      </c>
      <c r="E31" s="2758">
        <f>E32+E33+E34</f>
        <v>0</v>
      </c>
      <c r="F31" s="2758">
        <f>F32+F33+F34</f>
        <v>0</v>
      </c>
      <c r="G31" s="2758">
        <f>G32+G33+G34</f>
        <v>0</v>
      </c>
      <c r="H31" s="2758">
        <f t="shared" si="9"/>
        <v>0</v>
      </c>
      <c r="I31" s="2758">
        <f t="shared" si="9"/>
        <v>0</v>
      </c>
      <c r="J31" s="2758">
        <f t="shared" si="9"/>
        <v>0</v>
      </c>
      <c r="K31" s="2758">
        <f t="shared" si="9"/>
        <v>0</v>
      </c>
      <c r="L31" s="1061"/>
      <c r="M31" s="1057"/>
      <c r="N31" s="1060">
        <v>0</v>
      </c>
      <c r="O31" s="1060">
        <v>0</v>
      </c>
      <c r="P31" s="1060">
        <v>0</v>
      </c>
      <c r="Q31" s="1060">
        <f t="shared" si="8"/>
        <v>0</v>
      </c>
      <c r="R31" s="1060">
        <f t="shared" si="3"/>
        <v>0</v>
      </c>
      <c r="S31" s="1057"/>
      <c r="T31" s="1057"/>
      <c r="U31" s="1057"/>
      <c r="V31" s="1057"/>
      <c r="W31" s="1057"/>
      <c r="X31" s="1057"/>
      <c r="Y31" s="1057"/>
      <c r="Z31" s="1057"/>
      <c r="AA31" s="1057"/>
    </row>
    <row r="32" spans="1:27" ht="12" customHeight="1" x14ac:dyDescent="0.25">
      <c r="A32" s="2776" t="s">
        <v>60</v>
      </c>
      <c r="B32" s="2552" t="s">
        <v>55</v>
      </c>
      <c r="C32" s="2192" t="s">
        <v>40</v>
      </c>
      <c r="D32" s="2759">
        <v>0</v>
      </c>
      <c r="E32" s="2759">
        <v>0</v>
      </c>
      <c r="F32" s="2759">
        <v>0</v>
      </c>
      <c r="G32" s="2759">
        <v>0</v>
      </c>
      <c r="H32" s="2758">
        <f t="shared" si="9"/>
        <v>0</v>
      </c>
      <c r="I32" s="2758">
        <f t="shared" si="9"/>
        <v>0</v>
      </c>
      <c r="J32" s="2758">
        <f t="shared" si="9"/>
        <v>0</v>
      </c>
      <c r="K32" s="2758">
        <f t="shared" si="9"/>
        <v>0</v>
      </c>
      <c r="L32" s="1057"/>
      <c r="M32" s="1057"/>
      <c r="N32" s="1060">
        <v>0</v>
      </c>
      <c r="O32" s="1060">
        <v>0</v>
      </c>
      <c r="P32" s="1060">
        <v>0</v>
      </c>
      <c r="Q32" s="1060">
        <f t="shared" si="8"/>
        <v>0</v>
      </c>
      <c r="R32" s="1060">
        <f t="shared" si="3"/>
        <v>0</v>
      </c>
    </row>
    <row r="33" spans="1:27" ht="25.15" customHeight="1" x14ac:dyDescent="0.25">
      <c r="A33" s="2776" t="s">
        <v>61</v>
      </c>
      <c r="B33" s="2929" t="s">
        <v>452</v>
      </c>
      <c r="C33" s="2192" t="s">
        <v>40</v>
      </c>
      <c r="D33" s="2759">
        <v>0</v>
      </c>
      <c r="E33" s="2759">
        <v>0</v>
      </c>
      <c r="F33" s="2759">
        <v>0</v>
      </c>
      <c r="G33" s="2759">
        <v>0</v>
      </c>
      <c r="H33" s="2758">
        <f t="shared" si="9"/>
        <v>0</v>
      </c>
      <c r="I33" s="2758">
        <f t="shared" si="9"/>
        <v>0</v>
      </c>
      <c r="J33" s="2758">
        <f t="shared" si="9"/>
        <v>0</v>
      </c>
      <c r="K33" s="2758">
        <f t="shared" si="9"/>
        <v>0</v>
      </c>
      <c r="L33" s="1059"/>
      <c r="M33" s="1057"/>
      <c r="N33" s="1060">
        <v>0</v>
      </c>
      <c r="O33" s="1060">
        <v>0</v>
      </c>
      <c r="P33" s="1060">
        <v>0</v>
      </c>
      <c r="Q33" s="1060">
        <f t="shared" si="8"/>
        <v>0</v>
      </c>
      <c r="R33" s="1060">
        <f t="shared" si="3"/>
        <v>0</v>
      </c>
    </row>
    <row r="34" spans="1:27" ht="12" customHeight="1" x14ac:dyDescent="0.25">
      <c r="A34" s="2784" t="s">
        <v>62</v>
      </c>
      <c r="B34" s="2936" t="s">
        <v>243</v>
      </c>
      <c r="C34" s="2192" t="s">
        <v>40</v>
      </c>
      <c r="D34" s="2759">
        <v>0</v>
      </c>
      <c r="E34" s="2759">
        <v>0</v>
      </c>
      <c r="F34" s="2759">
        <v>0</v>
      </c>
      <c r="G34" s="2759">
        <v>0</v>
      </c>
      <c r="H34" s="2758">
        <f t="shared" si="9"/>
        <v>0</v>
      </c>
      <c r="I34" s="2758">
        <f t="shared" si="9"/>
        <v>0</v>
      </c>
      <c r="J34" s="2758">
        <f t="shared" si="9"/>
        <v>0</v>
      </c>
      <c r="K34" s="2758">
        <f t="shared" si="9"/>
        <v>0</v>
      </c>
      <c r="L34" s="1057"/>
      <c r="M34" s="1057"/>
      <c r="N34" s="1060">
        <v>0</v>
      </c>
      <c r="O34" s="1060">
        <v>0</v>
      </c>
      <c r="P34" s="1060">
        <v>0</v>
      </c>
      <c r="Q34" s="1060">
        <f t="shared" si="8"/>
        <v>0</v>
      </c>
      <c r="R34" s="1060">
        <f t="shared" si="3"/>
        <v>0</v>
      </c>
    </row>
    <row r="35" spans="1:27" s="140" customFormat="1" ht="12" customHeight="1" x14ac:dyDescent="0.25">
      <c r="A35" s="2781" t="s">
        <v>182</v>
      </c>
      <c r="B35" s="2930" t="s">
        <v>83</v>
      </c>
      <c r="C35" s="2783" t="s">
        <v>40</v>
      </c>
      <c r="D35" s="2759">
        <v>0</v>
      </c>
      <c r="E35" s="2759">
        <v>0</v>
      </c>
      <c r="F35" s="2759">
        <v>0</v>
      </c>
      <c r="G35" s="2759">
        <v>0</v>
      </c>
      <c r="H35" s="2758">
        <f t="shared" si="9"/>
        <v>0</v>
      </c>
      <c r="I35" s="2758">
        <f t="shared" si="9"/>
        <v>0</v>
      </c>
      <c r="J35" s="2758">
        <f t="shared" si="9"/>
        <v>0</v>
      </c>
      <c r="K35" s="2758">
        <f t="shared" si="9"/>
        <v>0</v>
      </c>
      <c r="L35" s="1057"/>
      <c r="M35" s="1057"/>
      <c r="N35" s="1060">
        <v>0</v>
      </c>
      <c r="O35" s="1060">
        <v>0</v>
      </c>
      <c r="P35" s="1060">
        <v>0</v>
      </c>
      <c r="Q35" s="1060">
        <f t="shared" si="8"/>
        <v>0</v>
      </c>
      <c r="R35" s="1060">
        <f t="shared" si="3"/>
        <v>0</v>
      </c>
      <c r="S35" s="1057"/>
      <c r="T35" s="1057"/>
      <c r="U35" s="1057"/>
      <c r="V35" s="1057"/>
      <c r="W35" s="1057"/>
      <c r="X35" s="1057"/>
      <c r="Y35" s="1057"/>
      <c r="Z35" s="1057"/>
      <c r="AA35" s="1057"/>
    </row>
    <row r="36" spans="1:27" s="140" customFormat="1" ht="12" customHeight="1" x14ac:dyDescent="0.25">
      <c r="A36" s="2781" t="s">
        <v>177</v>
      </c>
      <c r="B36" s="2930" t="s">
        <v>5</v>
      </c>
      <c r="C36" s="2783" t="s">
        <v>40</v>
      </c>
      <c r="D36" s="2761">
        <v>0</v>
      </c>
      <c r="E36" s="2761">
        <v>0</v>
      </c>
      <c r="F36" s="2761">
        <v>0</v>
      </c>
      <c r="G36" s="2758">
        <v>0</v>
      </c>
      <c r="H36" s="2758">
        <f t="shared" si="9"/>
        <v>0</v>
      </c>
      <c r="I36" s="2758">
        <f t="shared" si="9"/>
        <v>0</v>
      </c>
      <c r="J36" s="2758">
        <f t="shared" si="9"/>
        <v>0</v>
      </c>
      <c r="K36" s="2758">
        <f t="shared" si="9"/>
        <v>0</v>
      </c>
      <c r="L36" s="1057"/>
      <c r="M36" s="1057"/>
      <c r="N36" s="1060">
        <v>0</v>
      </c>
      <c r="O36" s="1060">
        <v>0</v>
      </c>
      <c r="P36" s="1060">
        <v>0</v>
      </c>
      <c r="Q36" s="1060">
        <f t="shared" si="8"/>
        <v>0</v>
      </c>
      <c r="R36" s="1060">
        <f t="shared" si="3"/>
        <v>0</v>
      </c>
      <c r="S36" s="1057"/>
      <c r="T36" s="1057"/>
      <c r="U36" s="1057"/>
      <c r="V36" s="1057"/>
      <c r="W36" s="1057"/>
      <c r="X36" s="1057"/>
      <c r="Y36" s="1057"/>
      <c r="Z36" s="1057"/>
      <c r="AA36" s="1057"/>
    </row>
    <row r="37" spans="1:27" s="140" customFormat="1" ht="12" customHeight="1" x14ac:dyDescent="0.25">
      <c r="A37" s="2781" t="s">
        <v>178</v>
      </c>
      <c r="B37" s="2930" t="s">
        <v>63</v>
      </c>
      <c r="C37" s="2783" t="s">
        <v>40</v>
      </c>
      <c r="D37" s="2758">
        <f>D36+D35+D31+D27+D11</f>
        <v>10842.446024000001</v>
      </c>
      <c r="E37" s="2758">
        <f>E36+E35+E31+E27+E11</f>
        <v>5364.5968000000003</v>
      </c>
      <c r="F37" s="2758">
        <f>F36+F35+F31+F27+F11</f>
        <v>3025.08</v>
      </c>
      <c r="G37" s="2758">
        <f>G36+G35+G31+G27+G11</f>
        <v>3420.4510928304312</v>
      </c>
      <c r="H37" s="2758">
        <f t="shared" ref="H37:J37" si="10">H36+H35+H31+H27+H11</f>
        <v>0</v>
      </c>
      <c r="I37" s="2758">
        <f t="shared" si="10"/>
        <v>0</v>
      </c>
      <c r="J37" s="2758">
        <f t="shared" si="10"/>
        <v>0</v>
      </c>
      <c r="K37" s="2758">
        <f>K36+K35+K31+K27+K11</f>
        <v>3420.4510928304312</v>
      </c>
      <c r="L37" s="2108"/>
      <c r="M37" s="1061"/>
      <c r="N37" s="1060">
        <v>0</v>
      </c>
      <c r="O37" s="1060">
        <v>0</v>
      </c>
      <c r="P37" s="1060">
        <v>0</v>
      </c>
      <c r="Q37" s="1060">
        <f t="shared" si="8"/>
        <v>3031.8255781264534</v>
      </c>
      <c r="R37" s="1060">
        <f t="shared" si="3"/>
        <v>3031.8255781264534</v>
      </c>
      <c r="S37" s="1057"/>
      <c r="T37" s="1057"/>
      <c r="U37" s="1057"/>
      <c r="V37" s="1057"/>
      <c r="W37" s="1057"/>
      <c r="X37" s="1057"/>
      <c r="Y37" s="1057"/>
      <c r="Z37" s="1057"/>
      <c r="AA37" s="1057"/>
    </row>
    <row r="38" spans="1:27" s="140" customFormat="1" ht="12" customHeight="1" x14ac:dyDescent="0.25">
      <c r="A38" s="2781" t="s">
        <v>179</v>
      </c>
      <c r="B38" s="2930" t="s">
        <v>244</v>
      </c>
      <c r="C38" s="2783" t="s">
        <v>40</v>
      </c>
      <c r="D38" s="2758">
        <v>0</v>
      </c>
      <c r="E38" s="2758">
        <v>0</v>
      </c>
      <c r="G38" s="2758">
        <v>0</v>
      </c>
      <c r="H38" s="2758">
        <v>0</v>
      </c>
      <c r="I38" s="2758">
        <v>0</v>
      </c>
      <c r="J38" s="2758">
        <v>0</v>
      </c>
      <c r="K38" s="2758">
        <v>0</v>
      </c>
      <c r="L38" s="1057"/>
      <c r="M38" s="1057"/>
      <c r="N38" s="1060">
        <v>0</v>
      </c>
      <c r="O38" s="1060">
        <v>0</v>
      </c>
      <c r="P38" s="1060">
        <v>0</v>
      </c>
      <c r="Q38" s="1060">
        <f t="shared" si="8"/>
        <v>0</v>
      </c>
      <c r="R38" s="1060">
        <f t="shared" si="3"/>
        <v>0</v>
      </c>
      <c r="S38" s="1057"/>
      <c r="T38" s="1057"/>
      <c r="U38" s="1057"/>
      <c r="V38" s="1057"/>
      <c r="W38" s="1057"/>
      <c r="X38" s="1057"/>
      <c r="Y38" s="1057"/>
      <c r="Z38" s="1057"/>
      <c r="AA38" s="1057"/>
    </row>
    <row r="39" spans="1:27" s="140" customFormat="1" ht="12" customHeight="1" x14ac:dyDescent="0.25">
      <c r="A39" s="2781" t="s">
        <v>180</v>
      </c>
      <c r="B39" s="2930" t="s">
        <v>245</v>
      </c>
      <c r="C39" s="2783" t="s">
        <v>40</v>
      </c>
      <c r="D39" s="2761">
        <f>D40+D41+D42+D43+D44</f>
        <v>0</v>
      </c>
      <c r="E39" s="2761">
        <f>E40+E41+E42+E43+E44</f>
        <v>0</v>
      </c>
      <c r="F39" s="2761">
        <f>F40+F41+F42+F43+F44</f>
        <v>172.55</v>
      </c>
      <c r="G39" s="2761">
        <f>G40+G41+G42+G43+G44</f>
        <v>251.19792825746691</v>
      </c>
      <c r="H39" s="2761">
        <f t="shared" ref="H39:K39" si="11">H40+H41+H42+H43+H44</f>
        <v>0</v>
      </c>
      <c r="I39" s="2761">
        <f t="shared" si="11"/>
        <v>0</v>
      </c>
      <c r="J39" s="2761">
        <f t="shared" si="11"/>
        <v>0</v>
      </c>
      <c r="K39" s="2761">
        <f t="shared" si="11"/>
        <v>251.19792825746691</v>
      </c>
      <c r="L39" s="1057"/>
      <c r="M39" s="1057"/>
      <c r="N39" s="1060">
        <v>0</v>
      </c>
      <c r="O39" s="1060">
        <v>0</v>
      </c>
      <c r="P39" s="1060">
        <v>0</v>
      </c>
      <c r="Q39" s="1060">
        <f t="shared" si="8"/>
        <v>222.65727045760678</v>
      </c>
      <c r="R39" s="1060">
        <f t="shared" si="3"/>
        <v>222.65727045760678</v>
      </c>
      <c r="S39" s="1057"/>
      <c r="T39" s="1057"/>
      <c r="U39" s="1057"/>
      <c r="V39" s="1057"/>
      <c r="W39" s="1057"/>
      <c r="X39" s="1057"/>
      <c r="Y39" s="1057"/>
      <c r="Z39" s="1057"/>
      <c r="AA39" s="1057"/>
    </row>
    <row r="40" spans="1:27" ht="12" customHeight="1" x14ac:dyDescent="0.25">
      <c r="A40" s="2784" t="s">
        <v>116</v>
      </c>
      <c r="B40" s="2928" t="s">
        <v>65</v>
      </c>
      <c r="C40" s="2192" t="s">
        <v>84</v>
      </c>
      <c r="D40" s="2759">
        <v>0</v>
      </c>
      <c r="E40" s="2759">
        <v>0</v>
      </c>
      <c r="F40" s="2760">
        <v>21.78</v>
      </c>
      <c r="G40" s="2762">
        <f>G44*'Вхідні дані'!D47</f>
        <v>24.627247868379108</v>
      </c>
      <c r="H40" s="2762">
        <f>(H41+H42+H43+H44)/(100%-'Вхідні дані'!$D$47)-(H41+H42+H43+H44)</f>
        <v>0</v>
      </c>
      <c r="I40" s="2762">
        <f>(I41+I42+I43+I44)/(100%-'Вхідні дані'!$D$47)-(I41+I42+I43+I44)</f>
        <v>0</v>
      </c>
      <c r="J40" s="2762">
        <f>(J41+J42+J43+J44)/(100%-'Вхідні дані'!$D$47)-(J41+J42+J43+J44)</f>
        <v>0</v>
      </c>
      <c r="K40" s="2762">
        <f>K44*'Вхідні дані'!D47</f>
        <v>24.627247868379108</v>
      </c>
      <c r="N40" s="1060">
        <v>0</v>
      </c>
      <c r="O40" s="1060">
        <v>0</v>
      </c>
      <c r="P40" s="1060">
        <v>0</v>
      </c>
      <c r="Q40" s="1060">
        <f t="shared" si="8"/>
        <v>21.82914416251047</v>
      </c>
      <c r="R40" s="1060">
        <f t="shared" si="3"/>
        <v>21.829144162510467</v>
      </c>
    </row>
    <row r="41" spans="1:27" ht="12" customHeight="1" x14ac:dyDescent="0.25">
      <c r="A41" s="2784" t="s">
        <v>118</v>
      </c>
      <c r="B41" s="2928" t="s">
        <v>85</v>
      </c>
      <c r="C41" s="2192" t="s">
        <v>40</v>
      </c>
      <c r="D41" s="2759">
        <v>0</v>
      </c>
      <c r="E41" s="2759">
        <v>0</v>
      </c>
      <c r="F41" s="2760">
        <v>29.77</v>
      </c>
      <c r="G41" s="2762">
        <f>(G44-G40)*'Вхідні дані'!D48</f>
        <v>89.752636675870534</v>
      </c>
      <c r="H41" s="2762">
        <f>(H43+H44)/(100%-'Вхідні дані'!$D$48)*'Вхідні дані'!$D$48</f>
        <v>0</v>
      </c>
      <c r="I41" s="2762">
        <f>(I43+I44)/(100%-'Вхідні дані'!$D$48)*'Вхідні дані'!$D$48</f>
        <v>0</v>
      </c>
      <c r="J41" s="2762">
        <f>(J43+J44)/(100%-'Вхідні дані'!$D$48)*'Вхідні дані'!$D$48</f>
        <v>0</v>
      </c>
      <c r="K41" s="2762">
        <f>(K44-K40)*'Вхідні дані'!D48</f>
        <v>89.752636675870534</v>
      </c>
      <c r="N41" s="1060">
        <v>0</v>
      </c>
      <c r="O41" s="1060">
        <v>0</v>
      </c>
      <c r="P41" s="1060">
        <v>0</v>
      </c>
      <c r="Q41" s="1060">
        <f t="shared" si="8"/>
        <v>79.555103170038151</v>
      </c>
      <c r="R41" s="1060">
        <f t="shared" si="3"/>
        <v>79.555103170038151</v>
      </c>
    </row>
    <row r="42" spans="1:27" ht="12" customHeight="1" x14ac:dyDescent="0.25">
      <c r="A42" s="2784" t="s">
        <v>120</v>
      </c>
      <c r="B42" s="2928" t="s">
        <v>86</v>
      </c>
      <c r="C42" s="2192" t="s">
        <v>40</v>
      </c>
      <c r="D42" s="2759">
        <v>0</v>
      </c>
      <c r="E42" s="2759">
        <v>0</v>
      </c>
      <c r="F42" s="2760">
        <v>0</v>
      </c>
      <c r="G42" s="2759">
        <v>0</v>
      </c>
      <c r="H42" s="2759">
        <v>0</v>
      </c>
      <c r="I42" s="2759">
        <v>0</v>
      </c>
      <c r="J42" s="2759">
        <v>0</v>
      </c>
      <c r="K42" s="2759">
        <v>0</v>
      </c>
      <c r="N42" s="1060">
        <v>0</v>
      </c>
      <c r="O42" s="1060">
        <v>0</v>
      </c>
      <c r="P42" s="1060">
        <v>0</v>
      </c>
      <c r="Q42" s="1060">
        <f t="shared" si="8"/>
        <v>0</v>
      </c>
      <c r="R42" s="1060">
        <f t="shared" si="3"/>
        <v>0</v>
      </c>
    </row>
    <row r="43" spans="1:27" ht="12" customHeight="1" x14ac:dyDescent="0.25">
      <c r="A43" s="2784" t="s">
        <v>122</v>
      </c>
      <c r="B43" s="2928" t="s">
        <v>71</v>
      </c>
      <c r="C43" s="2192" t="s">
        <v>40</v>
      </c>
      <c r="D43" s="2759">
        <v>0</v>
      </c>
      <c r="E43" s="2759">
        <v>0</v>
      </c>
      <c r="F43" s="2760">
        <v>0</v>
      </c>
      <c r="G43" s="2759">
        <v>0</v>
      </c>
      <c r="H43" s="2759">
        <v>0</v>
      </c>
      <c r="I43" s="2759">
        <v>0</v>
      </c>
      <c r="J43" s="2759">
        <v>0</v>
      </c>
      <c r="K43" s="2759">
        <v>0</v>
      </c>
      <c r="N43" s="1060">
        <v>0</v>
      </c>
      <c r="O43" s="1060">
        <v>0</v>
      </c>
      <c r="P43" s="1060">
        <v>0</v>
      </c>
      <c r="Q43" s="1060">
        <f t="shared" si="8"/>
        <v>0</v>
      </c>
      <c r="R43" s="1060">
        <f t="shared" si="3"/>
        <v>0</v>
      </c>
    </row>
    <row r="44" spans="1:27" ht="12" customHeight="1" x14ac:dyDescent="0.25">
      <c r="A44" s="2784" t="s">
        <v>233</v>
      </c>
      <c r="B44" s="2738" t="s">
        <v>3432</v>
      </c>
      <c r="C44" s="2192" t="s">
        <v>40</v>
      </c>
      <c r="D44" s="2759">
        <v>0</v>
      </c>
      <c r="E44" s="2759">
        <v>0</v>
      </c>
      <c r="F44" s="2760">
        <v>121</v>
      </c>
      <c r="G44" s="2759">
        <f>G37*'Вхідні дані'!$D$46</f>
        <v>136.81804371321726</v>
      </c>
      <c r="H44" s="2759">
        <f>H37*'Вхідні дані'!$D$46</f>
        <v>0</v>
      </c>
      <c r="I44" s="2759">
        <f>I37*'Вхідні дані'!$D$46</f>
        <v>0</v>
      </c>
      <c r="J44" s="2759">
        <f>J37*'Вхідні дані'!$D$46</f>
        <v>0</v>
      </c>
      <c r="K44" s="2759">
        <f>K37*'Вхідні дані'!$D$46</f>
        <v>136.81804371321726</v>
      </c>
      <c r="N44" s="1060">
        <v>0</v>
      </c>
      <c r="O44" s="1060">
        <v>0</v>
      </c>
      <c r="P44" s="1060">
        <v>0</v>
      </c>
      <c r="Q44" s="1060">
        <f t="shared" si="8"/>
        <v>121.27302312505815</v>
      </c>
      <c r="R44" s="1060">
        <f t="shared" si="3"/>
        <v>121.27302312505815</v>
      </c>
    </row>
    <row r="45" spans="1:27" s="140" customFormat="1" ht="24.6" customHeight="1" x14ac:dyDescent="0.25">
      <c r="A45" s="2781" t="s">
        <v>195</v>
      </c>
      <c r="B45" s="2930" t="s">
        <v>567</v>
      </c>
      <c r="C45" s="2783" t="s">
        <v>40</v>
      </c>
      <c r="D45" s="2758">
        <f>D39+D38+D37</f>
        <v>10842.446024000001</v>
      </c>
      <c r="E45" s="2758">
        <f>E39+E38+E37</f>
        <v>5364.5968000000003</v>
      </c>
      <c r="F45" s="2758">
        <f>F39+F17+F37</f>
        <v>4603.8500000000004</v>
      </c>
      <c r="G45" s="2758">
        <f>G39+G38+G37</f>
        <v>3671.6490210878983</v>
      </c>
      <c r="H45" s="2758">
        <f t="shared" ref="H45:J45" si="12">H39+H38+H37</f>
        <v>0</v>
      </c>
      <c r="I45" s="2758">
        <f t="shared" si="12"/>
        <v>0</v>
      </c>
      <c r="J45" s="2758">
        <f t="shared" si="12"/>
        <v>0</v>
      </c>
      <c r="K45" s="2758">
        <f>K39+K38+K37</f>
        <v>3671.6490210878983</v>
      </c>
      <c r="L45" s="1077"/>
      <c r="M45" s="1168"/>
      <c r="N45" s="1060">
        <v>0</v>
      </c>
      <c r="O45" s="1060">
        <v>0</v>
      </c>
      <c r="P45" s="1060">
        <v>0</v>
      </c>
      <c r="Q45" s="1060">
        <f t="shared" ref="Q45" si="13">K45/K$56*1000</f>
        <v>3254.4828485840608</v>
      </c>
      <c r="R45" s="1060">
        <f t="shared" si="3"/>
        <v>3254.4828485840603</v>
      </c>
      <c r="S45" s="1057"/>
      <c r="T45" s="1057"/>
      <c r="U45" s="1057"/>
      <c r="V45" s="1057"/>
      <c r="W45" s="1057"/>
      <c r="X45" s="1057"/>
      <c r="Y45" s="1057"/>
      <c r="Z45" s="1057"/>
      <c r="AA45" s="1057"/>
    </row>
    <row r="46" spans="1:27" s="140" customFormat="1" ht="28.5" customHeight="1" x14ac:dyDescent="0.25">
      <c r="A46" s="2772" t="s">
        <v>196</v>
      </c>
      <c r="B46" s="2930" t="s">
        <v>88</v>
      </c>
      <c r="C46" s="2774" t="s">
        <v>74</v>
      </c>
      <c r="D46" s="2758">
        <f>D45/D56*1000</f>
        <v>1224.6771008809137</v>
      </c>
      <c r="E46" s="2758">
        <f>E45/E56*1000</f>
        <v>6393.0461311119852</v>
      </c>
      <c r="F46" s="2758">
        <f>F45/F56*1000-0.01</f>
        <v>3840.5963083429965</v>
      </c>
      <c r="G46" s="2758">
        <f>G45/G56*1000</f>
        <v>3254.4828485840608</v>
      </c>
      <c r="H46" s="2758">
        <v>0</v>
      </c>
      <c r="I46" s="2758">
        <v>0</v>
      </c>
      <c r="J46" s="2758">
        <v>0</v>
      </c>
      <c r="K46" s="2758">
        <f>K45/K56*1000</f>
        <v>3254.4828485840608</v>
      </c>
      <c r="L46" s="2107"/>
      <c r="M46" s="1056"/>
      <c r="N46" s="1060"/>
      <c r="O46" s="1056"/>
      <c r="P46" s="1056"/>
      <c r="Q46" s="1057"/>
      <c r="R46" s="1057">
        <f>K56/1000</f>
        <v>1.12818201598</v>
      </c>
      <c r="S46" s="1057"/>
      <c r="T46" s="1057"/>
      <c r="U46" s="1057"/>
      <c r="V46" s="1057"/>
      <c r="W46" s="1057"/>
      <c r="X46" s="1057"/>
      <c r="Y46" s="1057"/>
      <c r="Z46" s="1057"/>
      <c r="AA46" s="1057"/>
    </row>
    <row r="47" spans="1:27" ht="24" x14ac:dyDescent="0.25">
      <c r="A47" s="2790">
        <v>11</v>
      </c>
      <c r="B47" s="2552" t="s">
        <v>568</v>
      </c>
      <c r="C47" s="2791" t="s">
        <v>22</v>
      </c>
      <c r="D47" s="2762">
        <f>D48+D49</f>
        <v>12915.64</v>
      </c>
      <c r="E47" s="2762">
        <f>E48+E49</f>
        <v>2712.7400000000002</v>
      </c>
      <c r="F47" s="2762">
        <f>F48+F49</f>
        <v>1395.04</v>
      </c>
      <c r="G47" s="2762">
        <f>G48+G49</f>
        <v>1314.5190159799997</v>
      </c>
      <c r="H47" s="2762">
        <f t="shared" ref="H47:K47" si="14">H48+H49</f>
        <v>0</v>
      </c>
      <c r="I47" s="2762">
        <f t="shared" si="14"/>
        <v>0</v>
      </c>
      <c r="J47" s="2762">
        <f t="shared" si="14"/>
        <v>0</v>
      </c>
      <c r="K47" s="2762">
        <f t="shared" si="14"/>
        <v>1314.5190159799997</v>
      </c>
      <c r="L47" s="1320"/>
    </row>
    <row r="48" spans="1:27" ht="12" customHeight="1" x14ac:dyDescent="0.25">
      <c r="A48" s="2776" t="s">
        <v>92</v>
      </c>
      <c r="B48" s="2928" t="s">
        <v>90</v>
      </c>
      <c r="C48" s="2791" t="s">
        <v>22</v>
      </c>
      <c r="D48" s="2762">
        <f>'Д 7_РП'!E26</f>
        <v>12915.64</v>
      </c>
      <c r="E48" s="2762">
        <f>'Д 7_РП'!F26</f>
        <v>2712.7400000000002</v>
      </c>
      <c r="F48" s="2762">
        <v>1395.04</v>
      </c>
      <c r="G48" s="2762">
        <f>'Д 7_РП'!G28+'Д 7_РП'!G31+'Д 7_РП'!G34+'Д 7_РП'!G37+'Д 7_РП'!G40</f>
        <v>1314.5190159799997</v>
      </c>
      <c r="H48" s="2763">
        <f>'Д 7_РП'!G28</f>
        <v>0</v>
      </c>
      <c r="I48" s="2763">
        <f>'Д 7_РП'!G31</f>
        <v>0</v>
      </c>
      <c r="J48" s="2763">
        <f>'Д 7_РП'!G34</f>
        <v>0</v>
      </c>
      <c r="K48" s="2763">
        <f>'Д 7_РП'!G37</f>
        <v>1314.5190159799997</v>
      </c>
      <c r="L48" s="1059"/>
    </row>
    <row r="49" spans="1:12" ht="24" x14ac:dyDescent="0.25">
      <c r="A49" s="2776" t="s">
        <v>93</v>
      </c>
      <c r="B49" s="2928" t="s">
        <v>599</v>
      </c>
      <c r="C49" s="2791" t="s">
        <v>22</v>
      </c>
      <c r="D49" s="2762">
        <v>0</v>
      </c>
      <c r="E49" s="2762">
        <v>0</v>
      </c>
      <c r="F49" s="2763">
        <v>0</v>
      </c>
      <c r="G49" s="2763">
        <v>0</v>
      </c>
      <c r="H49" s="2763">
        <v>0</v>
      </c>
      <c r="I49" s="2763">
        <v>0</v>
      </c>
      <c r="J49" s="2763">
        <v>0</v>
      </c>
      <c r="K49" s="2763">
        <v>0</v>
      </c>
      <c r="L49" s="1321"/>
    </row>
    <row r="50" spans="1:12" ht="24" x14ac:dyDescent="0.25">
      <c r="A50" s="2776" t="s">
        <v>198</v>
      </c>
      <c r="B50" s="2928" t="s">
        <v>569</v>
      </c>
      <c r="C50" s="2791" t="s">
        <v>22</v>
      </c>
      <c r="D50" s="2762">
        <f>D51+D52</f>
        <v>1945.7600000000002</v>
      </c>
      <c r="E50" s="2762">
        <f>E51+E52</f>
        <v>528.68999999999994</v>
      </c>
      <c r="F50" s="2762">
        <f>F51+F52</f>
        <v>196.31</v>
      </c>
      <c r="G50" s="2762">
        <f>G51+G52</f>
        <v>186.33699999999996</v>
      </c>
      <c r="H50" s="2762">
        <f t="shared" ref="H50:K50" si="15">H51+H52</f>
        <v>0</v>
      </c>
      <c r="I50" s="2762">
        <f t="shared" si="15"/>
        <v>0</v>
      </c>
      <c r="J50" s="2762">
        <f t="shared" si="15"/>
        <v>0</v>
      </c>
      <c r="K50" s="2762">
        <f t="shared" si="15"/>
        <v>186.33699999999976</v>
      </c>
      <c r="L50" s="1059"/>
    </row>
    <row r="51" spans="1:12" ht="12" customHeight="1" x14ac:dyDescent="0.25">
      <c r="A51" s="2776" t="s">
        <v>94</v>
      </c>
      <c r="B51" s="2552" t="s">
        <v>90</v>
      </c>
      <c r="C51" s="2791" t="s">
        <v>22</v>
      </c>
      <c r="D51" s="2762">
        <f>'Д 7_РП'!E48</f>
        <v>1945.7600000000002</v>
      </c>
      <c r="E51" s="2762">
        <f>'Д 7_РП'!F48</f>
        <v>528.68999999999994</v>
      </c>
      <c r="F51" s="2762">
        <v>196.31</v>
      </c>
      <c r="G51" s="2762">
        <f>'Д 7_РП'!G50-'Д 7_РП'!G55</f>
        <v>186.33699999999996</v>
      </c>
      <c r="H51" s="2763">
        <f>H48-H56</f>
        <v>0</v>
      </c>
      <c r="I51" s="2763">
        <f t="shared" ref="I51:K51" si="16">I48-I56</f>
        <v>0</v>
      </c>
      <c r="J51" s="2763">
        <f t="shared" si="16"/>
        <v>0</v>
      </c>
      <c r="K51" s="2763">
        <f t="shared" si="16"/>
        <v>186.33699999999976</v>
      </c>
      <c r="L51" s="1059"/>
    </row>
    <row r="52" spans="1:12" ht="24" x14ac:dyDescent="0.25">
      <c r="A52" s="2776" t="s">
        <v>95</v>
      </c>
      <c r="B52" s="2926" t="s">
        <v>570</v>
      </c>
      <c r="C52" s="2791" t="s">
        <v>22</v>
      </c>
      <c r="D52" s="2762">
        <v>0</v>
      </c>
      <c r="E52" s="2762">
        <v>0</v>
      </c>
      <c r="F52" s="2763">
        <v>0</v>
      </c>
      <c r="G52" s="2763">
        <v>0</v>
      </c>
      <c r="H52" s="2763">
        <v>0</v>
      </c>
      <c r="I52" s="2763">
        <v>0</v>
      </c>
      <c r="J52" s="2763">
        <v>0</v>
      </c>
      <c r="K52" s="2763">
        <v>0</v>
      </c>
      <c r="L52" s="1059"/>
    </row>
    <row r="53" spans="1:12" ht="24" x14ac:dyDescent="0.25">
      <c r="A53" s="2776" t="s">
        <v>199</v>
      </c>
      <c r="B53" s="2552" t="s">
        <v>571</v>
      </c>
      <c r="C53" s="2791" t="s">
        <v>22</v>
      </c>
      <c r="D53" s="2762">
        <f>D54+D55+D56</f>
        <v>8853.31</v>
      </c>
      <c r="E53" s="2762">
        <f>E54+E55+E56</f>
        <v>839.13</v>
      </c>
      <c r="F53" s="2762">
        <f>F54+F55+F56</f>
        <v>1198.73</v>
      </c>
      <c r="G53" s="2762">
        <f>G54+G55+G56</f>
        <v>1128.18201598</v>
      </c>
      <c r="H53" s="2762">
        <f t="shared" ref="H53:K53" si="17">H54+H55+H56</f>
        <v>0</v>
      </c>
      <c r="I53" s="2762">
        <f t="shared" si="17"/>
        <v>0</v>
      </c>
      <c r="J53" s="2762">
        <f t="shared" si="17"/>
        <v>0</v>
      </c>
      <c r="K53" s="2762">
        <f t="shared" si="17"/>
        <v>1128.18201598</v>
      </c>
      <c r="L53" s="1059"/>
    </row>
    <row r="54" spans="1:12" x14ac:dyDescent="0.25">
      <c r="A54" s="2776" t="s">
        <v>246</v>
      </c>
      <c r="B54" s="2552" t="s">
        <v>248</v>
      </c>
      <c r="C54" s="2791" t="s">
        <v>22</v>
      </c>
      <c r="D54" s="2762">
        <f>'Д 7_РП'!E72</f>
        <v>0</v>
      </c>
      <c r="E54" s="2762">
        <f>'Д 7_РП'!F72</f>
        <v>0</v>
      </c>
      <c r="F54" s="2762">
        <v>0</v>
      </c>
      <c r="G54" s="2762">
        <f>'Д 7_РП'!G72</f>
        <v>0</v>
      </c>
      <c r="H54" s="2792">
        <v>0</v>
      </c>
      <c r="I54" s="2792">
        <v>0</v>
      </c>
      <c r="J54" s="2792">
        <v>0</v>
      </c>
      <c r="K54" s="2763">
        <f>G54</f>
        <v>0</v>
      </c>
    </row>
    <row r="55" spans="1:12" x14ac:dyDescent="0.25">
      <c r="A55" s="2776" t="s">
        <v>247</v>
      </c>
      <c r="B55" s="2552" t="s">
        <v>96</v>
      </c>
      <c r="C55" s="2791" t="s">
        <v>22</v>
      </c>
      <c r="D55" s="2762">
        <v>0</v>
      </c>
      <c r="E55" s="2762">
        <v>0</v>
      </c>
      <c r="F55" s="2763">
        <v>0</v>
      </c>
      <c r="G55" s="2763">
        <v>0</v>
      </c>
      <c r="H55" s="2763">
        <v>0</v>
      </c>
      <c r="I55" s="2763">
        <v>0</v>
      </c>
      <c r="J55" s="2763">
        <v>0</v>
      </c>
      <c r="K55" s="2763">
        <v>0</v>
      </c>
    </row>
    <row r="56" spans="1:12" ht="24" customHeight="1" x14ac:dyDescent="0.25">
      <c r="A56" s="2776" t="s">
        <v>572</v>
      </c>
      <c r="B56" s="2552" t="s">
        <v>249</v>
      </c>
      <c r="C56" s="2791" t="s">
        <v>22</v>
      </c>
      <c r="D56" s="2762">
        <f>D57+D58+D59+D60</f>
        <v>8853.31</v>
      </c>
      <c r="E56" s="2762">
        <f>E57+E58+E59+E60</f>
        <v>839.13</v>
      </c>
      <c r="F56" s="2762">
        <v>1198.73</v>
      </c>
      <c r="G56" s="2762">
        <f>G57+G58+G59+G60</f>
        <v>1128.18201598</v>
      </c>
      <c r="H56" s="2763">
        <f>G57</f>
        <v>0</v>
      </c>
      <c r="I56" s="2763">
        <f>G58</f>
        <v>0</v>
      </c>
      <c r="J56" s="2763">
        <f>G59</f>
        <v>0</v>
      </c>
      <c r="K56" s="2763">
        <f>G60</f>
        <v>1128.18201598</v>
      </c>
    </row>
    <row r="57" spans="1:12" ht="12" hidden="1" customHeight="1" x14ac:dyDescent="0.25">
      <c r="A57" s="2776" t="s">
        <v>573</v>
      </c>
      <c r="B57" s="2552" t="s">
        <v>3</v>
      </c>
      <c r="C57" s="2791" t="s">
        <v>22</v>
      </c>
      <c r="D57" s="2762">
        <f>'Д 7_РП'!$E$75</f>
        <v>0</v>
      </c>
      <c r="E57" s="2762">
        <f>'Д 7_РП'!$F$75</f>
        <v>0</v>
      </c>
      <c r="F57" s="2762">
        <v>15403.75</v>
      </c>
      <c r="G57" s="2762">
        <f>'Д 7_РП'!G77</f>
        <v>0</v>
      </c>
      <c r="H57" s="2192" t="s">
        <v>3133</v>
      </c>
      <c r="I57" s="2192" t="s">
        <v>3133</v>
      </c>
      <c r="J57" s="2192" t="s">
        <v>3133</v>
      </c>
      <c r="K57" s="2192" t="s">
        <v>3133</v>
      </c>
    </row>
    <row r="58" spans="1:12" ht="12" hidden="1" customHeight="1" x14ac:dyDescent="0.25">
      <c r="A58" s="2776" t="s">
        <v>574</v>
      </c>
      <c r="B58" s="2552" t="s">
        <v>174</v>
      </c>
      <c r="C58" s="2791" t="s">
        <v>22</v>
      </c>
      <c r="D58" s="2762">
        <f>'Д 7_РП'!$E$83</f>
        <v>0</v>
      </c>
      <c r="E58" s="2762">
        <f>'Д 7_РП'!$F$83</f>
        <v>0</v>
      </c>
      <c r="F58" s="2762">
        <v>0</v>
      </c>
      <c r="G58" s="2762">
        <f>'Д 7_РП'!G85</f>
        <v>0</v>
      </c>
      <c r="H58" s="2192" t="s">
        <v>3133</v>
      </c>
      <c r="I58" s="2192" t="s">
        <v>3133</v>
      </c>
      <c r="J58" s="2192" t="s">
        <v>3133</v>
      </c>
      <c r="K58" s="2192" t="s">
        <v>3133</v>
      </c>
    </row>
    <row r="59" spans="1:12" hidden="1" x14ac:dyDescent="0.25">
      <c r="A59" s="2776" t="s">
        <v>575</v>
      </c>
      <c r="B59" s="2552" t="s">
        <v>98</v>
      </c>
      <c r="C59" s="2791" t="s">
        <v>22</v>
      </c>
      <c r="D59" s="2762">
        <f>'Д 7_РП'!$E$87</f>
        <v>198.47</v>
      </c>
      <c r="E59" s="2762">
        <f>'Д 7_РП'!$F$87</f>
        <v>86</v>
      </c>
      <c r="F59" s="2762">
        <v>2122.2199999999998</v>
      </c>
      <c r="G59" s="2762">
        <f>'Д 7_РП'!G89</f>
        <v>0</v>
      </c>
      <c r="H59" s="2192" t="s">
        <v>3133</v>
      </c>
      <c r="I59" s="2192" t="s">
        <v>3133</v>
      </c>
      <c r="J59" s="2192" t="s">
        <v>3133</v>
      </c>
      <c r="K59" s="2192" t="s">
        <v>3133</v>
      </c>
    </row>
    <row r="60" spans="1:12" ht="12" hidden="1" customHeight="1" x14ac:dyDescent="0.25">
      <c r="A60" s="2776" t="s">
        <v>576</v>
      </c>
      <c r="B60" s="2552" t="s">
        <v>110</v>
      </c>
      <c r="C60" s="2791" t="s">
        <v>22</v>
      </c>
      <c r="D60" s="2762">
        <f>'Д 7_РП'!$E$91</f>
        <v>8654.84</v>
      </c>
      <c r="E60" s="2762">
        <f>'Д 7_РП'!$F$91</f>
        <v>753.13</v>
      </c>
      <c r="F60" s="2762">
        <v>1097.57</v>
      </c>
      <c r="G60" s="2762">
        <f>'Д 7_РП'!G93</f>
        <v>1128.18201598</v>
      </c>
      <c r="H60" s="2192" t="s">
        <v>3133</v>
      </c>
      <c r="I60" s="2192" t="s">
        <v>3133</v>
      </c>
      <c r="J60" s="2192" t="s">
        <v>3133</v>
      </c>
      <c r="K60" s="2192" t="s">
        <v>3133</v>
      </c>
    </row>
    <row r="61" spans="1:12" ht="25.9" customHeight="1" x14ac:dyDescent="0.25">
      <c r="A61" s="2784" t="s">
        <v>200</v>
      </c>
      <c r="B61" s="2931" t="s">
        <v>577</v>
      </c>
      <c r="C61" s="2192" t="s">
        <v>22</v>
      </c>
      <c r="D61" s="2762">
        <v>0</v>
      </c>
      <c r="E61" s="2762">
        <v>0</v>
      </c>
      <c r="F61" s="2762">
        <v>0</v>
      </c>
      <c r="G61" s="2762">
        <v>0</v>
      </c>
      <c r="H61" s="2762">
        <v>0</v>
      </c>
      <c r="I61" s="2762">
        <v>0</v>
      </c>
      <c r="J61" s="2762">
        <v>0</v>
      </c>
      <c r="K61" s="2762">
        <v>0</v>
      </c>
      <c r="L61" s="1059"/>
    </row>
    <row r="62" spans="1:12" ht="24" x14ac:dyDescent="0.25">
      <c r="A62" s="2784" t="s">
        <v>201</v>
      </c>
      <c r="B62" s="2928" t="s">
        <v>578</v>
      </c>
      <c r="C62" s="2192" t="s">
        <v>74</v>
      </c>
      <c r="D62" s="2762">
        <v>0</v>
      </c>
      <c r="E62" s="2762">
        <v>0</v>
      </c>
      <c r="F62" s="2762">
        <v>0</v>
      </c>
      <c r="G62" s="2762">
        <v>0</v>
      </c>
      <c r="H62" s="2762">
        <v>0</v>
      </c>
      <c r="I62" s="2762">
        <v>0</v>
      </c>
      <c r="J62" s="2762">
        <v>0</v>
      </c>
      <c r="K62" s="2762">
        <v>0</v>
      </c>
      <c r="L62" s="1059"/>
    </row>
    <row r="63" spans="1:12" hidden="1" x14ac:dyDescent="0.25">
      <c r="A63" s="2794"/>
      <c r="B63" s="2795"/>
      <c r="C63" s="2796"/>
      <c r="D63" s="2797"/>
      <c r="E63" s="2797"/>
      <c r="F63" s="2797"/>
      <c r="G63" s="2797"/>
      <c r="H63" s="2797"/>
      <c r="I63" s="2797"/>
      <c r="J63" s="2797"/>
      <c r="K63" s="2797"/>
    </row>
    <row r="64" spans="1:12" s="2419" customFormat="1" ht="11.25" x14ac:dyDescent="0.2">
      <c r="A64" s="2932" t="s">
        <v>79</v>
      </c>
      <c r="B64" s="2933"/>
      <c r="C64" s="2933"/>
      <c r="D64" s="2933"/>
      <c r="E64" s="2933"/>
      <c r="F64" s="2933"/>
      <c r="G64" s="2933"/>
      <c r="H64" s="2933"/>
      <c r="I64" s="2933"/>
      <c r="J64" s="2933"/>
      <c r="K64" s="2933"/>
    </row>
    <row r="65" spans="1:27" s="2419" customFormat="1" ht="11.25" x14ac:dyDescent="0.2">
      <c r="A65" s="2932"/>
      <c r="B65" s="2933"/>
      <c r="C65" s="2933"/>
      <c r="D65" s="2933"/>
      <c r="E65" s="2933"/>
      <c r="F65" s="2933"/>
      <c r="G65" s="2933"/>
      <c r="H65" s="2933"/>
      <c r="I65" s="2933"/>
      <c r="J65" s="2933"/>
      <c r="K65" s="2933"/>
    </row>
    <row r="66" spans="1:27" s="146" customFormat="1" ht="12" customHeight="1" x14ac:dyDescent="0.25">
      <c r="A66" s="2799"/>
      <c r="B66" s="2800"/>
      <c r="C66" s="2800"/>
      <c r="D66" s="2800"/>
      <c r="E66" s="2800"/>
      <c r="F66" s="2800"/>
      <c r="G66" s="2800"/>
      <c r="H66" s="2800"/>
      <c r="I66" s="2800"/>
      <c r="J66" s="2800"/>
      <c r="K66" s="2800"/>
      <c r="L66" s="1056"/>
      <c r="M66" s="1056"/>
      <c r="N66" s="1056"/>
      <c r="O66" s="1056"/>
      <c r="P66" s="1056"/>
      <c r="Q66" s="1056"/>
      <c r="R66" s="1056"/>
      <c r="S66" s="1056"/>
      <c r="T66" s="1056"/>
      <c r="U66" s="1056"/>
      <c r="V66" s="1056"/>
      <c r="W66" s="1056"/>
      <c r="X66" s="1056"/>
      <c r="Y66" s="1056"/>
      <c r="Z66" s="1056"/>
      <c r="AA66" s="1056"/>
    </row>
    <row r="67" spans="1:27" s="146" customFormat="1" ht="31.5" customHeight="1" x14ac:dyDescent="0.25">
      <c r="A67" s="2799"/>
      <c r="B67" s="3654" t="str">
        <f>'Вхідні дані'!B14</f>
        <v>Заступник начальника Адміністрації морського порту Чорноморськ з технічних питань та розвитку</v>
      </c>
      <c r="C67" s="3735" t="s">
        <v>250</v>
      </c>
      <c r="D67" s="3736"/>
      <c r="E67" s="2800"/>
      <c r="F67" s="2800"/>
      <c r="G67" s="2800"/>
      <c r="H67" s="3737" t="str">
        <f>'Вхідні дані'!F14</f>
        <v>Віталій ЛІПСКИЙ</v>
      </c>
      <c r="I67" s="3737"/>
      <c r="J67" s="3737"/>
      <c r="K67" s="2800"/>
      <c r="L67" s="1056"/>
      <c r="M67" s="1056"/>
      <c r="N67" s="1056"/>
      <c r="O67" s="1056"/>
      <c r="P67" s="1056"/>
      <c r="Q67" s="1056"/>
      <c r="R67" s="1056"/>
      <c r="S67" s="1056"/>
      <c r="T67" s="1056"/>
      <c r="U67" s="1056"/>
      <c r="V67" s="1056"/>
      <c r="W67" s="1056"/>
      <c r="X67" s="1056"/>
      <c r="Y67" s="1056"/>
      <c r="Z67" s="1056"/>
      <c r="AA67" s="1056"/>
    </row>
    <row r="68" spans="1:27" s="146" customFormat="1" ht="25.5" customHeight="1" x14ac:dyDescent="0.25">
      <c r="A68" s="2799"/>
      <c r="B68" s="2869" t="s">
        <v>242</v>
      </c>
      <c r="C68" s="3733" t="s">
        <v>220</v>
      </c>
      <c r="D68" s="3734"/>
      <c r="E68" s="2869"/>
      <c r="F68" s="2800"/>
      <c r="G68" s="2800"/>
      <c r="H68" s="3739" t="s">
        <v>240</v>
      </c>
      <c r="I68" s="3739"/>
      <c r="J68" s="3739"/>
      <c r="K68" s="2800"/>
      <c r="L68" s="1056"/>
      <c r="M68" s="1056"/>
      <c r="N68" s="1056"/>
      <c r="O68" s="1056"/>
      <c r="P68" s="1056"/>
      <c r="Q68" s="1056"/>
      <c r="R68" s="1056"/>
      <c r="S68" s="1056"/>
      <c r="T68" s="1056"/>
      <c r="U68" s="1056"/>
      <c r="V68" s="1056"/>
      <c r="W68" s="1056"/>
      <c r="X68" s="1056"/>
      <c r="Y68" s="1056"/>
      <c r="Z68" s="1056"/>
      <c r="AA68" s="1056"/>
    </row>
    <row r="69" spans="1:27" x14ac:dyDescent="0.25">
      <c r="A69" s="2934"/>
      <c r="B69" s="2935"/>
      <c r="C69" s="3650"/>
      <c r="D69" s="3650"/>
      <c r="E69" s="2935"/>
      <c r="F69" s="2935"/>
      <c r="G69" s="2935"/>
      <c r="H69" s="2935"/>
      <c r="I69" s="2935"/>
      <c r="J69" s="2935"/>
      <c r="K69" s="2935"/>
    </row>
    <row r="70" spans="1:27" s="146" customFormat="1" x14ac:dyDescent="0.25">
      <c r="A70" s="2799"/>
      <c r="B70" s="2800"/>
      <c r="C70" s="2800"/>
      <c r="D70" s="2800"/>
      <c r="E70" s="2800"/>
      <c r="F70" s="2800"/>
      <c r="G70" s="2800"/>
      <c r="H70" s="2800"/>
      <c r="I70" s="2800"/>
      <c r="J70" s="2800"/>
      <c r="K70" s="2800"/>
      <c r="L70" s="1056"/>
      <c r="M70" s="1056"/>
      <c r="N70" s="1056"/>
      <c r="O70" s="1056"/>
      <c r="P70" s="1056"/>
      <c r="Q70" s="1056"/>
      <c r="R70" s="1056"/>
      <c r="S70" s="1056"/>
      <c r="T70" s="1056"/>
      <c r="U70" s="1056"/>
      <c r="V70" s="1056"/>
      <c r="W70" s="1056"/>
      <c r="X70" s="1056"/>
      <c r="Y70" s="1056"/>
      <c r="Z70" s="1056"/>
      <c r="AA70" s="1056"/>
    </row>
    <row r="74" spans="1:27" x14ac:dyDescent="0.25">
      <c r="D74" s="1062"/>
      <c r="E74" s="1062"/>
      <c r="F74" s="1062"/>
      <c r="G74" s="1062"/>
    </row>
    <row r="76" spans="1:27" x14ac:dyDescent="0.25">
      <c r="D76" s="1063"/>
      <c r="E76" s="1063"/>
      <c r="F76" s="1063"/>
      <c r="G76" s="1063"/>
    </row>
    <row r="77" spans="1:27" x14ac:dyDescent="0.25">
      <c r="D77" s="1062"/>
      <c r="E77" s="1062"/>
      <c r="F77" s="1062"/>
      <c r="G77" s="1062"/>
      <c r="H77" s="1062"/>
      <c r="I77" s="1062"/>
      <c r="J77" s="1062"/>
      <c r="K77" s="1062"/>
    </row>
    <row r="78" spans="1:27" x14ac:dyDescent="0.25">
      <c r="D78" s="1063"/>
      <c r="E78" s="1063"/>
      <c r="F78" s="1063"/>
    </row>
  </sheetData>
  <mergeCells count="15">
    <mergeCell ref="A4:K4"/>
    <mergeCell ref="A6:K6"/>
    <mergeCell ref="H1:K1"/>
    <mergeCell ref="A3:K3"/>
    <mergeCell ref="A7:A9"/>
    <mergeCell ref="B7:B9"/>
    <mergeCell ref="C7:C9"/>
    <mergeCell ref="D7:F7"/>
    <mergeCell ref="G7:G8"/>
    <mergeCell ref="C68:D68"/>
    <mergeCell ref="C67:D67"/>
    <mergeCell ref="H67:J67"/>
    <mergeCell ref="B5:F5"/>
    <mergeCell ref="H68:J68"/>
    <mergeCell ref="H7:K7"/>
  </mergeCells>
  <conditionalFormatting sqref="B1:B2">
    <cfRule type="containsText" dxfId="49" priority="1" operator="containsText" text="Для корек">
      <formula>NOT(ISERROR(SEARCH("Для корек",B1)))</formula>
    </cfRule>
  </conditionalFormatting>
  <pageMargins left="0.43307086614173229" right="0.27559055118110237" top="0.78740157480314965" bottom="0.23622047244094491" header="0.62992125984251968" footer="0.31496062992125984"/>
  <pageSetup paperSize="9" scale="98" fitToHeight="0" orientation="landscape" r:id="rId1"/>
  <headerFooter differentFirst="1">
    <oddHeader>&amp;Rпродовження додатку 3</oddHeader>
  </headerFooter>
  <rowBreaks count="1" manualBreakCount="1">
    <brk id="33" max="1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8" tint="-0.249977111117893"/>
  </sheetPr>
  <dimension ref="A1:P41"/>
  <sheetViews>
    <sheetView topLeftCell="A16" workbookViewId="0">
      <selection activeCell="J24" sqref="J24"/>
    </sheetView>
  </sheetViews>
  <sheetFormatPr defaultColWidth="8.85546875" defaultRowHeight="15" x14ac:dyDescent="0.25"/>
  <cols>
    <col min="1" max="1" width="6.7109375" customWidth="1"/>
    <col min="2" max="2" width="33.7109375" customWidth="1"/>
    <col min="4" max="10" width="11.7109375" customWidth="1"/>
    <col min="11" max="11" width="13.7109375" customWidth="1"/>
    <col min="13" max="13" width="10" customWidth="1"/>
    <col min="14" max="14" width="10.42578125" customWidth="1"/>
  </cols>
  <sheetData>
    <row r="1" spans="1:16" ht="15.75" x14ac:dyDescent="0.25">
      <c r="A1" s="4360" t="s">
        <v>2693</v>
      </c>
      <c r="B1" s="4360"/>
      <c r="C1" s="4360"/>
      <c r="D1" s="4360"/>
      <c r="E1" s="4360"/>
      <c r="F1" s="4360"/>
      <c r="G1" s="4360"/>
      <c r="H1" s="4360"/>
      <c r="I1" s="4360"/>
      <c r="J1" s="4360"/>
      <c r="K1" s="4360"/>
    </row>
    <row r="2" spans="1:16" ht="16.5" thickBot="1" x14ac:dyDescent="0.3">
      <c r="J2" s="1811"/>
      <c r="K2" s="1988" t="s">
        <v>996</v>
      </c>
    </row>
    <row r="3" spans="1:16" s="1835" customFormat="1" ht="15.6" customHeight="1" x14ac:dyDescent="0.25">
      <c r="A3" s="4361" t="s">
        <v>2163</v>
      </c>
      <c r="B3" s="4364" t="s">
        <v>8</v>
      </c>
      <c r="C3" s="4367" t="s">
        <v>2164</v>
      </c>
      <c r="D3" s="4370" t="s">
        <v>2694</v>
      </c>
      <c r="E3" s="4364" t="s">
        <v>2270</v>
      </c>
      <c r="F3" s="4364">
        <v>2315</v>
      </c>
      <c r="G3" s="4364">
        <v>2316</v>
      </c>
      <c r="H3" s="4364" t="s">
        <v>3077</v>
      </c>
      <c r="I3" s="4373" t="s">
        <v>2695</v>
      </c>
      <c r="J3" s="4376" t="s">
        <v>2696</v>
      </c>
      <c r="K3" s="4376" t="s">
        <v>2387</v>
      </c>
    </row>
    <row r="4" spans="1:16" s="1835" customFormat="1" x14ac:dyDescent="0.25">
      <c r="A4" s="4362"/>
      <c r="B4" s="4365"/>
      <c r="C4" s="4368"/>
      <c r="D4" s="4371"/>
      <c r="E4" s="4365"/>
      <c r="F4" s="4365"/>
      <c r="G4" s="4365"/>
      <c r="H4" s="4365"/>
      <c r="I4" s="4374"/>
      <c r="J4" s="4377"/>
      <c r="K4" s="4377"/>
    </row>
    <row r="5" spans="1:16" s="1835" customFormat="1" x14ac:dyDescent="0.25">
      <c r="A5" s="4362"/>
      <c r="B5" s="4365"/>
      <c r="C5" s="4368"/>
      <c r="D5" s="4371"/>
      <c r="E5" s="4365"/>
      <c r="F5" s="4365"/>
      <c r="G5" s="4365"/>
      <c r="H5" s="4365"/>
      <c r="I5" s="4374"/>
      <c r="J5" s="4377"/>
      <c r="K5" s="4377"/>
    </row>
    <row r="6" spans="1:16" s="1835" customFormat="1" ht="15.75" thickBot="1" x14ac:dyDescent="0.3">
      <c r="A6" s="4363"/>
      <c r="B6" s="4366"/>
      <c r="C6" s="4369"/>
      <c r="D6" s="4372"/>
      <c r="E6" s="4366"/>
      <c r="F6" s="4366"/>
      <c r="G6" s="4366"/>
      <c r="H6" s="4366"/>
      <c r="I6" s="4375"/>
      <c r="J6" s="4378"/>
      <c r="K6" s="4378"/>
    </row>
    <row r="7" spans="1:16" s="1835" customFormat="1" ht="15.75" thickBot="1" x14ac:dyDescent="0.3">
      <c r="A7" s="2009">
        <v>1</v>
      </c>
      <c r="B7" s="2010">
        <f>A7+1</f>
        <v>2</v>
      </c>
      <c r="C7" s="2011">
        <f t="shared" ref="C7:K7" si="0">B7+1</f>
        <v>3</v>
      </c>
      <c r="D7" s="2011">
        <f t="shared" si="0"/>
        <v>4</v>
      </c>
      <c r="E7" s="2011">
        <f t="shared" si="0"/>
        <v>5</v>
      </c>
      <c r="F7" s="2011"/>
      <c r="G7" s="2011"/>
      <c r="H7" s="2011"/>
      <c r="I7" s="2011">
        <f>E7+1</f>
        <v>6</v>
      </c>
      <c r="J7" s="2011">
        <f t="shared" si="0"/>
        <v>7</v>
      </c>
      <c r="K7" s="2012">
        <f t="shared" si="0"/>
        <v>8</v>
      </c>
    </row>
    <row r="8" spans="1:16" ht="31.5" x14ac:dyDescent="0.25">
      <c r="A8" s="2014">
        <v>1</v>
      </c>
      <c r="B8" s="2015" t="s">
        <v>2169</v>
      </c>
      <c r="C8" s="2016" t="s">
        <v>2170</v>
      </c>
      <c r="D8" s="2017">
        <f t="shared" ref="D8:I8" si="1">D9+D10+D11+D15</f>
        <v>1387.2179100000001</v>
      </c>
      <c r="E8" s="2017">
        <f t="shared" si="1"/>
        <v>3153.8377816666671</v>
      </c>
      <c r="F8" s="2017"/>
      <c r="G8" s="2017"/>
      <c r="H8" s="2017"/>
      <c r="I8" s="2017">
        <f t="shared" si="1"/>
        <v>5259.613159999999</v>
      </c>
      <c r="J8" s="2017">
        <f>J9+J10+J11+J15</f>
        <v>869.59227885244104</v>
      </c>
      <c r="K8" s="2018">
        <f>K9+K10+K11+K15</f>
        <v>3.8441474318446458</v>
      </c>
    </row>
    <row r="9" spans="1:16" ht="31.5" x14ac:dyDescent="0.25">
      <c r="A9" s="1989" t="s">
        <v>23</v>
      </c>
      <c r="B9" s="1728" t="s">
        <v>103</v>
      </c>
      <c r="C9" s="1990" t="s">
        <v>40</v>
      </c>
      <c r="D9" s="1809">
        <f>[48]ВКО!D6+[48]АО!D6</f>
        <v>114.29572000000002</v>
      </c>
      <c r="E9" s="1809">
        <f>[48]ВКО!E6+[48]АО!E6</f>
        <v>163.71092166666665</v>
      </c>
      <c r="F9" s="1809"/>
      <c r="G9" s="1809"/>
      <c r="H9" s="1809"/>
      <c r="I9" s="1809">
        <f>[48]ВКО!F6+[48]АО!F6</f>
        <v>129.62645000000001</v>
      </c>
      <c r="J9" s="1809">
        <f>[48]ВКО!G6+[48]АО!G6</f>
        <v>153.09028065166666</v>
      </c>
      <c r="K9" s="2019">
        <f>J9/$J$33/12*1000</f>
        <v>0.67675578948803194</v>
      </c>
    </row>
    <row r="10" spans="1:16" ht="31.5" x14ac:dyDescent="0.25">
      <c r="A10" s="1989" t="s">
        <v>24</v>
      </c>
      <c r="B10" s="1728" t="s">
        <v>47</v>
      </c>
      <c r="C10" s="1990" t="s">
        <v>40</v>
      </c>
      <c r="D10" s="1992">
        <f>[48]ВКО!D14+[48]АО!D17</f>
        <v>861.74115000000006</v>
      </c>
      <c r="E10" s="1992">
        <f>[48]ВКО!E14+[48]АО!E17</f>
        <v>2000.33294</v>
      </c>
      <c r="F10" s="1992"/>
      <c r="G10" s="1992"/>
      <c r="H10" s="1992"/>
      <c r="I10" s="1992">
        <f>[48]ВКО!F14+[48]АО!F17</f>
        <v>3079.5924999999997</v>
      </c>
      <c r="J10" s="1992">
        <f>ФОП!H29/1000+ФОП!H39/1000</f>
        <v>0</v>
      </c>
      <c r="K10" s="2019">
        <f>J10/$J$33/12*1000</f>
        <v>0</v>
      </c>
    </row>
    <row r="11" spans="1:16" ht="31.5" x14ac:dyDescent="0.25">
      <c r="A11" s="1989" t="s">
        <v>48</v>
      </c>
      <c r="B11" s="1728" t="s">
        <v>2174</v>
      </c>
      <c r="C11" s="1990" t="s">
        <v>40</v>
      </c>
      <c r="D11" s="1991">
        <f t="shared" ref="D11:I11" si="2">SUM(D12:D14)</f>
        <v>411.18103999999994</v>
      </c>
      <c r="E11" s="1991">
        <f t="shared" si="2"/>
        <v>989.7939200000003</v>
      </c>
      <c r="F11" s="1991"/>
      <c r="G11" s="1991"/>
      <c r="H11" s="1991"/>
      <c r="I11" s="1991">
        <f t="shared" si="2"/>
        <v>2050.3942099999995</v>
      </c>
      <c r="J11" s="1991">
        <f>SUM(J12:J14)</f>
        <v>716.50199820077432</v>
      </c>
      <c r="K11" s="2020">
        <f>SUM(K12:K14)</f>
        <v>3.167391642356614</v>
      </c>
    </row>
    <row r="12" spans="1:16" ht="15.75" x14ac:dyDescent="0.25">
      <c r="A12" s="1993" t="s">
        <v>49</v>
      </c>
      <c r="B12" s="1729" t="s">
        <v>2175</v>
      </c>
      <c r="C12" s="1994" t="s">
        <v>40</v>
      </c>
      <c r="D12" s="1992">
        <f>[48]ВКО!D17+[48]АО!D20</f>
        <v>171.24695000000003</v>
      </c>
      <c r="E12" s="1992">
        <f>[48]ВКО!E17+[48]АО!E20</f>
        <v>405.32799</v>
      </c>
      <c r="F12" s="1992"/>
      <c r="G12" s="1992"/>
      <c r="H12" s="1992"/>
      <c r="I12" s="1992">
        <f>[48]ВКО!F17+[48]АО!F20</f>
        <v>632.25732000000005</v>
      </c>
      <c r="J12" s="1992">
        <f>ФОП!H31/1000+ФОП!H41/1000</f>
        <v>0</v>
      </c>
      <c r="K12" s="2019">
        <f>J12/$J$33/12*1000</f>
        <v>0</v>
      </c>
    </row>
    <row r="13" spans="1:16" ht="15.75" x14ac:dyDescent="0.25">
      <c r="A13" s="1993" t="s">
        <v>50</v>
      </c>
      <c r="B13" s="1729" t="s">
        <v>2176</v>
      </c>
      <c r="C13" s="1994" t="s">
        <v>40</v>
      </c>
      <c r="D13" s="1809">
        <f>[48]ВКО!D18+[48]АО!D21</f>
        <v>5.2420800000000005</v>
      </c>
      <c r="E13" s="1809">
        <f>[48]ВКО!E18+[48]АО!E21</f>
        <v>21.47514</v>
      </c>
      <c r="F13" s="1809"/>
      <c r="G13" s="1809"/>
      <c r="H13" s="1809"/>
      <c r="I13" s="1809">
        <f>[48]ВКО!F18+[48]АО!F21</f>
        <v>16.662140000000001</v>
      </c>
      <c r="J13" s="1809">
        <f>[48]ВКО!G18+[48]АО!G21</f>
        <v>39.59984</v>
      </c>
      <c r="K13" s="2019">
        <f>J13/$J$33/12*1000</f>
        <v>0.17505631885134296</v>
      </c>
      <c r="N13" t="s">
        <v>2709</v>
      </c>
      <c r="O13" t="s">
        <v>2710</v>
      </c>
    </row>
    <row r="14" spans="1:16" ht="15.75" x14ac:dyDescent="0.25">
      <c r="A14" s="1993" t="s">
        <v>51</v>
      </c>
      <c r="B14" s="1729" t="s">
        <v>82</v>
      </c>
      <c r="C14" s="1994" t="s">
        <v>40</v>
      </c>
      <c r="D14" s="1992">
        <f>[48]ВКО!D5+[48]АО!D5-'[48]структура ВКО+АО'!D9-'[48]структура ВКО+АО'!D10-'[48]структура ВКО+АО'!D12-'[48]структура ВКО+АО'!D13</f>
        <v>234.69200999999993</v>
      </c>
      <c r="E14" s="1992">
        <f>[48]ВКО!E5+[48]АО!E5-'[48]структура ВКО+АО'!E9-'[48]структура ВКО+АО'!E10-'[48]структура ВКО+АО'!E12-'[48]структура ВКО+АО'!E13</f>
        <v>562.99079000000029</v>
      </c>
      <c r="F14" s="1992"/>
      <c r="G14" s="1992"/>
      <c r="H14" s="1992"/>
      <c r="I14" s="1992">
        <f>[48]ВКО!F5+[48]АО!F5-'[48]структура ВКО+АО'!F9-'[48]структура ВКО+АО'!F10-'[48]структура ВКО+АО'!F12-'[48]структура ВКО+АО'!F13</f>
        <v>1401.4747499999994</v>
      </c>
      <c r="J14" s="1992">
        <f>[48]ВКО!G5+[48]АО!G5-'[48]структура ВКО+АО'!G9-'[48]структура ВКО+АО'!G10-'[48]структура ВКО+АО'!G12-'[48]структура ВКО+АО'!G13</f>
        <v>676.90215820077435</v>
      </c>
      <c r="K14" s="2019">
        <f>J14/$J$33/12*1000</f>
        <v>2.9923353235052712</v>
      </c>
      <c r="M14">
        <v>704.6</v>
      </c>
      <c r="N14">
        <f>[48]банкам!$E$52</f>
        <v>429.25623333333334</v>
      </c>
      <c r="O14" s="2002">
        <f>J12-N14</f>
        <v>-429.25623333333334</v>
      </c>
      <c r="P14" s="88">
        <f>O14-O15-O16-O17-O18-O19-O20</f>
        <v>-706.87598583333352</v>
      </c>
    </row>
    <row r="15" spans="1:16" ht="31.5" x14ac:dyDescent="0.25">
      <c r="A15" s="1989" t="s">
        <v>53</v>
      </c>
      <c r="B15" s="1728" t="s">
        <v>2697</v>
      </c>
      <c r="C15" s="1990" t="s">
        <v>40</v>
      </c>
      <c r="D15" s="1991">
        <f t="shared" ref="D15:I15" si="3">SUM(D16:D18)</f>
        <v>0</v>
      </c>
      <c r="E15" s="1991">
        <f t="shared" si="3"/>
        <v>0</v>
      </c>
      <c r="F15" s="1991"/>
      <c r="G15" s="1991"/>
      <c r="H15" s="1991"/>
      <c r="I15" s="1991">
        <f t="shared" si="3"/>
        <v>0</v>
      </c>
      <c r="J15" s="1991">
        <f>SUM(J16:J18)</f>
        <v>0</v>
      </c>
      <c r="K15" s="2020">
        <f>SUM(K16:K18)</f>
        <v>0</v>
      </c>
      <c r="M15">
        <v>880.88</v>
      </c>
      <c r="O15">
        <f>[48]повірка!$G$426/1000</f>
        <v>111.49913250000017</v>
      </c>
      <c r="P15" t="s">
        <v>2711</v>
      </c>
    </row>
    <row r="16" spans="1:16" ht="15.75" x14ac:dyDescent="0.25">
      <c r="A16" s="1993" t="s">
        <v>54</v>
      </c>
      <c r="B16" s="1729" t="s">
        <v>55</v>
      </c>
      <c r="C16" s="1994" t="s">
        <v>40</v>
      </c>
      <c r="D16" s="1994"/>
      <c r="E16" s="1994"/>
      <c r="F16" s="1994"/>
      <c r="G16" s="1994"/>
      <c r="H16" s="1994"/>
      <c r="I16" s="1994"/>
      <c r="J16" s="1809">
        <f>ЗВВ_1ст!L21+ЗВВ_1ст!M21</f>
        <v>0</v>
      </c>
      <c r="K16" s="2019">
        <f>J16/$J$33/12*1000</f>
        <v>0</v>
      </c>
      <c r="O16" s="88">
        <f>[48]ВКО!$G$29</f>
        <v>40.833329999999997</v>
      </c>
      <c r="P16" t="s">
        <v>946</v>
      </c>
    </row>
    <row r="17" spans="1:16" ht="15.75" x14ac:dyDescent="0.25">
      <c r="A17" s="1993" t="s">
        <v>56</v>
      </c>
      <c r="B17" s="1729" t="s">
        <v>2175</v>
      </c>
      <c r="C17" s="1994" t="s">
        <v>40</v>
      </c>
      <c r="D17" s="1994"/>
      <c r="E17" s="1994"/>
      <c r="F17" s="1994"/>
      <c r="G17" s="1994"/>
      <c r="H17" s="1994"/>
      <c r="I17" s="1994"/>
      <c r="J17" s="1809">
        <f>ЗВВ_1ст!M23+ЗВВ_1ст!L23</f>
        <v>0</v>
      </c>
      <c r="K17" s="2019">
        <f>J17/$J$33/12*1000</f>
        <v>0</v>
      </c>
      <c r="O17" s="88">
        <f>[48]АО!$G$40</f>
        <v>51</v>
      </c>
      <c r="P17" t="s">
        <v>2712</v>
      </c>
    </row>
    <row r="18" spans="1:16" ht="15.75" x14ac:dyDescent="0.25">
      <c r="A18" s="1993" t="s">
        <v>57</v>
      </c>
      <c r="B18" s="1729" t="s">
        <v>58</v>
      </c>
      <c r="C18" s="1994" t="s">
        <v>40</v>
      </c>
      <c r="D18" s="1994"/>
      <c r="E18" s="1994"/>
      <c r="F18" s="1994"/>
      <c r="G18" s="1994"/>
      <c r="H18" s="1994"/>
      <c r="I18" s="1994"/>
      <c r="J18" s="1809">
        <f>ЗВВ_1ст!L8+ЗВВ_1ст!M8-ЗВВ_1ст!L20-ЗВВ_1ст!M20</f>
        <v>0</v>
      </c>
      <c r="K18" s="2019">
        <f>J18/$J$33/12*1000</f>
        <v>0</v>
      </c>
      <c r="O18" s="88">
        <f>[48]АО!$G$21+[48]ВКО!$G$18</f>
        <v>39.59984</v>
      </c>
      <c r="P18" t="s">
        <v>2713</v>
      </c>
    </row>
    <row r="19" spans="1:16" ht="17.45" customHeight="1" x14ac:dyDescent="0.25">
      <c r="A19" s="1989">
        <v>2</v>
      </c>
      <c r="B19" s="1728" t="s">
        <v>2178</v>
      </c>
      <c r="C19" s="1990" t="s">
        <v>40</v>
      </c>
      <c r="D19" s="1991">
        <f t="shared" ref="D19:I19" si="4">D20+D21+D22</f>
        <v>0</v>
      </c>
      <c r="E19" s="1991">
        <f t="shared" si="4"/>
        <v>0</v>
      </c>
      <c r="F19" s="1991"/>
      <c r="G19" s="1991"/>
      <c r="H19" s="1991"/>
      <c r="I19" s="1991">
        <f t="shared" si="4"/>
        <v>0</v>
      </c>
      <c r="J19" s="1991">
        <f>J20+J21+J22</f>
        <v>0</v>
      </c>
      <c r="K19" s="2020">
        <f>K20+K21+K22</f>
        <v>0</v>
      </c>
      <c r="L19" s="2002">
        <f>K19/K8</f>
        <v>0</v>
      </c>
      <c r="M19">
        <v>1042.57</v>
      </c>
      <c r="O19" s="2004">
        <f>'Зв''язок'!J60/1000+'Зв''язок'!K60/1000</f>
        <v>23.107449999999996</v>
      </c>
      <c r="P19" s="2005" t="s">
        <v>1336</v>
      </c>
    </row>
    <row r="20" spans="1:16" ht="15.75" x14ac:dyDescent="0.25">
      <c r="A20" s="1993" t="s">
        <v>25</v>
      </c>
      <c r="B20" s="1729" t="s">
        <v>55</v>
      </c>
      <c r="C20" s="1994" t="s">
        <v>40</v>
      </c>
      <c r="D20" s="1994"/>
      <c r="E20" s="1994"/>
      <c r="F20" s="1994"/>
      <c r="G20" s="1994"/>
      <c r="H20" s="1994"/>
      <c r="I20" s="1994"/>
      <c r="J20" s="1809">
        <f>Адміністративні_1ст!L21+Адміністративні_1ст!M21</f>
        <v>0</v>
      </c>
      <c r="K20" s="2019">
        <f>J20/$J$33/12*1000</f>
        <v>0</v>
      </c>
      <c r="O20" s="2003">
        <v>11.58</v>
      </c>
      <c r="P20" s="2005" t="s">
        <v>781</v>
      </c>
    </row>
    <row r="21" spans="1:16" ht="15.75" x14ac:dyDescent="0.25">
      <c r="A21" s="1993" t="s">
        <v>26</v>
      </c>
      <c r="B21" s="1729" t="s">
        <v>2175</v>
      </c>
      <c r="C21" s="1994" t="s">
        <v>40</v>
      </c>
      <c r="D21" s="1994"/>
      <c r="E21" s="1994"/>
      <c r="F21" s="1994"/>
      <c r="G21" s="1994"/>
      <c r="H21" s="1994"/>
      <c r="I21" s="1994"/>
      <c r="J21" s="1809">
        <f>Адміністративні_1ст!L23+Адміністративні_1ст!M23</f>
        <v>0</v>
      </c>
      <c r="K21" s="2019">
        <f>J21/$J$33/12*1000</f>
        <v>0</v>
      </c>
    </row>
    <row r="22" spans="1:16" ht="15.75" x14ac:dyDescent="0.25">
      <c r="A22" s="1993" t="s">
        <v>59</v>
      </c>
      <c r="B22" s="1729" t="s">
        <v>58</v>
      </c>
      <c r="C22" s="1994" t="s">
        <v>40</v>
      </c>
      <c r="D22" s="1994"/>
      <c r="E22" s="1994"/>
      <c r="F22" s="1994"/>
      <c r="G22" s="1994"/>
      <c r="H22" s="1994"/>
      <c r="I22" s="1994"/>
      <c r="J22" s="1809">
        <f>Адміністративні_1ст!L8+Адміністративні_1ст!M8-Адміністративні_1ст!L20-Адміністративні_1ст!M20</f>
        <v>0</v>
      </c>
      <c r="K22" s="2019">
        <f>J22/$J$33/12*1000</f>
        <v>0</v>
      </c>
    </row>
    <row r="23" spans="1:16" ht="31.5" x14ac:dyDescent="0.25">
      <c r="A23" s="1989" t="s">
        <v>181</v>
      </c>
      <c r="B23" s="1728" t="s">
        <v>2389</v>
      </c>
      <c r="C23" s="1990" t="s">
        <v>40</v>
      </c>
      <c r="D23" s="1990"/>
      <c r="E23" s="1990"/>
      <c r="F23" s="1990"/>
      <c r="G23" s="1990"/>
      <c r="H23" s="1990"/>
      <c r="I23" s="1990"/>
      <c r="J23" s="1991">
        <v>0</v>
      </c>
      <c r="K23" s="2020">
        <f>J23/$J$33/12*1000</f>
        <v>0</v>
      </c>
      <c r="M23">
        <v>3.52</v>
      </c>
      <c r="N23" s="2002">
        <f>M23-M37</f>
        <v>37.379458</v>
      </c>
      <c r="O23">
        <f>N23/1.2*J33/1000</f>
        <v>587.20013563166674</v>
      </c>
    </row>
    <row r="24" spans="1:16" ht="15.75" x14ac:dyDescent="0.25">
      <c r="A24" s="1993" t="s">
        <v>182</v>
      </c>
      <c r="B24" s="1729" t="s">
        <v>2714</v>
      </c>
      <c r="C24" s="1994" t="s">
        <v>40</v>
      </c>
      <c r="D24" s="1994"/>
      <c r="E24" s="1994"/>
      <c r="F24" s="1994"/>
      <c r="G24" s="1994"/>
      <c r="H24" s="1994"/>
      <c r="I24" s="1994"/>
      <c r="J24" s="2006">
        <v>-619</v>
      </c>
      <c r="K24" s="2019">
        <f t="shared" ref="K24" si="5">J24/$J$33/12*1000</f>
        <v>-2.7363711916255546</v>
      </c>
    </row>
    <row r="25" spans="1:16" ht="31.5" x14ac:dyDescent="0.25">
      <c r="A25" s="1989" t="s">
        <v>177</v>
      </c>
      <c r="B25" s="1728" t="s">
        <v>2390</v>
      </c>
      <c r="C25" s="1990" t="s">
        <v>40</v>
      </c>
      <c r="D25" s="1990"/>
      <c r="E25" s="1990"/>
      <c r="F25" s="1990"/>
      <c r="G25" s="1990"/>
      <c r="H25" s="1990"/>
      <c r="I25" s="1990"/>
      <c r="J25" s="1991">
        <f>J8+J19+J23+J24</f>
        <v>250.59227885244104</v>
      </c>
      <c r="K25" s="2020">
        <f>K8+K19+K23+K24</f>
        <v>1.1077762402190912</v>
      </c>
    </row>
    <row r="26" spans="1:16" ht="31.5" x14ac:dyDescent="0.25">
      <c r="A26" s="1989" t="s">
        <v>178</v>
      </c>
      <c r="B26" s="1728" t="s">
        <v>2391</v>
      </c>
      <c r="C26" s="1990" t="s">
        <v>40</v>
      </c>
      <c r="D26" s="1990"/>
      <c r="E26" s="1990"/>
      <c r="F26" s="1990"/>
      <c r="G26" s="1990"/>
      <c r="H26" s="1990"/>
      <c r="I26" s="1990"/>
      <c r="J26" s="1991">
        <f>J27+J28+J29+J30+J31</f>
        <v>0</v>
      </c>
      <c r="K26" s="2020">
        <f>K27+K28+K29+K30+K31</f>
        <v>0</v>
      </c>
    </row>
    <row r="27" spans="1:16" ht="15.75" x14ac:dyDescent="0.25">
      <c r="A27" s="1993" t="s">
        <v>32</v>
      </c>
      <c r="B27" s="1729" t="s">
        <v>65</v>
      </c>
      <c r="C27" s="1994" t="s">
        <v>40</v>
      </c>
      <c r="D27" s="1994"/>
      <c r="E27" s="1994"/>
      <c r="F27" s="1994"/>
      <c r="G27" s="1994"/>
      <c r="H27" s="1994"/>
      <c r="I27" s="1994"/>
      <c r="J27" s="1809"/>
      <c r="K27" s="2019">
        <f>J27/$J$33/12*1000</f>
        <v>0</v>
      </c>
    </row>
    <row r="28" spans="1:16" ht="15.75" x14ac:dyDescent="0.25">
      <c r="A28" s="1993" t="s">
        <v>33</v>
      </c>
      <c r="B28" s="1729" t="s">
        <v>85</v>
      </c>
      <c r="C28" s="1994" t="s">
        <v>40</v>
      </c>
      <c r="D28" s="1994"/>
      <c r="E28" s="1994"/>
      <c r="F28" s="1994"/>
      <c r="G28" s="1994"/>
      <c r="H28" s="1994"/>
      <c r="I28" s="1994"/>
      <c r="J28" s="1809"/>
      <c r="K28" s="2019">
        <f t="shared" ref="K28:K31" si="6">J28/$J$33/12*1000</f>
        <v>0</v>
      </c>
    </row>
    <row r="29" spans="1:16" ht="15.75" x14ac:dyDescent="0.25">
      <c r="A29" s="1993" t="s">
        <v>34</v>
      </c>
      <c r="B29" s="1729" t="s">
        <v>86</v>
      </c>
      <c r="C29" s="1994" t="s">
        <v>40</v>
      </c>
      <c r="D29" s="1994"/>
      <c r="E29" s="1994"/>
      <c r="F29" s="1994"/>
      <c r="G29" s="1994"/>
      <c r="H29" s="1994"/>
      <c r="I29" s="1994"/>
      <c r="J29" s="1809"/>
      <c r="K29" s="2019">
        <f t="shared" si="6"/>
        <v>0</v>
      </c>
    </row>
    <row r="30" spans="1:16" ht="31.5" x14ac:dyDescent="0.25">
      <c r="A30" s="1993" t="s">
        <v>2392</v>
      </c>
      <c r="B30" s="1729" t="s">
        <v>71</v>
      </c>
      <c r="C30" s="1994" t="s">
        <v>40</v>
      </c>
      <c r="D30" s="1994"/>
      <c r="E30" s="1994"/>
      <c r="F30" s="1994"/>
      <c r="G30" s="1994"/>
      <c r="H30" s="1994"/>
      <c r="I30" s="1994"/>
      <c r="J30" s="1809"/>
      <c r="K30" s="2019">
        <f t="shared" si="6"/>
        <v>0</v>
      </c>
    </row>
    <row r="31" spans="1:16" ht="15.75" x14ac:dyDescent="0.25">
      <c r="A31" s="1993" t="s">
        <v>2393</v>
      </c>
      <c r="B31" s="1729" t="s">
        <v>2394</v>
      </c>
      <c r="C31" s="1994" t="s">
        <v>40</v>
      </c>
      <c r="D31" s="1994"/>
      <c r="E31" s="1994"/>
      <c r="F31" s="1994"/>
      <c r="G31" s="1994"/>
      <c r="H31" s="1994"/>
      <c r="I31" s="1994"/>
      <c r="J31" s="1809"/>
      <c r="K31" s="2019">
        <f t="shared" si="6"/>
        <v>0</v>
      </c>
    </row>
    <row r="32" spans="1:16" ht="31.5" x14ac:dyDescent="0.25">
      <c r="A32" s="1989" t="s">
        <v>179</v>
      </c>
      <c r="B32" s="1728" t="s">
        <v>2183</v>
      </c>
      <c r="C32" s="1728" t="s">
        <v>40</v>
      </c>
      <c r="D32" s="1728"/>
      <c r="E32" s="1728"/>
      <c r="F32" s="1728"/>
      <c r="G32" s="1728"/>
      <c r="H32" s="1728"/>
      <c r="I32" s="1728"/>
      <c r="J32" s="1991">
        <f>J25+J26</f>
        <v>250.59227885244104</v>
      </c>
      <c r="K32" s="2020">
        <f>K25+K26</f>
        <v>1.1077762402190912</v>
      </c>
    </row>
    <row r="33" spans="1:14" ht="15.75" x14ac:dyDescent="0.25">
      <c r="A33" s="1993" t="s">
        <v>180</v>
      </c>
      <c r="B33" s="1729" t="s">
        <v>2395</v>
      </c>
      <c r="C33" s="1729" t="s">
        <v>895</v>
      </c>
      <c r="D33" s="1729"/>
      <c r="E33" s="1729"/>
      <c r="F33" s="1729"/>
      <c r="G33" s="1729"/>
      <c r="H33" s="1729"/>
      <c r="I33" s="1729"/>
      <c r="J33" s="1995">
        <f>18614+237</f>
        <v>18851</v>
      </c>
      <c r="K33" s="2021">
        <v>1</v>
      </c>
    </row>
    <row r="34" spans="1:14" ht="31.5" x14ac:dyDescent="0.25">
      <c r="A34" s="1989" t="s">
        <v>195</v>
      </c>
      <c r="B34" s="1728" t="s">
        <v>2396</v>
      </c>
      <c r="C34" s="1996" t="s">
        <v>2397</v>
      </c>
      <c r="D34" s="1996"/>
      <c r="E34" s="1996"/>
      <c r="F34" s="1996"/>
      <c r="G34" s="1996"/>
      <c r="H34" s="1996"/>
      <c r="I34" s="1996"/>
      <c r="J34" s="1809">
        <f>ROUND(J32/J33*1000/12,2)</f>
        <v>1.1100000000000001</v>
      </c>
      <c r="K34" s="2021"/>
    </row>
    <row r="35" spans="1:14" ht="31.5" x14ac:dyDescent="0.25">
      <c r="A35" s="1989" t="s">
        <v>196</v>
      </c>
      <c r="B35" s="1728" t="s">
        <v>2398</v>
      </c>
      <c r="C35" s="1728" t="s">
        <v>2397</v>
      </c>
      <c r="D35" s="1728"/>
      <c r="E35" s="1728"/>
      <c r="F35" s="1728"/>
      <c r="G35" s="1728"/>
      <c r="H35" s="1728"/>
      <c r="I35" s="1728"/>
      <c r="J35" s="1997">
        <f>J34*1.2</f>
        <v>1.3320000000000001</v>
      </c>
      <c r="K35" s="2021"/>
    </row>
    <row r="36" spans="1:14" ht="15.75" x14ac:dyDescent="0.25">
      <c r="A36" s="1989"/>
      <c r="B36" s="1730" t="s">
        <v>2399</v>
      </c>
      <c r="C36" s="1728"/>
      <c r="D36" s="1728"/>
      <c r="E36" s="1728"/>
      <c r="F36" s="1728"/>
      <c r="G36" s="1728"/>
      <c r="H36" s="1728"/>
      <c r="I36" s="1728"/>
      <c r="J36" s="1997"/>
      <c r="K36" s="2021"/>
    </row>
    <row r="37" spans="1:14" ht="48" thickBot="1" x14ac:dyDescent="0.3">
      <c r="A37" s="2022" t="s">
        <v>197</v>
      </c>
      <c r="B37" s="2023" t="s">
        <v>2400</v>
      </c>
      <c r="C37" s="2024" t="s">
        <v>2401</v>
      </c>
      <c r="D37" s="2024"/>
      <c r="E37" s="2024"/>
      <c r="F37" s="2024"/>
      <c r="G37" s="2024"/>
      <c r="H37" s="2024"/>
      <c r="I37" s="2024"/>
      <c r="J37" s="2025">
        <f>'гран розмір'!B4</f>
        <v>35.191457999999997</v>
      </c>
      <c r="K37" s="2026"/>
      <c r="M37" s="2002">
        <f>J35-J37</f>
        <v>-33.859457999999997</v>
      </c>
      <c r="N37">
        <f>(J35*J33)/1.2/1000*12-(J37*J33)/1.2/1000*12</f>
        <v>-6382.8464275799997</v>
      </c>
    </row>
    <row r="38" spans="1:14" ht="15.75" x14ac:dyDescent="0.25">
      <c r="A38" s="2013"/>
      <c r="B38" s="4357"/>
      <c r="C38" s="4358"/>
      <c r="D38" s="4358"/>
      <c r="E38" s="4358"/>
      <c r="F38" s="4358"/>
      <c r="G38" s="4358"/>
      <c r="H38" s="4358"/>
      <c r="I38" s="4358"/>
      <c r="J38" s="4358"/>
      <c r="K38" s="4358"/>
    </row>
    <row r="39" spans="1:14" ht="15.75" x14ac:dyDescent="0.25">
      <c r="B39" s="1727" t="s">
        <v>604</v>
      </c>
      <c r="C39" s="1998"/>
      <c r="J39" s="4359" t="s">
        <v>2403</v>
      </c>
      <c r="K39" s="4359"/>
    </row>
    <row r="40" spans="1:14" ht="15.75" x14ac:dyDescent="0.25">
      <c r="J40" s="1811"/>
      <c r="K40" s="1811"/>
    </row>
    <row r="41" spans="1:14" ht="31.5" x14ac:dyDescent="0.25">
      <c r="A41" s="1727"/>
      <c r="B41" s="1727" t="s">
        <v>933</v>
      </c>
      <c r="C41" s="1998"/>
      <c r="J41" s="4359" t="s">
        <v>2404</v>
      </c>
      <c r="K41" s="4359"/>
    </row>
  </sheetData>
  <mergeCells count="15">
    <mergeCell ref="B38:K38"/>
    <mergeCell ref="J39:K39"/>
    <mergeCell ref="J41:K41"/>
    <mergeCell ref="A1:K1"/>
    <mergeCell ref="A3:A6"/>
    <mergeCell ref="B3:B6"/>
    <mergeCell ref="C3:C6"/>
    <mergeCell ref="D3:D6"/>
    <mergeCell ref="E3:E6"/>
    <mergeCell ref="I3:I6"/>
    <mergeCell ref="J3:J6"/>
    <mergeCell ref="K3:K6"/>
    <mergeCell ref="H3:H6"/>
    <mergeCell ref="F3:F6"/>
    <mergeCell ref="G3:G6"/>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8" tint="-0.249977111117893"/>
  </sheetPr>
  <dimension ref="A1:G14"/>
  <sheetViews>
    <sheetView workbookViewId="0">
      <selection activeCell="B8" sqref="B8"/>
    </sheetView>
  </sheetViews>
  <sheetFormatPr defaultRowHeight="15" x14ac:dyDescent="0.25"/>
  <cols>
    <col min="1" max="1" width="89.7109375" customWidth="1"/>
    <col min="2" max="2" width="19.85546875" customWidth="1"/>
    <col min="3" max="3" width="6.5703125" customWidth="1"/>
    <col min="4" max="4" width="14.5703125" customWidth="1"/>
    <col min="7" max="7" width="13.28515625" customWidth="1"/>
    <col min="8" max="11" width="22.28515625" customWidth="1"/>
  </cols>
  <sheetData>
    <row r="1" spans="1:7" ht="18.600000000000001" customHeight="1" x14ac:dyDescent="0.25">
      <c r="A1" s="4383" t="s">
        <v>2698</v>
      </c>
      <c r="B1" s="4383"/>
      <c r="C1" s="58"/>
      <c r="D1" s="58"/>
      <c r="E1" s="58"/>
    </row>
    <row r="2" spans="1:7" ht="34.9" customHeight="1" x14ac:dyDescent="0.25">
      <c r="A2" s="4379" t="s">
        <v>2699</v>
      </c>
      <c r="B2" s="4379"/>
      <c r="C2" s="2008"/>
      <c r="D2" s="2008"/>
      <c r="E2" s="2008"/>
    </row>
    <row r="3" spans="1:7" ht="15.75" x14ac:dyDescent="0.25">
      <c r="A3" s="1999"/>
      <c r="B3" s="1999"/>
      <c r="C3" s="1999"/>
      <c r="D3" s="1999"/>
      <c r="E3" s="53"/>
    </row>
    <row r="4" spans="1:7" ht="18.75" x14ac:dyDescent="0.35">
      <c r="A4" s="2000" t="s">
        <v>2700</v>
      </c>
      <c r="B4" s="2001">
        <f>B7*B8*B9*B10*B11</f>
        <v>35.191457999999997</v>
      </c>
      <c r="D4" s="4380"/>
      <c r="E4" s="35" t="s">
        <v>2715</v>
      </c>
      <c r="F4" s="35"/>
      <c r="G4" s="35"/>
    </row>
    <row r="5" spans="1:7" ht="15.75" x14ac:dyDescent="0.25">
      <c r="A5" s="1999"/>
      <c r="B5" s="53"/>
      <c r="D5" s="4381"/>
      <c r="E5" s="3691" t="s">
        <v>2717</v>
      </c>
      <c r="F5" s="3691"/>
      <c r="G5" s="3691"/>
    </row>
    <row r="6" spans="1:7" ht="33.6" customHeight="1" x14ac:dyDescent="0.25">
      <c r="A6" s="2007" t="s">
        <v>2701</v>
      </c>
      <c r="B6" s="53"/>
      <c r="D6" s="4382"/>
      <c r="E6" s="1304" t="s">
        <v>2718</v>
      </c>
      <c r="F6" s="1304" t="s">
        <v>2719</v>
      </c>
      <c r="G6" s="1304" t="s">
        <v>2720</v>
      </c>
    </row>
    <row r="7" spans="1:7" ht="35.450000000000003" customHeight="1" x14ac:dyDescent="0.25">
      <c r="A7" s="2007" t="s">
        <v>2702</v>
      </c>
      <c r="B7" s="53">
        <f>G7</f>
        <v>2393</v>
      </c>
      <c r="D7" s="1712" t="s">
        <v>2716</v>
      </c>
      <c r="E7" s="1712">
        <v>2189</v>
      </c>
      <c r="F7" s="1712">
        <v>2294</v>
      </c>
      <c r="G7" s="1712">
        <v>2393</v>
      </c>
    </row>
    <row r="8" spans="1:7" ht="19.149999999999999" customHeight="1" x14ac:dyDescent="0.25">
      <c r="A8" s="2007" t="s">
        <v>2703</v>
      </c>
      <c r="B8" s="53">
        <v>2.58</v>
      </c>
    </row>
    <row r="9" spans="1:7" ht="51" customHeight="1" x14ac:dyDescent="0.25">
      <c r="A9" s="2007" t="s">
        <v>2704</v>
      </c>
      <c r="B9" s="53">
        <v>2</v>
      </c>
    </row>
    <row r="10" spans="1:7" ht="36.6" customHeight="1" x14ac:dyDescent="0.25">
      <c r="A10" s="2007" t="s">
        <v>2705</v>
      </c>
      <c r="B10" s="53">
        <v>0.15</v>
      </c>
    </row>
    <row r="11" spans="1:7" ht="49.15" customHeight="1" x14ac:dyDescent="0.25">
      <c r="A11" s="2007" t="s">
        <v>2706</v>
      </c>
      <c r="B11" s="53">
        <v>1.9E-2</v>
      </c>
    </row>
    <row r="12" spans="1:7" ht="33" customHeight="1" x14ac:dyDescent="0.25">
      <c r="A12" s="2007" t="s">
        <v>2707</v>
      </c>
      <c r="B12" s="53"/>
    </row>
    <row r="13" spans="1:7" ht="15.75" x14ac:dyDescent="0.25">
      <c r="C13" s="53"/>
      <c r="D13" s="53"/>
      <c r="E13" s="53"/>
    </row>
    <row r="14" spans="1:7" ht="15.75" x14ac:dyDescent="0.25">
      <c r="A14" s="58" t="s">
        <v>933</v>
      </c>
      <c r="B14" s="53" t="s">
        <v>2404</v>
      </c>
      <c r="C14" s="53"/>
      <c r="D14" s="53"/>
      <c r="E14" s="53"/>
    </row>
  </sheetData>
  <mergeCells count="4">
    <mergeCell ref="A2:B2"/>
    <mergeCell ref="E5:G5"/>
    <mergeCell ref="D4:D6"/>
    <mergeCell ref="A1:B1"/>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O31"/>
  <sheetViews>
    <sheetView topLeftCell="A2" workbookViewId="0">
      <pane xSplit="2" ySplit="4" topLeftCell="D6" activePane="bottomRight" state="frozen"/>
      <selection activeCell="A2" sqref="A2"/>
      <selection pane="topRight" activeCell="C2" sqref="C2"/>
      <selection pane="bottomLeft" activeCell="A6" sqref="A6"/>
      <selection pane="bottomRight" activeCell="D15" sqref="D15:L15"/>
    </sheetView>
  </sheetViews>
  <sheetFormatPr defaultColWidth="8.85546875" defaultRowHeight="15.75" x14ac:dyDescent="0.25"/>
  <cols>
    <col min="1" max="1" width="8.85546875" style="58"/>
    <col min="2" max="2" width="57.5703125" style="58" customWidth="1"/>
    <col min="3" max="3" width="11.85546875" style="58" customWidth="1"/>
    <col min="4" max="4" width="12.28515625" style="58" customWidth="1"/>
    <col min="5" max="12" width="10.42578125" style="58" customWidth="1"/>
    <col min="13" max="13" width="26.28515625" style="1784" customWidth="1"/>
    <col min="14" max="16384" width="8.85546875" style="58"/>
  </cols>
  <sheetData>
    <row r="2" spans="1:15" s="1781" customFormat="1" ht="16.899999999999999" customHeight="1" x14ac:dyDescent="0.25">
      <c r="B2" s="4384" t="s">
        <v>2340</v>
      </c>
      <c r="C2" s="4384" t="s">
        <v>771</v>
      </c>
      <c r="D2" s="4384" t="s">
        <v>885</v>
      </c>
      <c r="E2" s="4386" t="s">
        <v>959</v>
      </c>
      <c r="F2" s="4387"/>
      <c r="G2" s="4386" t="s">
        <v>926</v>
      </c>
      <c r="H2" s="4387"/>
      <c r="I2" s="1787" t="s">
        <v>1370</v>
      </c>
      <c r="J2" s="1787" t="s">
        <v>888</v>
      </c>
      <c r="K2" s="1787" t="s">
        <v>1000</v>
      </c>
      <c r="L2" s="808" t="s">
        <v>2343</v>
      </c>
      <c r="M2" s="1788"/>
    </row>
    <row r="3" spans="1:15" s="66" customFormat="1" ht="31.5" x14ac:dyDescent="0.25">
      <c r="B3" s="4388"/>
      <c r="C3" s="4388"/>
      <c r="D3" s="4385"/>
      <c r="E3" s="1789" t="s">
        <v>2454</v>
      </c>
      <c r="F3" s="1789" t="s">
        <v>2455</v>
      </c>
      <c r="G3" s="1789" t="s">
        <v>2454</v>
      </c>
      <c r="H3" s="1789" t="s">
        <v>2456</v>
      </c>
      <c r="I3" s="1789"/>
      <c r="J3" s="1789"/>
      <c r="K3" s="1789"/>
      <c r="L3" s="15"/>
      <c r="M3" s="1790"/>
    </row>
    <row r="4" spans="1:15" s="55" customFormat="1" ht="33.6" customHeight="1" x14ac:dyDescent="0.25">
      <c r="B4" s="4385"/>
      <c r="C4" s="1792" t="s">
        <v>2341</v>
      </c>
      <c r="D4" s="1792" t="s">
        <v>2341</v>
      </c>
      <c r="E4" s="1792" t="s">
        <v>2341</v>
      </c>
      <c r="F4" s="1792" t="s">
        <v>2341</v>
      </c>
      <c r="G4" s="1792" t="s">
        <v>2341</v>
      </c>
      <c r="H4" s="1792" t="s">
        <v>2341</v>
      </c>
      <c r="I4" s="1792" t="s">
        <v>2341</v>
      </c>
      <c r="J4" s="1792" t="s">
        <v>2341</v>
      </c>
      <c r="K4" s="1792" t="s">
        <v>2341</v>
      </c>
      <c r="L4" s="1792" t="s">
        <v>2341</v>
      </c>
      <c r="M4" s="1791"/>
    </row>
    <row r="5" spans="1:15" x14ac:dyDescent="0.25">
      <c r="B5" s="1783" t="s">
        <v>1890</v>
      </c>
      <c r="C5" s="1482">
        <f t="shared" ref="C5:L5" si="0">SUM(C6:C28)</f>
        <v>53033.333333333336</v>
      </c>
      <c r="D5" s="1482">
        <f t="shared" si="0"/>
        <v>1811.594202898551</v>
      </c>
      <c r="E5" s="1482">
        <f t="shared" si="0"/>
        <v>2717.3913043478265</v>
      </c>
      <c r="F5" s="1482">
        <f t="shared" si="0"/>
        <v>452.89855072463774</v>
      </c>
      <c r="G5" s="1482">
        <f t="shared" si="0"/>
        <v>905.79710144927549</v>
      </c>
      <c r="H5" s="1482">
        <f t="shared" si="0"/>
        <v>0</v>
      </c>
      <c r="I5" s="1482">
        <f t="shared" si="0"/>
        <v>1811.594202898551</v>
      </c>
      <c r="J5" s="1482">
        <f t="shared" si="0"/>
        <v>30905.797101449276</v>
      </c>
      <c r="K5" s="1482">
        <f t="shared" si="0"/>
        <v>5887.6811594202909</v>
      </c>
      <c r="L5" s="1482">
        <f t="shared" si="0"/>
        <v>8540.579710144928</v>
      </c>
    </row>
    <row r="6" spans="1:15" s="1841" customFormat="1" x14ac:dyDescent="0.25">
      <c r="B6" s="1838"/>
      <c r="C6" s="1839"/>
      <c r="D6" s="1839"/>
      <c r="E6" s="1839"/>
      <c r="F6" s="1839"/>
      <c r="G6" s="1839"/>
      <c r="H6" s="1839"/>
      <c r="I6" s="1839"/>
      <c r="J6" s="1839"/>
      <c r="K6" s="1839"/>
      <c r="L6" s="1839"/>
      <c r="M6" s="1840"/>
    </row>
    <row r="7" spans="1:15" s="1841" customFormat="1" x14ac:dyDescent="0.25">
      <c r="B7" s="1838"/>
      <c r="C7" s="1839"/>
      <c r="D7" s="1839"/>
      <c r="E7" s="1839"/>
      <c r="F7" s="1839"/>
      <c r="G7" s="1839"/>
      <c r="H7" s="1839"/>
      <c r="I7" s="1839"/>
      <c r="J7" s="1839"/>
      <c r="K7" s="1839"/>
      <c r="L7" s="1839"/>
      <c r="M7" s="1840"/>
    </row>
    <row r="8" spans="1:15" s="1841" customFormat="1" x14ac:dyDescent="0.25">
      <c r="B8" s="1838"/>
      <c r="C8" s="1839"/>
      <c r="D8" s="1839"/>
      <c r="E8" s="1839"/>
      <c r="F8" s="1839"/>
      <c r="G8" s="1839"/>
      <c r="H8" s="1839"/>
      <c r="I8" s="1839"/>
      <c r="J8" s="1839"/>
      <c r="K8" s="1839"/>
      <c r="L8" s="1839"/>
      <c r="M8" s="1840"/>
    </row>
    <row r="9" spans="1:15" x14ac:dyDescent="0.25">
      <c r="A9" s="53"/>
      <c r="B9" s="1783"/>
      <c r="C9" s="1482"/>
      <c r="D9" s="1482"/>
      <c r="E9" s="1482"/>
      <c r="F9" s="1482"/>
      <c r="G9" s="1482"/>
      <c r="H9" s="1482"/>
      <c r="I9" s="1482"/>
      <c r="J9" s="1482"/>
      <c r="K9" s="1482"/>
      <c r="L9" s="1482"/>
    </row>
    <row r="10" spans="1:15" x14ac:dyDescent="0.25">
      <c r="B10" s="1783"/>
      <c r="C10" s="1482"/>
      <c r="D10" s="1482"/>
      <c r="E10" s="1482"/>
      <c r="F10" s="1482"/>
      <c r="G10" s="1482"/>
      <c r="H10" s="1482"/>
      <c r="I10" s="1482"/>
      <c r="J10" s="1482"/>
      <c r="K10" s="1482"/>
      <c r="L10" s="1482"/>
    </row>
    <row r="11" spans="1:15" x14ac:dyDescent="0.25">
      <c r="B11" s="1783"/>
      <c r="C11" s="1482"/>
      <c r="D11" s="1482"/>
      <c r="E11" s="1482"/>
      <c r="F11" s="1482"/>
      <c r="G11" s="1482"/>
      <c r="H11" s="1482"/>
      <c r="I11" s="1482"/>
      <c r="J11" s="1482"/>
      <c r="K11" s="1482"/>
      <c r="L11" s="1482"/>
    </row>
    <row r="12" spans="1:15" ht="31.5" x14ac:dyDescent="0.25">
      <c r="B12" s="1985" t="s">
        <v>2449</v>
      </c>
      <c r="C12" s="1808">
        <f t="shared" ref="C12:C28" si="1">SUM(D12:L12)</f>
        <v>2200</v>
      </c>
      <c r="D12" s="1482"/>
      <c r="E12" s="1482"/>
      <c r="F12" s="1482"/>
      <c r="G12" s="1482"/>
      <c r="H12" s="1482"/>
      <c r="I12" s="1482"/>
      <c r="J12" s="1482"/>
      <c r="K12" s="1482"/>
      <c r="L12" s="1984">
        <v>2200</v>
      </c>
      <c r="M12" s="1784" t="s">
        <v>2450</v>
      </c>
      <c r="N12" s="58">
        <f>2200</f>
        <v>2200</v>
      </c>
      <c r="O12" s="58" t="s">
        <v>2160</v>
      </c>
    </row>
    <row r="13" spans="1:15" x14ac:dyDescent="0.25">
      <c r="B13" s="1783"/>
      <c r="C13" s="1482"/>
      <c r="D13" s="1482"/>
      <c r="E13" s="1482"/>
      <c r="F13" s="1482"/>
      <c r="G13" s="1482"/>
      <c r="H13" s="1482"/>
      <c r="I13" s="1482"/>
      <c r="J13" s="1482"/>
      <c r="K13" s="1482"/>
      <c r="L13" s="1482"/>
    </row>
    <row r="14" spans="1:15" s="1811" customFormat="1" ht="47.25" x14ac:dyDescent="0.25">
      <c r="B14" s="16" t="s">
        <v>2457</v>
      </c>
      <c r="C14" s="1809">
        <f t="shared" si="1"/>
        <v>30000</v>
      </c>
      <c r="D14" s="1809"/>
      <c r="E14" s="1809"/>
      <c r="F14" s="1809"/>
      <c r="G14" s="1809"/>
      <c r="H14" s="1809"/>
      <c r="I14" s="1809"/>
      <c r="J14" s="1809">
        <v>30000</v>
      </c>
      <c r="K14" s="1809"/>
      <c r="L14" s="1809"/>
      <c r="M14" s="1810" t="s">
        <v>2463</v>
      </c>
    </row>
    <row r="15" spans="1:15" x14ac:dyDescent="0.25">
      <c r="B15" s="535" t="s">
        <v>2461</v>
      </c>
      <c r="C15" s="1482">
        <f t="shared" si="1"/>
        <v>20833.333333333336</v>
      </c>
      <c r="D15" s="1482">
        <f>25000/1.2/46*4</f>
        <v>1811.594202898551</v>
      </c>
      <c r="E15" s="1482">
        <f>25000/1.2/46*6</f>
        <v>2717.3913043478265</v>
      </c>
      <c r="F15" s="1482">
        <f>25000/1.2/46*1</f>
        <v>452.89855072463774</v>
      </c>
      <c r="G15" s="1482">
        <f>25000/1.2/46*2</f>
        <v>905.79710144927549</v>
      </c>
      <c r="H15" s="1482">
        <f>25000/1.2/46*0</f>
        <v>0</v>
      </c>
      <c r="I15" s="1482">
        <f>25000/1.2/46*4</f>
        <v>1811.594202898551</v>
      </c>
      <c r="J15" s="1482">
        <f>25000/1.2/46*2</f>
        <v>905.79710144927549</v>
      </c>
      <c r="K15" s="1482">
        <f>25000/1.2/46*13</f>
        <v>5887.6811594202909</v>
      </c>
      <c r="L15" s="1482">
        <f>25000/1.2/46*14</f>
        <v>6340.579710144928</v>
      </c>
      <c r="M15" s="1784" t="s">
        <v>2462</v>
      </c>
      <c r="N15" s="58">
        <v>25000</v>
      </c>
      <c r="O15" s="58">
        <f>N15/1.2-C15</f>
        <v>0</v>
      </c>
    </row>
    <row r="16" spans="1:15" x14ac:dyDescent="0.25">
      <c r="B16" s="1783"/>
      <c r="C16" s="1482"/>
      <c r="D16" s="1482"/>
      <c r="E16" s="1482"/>
      <c r="F16" s="1482"/>
      <c r="G16" s="1482"/>
      <c r="H16" s="1482"/>
      <c r="I16" s="1482"/>
      <c r="J16" s="1482"/>
      <c r="K16" s="1482"/>
      <c r="L16" s="1482"/>
    </row>
    <row r="17" spans="2:12" x14ac:dyDescent="0.25">
      <c r="B17" s="1783"/>
      <c r="C17" s="1482">
        <f t="shared" si="1"/>
        <v>0</v>
      </c>
      <c r="D17" s="1482"/>
      <c r="E17" s="1482"/>
      <c r="F17" s="1482"/>
      <c r="G17" s="1482"/>
      <c r="H17" s="1482"/>
      <c r="I17" s="1482"/>
      <c r="J17" s="1482"/>
      <c r="K17" s="1482"/>
      <c r="L17" s="1482"/>
    </row>
    <row r="18" spans="2:12" x14ac:dyDescent="0.25">
      <c r="B18" s="1783"/>
      <c r="C18" s="1482">
        <f t="shared" si="1"/>
        <v>0</v>
      </c>
      <c r="D18" s="1482"/>
      <c r="E18" s="1482"/>
      <c r="F18" s="1482"/>
      <c r="G18" s="1482"/>
      <c r="H18" s="1482"/>
      <c r="I18" s="1482"/>
      <c r="J18" s="1482"/>
      <c r="K18" s="1482"/>
      <c r="L18" s="1482"/>
    </row>
    <row r="19" spans="2:12" x14ac:dyDescent="0.25">
      <c r="B19" s="1783"/>
      <c r="C19" s="1482">
        <f t="shared" si="1"/>
        <v>0</v>
      </c>
      <c r="D19" s="1482"/>
      <c r="E19" s="1482"/>
      <c r="F19" s="1482"/>
      <c r="G19" s="1482"/>
      <c r="H19" s="1482"/>
      <c r="I19" s="1482"/>
      <c r="J19" s="1482"/>
      <c r="K19" s="1482"/>
      <c r="L19" s="1482"/>
    </row>
    <row r="20" spans="2:12" x14ac:dyDescent="0.25">
      <c r="B20" s="1783"/>
      <c r="C20" s="1482">
        <f t="shared" si="1"/>
        <v>0</v>
      </c>
      <c r="D20" s="1482"/>
      <c r="E20" s="1482"/>
      <c r="F20" s="1482"/>
      <c r="G20" s="1482"/>
      <c r="H20" s="1482"/>
      <c r="I20" s="1482"/>
      <c r="J20" s="1482"/>
      <c r="K20" s="1482"/>
      <c r="L20" s="1482"/>
    </row>
    <row r="21" spans="2:12" x14ac:dyDescent="0.25">
      <c r="B21" s="1783"/>
      <c r="C21" s="1482">
        <f t="shared" si="1"/>
        <v>0</v>
      </c>
      <c r="D21" s="1482"/>
      <c r="E21" s="1482"/>
      <c r="F21" s="1482"/>
      <c r="G21" s="1482"/>
      <c r="H21" s="1482"/>
      <c r="I21" s="1482"/>
      <c r="J21" s="1482"/>
      <c r="K21" s="1482"/>
      <c r="L21" s="1482"/>
    </row>
    <row r="22" spans="2:12" x14ac:dyDescent="0.25">
      <c r="B22" s="1783"/>
      <c r="C22" s="1482">
        <f t="shared" si="1"/>
        <v>0</v>
      </c>
      <c r="D22" s="1482"/>
      <c r="E22" s="1482"/>
      <c r="F22" s="1482"/>
      <c r="G22" s="1482"/>
      <c r="H22" s="1482"/>
      <c r="I22" s="1482"/>
      <c r="J22" s="1482"/>
      <c r="K22" s="1482"/>
      <c r="L22" s="1482"/>
    </row>
    <row r="23" spans="2:12" x14ac:dyDescent="0.25">
      <c r="B23" s="1783"/>
      <c r="C23" s="1482">
        <f t="shared" si="1"/>
        <v>0</v>
      </c>
      <c r="D23" s="1482"/>
      <c r="E23" s="1482"/>
      <c r="F23" s="1482"/>
      <c r="G23" s="1482"/>
      <c r="H23" s="1482"/>
      <c r="I23" s="1482"/>
      <c r="J23" s="1482"/>
      <c r="K23" s="1482"/>
      <c r="L23" s="1482"/>
    </row>
    <row r="24" spans="2:12" x14ac:dyDescent="0.25">
      <c r="B24" s="1783"/>
      <c r="C24" s="1482">
        <f t="shared" si="1"/>
        <v>0</v>
      </c>
      <c r="D24" s="1482"/>
      <c r="E24" s="1482"/>
      <c r="F24" s="1482"/>
      <c r="G24" s="1482"/>
      <c r="H24" s="1482"/>
      <c r="I24" s="1482"/>
      <c r="J24" s="1482"/>
      <c r="K24" s="1482"/>
      <c r="L24" s="1482"/>
    </row>
    <row r="25" spans="2:12" x14ac:dyDescent="0.25">
      <c r="B25" s="1783"/>
      <c r="C25" s="1482">
        <f t="shared" si="1"/>
        <v>0</v>
      </c>
      <c r="D25" s="1482"/>
      <c r="E25" s="1482"/>
      <c r="F25" s="1482"/>
      <c r="G25" s="1482"/>
      <c r="H25" s="1482"/>
      <c r="I25" s="1482"/>
      <c r="J25" s="1482"/>
      <c r="K25" s="1482"/>
      <c r="L25" s="1482"/>
    </row>
    <row r="26" spans="2:12" x14ac:dyDescent="0.25">
      <c r="B26" s="1783"/>
      <c r="C26" s="1482">
        <f t="shared" si="1"/>
        <v>0</v>
      </c>
      <c r="D26" s="1482"/>
      <c r="E26" s="1482"/>
      <c r="F26" s="1482"/>
      <c r="G26" s="1482"/>
      <c r="H26" s="1482"/>
      <c r="I26" s="1482"/>
      <c r="J26" s="1482"/>
      <c r="K26" s="1482"/>
      <c r="L26" s="1482"/>
    </row>
    <row r="27" spans="2:12" x14ac:dyDescent="0.25">
      <c r="B27" s="1783"/>
      <c r="C27" s="1482">
        <f t="shared" si="1"/>
        <v>0</v>
      </c>
      <c r="D27" s="1482"/>
      <c r="E27" s="1482"/>
      <c r="F27" s="1482"/>
      <c r="G27" s="1482"/>
      <c r="H27" s="1482"/>
      <c r="I27" s="1482"/>
      <c r="J27" s="1482"/>
      <c r="K27" s="1482"/>
      <c r="L27" s="1482"/>
    </row>
    <row r="28" spans="2:12" x14ac:dyDescent="0.25">
      <c r="B28" s="1783"/>
      <c r="C28" s="1482">
        <f t="shared" si="1"/>
        <v>0</v>
      </c>
      <c r="D28" s="1482"/>
      <c r="E28" s="1482"/>
      <c r="F28" s="1482"/>
      <c r="G28" s="1482"/>
      <c r="H28" s="1482"/>
      <c r="I28" s="1482"/>
      <c r="J28" s="1482"/>
      <c r="K28" s="1482"/>
      <c r="L28" s="1482"/>
    </row>
    <row r="31" spans="2:12" x14ac:dyDescent="0.25">
      <c r="B31" s="58" t="s">
        <v>2464</v>
      </c>
    </row>
  </sheetData>
  <mergeCells count="5">
    <mergeCell ref="D2:D3"/>
    <mergeCell ref="E2:F2"/>
    <mergeCell ref="G2:H2"/>
    <mergeCell ref="B2:B4"/>
    <mergeCell ref="C2:C3"/>
  </mergeCells>
  <pageMargins left="0.7" right="0.7" top="0.75" bottom="0.75" header="0.3" footer="0.3"/>
  <pageSetup paperSize="9" orientation="portrait" horizontalDpi="0"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M28"/>
  <sheetViews>
    <sheetView workbookViewId="0">
      <selection activeCell="B8" sqref="B8"/>
    </sheetView>
  </sheetViews>
  <sheetFormatPr defaultColWidth="8.85546875" defaultRowHeight="15.75" x14ac:dyDescent="0.25"/>
  <cols>
    <col min="1" max="1" width="8.85546875" style="58"/>
    <col min="2" max="2" width="35" style="58" customWidth="1"/>
    <col min="3" max="3" width="11.5703125" style="58" customWidth="1"/>
    <col min="4" max="4" width="11.28515625" style="58" customWidth="1"/>
    <col min="5" max="12" width="10.42578125" style="58" customWidth="1"/>
    <col min="13" max="13" width="35.140625" style="1784" customWidth="1"/>
    <col min="14" max="16384" width="8.85546875" style="58"/>
  </cols>
  <sheetData>
    <row r="2" spans="2:13" s="53" customFormat="1" x14ac:dyDescent="0.25">
      <c r="B2" s="4384" t="s">
        <v>2436</v>
      </c>
      <c r="C2" s="4384" t="s">
        <v>771</v>
      </c>
      <c r="D2" s="4384" t="s">
        <v>885</v>
      </c>
      <c r="E2" s="4389" t="s">
        <v>959</v>
      </c>
      <c r="F2" s="4390"/>
      <c r="G2" s="4389" t="s">
        <v>926</v>
      </c>
      <c r="H2" s="4390"/>
      <c r="I2" s="4384" t="s">
        <v>1370</v>
      </c>
      <c r="J2" s="4384" t="s">
        <v>888</v>
      </c>
      <c r="K2" s="4384" t="s">
        <v>1000</v>
      </c>
      <c r="L2" s="4384" t="s">
        <v>2343</v>
      </c>
      <c r="M2" s="1791"/>
    </row>
    <row r="3" spans="2:13" s="53" customFormat="1" ht="31.5" x14ac:dyDescent="0.25">
      <c r="B3" s="4388"/>
      <c r="C3" s="4388"/>
      <c r="D3" s="4385"/>
      <c r="E3" s="1789" t="s">
        <v>2454</v>
      </c>
      <c r="F3" s="1789" t="s">
        <v>2455</v>
      </c>
      <c r="G3" s="1789" t="s">
        <v>2454</v>
      </c>
      <c r="H3" s="1789" t="s">
        <v>2456</v>
      </c>
      <c r="I3" s="4385"/>
      <c r="J3" s="4385"/>
      <c r="K3" s="4385"/>
      <c r="L3" s="4385"/>
      <c r="M3" s="1791"/>
    </row>
    <row r="4" spans="2:13" s="53" customFormat="1" ht="25.5" x14ac:dyDescent="0.25">
      <c r="B4" s="4385"/>
      <c r="C4" s="1792" t="s">
        <v>2341</v>
      </c>
      <c r="D4" s="1792" t="s">
        <v>2341</v>
      </c>
      <c r="E4" s="1792" t="s">
        <v>2341</v>
      </c>
      <c r="F4" s="1792" t="s">
        <v>2341</v>
      </c>
      <c r="G4" s="1792" t="s">
        <v>2341</v>
      </c>
      <c r="H4" s="1792" t="s">
        <v>2341</v>
      </c>
      <c r="I4" s="1792" t="s">
        <v>2341</v>
      </c>
      <c r="J4" s="1792" t="s">
        <v>2341</v>
      </c>
      <c r="K4" s="1792" t="s">
        <v>2341</v>
      </c>
      <c r="L4" s="1792" t="s">
        <v>2341</v>
      </c>
      <c r="M4" s="1791"/>
    </row>
    <row r="5" spans="2:13" x14ac:dyDescent="0.25">
      <c r="B5" s="1783" t="s">
        <v>1890</v>
      </c>
      <c r="C5" s="1482">
        <f t="shared" ref="C5:L5" si="0">SUM(C6:C28)</f>
        <v>169294.30833333335</v>
      </c>
      <c r="D5" s="1482">
        <f t="shared" si="0"/>
        <v>50635</v>
      </c>
      <c r="E5" s="1482">
        <f t="shared" si="0"/>
        <v>30930.975000000002</v>
      </c>
      <c r="F5" s="1482"/>
      <c r="G5" s="1482">
        <f t="shared" si="0"/>
        <v>0</v>
      </c>
      <c r="H5" s="1482"/>
      <c r="I5" s="1482">
        <f t="shared" si="0"/>
        <v>0</v>
      </c>
      <c r="J5" s="1482">
        <f t="shared" si="0"/>
        <v>40000</v>
      </c>
      <c r="K5" s="1482">
        <f t="shared" si="0"/>
        <v>45645</v>
      </c>
      <c r="L5" s="1482">
        <f t="shared" si="0"/>
        <v>0</v>
      </c>
    </row>
    <row r="6" spans="2:13" x14ac:dyDescent="0.25">
      <c r="B6" s="1783" t="s">
        <v>2438</v>
      </c>
      <c r="C6" s="1482">
        <f>SUM(D6:L6)</f>
        <v>4618.1333333333341</v>
      </c>
      <c r="D6" s="878"/>
      <c r="E6" s="878">
        <f>5541.76/1.2</f>
        <v>4618.1333333333341</v>
      </c>
      <c r="F6" s="878"/>
      <c r="G6" s="878"/>
      <c r="H6" s="878"/>
      <c r="I6" s="878"/>
      <c r="J6" s="878"/>
      <c r="K6" s="878"/>
      <c r="L6" s="878"/>
      <c r="M6" s="1784" t="s">
        <v>2437</v>
      </c>
    </row>
    <row r="7" spans="2:13" x14ac:dyDescent="0.25">
      <c r="B7" s="1783" t="s">
        <v>2498</v>
      </c>
      <c r="C7" s="1482">
        <f>SUM(D7:L7)</f>
        <v>3974.5166666666669</v>
      </c>
      <c r="D7" s="878"/>
      <c r="E7" s="878">
        <f>4769.42/1.2</f>
        <v>3974.5166666666669</v>
      </c>
      <c r="F7" s="878"/>
      <c r="G7" s="878"/>
      <c r="H7" s="878"/>
      <c r="I7" s="878"/>
      <c r="J7" s="878"/>
      <c r="K7" s="878"/>
      <c r="L7" s="878"/>
      <c r="M7" s="1784" t="s">
        <v>2441</v>
      </c>
    </row>
    <row r="8" spans="2:13" ht="31.5" x14ac:dyDescent="0.25">
      <c r="B8" s="1783" t="s">
        <v>2478</v>
      </c>
      <c r="C8" s="1482">
        <f t="shared" ref="C8:C28" si="1">SUM(D8:L8)</f>
        <v>10000</v>
      </c>
      <c r="D8" s="878"/>
      <c r="E8" s="878">
        <v>10000</v>
      </c>
      <c r="F8" s="878"/>
      <c r="G8" s="878"/>
      <c r="H8" s="878"/>
      <c r="I8" s="878"/>
      <c r="J8" s="878"/>
      <c r="K8" s="878"/>
      <c r="L8" s="878"/>
      <c r="M8" s="1784" t="s">
        <v>2442</v>
      </c>
    </row>
    <row r="9" spans="2:13" ht="31.5" x14ac:dyDescent="0.25">
      <c r="B9" s="1783" t="s">
        <v>2451</v>
      </c>
      <c r="C9" s="1482">
        <f t="shared" si="1"/>
        <v>2083.3333333333335</v>
      </c>
      <c r="D9" s="878"/>
      <c r="E9" s="878"/>
      <c r="F9" s="878">
        <f>2500/1.2</f>
        <v>2083.3333333333335</v>
      </c>
      <c r="G9" s="878"/>
      <c r="H9" s="878"/>
      <c r="I9" s="878"/>
      <c r="J9" s="878"/>
      <c r="K9" s="878"/>
      <c r="L9" s="878"/>
      <c r="M9" s="1784" t="s">
        <v>2452</v>
      </c>
    </row>
    <row r="10" spans="2:13" x14ac:dyDescent="0.25">
      <c r="B10" s="1783" t="s">
        <v>2458</v>
      </c>
      <c r="C10" s="1482">
        <f t="shared" si="1"/>
        <v>645</v>
      </c>
      <c r="D10" s="878"/>
      <c r="E10" s="878"/>
      <c r="F10" s="878"/>
      <c r="G10" s="878"/>
      <c r="H10" s="878"/>
      <c r="I10" s="878"/>
      <c r="J10" s="878"/>
      <c r="K10" s="1786">
        <f>774/1.2</f>
        <v>645</v>
      </c>
      <c r="L10" s="1786"/>
      <c r="M10" s="1784" t="s">
        <v>2459</v>
      </c>
    </row>
    <row r="11" spans="2:13" ht="31.5" x14ac:dyDescent="0.25">
      <c r="B11" s="1783" t="s">
        <v>2460</v>
      </c>
      <c r="C11" s="1482">
        <f t="shared" si="1"/>
        <v>45000</v>
      </c>
      <c r="D11" s="878"/>
      <c r="E11" s="878"/>
      <c r="F11" s="878"/>
      <c r="G11" s="878"/>
      <c r="H11" s="878"/>
      <c r="I11" s="878"/>
      <c r="J11" s="878"/>
      <c r="K11" s="878">
        <f>20000+15000+10000</f>
        <v>45000</v>
      </c>
      <c r="L11" s="878"/>
      <c r="M11" s="1784" t="s">
        <v>2491</v>
      </c>
    </row>
    <row r="12" spans="2:13" x14ac:dyDescent="0.25">
      <c r="B12" s="1783" t="s">
        <v>2489</v>
      </c>
      <c r="C12" s="1482">
        <f t="shared" si="1"/>
        <v>10000</v>
      </c>
      <c r="D12" s="878"/>
      <c r="E12" s="878">
        <f>12000/1.2</f>
        <v>10000</v>
      </c>
      <c r="F12" s="878"/>
      <c r="G12" s="878"/>
      <c r="H12" s="878"/>
      <c r="I12" s="878"/>
      <c r="J12" s="878"/>
      <c r="K12" s="878"/>
      <c r="L12" s="878"/>
      <c r="M12" s="1784" t="s">
        <v>2490</v>
      </c>
    </row>
    <row r="13" spans="2:13" x14ac:dyDescent="0.25">
      <c r="B13" s="1783" t="s">
        <v>2493</v>
      </c>
      <c r="C13" s="1482">
        <f t="shared" si="1"/>
        <v>40000</v>
      </c>
      <c r="D13" s="878"/>
      <c r="E13" s="878"/>
      <c r="F13" s="878"/>
      <c r="G13" s="878"/>
      <c r="H13" s="878"/>
      <c r="I13" s="878"/>
      <c r="J13" s="878">
        <f>48000/1.2</f>
        <v>40000</v>
      </c>
      <c r="K13" s="878"/>
      <c r="L13" s="878"/>
      <c r="M13" s="1784" t="s">
        <v>2494</v>
      </c>
    </row>
    <row r="14" spans="2:13" x14ac:dyDescent="0.25">
      <c r="B14" s="1783" t="s">
        <v>2496</v>
      </c>
      <c r="C14" s="1482">
        <f t="shared" si="1"/>
        <v>50635</v>
      </c>
      <c r="D14" s="878">
        <f>60762/1.2</f>
        <v>50635</v>
      </c>
      <c r="E14" s="878"/>
      <c r="F14" s="878"/>
      <c r="G14" s="878"/>
      <c r="H14" s="878"/>
      <c r="I14" s="878"/>
      <c r="J14" s="878"/>
      <c r="K14" s="878"/>
      <c r="L14" s="878"/>
      <c r="M14" s="1784" t="s">
        <v>2497</v>
      </c>
    </row>
    <row r="15" spans="2:13" x14ac:dyDescent="0.25">
      <c r="B15" s="1783" t="s">
        <v>2498</v>
      </c>
      <c r="C15" s="1482">
        <f t="shared" si="1"/>
        <v>2338.3249999999998</v>
      </c>
      <c r="D15" s="878"/>
      <c r="E15" s="878">
        <f>2805.99/1.2</f>
        <v>2338.3249999999998</v>
      </c>
      <c r="F15" s="878"/>
      <c r="G15" s="878"/>
      <c r="H15" s="878"/>
      <c r="I15" s="878"/>
      <c r="J15" s="878"/>
      <c r="K15" s="878"/>
      <c r="L15" s="878"/>
      <c r="M15" s="1784" t="s">
        <v>2499</v>
      </c>
    </row>
    <row r="16" spans="2:13" x14ac:dyDescent="0.25">
      <c r="B16" s="1783"/>
      <c r="C16" s="1482">
        <f t="shared" si="1"/>
        <v>0</v>
      </c>
      <c r="D16" s="878"/>
      <c r="E16" s="878"/>
      <c r="F16" s="878"/>
      <c r="G16" s="878"/>
      <c r="H16" s="878"/>
      <c r="I16" s="878"/>
      <c r="J16" s="878"/>
      <c r="K16" s="878"/>
      <c r="L16" s="878"/>
    </row>
    <row r="17" spans="2:12" x14ac:dyDescent="0.25">
      <c r="B17" s="1783"/>
      <c r="C17" s="1482">
        <f t="shared" si="1"/>
        <v>0</v>
      </c>
      <c r="D17" s="878"/>
      <c r="E17" s="878"/>
      <c r="F17" s="878"/>
      <c r="G17" s="878"/>
      <c r="H17" s="878"/>
      <c r="I17" s="878"/>
      <c r="J17" s="878"/>
      <c r="K17" s="878"/>
      <c r="L17" s="878"/>
    </row>
    <row r="18" spans="2:12" x14ac:dyDescent="0.25">
      <c r="B18" s="1783"/>
      <c r="C18" s="1482">
        <f t="shared" si="1"/>
        <v>0</v>
      </c>
      <c r="D18" s="878"/>
      <c r="E18" s="878"/>
      <c r="F18" s="878"/>
      <c r="G18" s="878"/>
      <c r="H18" s="878"/>
      <c r="I18" s="878"/>
      <c r="J18" s="878"/>
      <c r="K18" s="878"/>
      <c r="L18" s="878"/>
    </row>
    <row r="19" spans="2:12" x14ac:dyDescent="0.25">
      <c r="B19" s="1783"/>
      <c r="C19" s="1482">
        <f t="shared" si="1"/>
        <v>0</v>
      </c>
      <c r="D19" s="878"/>
      <c r="E19" s="878"/>
      <c r="F19" s="878"/>
      <c r="G19" s="878"/>
      <c r="H19" s="878"/>
      <c r="I19" s="878"/>
      <c r="J19" s="878"/>
      <c r="K19" s="878"/>
      <c r="L19" s="878"/>
    </row>
    <row r="20" spans="2:12" x14ac:dyDescent="0.25">
      <c r="B20" s="1783"/>
      <c r="C20" s="1482">
        <f t="shared" si="1"/>
        <v>0</v>
      </c>
      <c r="D20" s="878"/>
      <c r="E20" s="878"/>
      <c r="F20" s="878"/>
      <c r="G20" s="878"/>
      <c r="H20" s="878"/>
      <c r="I20" s="878"/>
      <c r="J20" s="878"/>
      <c r="K20" s="878"/>
      <c r="L20" s="878"/>
    </row>
    <row r="21" spans="2:12" x14ac:dyDescent="0.25">
      <c r="B21" s="1783"/>
      <c r="C21" s="1482">
        <f t="shared" si="1"/>
        <v>0</v>
      </c>
      <c r="D21" s="878"/>
      <c r="E21" s="878"/>
      <c r="F21" s="878"/>
      <c r="G21" s="878"/>
      <c r="H21" s="878"/>
      <c r="I21" s="878"/>
      <c r="J21" s="878"/>
      <c r="K21" s="878"/>
      <c r="L21" s="878"/>
    </row>
    <row r="22" spans="2:12" x14ac:dyDescent="0.25">
      <c r="B22" s="1783"/>
      <c r="C22" s="1482">
        <f t="shared" si="1"/>
        <v>0</v>
      </c>
      <c r="D22" s="878"/>
      <c r="E22" s="878"/>
      <c r="F22" s="878"/>
      <c r="G22" s="878"/>
      <c r="H22" s="878"/>
      <c r="I22" s="878"/>
      <c r="J22" s="878"/>
      <c r="K22" s="878"/>
      <c r="L22" s="878"/>
    </row>
    <row r="23" spans="2:12" x14ac:dyDescent="0.25">
      <c r="B23" s="1783"/>
      <c r="C23" s="1482">
        <f t="shared" si="1"/>
        <v>0</v>
      </c>
      <c r="D23" s="878"/>
      <c r="E23" s="878"/>
      <c r="F23" s="878"/>
      <c r="G23" s="878"/>
      <c r="H23" s="878"/>
      <c r="I23" s="878"/>
      <c r="J23" s="878"/>
      <c r="K23" s="878"/>
      <c r="L23" s="878"/>
    </row>
    <row r="24" spans="2:12" x14ac:dyDescent="0.25">
      <c r="B24" s="1783"/>
      <c r="C24" s="1482">
        <f t="shared" si="1"/>
        <v>0</v>
      </c>
      <c r="D24" s="878"/>
      <c r="E24" s="878"/>
      <c r="F24" s="878"/>
      <c r="G24" s="878"/>
      <c r="H24" s="878"/>
      <c r="I24" s="878"/>
      <c r="J24" s="878"/>
      <c r="K24" s="878"/>
      <c r="L24" s="878"/>
    </row>
    <row r="25" spans="2:12" x14ac:dyDescent="0.25">
      <c r="B25" s="1783"/>
      <c r="C25" s="1482">
        <f t="shared" si="1"/>
        <v>0</v>
      </c>
      <c r="D25" s="878"/>
      <c r="E25" s="878"/>
      <c r="F25" s="878"/>
      <c r="G25" s="878"/>
      <c r="H25" s="878"/>
      <c r="I25" s="878"/>
      <c r="J25" s="878"/>
      <c r="K25" s="878"/>
      <c r="L25" s="878"/>
    </row>
    <row r="26" spans="2:12" x14ac:dyDescent="0.25">
      <c r="B26" s="1783"/>
      <c r="C26" s="1482">
        <f t="shared" si="1"/>
        <v>0</v>
      </c>
      <c r="D26" s="878"/>
      <c r="E26" s="878"/>
      <c r="F26" s="878"/>
      <c r="G26" s="878"/>
      <c r="H26" s="878"/>
      <c r="I26" s="878"/>
      <c r="J26" s="878"/>
      <c r="K26" s="878"/>
      <c r="L26" s="878"/>
    </row>
    <row r="27" spans="2:12" x14ac:dyDescent="0.25">
      <c r="B27" s="1783"/>
      <c r="C27" s="1482">
        <f t="shared" si="1"/>
        <v>0</v>
      </c>
      <c r="D27" s="878"/>
      <c r="E27" s="878"/>
      <c r="F27" s="878"/>
      <c r="G27" s="878"/>
      <c r="H27" s="878"/>
      <c r="I27" s="878"/>
      <c r="J27" s="878"/>
      <c r="K27" s="878"/>
      <c r="L27" s="878"/>
    </row>
    <row r="28" spans="2:12" x14ac:dyDescent="0.25">
      <c r="B28" s="1783"/>
      <c r="C28" s="1482">
        <f t="shared" si="1"/>
        <v>0</v>
      </c>
      <c r="D28" s="878"/>
      <c r="E28" s="878"/>
      <c r="F28" s="878"/>
      <c r="G28" s="878"/>
      <c r="H28" s="878"/>
      <c r="I28" s="878"/>
      <c r="J28" s="878"/>
      <c r="K28" s="878"/>
      <c r="L28" s="878"/>
    </row>
  </sheetData>
  <mergeCells count="9">
    <mergeCell ref="L2:L3"/>
    <mergeCell ref="E2:F2"/>
    <mergeCell ref="G2:H2"/>
    <mergeCell ref="C2:C3"/>
    <mergeCell ref="B2:B4"/>
    <mergeCell ref="D2:D3"/>
    <mergeCell ref="I2:I3"/>
    <mergeCell ref="J2:J3"/>
    <mergeCell ref="K2:K3"/>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K26"/>
  <sheetViews>
    <sheetView topLeftCell="A13" workbookViewId="0">
      <selection activeCell="C21" sqref="C21"/>
    </sheetView>
  </sheetViews>
  <sheetFormatPr defaultColWidth="8.85546875" defaultRowHeight="15" x14ac:dyDescent="0.25"/>
  <cols>
    <col min="1" max="1" width="33.42578125" style="18" customWidth="1"/>
    <col min="2" max="2" width="16.7109375" style="18" customWidth="1"/>
    <col min="3" max="3" width="17" style="18" customWidth="1"/>
    <col min="4" max="5" width="11.7109375" style="18" customWidth="1"/>
    <col min="6" max="7" width="11.85546875" style="18" customWidth="1"/>
    <col min="8" max="8" width="11.42578125" style="18" customWidth="1"/>
    <col min="9" max="9" width="10.28515625" style="18" customWidth="1"/>
    <col min="10" max="16384" width="8.85546875" style="18"/>
  </cols>
  <sheetData>
    <row r="1" spans="1:11" ht="55.15" customHeight="1" x14ac:dyDescent="0.25">
      <c r="A1" s="4397" t="s">
        <v>3071</v>
      </c>
      <c r="B1" s="4397"/>
      <c r="C1" s="4397"/>
      <c r="D1" s="4397"/>
      <c r="E1" s="4397"/>
      <c r="F1" s="4397"/>
      <c r="G1" s="2295"/>
      <c r="H1" s="2295"/>
      <c r="I1" s="2295"/>
      <c r="J1" s="2295"/>
      <c r="K1" s="2295"/>
    </row>
    <row r="3" spans="1:11" ht="47.25" x14ac:dyDescent="0.25">
      <c r="A3" s="1481" t="s">
        <v>3058</v>
      </c>
      <c r="B3" s="15" t="s">
        <v>3062</v>
      </c>
      <c r="C3" s="15" t="s">
        <v>3063</v>
      </c>
      <c r="D3" s="4389" t="s">
        <v>3064</v>
      </c>
      <c r="E3" s="4390"/>
      <c r="F3" s="4398" t="s">
        <v>3065</v>
      </c>
      <c r="G3" s="4398"/>
      <c r="H3" s="4395" t="s">
        <v>3074</v>
      </c>
      <c r="I3" s="4396"/>
    </row>
    <row r="5" spans="1:11" s="2302" customFormat="1" ht="29.45" customHeight="1" x14ac:dyDescent="0.25">
      <c r="A5" s="2300" t="s">
        <v>2717</v>
      </c>
      <c r="B5" s="2301" t="s">
        <v>3066</v>
      </c>
      <c r="C5" s="2301" t="s">
        <v>3066</v>
      </c>
      <c r="D5" s="4404" t="s">
        <v>3066</v>
      </c>
      <c r="E5" s="4405"/>
      <c r="F5" s="4399" t="s">
        <v>3067</v>
      </c>
      <c r="G5" s="4399"/>
    </row>
    <row r="6" spans="1:11" s="2305" customFormat="1" ht="31.9" customHeight="1" x14ac:dyDescent="0.25">
      <c r="A6" s="2303" t="s">
        <v>3072</v>
      </c>
      <c r="B6" s="2304">
        <v>6235.51</v>
      </c>
      <c r="C6" s="2304">
        <v>6235.51</v>
      </c>
      <c r="D6" s="4402">
        <v>6235.51</v>
      </c>
      <c r="E6" s="4403"/>
      <c r="F6" s="4400">
        <v>6235.51</v>
      </c>
      <c r="G6" s="4400"/>
    </row>
    <row r="7" spans="1:11" ht="15.75" x14ac:dyDescent="0.25">
      <c r="A7" s="878" t="s">
        <v>3059</v>
      </c>
      <c r="B7" s="1481">
        <v>1394.9</v>
      </c>
      <c r="C7" s="1481">
        <v>1273.4000000000001</v>
      </c>
      <c r="D7" s="4395">
        <v>1341.02</v>
      </c>
      <c r="E7" s="4396"/>
      <c r="F7" s="4401">
        <v>1390.28</v>
      </c>
      <c r="G7" s="4401"/>
      <c r="H7" s="58"/>
      <c r="I7" s="58"/>
      <c r="J7" s="58"/>
      <c r="K7" s="58"/>
    </row>
    <row r="8" spans="1:11" ht="15.75" x14ac:dyDescent="0.25">
      <c r="A8" s="878" t="s">
        <v>3060</v>
      </c>
      <c r="B8" s="1481">
        <v>55670.12</v>
      </c>
      <c r="C8" s="1481">
        <v>73289.89</v>
      </c>
      <c r="D8" s="4395">
        <v>88163</v>
      </c>
      <c r="E8" s="4396"/>
      <c r="F8" s="4401">
        <v>48205.98</v>
      </c>
      <c r="G8" s="4401"/>
      <c r="H8" s="58"/>
      <c r="I8" s="58"/>
      <c r="J8" s="58"/>
      <c r="K8" s="58"/>
    </row>
    <row r="9" spans="1:11" ht="58.5" x14ac:dyDescent="0.35">
      <c r="A9" s="2292" t="s">
        <v>3061</v>
      </c>
      <c r="B9" s="2293">
        <v>1923.08</v>
      </c>
      <c r="C9" s="2293">
        <v>1794.28</v>
      </c>
      <c r="D9" s="4391">
        <v>2013.34</v>
      </c>
      <c r="E9" s="4392"/>
      <c r="F9" s="4407">
        <v>1759.01</v>
      </c>
      <c r="G9" s="4407"/>
      <c r="H9" s="2294"/>
      <c r="I9" s="2294"/>
      <c r="J9" s="2294"/>
      <c r="K9" s="2294"/>
    </row>
    <row r="10" spans="1:11" s="2306" customFormat="1" ht="33.6" customHeight="1" x14ac:dyDescent="0.25">
      <c r="A10" s="2300" t="s">
        <v>2717</v>
      </c>
      <c r="B10" s="2301" t="s">
        <v>3066</v>
      </c>
      <c r="C10" s="2301" t="s">
        <v>3066</v>
      </c>
      <c r="D10" s="4404" t="s">
        <v>3066</v>
      </c>
      <c r="E10" s="4405"/>
      <c r="F10" s="4399" t="s">
        <v>3068</v>
      </c>
      <c r="G10" s="4399"/>
    </row>
    <row r="11" spans="1:11" s="2305" customFormat="1" ht="32.450000000000003" customHeight="1" x14ac:dyDescent="0.25">
      <c r="A11" s="2303" t="s">
        <v>3072</v>
      </c>
      <c r="B11" s="2304">
        <v>6235.51</v>
      </c>
      <c r="C11" s="2304">
        <v>6235.51</v>
      </c>
      <c r="D11" s="4402">
        <v>6235.51</v>
      </c>
      <c r="E11" s="4403"/>
      <c r="F11" s="4400">
        <v>4011.12</v>
      </c>
      <c r="G11" s="4400"/>
    </row>
    <row r="12" spans="1:11" s="1198" customFormat="1" ht="25.5" x14ac:dyDescent="0.2">
      <c r="A12" s="2298" t="s">
        <v>3069</v>
      </c>
      <c r="B12" s="1792"/>
      <c r="C12" s="1792"/>
      <c r="D12" s="4408"/>
      <c r="E12" s="4409"/>
      <c r="F12" s="2299" t="s">
        <v>632</v>
      </c>
      <c r="G12" s="2299" t="s">
        <v>631</v>
      </c>
    </row>
    <row r="13" spans="1:11" ht="15.75" x14ac:dyDescent="0.25">
      <c r="A13" s="878" t="s">
        <v>3059</v>
      </c>
      <c r="B13" s="1481">
        <v>1394.9</v>
      </c>
      <c r="C13" s="1481">
        <v>1273.4000000000001</v>
      </c>
      <c r="D13" s="4395">
        <v>1341.02</v>
      </c>
      <c r="E13" s="4396"/>
      <c r="F13" s="2296">
        <v>806.59</v>
      </c>
      <c r="G13" s="878">
        <v>806.59</v>
      </c>
      <c r="H13" s="58"/>
      <c r="I13" s="58"/>
      <c r="J13" s="58"/>
      <c r="K13" s="58"/>
    </row>
    <row r="14" spans="1:11" ht="15.75" x14ac:dyDescent="0.25">
      <c r="A14" s="878" t="s">
        <v>3060</v>
      </c>
      <c r="B14" s="1481">
        <v>55670.12</v>
      </c>
      <c r="C14" s="1481">
        <v>73289.89</v>
      </c>
      <c r="D14" s="4395">
        <v>91163</v>
      </c>
      <c r="E14" s="4396"/>
      <c r="F14" s="2296">
        <v>110460.1</v>
      </c>
      <c r="G14" s="878">
        <v>85317.31</v>
      </c>
      <c r="H14" s="58"/>
      <c r="I14" s="58"/>
      <c r="J14" s="58"/>
      <c r="K14" s="58"/>
    </row>
    <row r="15" spans="1:11" ht="58.5" x14ac:dyDescent="0.35">
      <c r="A15" s="2292" t="s">
        <v>3061</v>
      </c>
      <c r="B15" s="2293">
        <v>1923.08</v>
      </c>
      <c r="C15" s="2293">
        <v>1794.28</v>
      </c>
      <c r="D15" s="4391">
        <v>2013.34</v>
      </c>
      <c r="E15" s="4392"/>
      <c r="F15" s="2293">
        <v>1626.66</v>
      </c>
      <c r="G15" s="2297">
        <v>1377.58</v>
      </c>
      <c r="H15" s="2294"/>
      <c r="I15" s="2294"/>
      <c r="J15" s="2294"/>
      <c r="K15" s="2294"/>
    </row>
    <row r="16" spans="1:11" s="2302" customFormat="1" ht="33.6" customHeight="1" x14ac:dyDescent="0.25">
      <c r="A16" s="2307" t="s">
        <v>3070</v>
      </c>
      <c r="B16" s="2301" t="s">
        <v>582</v>
      </c>
      <c r="C16" s="2301" t="s">
        <v>582</v>
      </c>
      <c r="D16" s="4393" t="s">
        <v>3114</v>
      </c>
      <c r="E16" s="4394"/>
      <c r="F16" s="4399" t="s">
        <v>3073</v>
      </c>
      <c r="G16" s="4399"/>
      <c r="H16" s="4393" t="s">
        <v>3115</v>
      </c>
      <c r="I16" s="4394"/>
    </row>
    <row r="17" spans="1:11" s="2305" customFormat="1" ht="32.450000000000003" customHeight="1" x14ac:dyDescent="0.25">
      <c r="A17" s="2303" t="s">
        <v>3072</v>
      </c>
      <c r="B17" s="2304"/>
      <c r="C17" s="2304"/>
      <c r="D17" s="4402">
        <v>6408</v>
      </c>
      <c r="E17" s="4403"/>
      <c r="F17" s="4400">
        <v>6183.33</v>
      </c>
      <c r="G17" s="4400"/>
      <c r="H17" s="4402"/>
      <c r="I17" s="4403"/>
    </row>
    <row r="18" spans="1:11" s="1198" customFormat="1" ht="25.5" x14ac:dyDescent="0.2">
      <c r="A18" s="2298" t="s">
        <v>3069</v>
      </c>
      <c r="B18" s="1792"/>
      <c r="C18" s="1792"/>
      <c r="D18" s="2299" t="s">
        <v>632</v>
      </c>
      <c r="E18" s="2299" t="s">
        <v>631</v>
      </c>
      <c r="F18" s="2299" t="s">
        <v>632</v>
      </c>
      <c r="G18" s="2299" t="s">
        <v>631</v>
      </c>
      <c r="H18" s="2299" t="s">
        <v>632</v>
      </c>
      <c r="I18" s="2299" t="s">
        <v>631</v>
      </c>
    </row>
    <row r="19" spans="1:11" ht="15.75" x14ac:dyDescent="0.25">
      <c r="A19" s="878" t="s">
        <v>3059</v>
      </c>
      <c r="B19" s="1481"/>
      <c r="C19" s="1481"/>
      <c r="D19" s="1481"/>
      <c r="E19" s="1481"/>
      <c r="F19" s="2296">
        <v>1173.58</v>
      </c>
      <c r="G19" s="1755">
        <v>1111</v>
      </c>
      <c r="H19" s="1481"/>
      <c r="I19" s="1481"/>
      <c r="J19" s="58"/>
      <c r="K19" s="58"/>
    </row>
    <row r="20" spans="1:11" ht="15.75" x14ac:dyDescent="0.25">
      <c r="A20" s="878" t="s">
        <v>3060</v>
      </c>
      <c r="B20" s="1481"/>
      <c r="C20" s="1481"/>
      <c r="D20" s="1481"/>
      <c r="E20" s="1481"/>
      <c r="F20" s="2296">
        <v>152112.18</v>
      </c>
      <c r="G20" s="1482">
        <v>119319.37</v>
      </c>
      <c r="H20" s="1481"/>
      <c r="I20" s="1481"/>
      <c r="J20" s="58"/>
      <c r="K20" s="58"/>
    </row>
    <row r="21" spans="1:11" ht="58.5" x14ac:dyDescent="0.35">
      <c r="A21" s="2292" t="s">
        <v>3061</v>
      </c>
      <c r="B21" s="2293"/>
      <c r="C21" s="2293"/>
      <c r="D21" s="2308">
        <v>2453.5</v>
      </c>
      <c r="E21" s="2293">
        <v>2446.64</v>
      </c>
      <c r="F21" s="2293">
        <v>2419.3200000000002</v>
      </c>
      <c r="G21" s="2297">
        <v>2078.83</v>
      </c>
      <c r="H21" s="2308">
        <v>2256.23</v>
      </c>
      <c r="I21" s="2293">
        <v>2217.7199999999998</v>
      </c>
      <c r="J21" s="2294"/>
      <c r="K21" s="2294"/>
    </row>
    <row r="23" spans="1:11" ht="47.25" x14ac:dyDescent="0.25">
      <c r="A23" s="1781" t="s">
        <v>3051</v>
      </c>
    </row>
    <row r="24" spans="1:11" ht="15.75" x14ac:dyDescent="0.25">
      <c r="A24" s="4406"/>
      <c r="B24" s="4406"/>
      <c r="C24" s="4406"/>
      <c r="D24" s="4406"/>
      <c r="E24" s="4406"/>
      <c r="F24" s="4406"/>
      <c r="G24" s="4406"/>
      <c r="H24" s="4406"/>
      <c r="I24" s="4406"/>
    </row>
    <row r="25" spans="1:11" s="58" customFormat="1" ht="15.75" x14ac:dyDescent="0.25">
      <c r="A25" s="58" t="s">
        <v>1099</v>
      </c>
      <c r="H25" s="58">
        <v>3925.91</v>
      </c>
      <c r="I25" s="58">
        <v>3914.51</v>
      </c>
    </row>
    <row r="26" spans="1:11" s="58" customFormat="1" ht="15.75" x14ac:dyDescent="0.25">
      <c r="A26" s="58" t="s">
        <v>1100</v>
      </c>
      <c r="H26" s="58">
        <v>3962.16</v>
      </c>
      <c r="I26" s="58">
        <v>3905.48</v>
      </c>
    </row>
  </sheetData>
  <mergeCells count="29">
    <mergeCell ref="H3:I3"/>
    <mergeCell ref="H16:I16"/>
    <mergeCell ref="H17:I17"/>
    <mergeCell ref="A24:I24"/>
    <mergeCell ref="F17:G17"/>
    <mergeCell ref="F8:G8"/>
    <mergeCell ref="F9:G9"/>
    <mergeCell ref="F10:G10"/>
    <mergeCell ref="F11:G11"/>
    <mergeCell ref="F16:G16"/>
    <mergeCell ref="D17:E17"/>
    <mergeCell ref="D10:E10"/>
    <mergeCell ref="D11:E11"/>
    <mergeCell ref="D12:E12"/>
    <mergeCell ref="D13:E13"/>
    <mergeCell ref="D14:E14"/>
    <mergeCell ref="A1:F1"/>
    <mergeCell ref="F3:G3"/>
    <mergeCell ref="F5:G5"/>
    <mergeCell ref="F6:G6"/>
    <mergeCell ref="F7:G7"/>
    <mergeCell ref="D3:E3"/>
    <mergeCell ref="D6:E6"/>
    <mergeCell ref="D5:E5"/>
    <mergeCell ref="D15:E15"/>
    <mergeCell ref="D16:E16"/>
    <mergeCell ref="D9:E9"/>
    <mergeCell ref="D8:E8"/>
    <mergeCell ref="D7:E7"/>
  </mergeCells>
  <pageMargins left="0.70866141732283472" right="0.23622047244094491" top="0.74803149606299213" bottom="0.74803149606299213" header="0.31496062992125984" footer="0.31496062992125984"/>
  <pageSetup paperSize="9" scale="81" orientation="portrait" horizontalDpi="0"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J32"/>
  <sheetViews>
    <sheetView view="pageBreakPreview" topLeftCell="A7" zoomScale="60" zoomScaleNormal="100" workbookViewId="0">
      <selection activeCell="B21" sqref="B21"/>
    </sheetView>
  </sheetViews>
  <sheetFormatPr defaultColWidth="8.85546875" defaultRowHeight="15.75" x14ac:dyDescent="0.25"/>
  <cols>
    <col min="1" max="1" width="19.5703125" style="58" customWidth="1"/>
    <col min="2" max="2" width="11.42578125" style="58" customWidth="1"/>
    <col min="3" max="3" width="11" style="58" customWidth="1"/>
    <col min="4" max="4" width="11.85546875" style="58" customWidth="1"/>
    <col min="5" max="5" width="11.28515625" style="58" customWidth="1"/>
    <col min="6" max="6" width="10.7109375" style="58" customWidth="1"/>
    <col min="7" max="7" width="11.5703125" style="58" customWidth="1"/>
    <col min="8" max="8" width="12.7109375" style="58" customWidth="1"/>
    <col min="9" max="16384" width="8.85546875" style="58"/>
  </cols>
  <sheetData>
    <row r="1" spans="1:10" x14ac:dyDescent="0.25">
      <c r="A1" s="4104"/>
      <c r="B1" s="4104"/>
      <c r="C1" s="4104"/>
      <c r="D1" s="4104"/>
      <c r="E1" s="4104"/>
      <c r="F1" s="4104"/>
      <c r="G1" s="4104"/>
      <c r="H1" s="4104"/>
    </row>
    <row r="3" spans="1:10" x14ac:dyDescent="0.25">
      <c r="H3" s="58" t="s">
        <v>1976</v>
      </c>
    </row>
    <row r="4" spans="1:10" ht="51.75" customHeight="1" x14ac:dyDescent="0.25">
      <c r="A4" s="4384" t="s">
        <v>3412</v>
      </c>
      <c r="B4" s="4428" t="s">
        <v>3400</v>
      </c>
      <c r="C4" s="4428"/>
      <c r="D4" s="4428"/>
      <c r="E4" s="4386" t="s">
        <v>3430</v>
      </c>
      <c r="F4" s="4429"/>
      <c r="G4" s="4387"/>
      <c r="H4" s="4430" t="s">
        <v>3052</v>
      </c>
    </row>
    <row r="5" spans="1:10" ht="15.75" customHeight="1" x14ac:dyDescent="0.25">
      <c r="A5" s="4388"/>
      <c r="B5" s="4431" t="s">
        <v>3232</v>
      </c>
      <c r="C5" s="4432"/>
      <c r="D5" s="4433"/>
      <c r="E5" s="4431" t="s">
        <v>3232</v>
      </c>
      <c r="F5" s="4432"/>
      <c r="G5" s="4433"/>
      <c r="H5" s="4430"/>
    </row>
    <row r="6" spans="1:10" x14ac:dyDescent="0.25">
      <c r="A6" s="4388"/>
      <c r="B6" s="4434"/>
      <c r="C6" s="4435"/>
      <c r="D6" s="4436"/>
      <c r="E6" s="4434"/>
      <c r="F6" s="4435"/>
      <c r="G6" s="4436"/>
      <c r="H6" s="4430"/>
    </row>
    <row r="7" spans="1:10" x14ac:dyDescent="0.25">
      <c r="A7" s="4385"/>
      <c r="B7" s="4419" t="s">
        <v>74</v>
      </c>
      <c r="C7" s="4420"/>
      <c r="D7" s="4421"/>
      <c r="E7" s="4419" t="s">
        <v>74</v>
      </c>
      <c r="F7" s="4420"/>
      <c r="G7" s="4421"/>
      <c r="H7" s="1481" t="s">
        <v>4</v>
      </c>
    </row>
    <row r="8" spans="1:10" ht="18.75" x14ac:dyDescent="0.25">
      <c r="A8" s="4416" t="s">
        <v>3054</v>
      </c>
      <c r="B8" s="4417"/>
      <c r="C8" s="4417"/>
      <c r="D8" s="4417"/>
      <c r="E8" s="4417"/>
      <c r="F8" s="4417"/>
      <c r="G8" s="4417"/>
      <c r="H8" s="4418"/>
    </row>
    <row r="9" spans="1:10" s="2291" customFormat="1" ht="47.25" x14ac:dyDescent="0.25">
      <c r="A9" s="2692" t="s">
        <v>3053</v>
      </c>
      <c r="B9" s="4425">
        <v>0</v>
      </c>
      <c r="C9" s="4425"/>
      <c r="D9" s="4425"/>
      <c r="E9" s="4426">
        <v>0</v>
      </c>
      <c r="F9" s="4426"/>
      <c r="G9" s="4426"/>
      <c r="H9" s="2693">
        <v>0</v>
      </c>
    </row>
    <row r="10" spans="1:10" s="1212" customFormat="1" ht="17.45" customHeight="1" x14ac:dyDescent="0.25">
      <c r="A10" s="4413" t="s">
        <v>3055</v>
      </c>
      <c r="B10" s="4414"/>
      <c r="C10" s="4414"/>
      <c r="D10" s="4414"/>
      <c r="E10" s="4414"/>
      <c r="F10" s="4414"/>
      <c r="G10" s="4414"/>
      <c r="H10" s="4415"/>
    </row>
    <row r="11" spans="1:10" x14ac:dyDescent="0.25">
      <c r="A11" s="2694" t="s">
        <v>2752</v>
      </c>
      <c r="B11" s="4410">
        <f>сведено!B176</f>
        <v>0</v>
      </c>
      <c r="C11" s="4411"/>
      <c r="D11" s="4412"/>
      <c r="E11" s="4410">
        <f>сведено!E176</f>
        <v>0</v>
      </c>
      <c r="F11" s="4411"/>
      <c r="G11" s="4412"/>
      <c r="H11" s="2697">
        <f>сведено!H176</f>
        <v>0</v>
      </c>
    </row>
    <row r="12" spans="1:10" s="1212" customFormat="1" ht="17.45" customHeight="1" x14ac:dyDescent="0.25">
      <c r="A12" s="4413" t="s">
        <v>3056</v>
      </c>
      <c r="B12" s="4414"/>
      <c r="C12" s="4414"/>
      <c r="D12" s="4414"/>
      <c r="E12" s="4414"/>
      <c r="F12" s="4414"/>
      <c r="G12" s="4414"/>
      <c r="H12" s="4415"/>
    </row>
    <row r="13" spans="1:10" x14ac:dyDescent="0.25">
      <c r="A13" s="2694" t="s">
        <v>2752</v>
      </c>
      <c r="B13" s="4410">
        <f>сведено!B182</f>
        <v>0</v>
      </c>
      <c r="C13" s="4411"/>
      <c r="D13" s="4412"/>
      <c r="E13" s="4410">
        <f>сведено!E182</f>
        <v>0</v>
      </c>
      <c r="F13" s="4411"/>
      <c r="G13" s="4412"/>
      <c r="H13" s="2697">
        <f>сведено!H182</f>
        <v>0</v>
      </c>
    </row>
    <row r="14" spans="1:10" x14ac:dyDescent="0.25">
      <c r="A14" s="1781"/>
      <c r="C14" s="1841"/>
    </row>
    <row r="15" spans="1:10" ht="18.75" x14ac:dyDescent="0.25">
      <c r="A15" s="4416" t="s">
        <v>2792</v>
      </c>
      <c r="B15" s="4417"/>
      <c r="C15" s="4417"/>
      <c r="D15" s="4417"/>
      <c r="E15" s="4417"/>
      <c r="F15" s="4417"/>
      <c r="G15" s="4417"/>
      <c r="H15" s="4418"/>
    </row>
    <row r="16" spans="1:10" s="2291" customFormat="1" ht="47.25" x14ac:dyDescent="0.25">
      <c r="A16" s="2692" t="s">
        <v>3053</v>
      </c>
      <c r="B16" s="4425">
        <v>0</v>
      </c>
      <c r="C16" s="4425"/>
      <c r="D16" s="4425"/>
      <c r="E16" s="4426">
        <v>0</v>
      </c>
      <c r="F16" s="4426"/>
      <c r="G16" s="4426"/>
      <c r="H16" s="2693">
        <v>0</v>
      </c>
      <c r="J16" s="2291">
        <v>0</v>
      </c>
    </row>
    <row r="17" spans="1:10" s="2291" customFormat="1" x14ac:dyDescent="0.25">
      <c r="A17" s="4413" t="s">
        <v>3055</v>
      </c>
      <c r="B17" s="4414"/>
      <c r="C17" s="4414"/>
      <c r="D17" s="4414"/>
      <c r="E17" s="4414"/>
      <c r="F17" s="4414"/>
      <c r="G17" s="4414"/>
      <c r="H17" s="4415"/>
    </row>
    <row r="18" spans="1:10" x14ac:dyDescent="0.25">
      <c r="A18" s="2694" t="s">
        <v>2752</v>
      </c>
      <c r="B18" s="4410">
        <f>сведено!B189</f>
        <v>0</v>
      </c>
      <c r="C18" s="4411"/>
      <c r="D18" s="4412"/>
      <c r="E18" s="4410">
        <f>сведено!E189</f>
        <v>0</v>
      </c>
      <c r="F18" s="4411"/>
      <c r="G18" s="4412"/>
      <c r="H18" s="2697"/>
    </row>
    <row r="19" spans="1:10" ht="15.6" customHeight="1" x14ac:dyDescent="0.25">
      <c r="A19" s="4413" t="s">
        <v>3228</v>
      </c>
      <c r="B19" s="4414"/>
      <c r="C19" s="4414"/>
      <c r="D19" s="4414"/>
      <c r="E19" s="4414"/>
      <c r="F19" s="4414"/>
      <c r="G19" s="4414"/>
      <c r="H19" s="4415"/>
    </row>
    <row r="20" spans="1:10" x14ac:dyDescent="0.25">
      <c r="A20" s="2694" t="s">
        <v>2752</v>
      </c>
      <c r="B20" s="4410">
        <v>0</v>
      </c>
      <c r="C20" s="4411"/>
      <c r="D20" s="4412"/>
      <c r="E20" s="4410">
        <f>сведено!E195</f>
        <v>0</v>
      </c>
      <c r="F20" s="4411"/>
      <c r="G20" s="4412"/>
      <c r="H20" s="2697"/>
    </row>
    <row r="21" spans="1:10" x14ac:dyDescent="0.25">
      <c r="A21" s="1781"/>
      <c r="C21" s="1841"/>
    </row>
    <row r="22" spans="1:10" x14ac:dyDescent="0.25">
      <c r="A22" s="4422" t="s">
        <v>2907</v>
      </c>
      <c r="B22" s="4423"/>
      <c r="C22" s="4423"/>
      <c r="D22" s="4423"/>
      <c r="E22" s="4423"/>
      <c r="F22" s="4423"/>
      <c r="G22" s="4423"/>
      <c r="H22" s="4424"/>
    </row>
    <row r="23" spans="1:10" s="2291" customFormat="1" ht="47.25" x14ac:dyDescent="0.25">
      <c r="A23" s="2692" t="s">
        <v>3053</v>
      </c>
      <c r="B23" s="4425">
        <f>'Вхідні дані'!D24*1.2</f>
        <v>35825.987999999998</v>
      </c>
      <c r="C23" s="4425"/>
      <c r="D23" s="4425"/>
      <c r="E23" s="4426">
        <v>36695.980000000003</v>
      </c>
      <c r="F23" s="4426"/>
      <c r="G23" s="4426"/>
      <c r="H23" s="2693">
        <f>B23/E23-1</f>
        <v>-2.3708100996349124E-2</v>
      </c>
      <c r="J23" s="2291">
        <f>B23/E23</f>
        <v>0.97629189900365088</v>
      </c>
    </row>
    <row r="24" spans="1:10" x14ac:dyDescent="0.25">
      <c r="A24" s="2694" t="s">
        <v>2752</v>
      </c>
      <c r="B24" s="4410">
        <f>сведено!B202</f>
        <v>10925.853258111962</v>
      </c>
      <c r="C24" s="4411"/>
      <c r="D24" s="4412"/>
      <c r="E24" s="4410">
        <f>сведено!C202</f>
        <v>11928.206</v>
      </c>
      <c r="F24" s="4411"/>
      <c r="G24" s="4412"/>
      <c r="H24" s="3489">
        <f>B24/E24-1</f>
        <v>-8.4032145478376119E-2</v>
      </c>
    </row>
    <row r="25" spans="1:10" x14ac:dyDescent="0.25">
      <c r="A25" s="4422" t="s">
        <v>2908</v>
      </c>
      <c r="B25" s="4423"/>
      <c r="C25" s="4423"/>
      <c r="D25" s="4423"/>
      <c r="E25" s="4423"/>
      <c r="F25" s="4423"/>
      <c r="G25" s="4423"/>
      <c r="H25" s="4424"/>
    </row>
    <row r="26" spans="1:10" x14ac:dyDescent="0.25">
      <c r="A26" s="2694" t="s">
        <v>2752</v>
      </c>
      <c r="B26" s="4410">
        <f>сведено!B208</f>
        <v>10022.321747918011</v>
      </c>
      <c r="C26" s="4411"/>
      <c r="D26" s="4412"/>
      <c r="E26" s="4410">
        <f>сведено!C208</f>
        <v>11112.036</v>
      </c>
      <c r="F26" s="4411"/>
      <c r="G26" s="4412"/>
      <c r="H26" s="3489">
        <f t="shared" ref="H26" si="0">B26/E26-1</f>
        <v>-9.8066119663578255E-2</v>
      </c>
    </row>
    <row r="27" spans="1:10" x14ac:dyDescent="0.25">
      <c r="A27" s="1781"/>
      <c r="C27" s="1841"/>
    </row>
    <row r="28" spans="1:10" x14ac:dyDescent="0.25">
      <c r="A28" s="4422" t="s">
        <v>3057</v>
      </c>
      <c r="B28" s="4423"/>
      <c r="C28" s="4423"/>
      <c r="D28" s="4423"/>
      <c r="E28" s="4423"/>
      <c r="F28" s="4423"/>
      <c r="G28" s="4423"/>
      <c r="H28" s="4424"/>
    </row>
    <row r="29" spans="1:10" s="2291" customFormat="1" ht="47.25" x14ac:dyDescent="0.25">
      <c r="A29" s="2692" t="s">
        <v>3053</v>
      </c>
      <c r="B29" s="4425">
        <v>0</v>
      </c>
      <c r="C29" s="4425"/>
      <c r="D29" s="4425"/>
      <c r="E29" s="4426">
        <v>0</v>
      </c>
      <c r="F29" s="4426"/>
      <c r="G29" s="4426"/>
      <c r="H29" s="2693"/>
    </row>
    <row r="30" spans="1:10" x14ac:dyDescent="0.25">
      <c r="A30" s="2694" t="s">
        <v>2752</v>
      </c>
      <c r="B30" s="2695">
        <f>сведено!B215</f>
        <v>0</v>
      </c>
      <c r="C30" s="2696">
        <f>сведено!C215</f>
        <v>0</v>
      </c>
      <c r="D30" s="2696">
        <f>сведено!D215</f>
        <v>0</v>
      </c>
      <c r="E30" s="2695">
        <f>сведено!E215</f>
        <v>0</v>
      </c>
      <c r="F30" s="2696">
        <f>сведено!F215</f>
        <v>0</v>
      </c>
      <c r="G30" s="2696">
        <f>сведено!G215</f>
        <v>0</v>
      </c>
      <c r="H30" s="2697">
        <v>0</v>
      </c>
    </row>
    <row r="31" spans="1:10" x14ac:dyDescent="0.25">
      <c r="A31" s="1781"/>
      <c r="C31" s="1841"/>
    </row>
    <row r="32" spans="1:10" ht="62.45" customHeight="1" x14ac:dyDescent="0.25">
      <c r="A32" s="4427" t="s">
        <v>3355</v>
      </c>
      <c r="B32" s="4427"/>
      <c r="C32" s="4427"/>
      <c r="D32" s="4427"/>
    </row>
  </sheetData>
  <mergeCells count="39">
    <mergeCell ref="A32:D32"/>
    <mergeCell ref="A22:H22"/>
    <mergeCell ref="A25:H25"/>
    <mergeCell ref="A4:A7"/>
    <mergeCell ref="B4:D4"/>
    <mergeCell ref="E4:G4"/>
    <mergeCell ref="H4:H6"/>
    <mergeCell ref="B29:D29"/>
    <mergeCell ref="E29:G29"/>
    <mergeCell ref="B5:D6"/>
    <mergeCell ref="B7:D7"/>
    <mergeCell ref="E5:G6"/>
    <mergeCell ref="E11:G11"/>
    <mergeCell ref="B13:D13"/>
    <mergeCell ref="E13:G13"/>
    <mergeCell ref="B18:D18"/>
    <mergeCell ref="A28:H28"/>
    <mergeCell ref="B9:D9"/>
    <mergeCell ref="E9:G9"/>
    <mergeCell ref="B16:D16"/>
    <mergeCell ref="E16:G16"/>
    <mergeCell ref="B23:D23"/>
    <mergeCell ref="E23:G23"/>
    <mergeCell ref="A12:H12"/>
    <mergeCell ref="A15:H15"/>
    <mergeCell ref="A19:H19"/>
    <mergeCell ref="B11:D11"/>
    <mergeCell ref="E18:G18"/>
    <mergeCell ref="B20:D20"/>
    <mergeCell ref="E20:G20"/>
    <mergeCell ref="B24:D24"/>
    <mergeCell ref="B26:D26"/>
    <mergeCell ref="E24:G24"/>
    <mergeCell ref="E26:G26"/>
    <mergeCell ref="A1:H1"/>
    <mergeCell ref="A10:H10"/>
    <mergeCell ref="A17:H17"/>
    <mergeCell ref="A8:H8"/>
    <mergeCell ref="E7:G7"/>
  </mergeCells>
  <pageMargins left="0.70866141732283472" right="0.18" top="0.74803149606299213" bottom="0.74803149606299213" header="0.31496062992125984" footer="0.31496062992125984"/>
  <pageSetup paperSize="9" scale="93"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L217"/>
  <sheetViews>
    <sheetView topLeftCell="A13" zoomScaleNormal="100" workbookViewId="0">
      <selection activeCell="G25" sqref="G25"/>
    </sheetView>
  </sheetViews>
  <sheetFormatPr defaultColWidth="8.85546875" defaultRowHeight="15" x14ac:dyDescent="0.25"/>
  <cols>
    <col min="1" max="1" width="20" style="110" customWidth="1"/>
    <col min="2" max="2" width="20.7109375" style="18" customWidth="1"/>
    <col min="3" max="3" width="11" style="1209" customWidth="1"/>
    <col min="4" max="4" width="11.28515625" style="18" customWidth="1"/>
    <col min="5" max="5" width="11" style="18" customWidth="1"/>
    <col min="6" max="6" width="11.140625" style="18" customWidth="1"/>
    <col min="7" max="7" width="11" style="18" customWidth="1"/>
    <col min="8" max="8" width="12" style="18" bestFit="1" customWidth="1"/>
    <col min="9" max="9" width="10.5703125" style="18" customWidth="1"/>
    <col min="10" max="10" width="10.140625" style="18" customWidth="1"/>
    <col min="11" max="12" width="9" style="18" bestFit="1" customWidth="1"/>
    <col min="13" max="13" width="8.85546875" style="18"/>
    <col min="14" max="14" width="8.85546875" style="18" customWidth="1"/>
    <col min="15" max="16384" width="8.85546875" style="18"/>
  </cols>
  <sheetData>
    <row r="1" spans="1:12" x14ac:dyDescent="0.25">
      <c r="J1" s="2384">
        <f>G8</f>
        <v>34277.424993437729</v>
      </c>
      <c r="K1" s="2385">
        <f>J1/J$6</f>
        <v>0.93158443881353392</v>
      </c>
    </row>
    <row r="2" spans="1:12" x14ac:dyDescent="0.25">
      <c r="D2" s="1209"/>
      <c r="E2" s="1209"/>
      <c r="F2" s="1209"/>
      <c r="G2" s="1209"/>
      <c r="J2" s="2386">
        <f>G12</f>
        <v>1371.0969997375093</v>
      </c>
      <c r="K2" s="2387">
        <f t="shared" ref="K2:K6" si="0">J2/J$6</f>
        <v>3.726337755254136E-2</v>
      </c>
    </row>
    <row r="3" spans="1:12" x14ac:dyDescent="0.25">
      <c r="J3" s="2386">
        <f>G10+G11</f>
        <v>1146.2370917805579</v>
      </c>
      <c r="K3" s="2387">
        <f t="shared" si="0"/>
        <v>3.1152183633924579E-2</v>
      </c>
    </row>
    <row r="4" spans="1:12" s="787" customFormat="1" x14ac:dyDescent="0.25">
      <c r="A4" s="2388"/>
      <c r="B4" s="2389"/>
      <c r="C4" s="2390" t="s">
        <v>1376</v>
      </c>
      <c r="D4" s="2389" t="s">
        <v>2148</v>
      </c>
      <c r="E4" s="2389" t="s">
        <v>2149</v>
      </c>
      <c r="F4" s="2389" t="s">
        <v>1378</v>
      </c>
      <c r="G4" s="2389" t="s">
        <v>2150</v>
      </c>
      <c r="J4" s="2391">
        <f>G9</f>
        <v>2517.3340915180675</v>
      </c>
      <c r="K4" s="2387">
        <f t="shared" si="0"/>
        <v>6.841556118646594E-2</v>
      </c>
    </row>
    <row r="5" spans="1:12" x14ac:dyDescent="0.25">
      <c r="A5" s="34" t="s">
        <v>2268</v>
      </c>
      <c r="B5" s="20" t="s">
        <v>40</v>
      </c>
      <c r="C5" s="2392">
        <f>Виробництво_Транспортування_1ст!F9+'Д 2_Т на В'!H42</f>
        <v>19934.384574720101</v>
      </c>
      <c r="D5" s="883">
        <f>Виробництво_Транспортування_1ст!K100</f>
        <v>3032.7117809210158</v>
      </c>
      <c r="E5" s="883">
        <f>Виробництво_Транспортування_1ст!L100</f>
        <v>5776.9281105254522</v>
      </c>
      <c r="F5" s="883">
        <f>Постачання_1ст!F9</f>
        <v>452.39715326115993</v>
      </c>
      <c r="G5" s="883">
        <f t="shared" ref="G5:G14" si="1">SUM(C5:F5)</f>
        <v>29196.421619427729</v>
      </c>
      <c r="I5" s="828">
        <f>Виробництво_Транспортування_1ст!F9+'Д 2_Т на В'!H42</f>
        <v>19934.384574720101</v>
      </c>
      <c r="J5" s="2386">
        <f>G13</f>
        <v>0</v>
      </c>
      <c r="K5" s="2387">
        <f t="shared" si="0"/>
        <v>0</v>
      </c>
    </row>
    <row r="6" spans="1:12" ht="15.75" thickBot="1" x14ac:dyDescent="0.3">
      <c r="A6" s="34" t="s">
        <v>1080</v>
      </c>
      <c r="B6" s="20" t="s">
        <v>40</v>
      </c>
      <c r="C6" s="2392">
        <f>'БАЗИ РОЗПОДІЛУ'!F13</f>
        <v>3002.4645812406716</v>
      </c>
      <c r="D6" s="883">
        <f>'БАЗИ РОЗПОДІЛУ'!H13</f>
        <v>296.76719981972008</v>
      </c>
      <c r="E6" s="883">
        <f>'БАЗИ РОЗПОДІЛУ'!I13</f>
        <v>521.51834588851852</v>
      </c>
      <c r="F6" s="883">
        <f>'БАЗИ РОЗПОДІЛУ'!J13</f>
        <v>68.138869511090107</v>
      </c>
      <c r="G6" s="883">
        <f t="shared" si="1"/>
        <v>3888.8889964600003</v>
      </c>
      <c r="I6" s="828">
        <f>'БАЗИ РОЗПОДІЛУ'!F14</f>
        <v>3002.4645812406716</v>
      </c>
      <c r="J6" s="2393">
        <f>G14</f>
        <v>36794.759084955804</v>
      </c>
      <c r="K6" s="2394">
        <f t="shared" si="0"/>
        <v>1</v>
      </c>
    </row>
    <row r="7" spans="1:12" ht="30" x14ac:dyDescent="0.25">
      <c r="A7" s="34" t="s">
        <v>2753</v>
      </c>
      <c r="B7" s="20" t="s">
        <v>40</v>
      </c>
      <c r="C7" s="2392">
        <f>'БАЗИ РОЗПОДІЛУ'!F20</f>
        <v>920.38656763919266</v>
      </c>
      <c r="D7" s="883">
        <f>'БАЗИ РОЗПОДІЛУ'!H20</f>
        <v>90.972112089695372</v>
      </c>
      <c r="E7" s="883">
        <f>'БАЗИ РОЗПОДІЛУ'!I20</f>
        <v>159.86815742381185</v>
      </c>
      <c r="F7" s="883">
        <f>'БАЗИ РОЗПОДІЛУ'!J20</f>
        <v>20.887540397300036</v>
      </c>
      <c r="G7" s="883">
        <f t="shared" si="1"/>
        <v>1192.11437755</v>
      </c>
      <c r="I7" s="828">
        <f>'БАЗИ РОЗПОДІЛУ'!F21</f>
        <v>920.38656763919266</v>
      </c>
    </row>
    <row r="8" spans="1:12" s="23" customFormat="1" ht="28.5" x14ac:dyDescent="0.2">
      <c r="A8" s="2395" t="s">
        <v>2390</v>
      </c>
      <c r="B8" s="1322" t="s">
        <v>40</v>
      </c>
      <c r="C8" s="2396">
        <f>I8</f>
        <v>23857.23572359997</v>
      </c>
      <c r="D8" s="1473">
        <f>SUM(D5:D7)</f>
        <v>3420.4510928304312</v>
      </c>
      <c r="E8" s="1473">
        <f>SUM(E5:E7)</f>
        <v>6458.3146138377824</v>
      </c>
      <c r="F8" s="1473">
        <f>SUM(F5:F7)</f>
        <v>541.42356316955011</v>
      </c>
      <c r="G8" s="1473">
        <f>SUM(C8:F8)</f>
        <v>34277.424993437729</v>
      </c>
      <c r="I8" s="2096">
        <f>'Д 2_Т на В'!H43</f>
        <v>23857.23572359997</v>
      </c>
      <c r="J8" s="2397">
        <f>C8-I8</f>
        <v>0</v>
      </c>
      <c r="K8" s="23" t="s">
        <v>2162</v>
      </c>
    </row>
    <row r="9" spans="1:12" x14ac:dyDescent="0.25">
      <c r="A9" s="34" t="s">
        <v>2754</v>
      </c>
      <c r="B9" s="20" t="s">
        <v>40</v>
      </c>
      <c r="C9" s="883">
        <f>SUM(C10:C12)</f>
        <v>1752.0753915411819</v>
      </c>
      <c r="D9" s="883">
        <f>SUM(D10:D12)</f>
        <v>251.19792825746691</v>
      </c>
      <c r="E9" s="883">
        <f>SUM(E10:E12)</f>
        <v>474.29862524024679</v>
      </c>
      <c r="F9" s="883">
        <f>SUM(F10:F12)</f>
        <v>39.762146479171761</v>
      </c>
      <c r="G9" s="883">
        <f>SUM(C9:F9)</f>
        <v>2517.3340915180675</v>
      </c>
      <c r="I9" s="828">
        <f>'Д 2_Т на В'!H45</f>
        <v>1752.0753915411819</v>
      </c>
      <c r="J9" s="827">
        <f>C9-I9</f>
        <v>0</v>
      </c>
    </row>
    <row r="10" spans="1:12" x14ac:dyDescent="0.25">
      <c r="A10" s="2398" t="s">
        <v>2755</v>
      </c>
      <c r="B10" s="20" t="s">
        <v>40</v>
      </c>
      <c r="C10" s="2392">
        <f>'Д 2_Т на В'!H46</f>
        <v>171.77209720991979</v>
      </c>
      <c r="D10" s="883">
        <f>'Д 3_Т на Т з ЦТП'!G40</f>
        <v>24.627247868379108</v>
      </c>
      <c r="E10" s="883">
        <f>'Д 3.1_Т на Т без ЦТП'!G40</f>
        <v>46.499865219632035</v>
      </c>
      <c r="F10" s="883">
        <f>'Д 4_Т на П'!G40</f>
        <v>3.8982496548207606</v>
      </c>
      <c r="G10" s="883">
        <f>F10+E10+D10+C10</f>
        <v>246.79745995275169</v>
      </c>
      <c r="I10" s="828"/>
      <c r="J10" s="827"/>
    </row>
    <row r="11" spans="1:12" x14ac:dyDescent="0.25">
      <c r="A11" s="2398" t="s">
        <v>3227</v>
      </c>
      <c r="B11" s="20" t="s">
        <v>40</v>
      </c>
      <c r="C11" s="2392">
        <f>'Д 2_Т на В'!H47</f>
        <v>626.01386538726319</v>
      </c>
      <c r="D11" s="883">
        <f>'Д 3_Т на Т з ЦТП'!G41</f>
        <v>89.752636675870534</v>
      </c>
      <c r="E11" s="883">
        <f>'Д 3.1_Т на Т без ЦТП'!G41</f>
        <v>169.46617546710343</v>
      </c>
      <c r="F11" s="883">
        <f>'Д 4_Т на П'!G41</f>
        <v>14.206954297568997</v>
      </c>
      <c r="G11" s="883">
        <f t="shared" ref="G11:G13" si="2">F11+E11+D11+C11</f>
        <v>899.43963182780612</v>
      </c>
      <c r="I11" s="828"/>
      <c r="J11" s="827"/>
    </row>
    <row r="12" spans="1:12" x14ac:dyDescent="0.25">
      <c r="A12" s="2398" t="s">
        <v>2210</v>
      </c>
      <c r="B12" s="20" t="s">
        <v>40</v>
      </c>
      <c r="C12" s="2392">
        <f>'Д 2_Т на В'!H49+'Д 2_Т на В'!H50</f>
        <v>954.28942894399881</v>
      </c>
      <c r="D12" s="883">
        <f>'Д 3_Т на Т з ЦТП'!G44</f>
        <v>136.81804371321726</v>
      </c>
      <c r="E12" s="883">
        <f>'Д 3.1_Т на Т без ЦТП'!G44</f>
        <v>258.33258455351131</v>
      </c>
      <c r="F12" s="883">
        <f>'Д 4_Т на П'!G43+'Д 4_Т на П'!G44</f>
        <v>21.656942526782004</v>
      </c>
      <c r="G12" s="883">
        <f t="shared" si="2"/>
        <v>1371.0969997375093</v>
      </c>
      <c r="H12" s="827"/>
      <c r="I12" s="828"/>
      <c r="J12" s="827"/>
    </row>
    <row r="13" spans="1:12" ht="24" customHeight="1" x14ac:dyDescent="0.25">
      <c r="A13" s="2399" t="s">
        <v>3244</v>
      </c>
      <c r="B13" s="20" t="s">
        <v>40</v>
      </c>
      <c r="C13" s="2392">
        <v>0</v>
      </c>
      <c r="D13" s="883">
        <v>0</v>
      </c>
      <c r="E13" s="883"/>
      <c r="F13" s="883"/>
      <c r="G13" s="883">
        <f t="shared" si="2"/>
        <v>0</v>
      </c>
      <c r="H13" s="827"/>
      <c r="I13" s="828"/>
      <c r="J13" s="827"/>
    </row>
    <row r="14" spans="1:12" s="23" customFormat="1" ht="28.5" x14ac:dyDescent="0.2">
      <c r="A14" s="2395" t="s">
        <v>2756</v>
      </c>
      <c r="B14" s="1322"/>
      <c r="C14" s="2396">
        <f>C8+C9+C13</f>
        <v>25609.31111514115</v>
      </c>
      <c r="D14" s="1473">
        <f>D8+D9</f>
        <v>3671.6490210878983</v>
      </c>
      <c r="E14" s="1473">
        <f>E8+E9</f>
        <v>6932.6132390780294</v>
      </c>
      <c r="F14" s="1473">
        <f>F8+F9</f>
        <v>581.18570964872185</v>
      </c>
      <c r="G14" s="1473">
        <f t="shared" si="1"/>
        <v>36794.759084955804</v>
      </c>
      <c r="H14" s="2400">
        <f>G8+G9+G13</f>
        <v>36794.759084955796</v>
      </c>
      <c r="I14" s="2096">
        <f>'Д 2_Т на В'!H51</f>
        <v>25609.31111514115</v>
      </c>
      <c r="J14" s="2397">
        <f t="shared" ref="J14" si="3">C14-I14</f>
        <v>0</v>
      </c>
      <c r="L14" s="23">
        <v>170</v>
      </c>
    </row>
    <row r="15" spans="1:12" hidden="1" x14ac:dyDescent="0.25">
      <c r="A15" s="1210" t="s">
        <v>1961</v>
      </c>
      <c r="B15" s="1209"/>
    </row>
    <row r="16" spans="1:12" hidden="1" x14ac:dyDescent="0.25">
      <c r="A16" s="34" t="s">
        <v>2147</v>
      </c>
      <c r="C16" s="2401" t="e">
        <f>C9-#REF!</f>
        <v>#REF!</v>
      </c>
    </row>
    <row r="17" spans="1:9" hidden="1" x14ac:dyDescent="0.25">
      <c r="A17" s="34" t="s">
        <v>1376</v>
      </c>
      <c r="C17" s="2401" t="e">
        <f>C14-#REF!</f>
        <v>#REF!</v>
      </c>
    </row>
    <row r="18" spans="1:9" ht="39" x14ac:dyDescent="0.25">
      <c r="A18" s="4463" t="s">
        <v>2752</v>
      </c>
      <c r="B18" s="4463"/>
      <c r="C18" s="4463"/>
      <c r="D18" s="4463"/>
      <c r="E18" s="4463"/>
      <c r="F18" s="2489" t="s">
        <v>2160</v>
      </c>
      <c r="G18" s="3609" t="str">
        <f>'Вхідні дані'!F1</f>
        <v>станом на 01.08.2023 року</v>
      </c>
    </row>
    <row r="19" spans="1:9" s="31" customFormat="1" ht="14.45" customHeight="1" x14ac:dyDescent="0.25">
      <c r="A19" s="3929" t="s">
        <v>973</v>
      </c>
      <c r="B19" s="3929" t="s">
        <v>2155</v>
      </c>
      <c r="C19" s="4469" t="s">
        <v>2154</v>
      </c>
      <c r="D19" s="4471" t="s">
        <v>2106</v>
      </c>
      <c r="E19" s="4472"/>
      <c r="F19" s="4472"/>
      <c r="G19" s="4473"/>
    </row>
    <row r="20" spans="1:9" s="1197" customFormat="1" ht="25.5" x14ac:dyDescent="0.25">
      <c r="A20" s="3929"/>
      <c r="B20" s="3929"/>
      <c r="C20" s="4470"/>
      <c r="D20" s="3610" t="s">
        <v>3</v>
      </c>
      <c r="E20" s="3610" t="s">
        <v>174</v>
      </c>
      <c r="F20" s="3610" t="s">
        <v>2156</v>
      </c>
      <c r="G20" s="3610" t="s">
        <v>99</v>
      </c>
    </row>
    <row r="21" spans="1:9" s="11" customFormat="1" ht="12" x14ac:dyDescent="0.2">
      <c r="A21" s="3611" t="s">
        <v>1839</v>
      </c>
      <c r="B21" s="3612" t="s">
        <v>2116</v>
      </c>
      <c r="C21" s="3613">
        <f>'Д 5 Т на ТЕ з ЦТП'!D9</f>
        <v>5701.3545558892911</v>
      </c>
      <c r="D21" s="3613">
        <f>'Д 5 Т на ТЕ з ЦТП'!E9</f>
        <v>0</v>
      </c>
      <c r="E21" s="3613">
        <f>'Д 5.1 Т на ТЕ без ЦТП'!F12</f>
        <v>0</v>
      </c>
      <c r="F21" s="3613">
        <f>'Д 5.1 Т на ТЕ без ЦТП'!G12</f>
        <v>0</v>
      </c>
      <c r="G21" s="3613">
        <f>'Д 5 Т на ТЕ з ЦТП'!H9</f>
        <v>5701.3545558892911</v>
      </c>
    </row>
    <row r="22" spans="1:9" hidden="1" x14ac:dyDescent="0.25">
      <c r="A22" s="2497" t="s">
        <v>2151</v>
      </c>
      <c r="B22" s="3614" t="s">
        <v>2116</v>
      </c>
      <c r="C22" s="3615"/>
      <c r="D22" s="3615"/>
      <c r="E22" s="3615"/>
      <c r="F22" s="3615"/>
      <c r="G22" s="3615"/>
    </row>
    <row r="23" spans="1:9" hidden="1" x14ac:dyDescent="0.25">
      <c r="A23" s="2497" t="s">
        <v>2152</v>
      </c>
      <c r="B23" s="3614" t="s">
        <v>2117</v>
      </c>
      <c r="C23" s="3615"/>
      <c r="D23" s="3615"/>
      <c r="E23" s="3615"/>
      <c r="F23" s="3616"/>
      <c r="G23" s="3615"/>
      <c r="I23" s="2407"/>
    </row>
    <row r="24" spans="1:9" ht="5.45" customHeight="1" x14ac:dyDescent="0.25">
      <c r="A24" s="3617"/>
      <c r="B24" s="3491"/>
      <c r="C24" s="3618"/>
      <c r="D24" s="3618"/>
      <c r="E24" s="3618"/>
      <c r="F24" s="3618"/>
      <c r="G24" s="3618"/>
    </row>
    <row r="25" spans="1:9" s="11" customFormat="1" ht="12" x14ac:dyDescent="0.2">
      <c r="A25" s="3611" t="s">
        <v>2728</v>
      </c>
      <c r="B25" s="3612" t="s">
        <v>2116</v>
      </c>
      <c r="C25" s="3619">
        <f>'Д 5 Т на ТЕ з ЦТП'!D13</f>
        <v>3254.4828485840603</v>
      </c>
      <c r="D25" s="3619">
        <f>'Д 5 Т на ТЕ з ЦТП'!E13</f>
        <v>0</v>
      </c>
      <c r="E25" s="3619">
        <v>0</v>
      </c>
      <c r="F25" s="3619">
        <f>'Д 5 Т на ТЕ з ЦТП'!G13</f>
        <v>0</v>
      </c>
      <c r="G25" s="3619">
        <f>'Д 5 Т на ТЕ з ЦТП'!H13</f>
        <v>3254.4828485840603</v>
      </c>
    </row>
    <row r="26" spans="1:9" hidden="1" x14ac:dyDescent="0.25">
      <c r="A26" s="2497" t="s">
        <v>2151</v>
      </c>
      <c r="B26" s="3614" t="s">
        <v>2116</v>
      </c>
      <c r="C26" s="3615"/>
      <c r="D26" s="3615"/>
      <c r="E26" s="3615"/>
      <c r="F26" s="3615"/>
      <c r="G26" s="3615"/>
    </row>
    <row r="27" spans="1:9" hidden="1" x14ac:dyDescent="0.25">
      <c r="A27" s="2497" t="s">
        <v>2152</v>
      </c>
      <c r="B27" s="3614" t="s">
        <v>2117</v>
      </c>
      <c r="C27" s="3615"/>
      <c r="D27" s="3615"/>
      <c r="E27" s="3615"/>
      <c r="F27" s="3615"/>
      <c r="G27" s="3615"/>
    </row>
    <row r="28" spans="1:9" ht="6" customHeight="1" x14ac:dyDescent="0.25">
      <c r="A28" s="3617"/>
      <c r="B28" s="3491"/>
      <c r="C28" s="3618"/>
      <c r="D28" s="3618"/>
      <c r="E28" s="3618"/>
      <c r="F28" s="3618"/>
      <c r="G28" s="3618"/>
    </row>
    <row r="29" spans="1:9" s="11" customFormat="1" ht="12" x14ac:dyDescent="0.2">
      <c r="A29" s="3611" t="s">
        <v>2157</v>
      </c>
      <c r="B29" s="3612" t="s">
        <v>2116</v>
      </c>
      <c r="C29" s="3619">
        <f>'Д 5.1 Т на ТЕ без ЦТП'!D16</f>
        <v>2501.5399234224351</v>
      </c>
      <c r="D29" s="3619">
        <f>'Д 5.1 Т на ТЕ без ЦТП'!E16</f>
        <v>0</v>
      </c>
      <c r="E29" s="3619">
        <f>'Д 5.1 Т на ТЕ без ЦТП'!F16</f>
        <v>0</v>
      </c>
      <c r="F29" s="3619">
        <f>'Д 5.1 Т на ТЕ без ЦТП'!G16</f>
        <v>0</v>
      </c>
      <c r="G29" s="3619">
        <f>'Д 5.1 Т на ТЕ без ЦТП'!H16</f>
        <v>2501.5399234224351</v>
      </c>
    </row>
    <row r="30" spans="1:9" hidden="1" x14ac:dyDescent="0.25">
      <c r="A30" s="2497" t="s">
        <v>2151</v>
      </c>
      <c r="B30" s="3614" t="s">
        <v>2116</v>
      </c>
      <c r="C30" s="3615"/>
      <c r="D30" s="3615"/>
      <c r="E30" s="3615"/>
      <c r="F30" s="3615"/>
      <c r="G30" s="3615"/>
    </row>
    <row r="31" spans="1:9" hidden="1" x14ac:dyDescent="0.25">
      <c r="A31" s="2497" t="s">
        <v>2152</v>
      </c>
      <c r="B31" s="3614" t="s">
        <v>2117</v>
      </c>
      <c r="C31" s="3615"/>
      <c r="D31" s="3615"/>
      <c r="E31" s="3615"/>
      <c r="F31" s="3615"/>
      <c r="G31" s="3615"/>
    </row>
    <row r="32" spans="1:9" ht="6" customHeight="1" x14ac:dyDescent="0.25">
      <c r="A32" s="3617"/>
      <c r="B32" s="3491"/>
      <c r="C32" s="3618"/>
      <c r="D32" s="3618"/>
      <c r="E32" s="3618"/>
      <c r="F32" s="3618"/>
      <c r="G32" s="3618"/>
    </row>
    <row r="33" spans="1:9" s="11" customFormat="1" ht="12" x14ac:dyDescent="0.2">
      <c r="A33" s="3611" t="s">
        <v>2138</v>
      </c>
      <c r="B33" s="3612" t="s">
        <v>2116</v>
      </c>
      <c r="C33" s="3613">
        <f>'Д 5.1 Т на ТЕ без ЦТП'!D20</f>
        <v>149.04031061994922</v>
      </c>
      <c r="D33" s="3613">
        <f>'Д 5.1 Т на ТЕ без ЦТП'!E20</f>
        <v>0</v>
      </c>
      <c r="E33" s="3613">
        <f>'Д 5.1 Т на ТЕ без ЦТП'!F20</f>
        <v>0</v>
      </c>
      <c r="F33" s="3613">
        <f>'Д 5.1 Т на ТЕ без ЦТП'!G20</f>
        <v>0</v>
      </c>
      <c r="G33" s="3613">
        <f>'Д 5.1 Т на ТЕ без ЦТП'!H20</f>
        <v>149.04031061994922</v>
      </c>
    </row>
    <row r="34" spans="1:9" hidden="1" x14ac:dyDescent="0.25">
      <c r="A34" s="2497" t="s">
        <v>2151</v>
      </c>
      <c r="B34" s="3614" t="s">
        <v>2116</v>
      </c>
      <c r="C34" s="3615"/>
      <c r="D34" s="3615"/>
      <c r="E34" s="3615"/>
      <c r="F34" s="3615"/>
      <c r="G34" s="3615"/>
    </row>
    <row r="35" spans="1:9" hidden="1" x14ac:dyDescent="0.25">
      <c r="A35" s="2497" t="s">
        <v>2152</v>
      </c>
      <c r="B35" s="3614" t="s">
        <v>2117</v>
      </c>
      <c r="C35" s="3615"/>
      <c r="D35" s="3615"/>
      <c r="E35" s="3615"/>
      <c r="F35" s="3615"/>
      <c r="G35" s="3615"/>
    </row>
    <row r="36" spans="1:9" ht="4.9000000000000004" customHeight="1" x14ac:dyDescent="0.25">
      <c r="A36" s="3620"/>
      <c r="B36" s="2489"/>
      <c r="C36" s="3618"/>
      <c r="D36" s="3618"/>
      <c r="E36" s="3618"/>
      <c r="F36" s="3618"/>
      <c r="G36" s="3618"/>
    </row>
    <row r="37" spans="1:9" x14ac:dyDescent="0.25">
      <c r="A37" s="3621" t="s">
        <v>2158</v>
      </c>
      <c r="B37" s="3612" t="s">
        <v>2116</v>
      </c>
      <c r="C37" s="3619">
        <f t="shared" ref="C37:D39" si="4">C21+C25+C33</f>
        <v>9104.877715093302</v>
      </c>
      <c r="D37" s="3619">
        <f t="shared" si="4"/>
        <v>0</v>
      </c>
      <c r="E37" s="3619">
        <v>0</v>
      </c>
      <c r="F37" s="3619">
        <v>0</v>
      </c>
      <c r="G37" s="3619">
        <f t="shared" ref="F37:G39" si="5">G21+G25+G33</f>
        <v>9104.877715093302</v>
      </c>
      <c r="H37" s="828">
        <f>'Д 5 Т на ТЕ з ЦТП'!D21</f>
        <v>9104.8777150933001</v>
      </c>
      <c r="I37" s="1305"/>
    </row>
    <row r="38" spans="1:9" hidden="1" x14ac:dyDescent="0.25">
      <c r="A38" s="2497" t="s">
        <v>2151</v>
      </c>
      <c r="B38" s="3614" t="s">
        <v>2116</v>
      </c>
      <c r="C38" s="3615">
        <f t="shared" si="4"/>
        <v>0</v>
      </c>
      <c r="D38" s="3615">
        <f t="shared" si="4"/>
        <v>0</v>
      </c>
      <c r="E38" s="3615">
        <v>0</v>
      </c>
      <c r="F38" s="3615">
        <f t="shared" si="5"/>
        <v>0</v>
      </c>
      <c r="G38" s="3615">
        <f t="shared" si="5"/>
        <v>0</v>
      </c>
      <c r="I38" s="1305"/>
    </row>
    <row r="39" spans="1:9" hidden="1" x14ac:dyDescent="0.25">
      <c r="A39" s="2497" t="s">
        <v>2152</v>
      </c>
      <c r="B39" s="3614" t="s">
        <v>2117</v>
      </c>
      <c r="C39" s="3615">
        <f t="shared" si="4"/>
        <v>0</v>
      </c>
      <c r="D39" s="3615">
        <f t="shared" si="4"/>
        <v>0</v>
      </c>
      <c r="E39" s="3615">
        <v>0</v>
      </c>
      <c r="F39" s="3615">
        <f t="shared" si="5"/>
        <v>0</v>
      </c>
      <c r="G39" s="3615">
        <f t="shared" si="5"/>
        <v>0</v>
      </c>
      <c r="I39" s="1305"/>
    </row>
    <row r="40" spans="1:9" ht="6" customHeight="1" x14ac:dyDescent="0.25">
      <c r="A40" s="3620"/>
      <c r="B40" s="2489"/>
      <c r="C40" s="3618"/>
      <c r="D40" s="3618"/>
      <c r="E40" s="3618"/>
      <c r="F40" s="3618"/>
      <c r="G40" s="3618"/>
      <c r="I40" s="1209"/>
    </row>
    <row r="41" spans="1:9" x14ac:dyDescent="0.25">
      <c r="A41" s="3611" t="s">
        <v>2159</v>
      </c>
      <c r="B41" s="3612" t="s">
        <v>2116</v>
      </c>
      <c r="C41" s="3619">
        <f>C21+C29+C33</f>
        <v>8351.9347899316763</v>
      </c>
      <c r="D41" s="3619">
        <f t="shared" ref="C41:G43" si="6">D21+D29+D33</f>
        <v>0</v>
      </c>
      <c r="E41" s="3619">
        <f t="shared" si="6"/>
        <v>0</v>
      </c>
      <c r="F41" s="3619">
        <f t="shared" si="6"/>
        <v>0</v>
      </c>
      <c r="G41" s="3619">
        <f t="shared" si="6"/>
        <v>8351.9347899316763</v>
      </c>
      <c r="I41" s="1305"/>
    </row>
    <row r="42" spans="1:9" hidden="1" x14ac:dyDescent="0.25">
      <c r="A42" s="2497" t="s">
        <v>2151</v>
      </c>
      <c r="B42" s="3614" t="s">
        <v>2116</v>
      </c>
      <c r="C42" s="3615">
        <f t="shared" si="6"/>
        <v>0</v>
      </c>
      <c r="D42" s="3615">
        <f t="shared" si="6"/>
        <v>0</v>
      </c>
      <c r="E42" s="3615">
        <f t="shared" si="6"/>
        <v>0</v>
      </c>
      <c r="F42" s="3615">
        <f t="shared" si="6"/>
        <v>0</v>
      </c>
      <c r="G42" s="3615">
        <f t="shared" si="6"/>
        <v>0</v>
      </c>
      <c r="I42" s="1305"/>
    </row>
    <row r="43" spans="1:9" hidden="1" x14ac:dyDescent="0.25">
      <c r="A43" s="2497" t="s">
        <v>2152</v>
      </c>
      <c r="B43" s="3614" t="s">
        <v>2117</v>
      </c>
      <c r="C43" s="3615">
        <f t="shared" si="6"/>
        <v>0</v>
      </c>
      <c r="D43" s="3615">
        <f t="shared" si="6"/>
        <v>0</v>
      </c>
      <c r="E43" s="3615">
        <f t="shared" si="6"/>
        <v>0</v>
      </c>
      <c r="F43" s="3615">
        <f t="shared" si="6"/>
        <v>0</v>
      </c>
      <c r="G43" s="3615">
        <f t="shared" si="6"/>
        <v>0</v>
      </c>
      <c r="I43" s="1305"/>
    </row>
    <row r="44" spans="1:9" hidden="1" x14ac:dyDescent="0.25">
      <c r="A44" s="3620"/>
      <c r="B44" s="2489"/>
      <c r="C44" s="3155"/>
      <c r="D44" s="2489"/>
      <c r="E44" s="2489"/>
      <c r="F44" s="2489"/>
      <c r="G44" s="2489"/>
    </row>
    <row r="45" spans="1:9" ht="4.9000000000000004" hidden="1" customHeight="1" x14ac:dyDescent="0.25">
      <c r="A45" s="3620"/>
      <c r="B45" s="2489"/>
      <c r="C45" s="3155"/>
      <c r="D45" s="2489"/>
      <c r="E45" s="2489"/>
      <c r="F45" s="2489"/>
      <c r="G45" s="2489"/>
    </row>
    <row r="46" spans="1:9" hidden="1" x14ac:dyDescent="0.25">
      <c r="A46" s="3620"/>
      <c r="B46" s="2489"/>
      <c r="C46" s="3155"/>
      <c r="D46" s="2489"/>
      <c r="E46" s="2489"/>
      <c r="F46" s="2489"/>
      <c r="G46" s="2489"/>
    </row>
    <row r="47" spans="1:9" x14ac:dyDescent="0.25">
      <c r="A47" s="3620"/>
      <c r="B47" s="2489"/>
      <c r="C47" s="3622"/>
      <c r="D47" s="2489"/>
      <c r="E47" s="2489"/>
      <c r="F47" s="3623" t="s">
        <v>2161</v>
      </c>
      <c r="G47" s="2489"/>
    </row>
    <row r="48" spans="1:9" x14ac:dyDescent="0.25">
      <c r="A48" s="3929" t="s">
        <v>2153</v>
      </c>
      <c r="B48" s="3929" t="s">
        <v>2155</v>
      </c>
      <c r="C48" s="4469" t="s">
        <v>2154</v>
      </c>
      <c r="D48" s="4471" t="s">
        <v>2106</v>
      </c>
      <c r="E48" s="4472"/>
      <c r="F48" s="4472"/>
      <c r="G48" s="4473"/>
    </row>
    <row r="49" spans="1:11" ht="25.5" x14ac:dyDescent="0.25">
      <c r="A49" s="3929"/>
      <c r="B49" s="3929"/>
      <c r="C49" s="4470"/>
      <c r="D49" s="3610" t="s">
        <v>3</v>
      </c>
      <c r="E49" s="3610" t="s">
        <v>174</v>
      </c>
      <c r="F49" s="3610" t="s">
        <v>2156</v>
      </c>
      <c r="G49" s="3610" t="s">
        <v>99</v>
      </c>
      <c r="I49" s="18" t="s">
        <v>2218</v>
      </c>
    </row>
    <row r="50" spans="1:11" ht="15.75" thickBot="1" x14ac:dyDescent="0.3">
      <c r="A50" s="3611" t="s">
        <v>1839</v>
      </c>
      <c r="B50" s="3612" t="s">
        <v>2116</v>
      </c>
      <c r="C50" s="3619">
        <f t="shared" ref="C50:G52" si="7">C21*1.2</f>
        <v>6841.6254670671487</v>
      </c>
      <c r="D50" s="3619">
        <f t="shared" si="7"/>
        <v>0</v>
      </c>
      <c r="E50" s="3619">
        <f t="shared" si="7"/>
        <v>0</v>
      </c>
      <c r="F50" s="3619">
        <f t="shared" si="7"/>
        <v>0</v>
      </c>
      <c r="G50" s="3619">
        <f t="shared" si="7"/>
        <v>6841.6254670671487</v>
      </c>
      <c r="I50" s="2410">
        <v>7163.27</v>
      </c>
      <c r="J50" s="827">
        <f>C50-I50</f>
        <v>-321.64453293285169</v>
      </c>
      <c r="K50" s="2411">
        <f>J50/I50</f>
        <v>-4.4901913920995809E-2</v>
      </c>
    </row>
    <row r="51" spans="1:11" ht="15.75" hidden="1" thickBot="1" x14ac:dyDescent="0.3">
      <c r="A51" s="2497" t="s">
        <v>2151</v>
      </c>
      <c r="B51" s="3614" t="s">
        <v>2116</v>
      </c>
      <c r="C51" s="3624">
        <f t="shared" si="7"/>
        <v>0</v>
      </c>
      <c r="D51" s="3624">
        <f t="shared" si="7"/>
        <v>0</v>
      </c>
      <c r="E51" s="3624">
        <f t="shared" si="7"/>
        <v>0</v>
      </c>
      <c r="F51" s="3624">
        <f t="shared" si="7"/>
        <v>0</v>
      </c>
      <c r="G51" s="3624">
        <f t="shared" si="7"/>
        <v>0</v>
      </c>
      <c r="I51" s="2410"/>
      <c r="J51" s="827"/>
      <c r="K51" s="2411"/>
    </row>
    <row r="52" spans="1:11" ht="15.75" hidden="1" thickBot="1" x14ac:dyDescent="0.3">
      <c r="A52" s="2497" t="s">
        <v>2152</v>
      </c>
      <c r="B52" s="3614" t="s">
        <v>2117</v>
      </c>
      <c r="C52" s="3624">
        <f t="shared" si="7"/>
        <v>0</v>
      </c>
      <c r="D52" s="3624">
        <f t="shared" si="7"/>
        <v>0</v>
      </c>
      <c r="E52" s="3624">
        <f t="shared" si="7"/>
        <v>0</v>
      </c>
      <c r="F52" s="3624">
        <f t="shared" si="7"/>
        <v>0</v>
      </c>
      <c r="G52" s="3624">
        <f t="shared" si="7"/>
        <v>0</v>
      </c>
      <c r="I52" s="2410"/>
      <c r="J52" s="827"/>
      <c r="K52" s="2411"/>
    </row>
    <row r="53" spans="1:11" ht="6" customHeight="1" thickBot="1" x14ac:dyDescent="0.3">
      <c r="A53" s="3617"/>
      <c r="B53" s="3491"/>
      <c r="C53" s="3618"/>
      <c r="D53" s="3618"/>
      <c r="E53" s="3618"/>
      <c r="F53" s="3618"/>
      <c r="G53" s="3618"/>
      <c r="I53" s="2413"/>
      <c r="J53" s="827"/>
      <c r="K53" s="2411"/>
    </row>
    <row r="54" spans="1:11" ht="16.899999999999999" customHeight="1" thickBot="1" x14ac:dyDescent="0.3">
      <c r="A54" s="3611" t="s">
        <v>2728</v>
      </c>
      <c r="B54" s="3612" t="s">
        <v>2116</v>
      </c>
      <c r="C54" s="3619">
        <f t="shared" ref="C54:G56" si="8">C25*1.2</f>
        <v>3905.3794183008722</v>
      </c>
      <c r="D54" s="3619">
        <f t="shared" si="8"/>
        <v>0</v>
      </c>
      <c r="E54" s="3619">
        <f t="shared" si="8"/>
        <v>0</v>
      </c>
      <c r="F54" s="3619">
        <f t="shared" si="8"/>
        <v>0</v>
      </c>
      <c r="G54" s="3619">
        <f t="shared" si="8"/>
        <v>3905.3794183008722</v>
      </c>
      <c r="I54" s="2414">
        <v>2667.5</v>
      </c>
      <c r="J54" s="827">
        <f t="shared" ref="J54:J70" si="9">C54-I54</f>
        <v>1237.8794183008722</v>
      </c>
      <c r="K54" s="2411">
        <f t="shared" ref="K54:K70" si="10">J54/I54</f>
        <v>0.46405976318683118</v>
      </c>
    </row>
    <row r="55" spans="1:11" ht="15.75" hidden="1" thickBot="1" x14ac:dyDescent="0.3">
      <c r="A55" s="2497" t="s">
        <v>2151</v>
      </c>
      <c r="B55" s="3614" t="s">
        <v>2116</v>
      </c>
      <c r="C55" s="3624">
        <f t="shared" si="8"/>
        <v>0</v>
      </c>
      <c r="D55" s="3624">
        <f t="shared" si="8"/>
        <v>0</v>
      </c>
      <c r="E55" s="3624">
        <f t="shared" si="8"/>
        <v>0</v>
      </c>
      <c r="F55" s="3624">
        <f t="shared" si="8"/>
        <v>0</v>
      </c>
      <c r="G55" s="3624">
        <f t="shared" si="8"/>
        <v>0</v>
      </c>
      <c r="I55" s="2410"/>
      <c r="J55" s="827"/>
      <c r="K55" s="2411"/>
    </row>
    <row r="56" spans="1:11" ht="15.75" hidden="1" thickBot="1" x14ac:dyDescent="0.3">
      <c r="A56" s="2497" t="s">
        <v>2152</v>
      </c>
      <c r="B56" s="3614" t="s">
        <v>2117</v>
      </c>
      <c r="C56" s="3624">
        <f t="shared" si="8"/>
        <v>0</v>
      </c>
      <c r="D56" s="3624">
        <f t="shared" si="8"/>
        <v>0</v>
      </c>
      <c r="E56" s="3624">
        <f t="shared" si="8"/>
        <v>0</v>
      </c>
      <c r="F56" s="3624">
        <f t="shared" si="8"/>
        <v>0</v>
      </c>
      <c r="G56" s="3624">
        <f t="shared" si="8"/>
        <v>0</v>
      </c>
      <c r="I56" s="2410"/>
      <c r="J56" s="827"/>
      <c r="K56" s="2411"/>
    </row>
    <row r="57" spans="1:11" ht="6" customHeight="1" thickBot="1" x14ac:dyDescent="0.3">
      <c r="A57" s="3617"/>
      <c r="B57" s="3491"/>
      <c r="C57" s="3618"/>
      <c r="D57" s="3618"/>
      <c r="E57" s="3618"/>
      <c r="F57" s="3618"/>
      <c r="G57" s="3618"/>
      <c r="I57" s="2413"/>
      <c r="J57" s="827"/>
      <c r="K57" s="2411"/>
    </row>
    <row r="58" spans="1:11" ht="16.149999999999999" customHeight="1" thickBot="1" x14ac:dyDescent="0.3">
      <c r="A58" s="3611" t="s">
        <v>2157</v>
      </c>
      <c r="B58" s="3612" t="s">
        <v>2116</v>
      </c>
      <c r="C58" s="3619">
        <f t="shared" ref="C58:G60" si="11">C29*1.2</f>
        <v>3001.8479081069222</v>
      </c>
      <c r="D58" s="3619">
        <f t="shared" si="11"/>
        <v>0</v>
      </c>
      <c r="E58" s="3619">
        <f t="shared" si="11"/>
        <v>0</v>
      </c>
      <c r="F58" s="3619">
        <f t="shared" si="11"/>
        <v>0</v>
      </c>
      <c r="G58" s="3619">
        <f t="shared" si="11"/>
        <v>3001.8479081069222</v>
      </c>
      <c r="I58" s="2414">
        <v>1987.35</v>
      </c>
      <c r="J58" s="827">
        <f t="shared" si="9"/>
        <v>1014.4979081069223</v>
      </c>
      <c r="K58" s="2411">
        <f t="shared" si="10"/>
        <v>0.51047772566831329</v>
      </c>
    </row>
    <row r="59" spans="1:11" ht="15.75" hidden="1" thickBot="1" x14ac:dyDescent="0.3">
      <c r="A59" s="2497" t="s">
        <v>2151</v>
      </c>
      <c r="B59" s="3614" t="s">
        <v>2116</v>
      </c>
      <c r="C59" s="3624">
        <f t="shared" si="11"/>
        <v>0</v>
      </c>
      <c r="D59" s="3624">
        <f t="shared" si="11"/>
        <v>0</v>
      </c>
      <c r="E59" s="3624">
        <f t="shared" si="11"/>
        <v>0</v>
      </c>
      <c r="F59" s="3624">
        <f t="shared" si="11"/>
        <v>0</v>
      </c>
      <c r="G59" s="3624">
        <f t="shared" si="11"/>
        <v>0</v>
      </c>
      <c r="I59" s="2410"/>
      <c r="J59" s="827"/>
      <c r="K59" s="2411"/>
    </row>
    <row r="60" spans="1:11" ht="15.75" hidden="1" thickBot="1" x14ac:dyDescent="0.3">
      <c r="A60" s="2497" t="s">
        <v>2152</v>
      </c>
      <c r="B60" s="3614" t="s">
        <v>2117</v>
      </c>
      <c r="C60" s="3624">
        <f t="shared" si="11"/>
        <v>0</v>
      </c>
      <c r="D60" s="3624">
        <f t="shared" si="11"/>
        <v>0</v>
      </c>
      <c r="E60" s="3624">
        <f t="shared" si="11"/>
        <v>0</v>
      </c>
      <c r="F60" s="3624">
        <f t="shared" si="11"/>
        <v>0</v>
      </c>
      <c r="G60" s="3624">
        <f t="shared" si="11"/>
        <v>0</v>
      </c>
      <c r="I60" s="2410"/>
      <c r="J60" s="827"/>
      <c r="K60" s="2411"/>
    </row>
    <row r="61" spans="1:11" ht="6" customHeight="1" thickBot="1" x14ac:dyDescent="0.3">
      <c r="A61" s="3617"/>
      <c r="B61" s="3491"/>
      <c r="C61" s="3618"/>
      <c r="D61" s="3618"/>
      <c r="E61" s="3618"/>
      <c r="F61" s="3618"/>
      <c r="G61" s="3618"/>
      <c r="I61" s="2413"/>
      <c r="J61" s="827"/>
      <c r="K61" s="2411"/>
    </row>
    <row r="62" spans="1:11" ht="15.75" thickBot="1" x14ac:dyDescent="0.3">
      <c r="A62" s="3611" t="s">
        <v>2138</v>
      </c>
      <c r="B62" s="3612" t="s">
        <v>2116</v>
      </c>
      <c r="C62" s="3619">
        <f t="shared" ref="C62:G64" si="12">C33*1.2</f>
        <v>178.84837274393905</v>
      </c>
      <c r="D62" s="3619">
        <f t="shared" si="12"/>
        <v>0</v>
      </c>
      <c r="E62" s="3619">
        <f t="shared" si="12"/>
        <v>0</v>
      </c>
      <c r="F62" s="3619">
        <f t="shared" si="12"/>
        <v>0</v>
      </c>
      <c r="G62" s="3619">
        <f t="shared" si="12"/>
        <v>178.84837274393905</v>
      </c>
      <c r="I62" s="2414">
        <v>109.41</v>
      </c>
      <c r="J62" s="827">
        <f t="shared" si="9"/>
        <v>69.438372743939055</v>
      </c>
      <c r="K62" s="2411">
        <f t="shared" si="10"/>
        <v>0.63466203038057822</v>
      </c>
    </row>
    <row r="63" spans="1:11" ht="15.75" hidden="1" thickBot="1" x14ac:dyDescent="0.3">
      <c r="A63" s="2497" t="s">
        <v>2151</v>
      </c>
      <c r="B63" s="3614" t="s">
        <v>2116</v>
      </c>
      <c r="C63" s="3624">
        <f t="shared" si="12"/>
        <v>0</v>
      </c>
      <c r="D63" s="3624">
        <f t="shared" si="12"/>
        <v>0</v>
      </c>
      <c r="E63" s="3624">
        <f t="shared" si="12"/>
        <v>0</v>
      </c>
      <c r="F63" s="3624">
        <f t="shared" si="12"/>
        <v>0</v>
      </c>
      <c r="G63" s="3624">
        <f t="shared" si="12"/>
        <v>0</v>
      </c>
      <c r="I63" s="2410"/>
      <c r="J63" s="827"/>
      <c r="K63" s="2411"/>
    </row>
    <row r="64" spans="1:11" ht="15.75" hidden="1" thickBot="1" x14ac:dyDescent="0.3">
      <c r="A64" s="2497" t="s">
        <v>2152</v>
      </c>
      <c r="B64" s="3614" t="s">
        <v>2117</v>
      </c>
      <c r="C64" s="3624">
        <f t="shared" si="12"/>
        <v>0</v>
      </c>
      <c r="D64" s="3624">
        <f t="shared" si="12"/>
        <v>0</v>
      </c>
      <c r="E64" s="3624">
        <f t="shared" si="12"/>
        <v>0</v>
      </c>
      <c r="F64" s="3624">
        <f t="shared" si="12"/>
        <v>0</v>
      </c>
      <c r="G64" s="3624">
        <f t="shared" si="12"/>
        <v>0</v>
      </c>
      <c r="I64" s="2410"/>
      <c r="J64" s="827"/>
      <c r="K64" s="2411"/>
    </row>
    <row r="65" spans="1:11" ht="6" customHeight="1" thickBot="1" x14ac:dyDescent="0.3">
      <c r="A65" s="3620"/>
      <c r="B65" s="2489"/>
      <c r="C65" s="3618"/>
      <c r="D65" s="3618"/>
      <c r="E65" s="3618"/>
      <c r="F65" s="3618"/>
      <c r="G65" s="3618"/>
      <c r="I65" s="2413"/>
      <c r="J65" s="827"/>
      <c r="K65" s="2411"/>
    </row>
    <row r="66" spans="1:11" ht="15.75" thickBot="1" x14ac:dyDescent="0.3">
      <c r="A66" s="3611" t="s">
        <v>2158</v>
      </c>
      <c r="B66" s="3612" t="s">
        <v>2116</v>
      </c>
      <c r="C66" s="3619">
        <f t="shared" ref="C66:D68" si="13">C50+C54+C62</f>
        <v>10925.85325811196</v>
      </c>
      <c r="D66" s="3619">
        <f t="shared" si="13"/>
        <v>0</v>
      </c>
      <c r="E66" s="3619">
        <v>0</v>
      </c>
      <c r="F66" s="3619">
        <v>0</v>
      </c>
      <c r="G66" s="3619">
        <f t="shared" ref="F66:G68" si="14">G50+G54+G62</f>
        <v>10925.85325811196</v>
      </c>
      <c r="I66" s="2414">
        <v>9940.18</v>
      </c>
      <c r="J66" s="827">
        <f t="shared" si="9"/>
        <v>985.67325811195951</v>
      </c>
      <c r="K66" s="2411">
        <f t="shared" si="10"/>
        <v>9.9160503945799727E-2</v>
      </c>
    </row>
    <row r="67" spans="1:11" ht="15.75" hidden="1" thickBot="1" x14ac:dyDescent="0.3">
      <c r="A67" s="2497" t="s">
        <v>2151</v>
      </c>
      <c r="B67" s="3614" t="s">
        <v>2116</v>
      </c>
      <c r="C67" s="3625">
        <f t="shared" si="13"/>
        <v>0</v>
      </c>
      <c r="D67" s="3625">
        <f t="shared" si="13"/>
        <v>0</v>
      </c>
      <c r="E67" s="3625">
        <v>0</v>
      </c>
      <c r="F67" s="3625">
        <f t="shared" si="14"/>
        <v>0</v>
      </c>
      <c r="G67" s="3625">
        <f t="shared" si="14"/>
        <v>0</v>
      </c>
      <c r="I67" s="2410"/>
      <c r="J67" s="827"/>
      <c r="K67" s="2411"/>
    </row>
    <row r="68" spans="1:11" ht="15.75" hidden="1" thickBot="1" x14ac:dyDescent="0.3">
      <c r="A68" s="2497" t="s">
        <v>2152</v>
      </c>
      <c r="B68" s="3614" t="s">
        <v>2117</v>
      </c>
      <c r="C68" s="3625">
        <f t="shared" si="13"/>
        <v>0</v>
      </c>
      <c r="D68" s="3625">
        <f t="shared" si="13"/>
        <v>0</v>
      </c>
      <c r="E68" s="3625">
        <v>0</v>
      </c>
      <c r="F68" s="3625">
        <f t="shared" si="14"/>
        <v>0</v>
      </c>
      <c r="G68" s="3625">
        <f t="shared" si="14"/>
        <v>0</v>
      </c>
      <c r="I68" s="2410"/>
      <c r="J68" s="827"/>
      <c r="K68" s="2411"/>
    </row>
    <row r="69" spans="1:11" ht="4.9000000000000004" customHeight="1" thickBot="1" x14ac:dyDescent="0.3">
      <c r="A69" s="3620"/>
      <c r="B69" s="2489"/>
      <c r="C69" s="3618"/>
      <c r="D69" s="3618"/>
      <c r="E69" s="3618"/>
      <c r="F69" s="3618"/>
      <c r="G69" s="3618"/>
      <c r="I69" s="2413"/>
      <c r="J69" s="827"/>
      <c r="K69" s="2411"/>
    </row>
    <row r="70" spans="1:11" ht="16.149999999999999" customHeight="1" thickBot="1" x14ac:dyDescent="0.3">
      <c r="A70" s="3611" t="s">
        <v>2159</v>
      </c>
      <c r="B70" s="3612" t="s">
        <v>2116</v>
      </c>
      <c r="C70" s="3619">
        <f t="shared" ref="C70:G72" si="15">C50+C58+C62</f>
        <v>10022.321747918011</v>
      </c>
      <c r="D70" s="3619">
        <f t="shared" si="15"/>
        <v>0</v>
      </c>
      <c r="E70" s="3619">
        <f t="shared" si="15"/>
        <v>0</v>
      </c>
      <c r="F70" s="3619">
        <f t="shared" si="15"/>
        <v>0</v>
      </c>
      <c r="G70" s="3619">
        <f t="shared" si="15"/>
        <v>10022.321747918011</v>
      </c>
      <c r="I70" s="2414">
        <v>9260.0300000000007</v>
      </c>
      <c r="J70" s="827">
        <f t="shared" si="9"/>
        <v>762.29174791801051</v>
      </c>
      <c r="K70" s="2411">
        <f t="shared" si="10"/>
        <v>8.2320656403706088E-2</v>
      </c>
    </row>
    <row r="71" spans="1:11" ht="18" hidden="1" customHeight="1" thickBot="1" x14ac:dyDescent="0.3">
      <c r="A71" s="17" t="s">
        <v>2151</v>
      </c>
      <c r="B71" s="2405" t="s">
        <v>2116</v>
      </c>
      <c r="C71" s="2392">
        <f t="shared" si="15"/>
        <v>0</v>
      </c>
      <c r="D71" s="2392">
        <f t="shared" si="15"/>
        <v>0</v>
      </c>
      <c r="E71" s="2392">
        <f t="shared" si="15"/>
        <v>0</v>
      </c>
      <c r="F71" s="2392">
        <f t="shared" si="15"/>
        <v>0</v>
      </c>
      <c r="G71" s="2392">
        <f t="shared" si="15"/>
        <v>0</v>
      </c>
      <c r="I71" s="2410"/>
      <c r="J71" s="827"/>
      <c r="K71" s="2411"/>
    </row>
    <row r="72" spans="1:11" ht="15.75" hidden="1" thickBot="1" x14ac:dyDescent="0.3">
      <c r="A72" s="17" t="s">
        <v>2152</v>
      </c>
      <c r="B72" s="2405" t="s">
        <v>2117</v>
      </c>
      <c r="C72" s="2392">
        <f t="shared" si="15"/>
        <v>0</v>
      </c>
      <c r="D72" s="2392">
        <f t="shared" si="15"/>
        <v>0</v>
      </c>
      <c r="E72" s="2392">
        <f t="shared" si="15"/>
        <v>0</v>
      </c>
      <c r="F72" s="2392">
        <f t="shared" si="15"/>
        <v>0</v>
      </c>
      <c r="G72" s="2392">
        <f t="shared" si="15"/>
        <v>0</v>
      </c>
      <c r="I72" s="2410"/>
      <c r="J72" s="827"/>
      <c r="K72" s="2411"/>
    </row>
    <row r="75" spans="1:11" ht="15.6" customHeight="1" x14ac:dyDescent="0.25">
      <c r="A75" s="4474" t="s">
        <v>2751</v>
      </c>
      <c r="B75" s="4475"/>
      <c r="C75" s="4475"/>
      <c r="D75" s="4475"/>
      <c r="E75" s="4475"/>
      <c r="F75" s="18" t="s">
        <v>2160</v>
      </c>
    </row>
    <row r="76" spans="1:11" x14ac:dyDescent="0.25">
      <c r="A76" s="3810" t="s">
        <v>973</v>
      </c>
      <c r="B76" s="3810" t="s">
        <v>2155</v>
      </c>
      <c r="C76" s="4464" t="s">
        <v>2154</v>
      </c>
      <c r="D76" s="4466" t="s">
        <v>2106</v>
      </c>
      <c r="E76" s="4467"/>
      <c r="F76" s="4467"/>
      <c r="G76" s="4468"/>
    </row>
    <row r="77" spans="1:11" ht="25.5" x14ac:dyDescent="0.25">
      <c r="A77" s="3810"/>
      <c r="B77" s="3810"/>
      <c r="C77" s="4465"/>
      <c r="D77" s="2402" t="s">
        <v>3</v>
      </c>
      <c r="E77" s="2402" t="s">
        <v>174</v>
      </c>
      <c r="F77" s="2402" t="s">
        <v>2156</v>
      </c>
      <c r="G77" s="2402" t="s">
        <v>99</v>
      </c>
    </row>
    <row r="78" spans="1:11" x14ac:dyDescent="0.25">
      <c r="A78" s="1304" t="s">
        <v>1839</v>
      </c>
      <c r="B78" s="2403" t="s">
        <v>2116</v>
      </c>
      <c r="C78" s="2404">
        <f t="shared" ref="C78:G80" si="16">C21</f>
        <v>5701.3545558892911</v>
      </c>
      <c r="D78" s="2404">
        <f t="shared" si="16"/>
        <v>0</v>
      </c>
      <c r="E78" s="2404">
        <f t="shared" si="16"/>
        <v>0</v>
      </c>
      <c r="F78" s="2404">
        <f t="shared" si="16"/>
        <v>0</v>
      </c>
      <c r="G78" s="2404">
        <f t="shared" si="16"/>
        <v>5701.3545558892911</v>
      </c>
    </row>
    <row r="79" spans="1:11" hidden="1" x14ac:dyDescent="0.25">
      <c r="A79" s="17" t="s">
        <v>2151</v>
      </c>
      <c r="B79" s="2405" t="s">
        <v>2116</v>
      </c>
      <c r="C79" s="2406">
        <f t="shared" si="16"/>
        <v>0</v>
      </c>
      <c r="D79" s="2406">
        <f t="shared" si="16"/>
        <v>0</v>
      </c>
      <c r="E79" s="2406">
        <f t="shared" si="16"/>
        <v>0</v>
      </c>
      <c r="F79" s="2406">
        <f t="shared" si="16"/>
        <v>0</v>
      </c>
      <c r="G79" s="2406">
        <f t="shared" si="16"/>
        <v>0</v>
      </c>
    </row>
    <row r="80" spans="1:11" hidden="1" x14ac:dyDescent="0.25">
      <c r="A80" s="17" t="s">
        <v>2152</v>
      </c>
      <c r="B80" s="2405" t="s">
        <v>2117</v>
      </c>
      <c r="C80" s="2406">
        <f t="shared" si="16"/>
        <v>0</v>
      </c>
      <c r="D80" s="2406">
        <f t="shared" si="16"/>
        <v>0</v>
      </c>
      <c r="E80" s="2406">
        <f t="shared" si="16"/>
        <v>0</v>
      </c>
      <c r="F80" s="2406">
        <f t="shared" si="16"/>
        <v>0</v>
      </c>
      <c r="G80" s="2406">
        <f t="shared" si="16"/>
        <v>0</v>
      </c>
    </row>
    <row r="81" spans="1:7" x14ac:dyDescent="0.25">
      <c r="A81" s="31"/>
      <c r="B81" s="1734"/>
      <c r="C81" s="2408"/>
      <c r="D81" s="2408"/>
      <c r="E81" s="2408"/>
      <c r="F81" s="2408"/>
      <c r="G81" s="2408"/>
    </row>
    <row r="82" spans="1:7" ht="24" x14ac:dyDescent="0.25">
      <c r="A82" s="1304" t="s">
        <v>2219</v>
      </c>
      <c r="B82" s="2403" t="s">
        <v>2116</v>
      </c>
      <c r="C82" s="2409">
        <f t="shared" ref="C82:G84" si="17">C25</f>
        <v>3254.4828485840603</v>
      </c>
      <c r="D82" s="2409">
        <f t="shared" si="17"/>
        <v>0</v>
      </c>
      <c r="E82" s="2409">
        <f t="shared" si="17"/>
        <v>0</v>
      </c>
      <c r="F82" s="2409">
        <f t="shared" si="17"/>
        <v>0</v>
      </c>
      <c r="G82" s="2409">
        <f t="shared" si="17"/>
        <v>3254.4828485840603</v>
      </c>
    </row>
    <row r="83" spans="1:7" hidden="1" x14ac:dyDescent="0.25">
      <c r="A83" s="17" t="s">
        <v>2151</v>
      </c>
      <c r="B83" s="2405" t="s">
        <v>2116</v>
      </c>
      <c r="C83" s="2406">
        <f t="shared" si="17"/>
        <v>0</v>
      </c>
      <c r="D83" s="2406">
        <f t="shared" si="17"/>
        <v>0</v>
      </c>
      <c r="E83" s="2406">
        <f t="shared" si="17"/>
        <v>0</v>
      </c>
      <c r="F83" s="2406">
        <f t="shared" si="17"/>
        <v>0</v>
      </c>
      <c r="G83" s="2406">
        <f t="shared" si="17"/>
        <v>0</v>
      </c>
    </row>
    <row r="84" spans="1:7" hidden="1" x14ac:dyDescent="0.25">
      <c r="A84" s="17" t="s">
        <v>2152</v>
      </c>
      <c r="B84" s="2405" t="s">
        <v>2117</v>
      </c>
      <c r="C84" s="2406">
        <f t="shared" si="17"/>
        <v>0</v>
      </c>
      <c r="D84" s="2406">
        <f t="shared" si="17"/>
        <v>0</v>
      </c>
      <c r="E84" s="2406">
        <f t="shared" si="17"/>
        <v>0</v>
      </c>
      <c r="F84" s="2406">
        <f t="shared" si="17"/>
        <v>0</v>
      </c>
      <c r="G84" s="2406">
        <f t="shared" si="17"/>
        <v>0</v>
      </c>
    </row>
    <row r="85" spans="1:7" x14ac:dyDescent="0.25">
      <c r="A85" s="31"/>
      <c r="B85" s="1734"/>
      <c r="C85" s="2408"/>
      <c r="D85" s="2408"/>
      <c r="E85" s="2408"/>
      <c r="F85" s="2408"/>
      <c r="G85" s="2408"/>
    </row>
    <row r="86" spans="1:7" x14ac:dyDescent="0.25">
      <c r="A86" s="1304" t="s">
        <v>2157</v>
      </c>
      <c r="B86" s="2403" t="s">
        <v>2116</v>
      </c>
      <c r="C86" s="2409">
        <f t="shared" ref="C86:G88" si="18">C29</f>
        <v>2501.5399234224351</v>
      </c>
      <c r="D86" s="2409">
        <f t="shared" si="18"/>
        <v>0</v>
      </c>
      <c r="E86" s="2409">
        <f t="shared" si="18"/>
        <v>0</v>
      </c>
      <c r="F86" s="2409">
        <f t="shared" si="18"/>
        <v>0</v>
      </c>
      <c r="G86" s="2409">
        <f t="shared" si="18"/>
        <v>2501.5399234224351</v>
      </c>
    </row>
    <row r="87" spans="1:7" hidden="1" x14ac:dyDescent="0.25">
      <c r="A87" s="17" t="s">
        <v>2151</v>
      </c>
      <c r="B87" s="2405" t="s">
        <v>2116</v>
      </c>
      <c r="C87" s="2406">
        <f t="shared" si="18"/>
        <v>0</v>
      </c>
      <c r="D87" s="2406">
        <f t="shared" si="18"/>
        <v>0</v>
      </c>
      <c r="E87" s="2406">
        <f t="shared" si="18"/>
        <v>0</v>
      </c>
      <c r="F87" s="2406">
        <f t="shared" si="18"/>
        <v>0</v>
      </c>
      <c r="G87" s="2406">
        <f t="shared" si="18"/>
        <v>0</v>
      </c>
    </row>
    <row r="88" spans="1:7" hidden="1" x14ac:dyDescent="0.25">
      <c r="A88" s="17" t="s">
        <v>2152</v>
      </c>
      <c r="B88" s="2405" t="s">
        <v>2117</v>
      </c>
      <c r="C88" s="2406">
        <f t="shared" si="18"/>
        <v>0</v>
      </c>
      <c r="D88" s="2406">
        <f t="shared" si="18"/>
        <v>0</v>
      </c>
      <c r="E88" s="2406">
        <f t="shared" si="18"/>
        <v>0</v>
      </c>
      <c r="F88" s="2406">
        <f t="shared" si="18"/>
        <v>0</v>
      </c>
      <c r="G88" s="2406">
        <f t="shared" si="18"/>
        <v>0</v>
      </c>
    </row>
    <row r="89" spans="1:7" x14ac:dyDescent="0.25">
      <c r="A89" s="31"/>
      <c r="B89" s="1734"/>
      <c r="C89" s="2408"/>
      <c r="D89" s="2408"/>
      <c r="E89" s="2408"/>
      <c r="F89" s="2408"/>
      <c r="G89" s="2408"/>
    </row>
    <row r="90" spans="1:7" x14ac:dyDescent="0.25">
      <c r="A90" s="1304" t="s">
        <v>2138</v>
      </c>
      <c r="B90" s="2403" t="s">
        <v>2116</v>
      </c>
      <c r="C90" s="2404">
        <f>C33</f>
        <v>149.04031061994922</v>
      </c>
      <c r="D90" s="2404">
        <f t="shared" ref="D90:G90" si="19">D33</f>
        <v>0</v>
      </c>
      <c r="E90" s="2404">
        <f t="shared" si="19"/>
        <v>0</v>
      </c>
      <c r="F90" s="2404">
        <f t="shared" si="19"/>
        <v>0</v>
      </c>
      <c r="G90" s="2404">
        <f t="shared" si="19"/>
        <v>149.04031061994922</v>
      </c>
    </row>
    <row r="91" spans="1:7" hidden="1" x14ac:dyDescent="0.25">
      <c r="A91" s="17" t="s">
        <v>2151</v>
      </c>
      <c r="B91" s="2405" t="s">
        <v>2116</v>
      </c>
      <c r="C91" s="2406">
        <f>C34</f>
        <v>0</v>
      </c>
      <c r="D91" s="2406">
        <f t="shared" ref="D91:G91" si="20">D34</f>
        <v>0</v>
      </c>
      <c r="E91" s="2406">
        <f t="shared" si="20"/>
        <v>0</v>
      </c>
      <c r="F91" s="2406">
        <f t="shared" si="20"/>
        <v>0</v>
      </c>
      <c r="G91" s="2406">
        <f t="shared" si="20"/>
        <v>0</v>
      </c>
    </row>
    <row r="92" spans="1:7" hidden="1" x14ac:dyDescent="0.25">
      <c r="A92" s="17" t="s">
        <v>2152</v>
      </c>
      <c r="B92" s="2405" t="s">
        <v>2117</v>
      </c>
      <c r="C92" s="2406">
        <f>C35</f>
        <v>0</v>
      </c>
      <c r="D92" s="2406">
        <f t="shared" ref="D92:G92" si="21">D35</f>
        <v>0</v>
      </c>
      <c r="E92" s="2406">
        <f t="shared" si="21"/>
        <v>0</v>
      </c>
      <c r="F92" s="2406">
        <f t="shared" si="21"/>
        <v>0</v>
      </c>
      <c r="G92" s="2406">
        <f t="shared" si="21"/>
        <v>0</v>
      </c>
    </row>
    <row r="93" spans="1:7" x14ac:dyDescent="0.25">
      <c r="C93" s="2408"/>
      <c r="D93" s="2408"/>
      <c r="E93" s="2408"/>
      <c r="F93" s="2408"/>
      <c r="G93" s="2408"/>
    </row>
    <row r="94" spans="1:7" x14ac:dyDescent="0.25">
      <c r="A94" s="2399" t="s">
        <v>2158</v>
      </c>
      <c r="B94" s="2403" t="s">
        <v>2116</v>
      </c>
      <c r="C94" s="2409">
        <f>C78+C82+C90</f>
        <v>9104.877715093302</v>
      </c>
      <c r="D94" s="2409">
        <f>D78+D82+D90</f>
        <v>0</v>
      </c>
      <c r="E94" s="2409">
        <v>0</v>
      </c>
      <c r="F94" s="2409">
        <v>0</v>
      </c>
      <c r="G94" s="2409">
        <f>G78+G82+G90</f>
        <v>9104.877715093302</v>
      </c>
    </row>
    <row r="95" spans="1:7" hidden="1" x14ac:dyDescent="0.25">
      <c r="A95" s="17" t="s">
        <v>2151</v>
      </c>
      <c r="B95" s="2405" t="s">
        <v>2116</v>
      </c>
      <c r="C95" s="2406">
        <f t="shared" ref="C95:D95" si="22">C79+C83+C91</f>
        <v>0</v>
      </c>
      <c r="D95" s="2406">
        <f t="shared" si="22"/>
        <v>0</v>
      </c>
      <c r="E95" s="2406">
        <v>0</v>
      </c>
      <c r="F95" s="2406">
        <f t="shared" ref="F95:G95" si="23">F79+F83+F91</f>
        <v>0</v>
      </c>
      <c r="G95" s="2406">
        <f t="shared" si="23"/>
        <v>0</v>
      </c>
    </row>
    <row r="96" spans="1:7" hidden="1" x14ac:dyDescent="0.25">
      <c r="A96" s="17" t="s">
        <v>2152</v>
      </c>
      <c r="B96" s="2405" t="s">
        <v>2117</v>
      </c>
      <c r="C96" s="2406">
        <f t="shared" ref="C96:D96" si="24">C80+C84+C92</f>
        <v>0</v>
      </c>
      <c r="D96" s="2406">
        <f t="shared" si="24"/>
        <v>0</v>
      </c>
      <c r="E96" s="2406">
        <v>0</v>
      </c>
      <c r="F96" s="2406">
        <f t="shared" ref="F96:G96" si="25">F80+F84+F92</f>
        <v>0</v>
      </c>
      <c r="G96" s="2406">
        <f t="shared" si="25"/>
        <v>0</v>
      </c>
    </row>
    <row r="97" spans="1:7" x14ac:dyDescent="0.25">
      <c r="C97" s="2408"/>
      <c r="D97" s="2408"/>
      <c r="E97" s="2408"/>
      <c r="F97" s="2408"/>
      <c r="G97" s="2408"/>
    </row>
    <row r="98" spans="1:7" x14ac:dyDescent="0.25">
      <c r="A98" s="1304" t="s">
        <v>2159</v>
      </c>
      <c r="B98" s="2403" t="s">
        <v>2116</v>
      </c>
      <c r="C98" s="2409">
        <f>C78+C86+C90</f>
        <v>8351.9347899316763</v>
      </c>
      <c r="D98" s="2409">
        <f>D78+D86+D90</f>
        <v>0</v>
      </c>
      <c r="E98" s="2409">
        <f>E78+E86+E90</f>
        <v>0</v>
      </c>
      <c r="F98" s="2409">
        <f>F78+F86+F90</f>
        <v>0</v>
      </c>
      <c r="G98" s="2409">
        <f>G78+G86+G90</f>
        <v>8351.9347899316763</v>
      </c>
    </row>
    <row r="99" spans="1:7" hidden="1" x14ac:dyDescent="0.25">
      <c r="A99" s="17" t="s">
        <v>2151</v>
      </c>
      <c r="B99" s="2405" t="s">
        <v>2116</v>
      </c>
      <c r="C99" s="2406">
        <f t="shared" ref="C99:G99" si="26">C79+C87+C91</f>
        <v>0</v>
      </c>
      <c r="D99" s="2406">
        <f t="shared" si="26"/>
        <v>0</v>
      </c>
      <c r="E99" s="2406">
        <f t="shared" si="26"/>
        <v>0</v>
      </c>
      <c r="F99" s="2406">
        <f t="shared" si="26"/>
        <v>0</v>
      </c>
      <c r="G99" s="2406">
        <f t="shared" si="26"/>
        <v>0</v>
      </c>
    </row>
    <row r="100" spans="1:7" hidden="1" x14ac:dyDescent="0.25">
      <c r="A100" s="17" t="s">
        <v>2152</v>
      </c>
      <c r="B100" s="2405" t="s">
        <v>2117</v>
      </c>
      <c r="C100" s="2406">
        <f t="shared" ref="C100:G100" si="27">C80+C88+C92</f>
        <v>0</v>
      </c>
      <c r="D100" s="2406">
        <f t="shared" si="27"/>
        <v>0</v>
      </c>
      <c r="E100" s="2406">
        <f t="shared" si="27"/>
        <v>0</v>
      </c>
      <c r="F100" s="2406">
        <f t="shared" si="27"/>
        <v>0</v>
      </c>
      <c r="G100" s="2406">
        <f t="shared" si="27"/>
        <v>0</v>
      </c>
    </row>
    <row r="101" spans="1:7" hidden="1" x14ac:dyDescent="0.25"/>
    <row r="102" spans="1:7" hidden="1" x14ac:dyDescent="0.25"/>
    <row r="103" spans="1:7" hidden="1" x14ac:dyDescent="0.25"/>
    <row r="104" spans="1:7" x14ac:dyDescent="0.25">
      <c r="C104" s="2401"/>
      <c r="F104" s="2236" t="s">
        <v>2161</v>
      </c>
    </row>
    <row r="105" spans="1:7" x14ac:dyDescent="0.25">
      <c r="A105" s="3810" t="s">
        <v>2153</v>
      </c>
      <c r="B105" s="3810" t="s">
        <v>2155</v>
      </c>
      <c r="C105" s="4464" t="s">
        <v>2154</v>
      </c>
      <c r="D105" s="4466" t="s">
        <v>2106</v>
      </c>
      <c r="E105" s="4467"/>
      <c r="F105" s="4467"/>
      <c r="G105" s="4468"/>
    </row>
    <row r="106" spans="1:7" ht="25.5" x14ac:dyDescent="0.25">
      <c r="A106" s="3810"/>
      <c r="B106" s="3810"/>
      <c r="C106" s="4465"/>
      <c r="D106" s="2402" t="s">
        <v>3</v>
      </c>
      <c r="E106" s="2402" t="s">
        <v>174</v>
      </c>
      <c r="F106" s="2402" t="s">
        <v>2156</v>
      </c>
      <c r="G106" s="2402" t="s">
        <v>99</v>
      </c>
    </row>
    <row r="107" spans="1:7" x14ac:dyDescent="0.25">
      <c r="A107" s="1304" t="s">
        <v>1839</v>
      </c>
      <c r="B107" s="2403" t="s">
        <v>2116</v>
      </c>
      <c r="C107" s="2409">
        <f>C78*1.2</f>
        <v>6841.6254670671487</v>
      </c>
      <c r="D107" s="2409">
        <f>D78*1.2</f>
        <v>0</v>
      </c>
      <c r="E107" s="2409">
        <f>E78*1.2</f>
        <v>0</v>
      </c>
      <c r="F107" s="2409">
        <f>F78*1.2</f>
        <v>0</v>
      </c>
      <c r="G107" s="2409">
        <f>G78*1.2</f>
        <v>6841.6254670671487</v>
      </c>
    </row>
    <row r="108" spans="1:7" hidden="1" x14ac:dyDescent="0.25">
      <c r="A108" s="17" t="s">
        <v>2151</v>
      </c>
      <c r="B108" s="2405" t="s">
        <v>2116</v>
      </c>
      <c r="C108" s="2412">
        <f>C79*1.2</f>
        <v>0</v>
      </c>
      <c r="D108" s="2412">
        <f t="shared" ref="D108:G108" si="28">D79*1.2</f>
        <v>0</v>
      </c>
      <c r="E108" s="2412">
        <f t="shared" si="28"/>
        <v>0</v>
      </c>
      <c r="F108" s="2412">
        <f t="shared" si="28"/>
        <v>0</v>
      </c>
      <c r="G108" s="2412">
        <f t="shared" si="28"/>
        <v>0</v>
      </c>
    </row>
    <row r="109" spans="1:7" hidden="1" x14ac:dyDescent="0.25">
      <c r="A109" s="17" t="s">
        <v>2152</v>
      </c>
      <c r="B109" s="2405" t="s">
        <v>2117</v>
      </c>
      <c r="C109" s="2412">
        <f>C80*1.2</f>
        <v>0</v>
      </c>
      <c r="D109" s="2412">
        <f t="shared" ref="D109:G109" si="29">D80*1.2</f>
        <v>0</v>
      </c>
      <c r="E109" s="2412">
        <f t="shared" si="29"/>
        <v>0</v>
      </c>
      <c r="F109" s="2412">
        <f t="shared" si="29"/>
        <v>0</v>
      </c>
      <c r="G109" s="2412">
        <f t="shared" si="29"/>
        <v>0</v>
      </c>
    </row>
    <row r="110" spans="1:7" x14ac:dyDescent="0.25">
      <c r="A110" s="31"/>
      <c r="B110" s="1734"/>
      <c r="C110" s="2408"/>
      <c r="D110" s="2408"/>
      <c r="E110" s="2408"/>
      <c r="F110" s="2408"/>
      <c r="G110" s="2408"/>
    </row>
    <row r="111" spans="1:7" ht="24" x14ac:dyDescent="0.25">
      <c r="A111" s="1304" t="s">
        <v>2219</v>
      </c>
      <c r="B111" s="2403" t="s">
        <v>2116</v>
      </c>
      <c r="C111" s="2409">
        <f t="shared" ref="C111:G111" si="30">C82*1.2</f>
        <v>3905.3794183008722</v>
      </c>
      <c r="D111" s="2409">
        <f t="shared" si="30"/>
        <v>0</v>
      </c>
      <c r="E111" s="2409">
        <f t="shared" si="30"/>
        <v>0</v>
      </c>
      <c r="F111" s="2409">
        <f t="shared" si="30"/>
        <v>0</v>
      </c>
      <c r="G111" s="2409">
        <f t="shared" si="30"/>
        <v>3905.3794183008722</v>
      </c>
    </row>
    <row r="112" spans="1:7" hidden="1" x14ac:dyDescent="0.25">
      <c r="A112" s="17" t="s">
        <v>2151</v>
      </c>
      <c r="B112" s="2405" t="s">
        <v>2116</v>
      </c>
      <c r="C112" s="2412">
        <f t="shared" ref="C112:G112" si="31">C83*1.2</f>
        <v>0</v>
      </c>
      <c r="D112" s="2412">
        <f t="shared" si="31"/>
        <v>0</v>
      </c>
      <c r="E112" s="2412">
        <f t="shared" si="31"/>
        <v>0</v>
      </c>
      <c r="F112" s="2412">
        <f t="shared" si="31"/>
        <v>0</v>
      </c>
      <c r="G112" s="2412">
        <f t="shared" si="31"/>
        <v>0</v>
      </c>
    </row>
    <row r="113" spans="1:9" hidden="1" x14ac:dyDescent="0.25">
      <c r="A113" s="17" t="s">
        <v>2152</v>
      </c>
      <c r="B113" s="2405" t="s">
        <v>2117</v>
      </c>
      <c r="C113" s="2412">
        <f t="shared" ref="C113:G113" si="32">C84*1.2</f>
        <v>0</v>
      </c>
      <c r="D113" s="2412">
        <f t="shared" si="32"/>
        <v>0</v>
      </c>
      <c r="E113" s="2412">
        <f t="shared" si="32"/>
        <v>0</v>
      </c>
      <c r="F113" s="2412">
        <f t="shared" si="32"/>
        <v>0</v>
      </c>
      <c r="G113" s="2412">
        <f t="shared" si="32"/>
        <v>0</v>
      </c>
    </row>
    <row r="114" spans="1:9" x14ac:dyDescent="0.25">
      <c r="A114" s="31"/>
      <c r="B114" s="1734"/>
      <c r="C114" s="2408"/>
      <c r="D114" s="2408"/>
      <c r="E114" s="2408"/>
      <c r="F114" s="2408"/>
      <c r="G114" s="2408"/>
    </row>
    <row r="115" spans="1:9" x14ac:dyDescent="0.25">
      <c r="A115" s="1304" t="s">
        <v>2157</v>
      </c>
      <c r="B115" s="2403" t="s">
        <v>2116</v>
      </c>
      <c r="C115" s="2409">
        <f t="shared" ref="C115:G115" si="33">C86*1.2</f>
        <v>3001.8479081069222</v>
      </c>
      <c r="D115" s="2409">
        <f t="shared" si="33"/>
        <v>0</v>
      </c>
      <c r="E115" s="2409">
        <f t="shared" si="33"/>
        <v>0</v>
      </c>
      <c r="F115" s="2409">
        <f t="shared" si="33"/>
        <v>0</v>
      </c>
      <c r="G115" s="2409">
        <f t="shared" si="33"/>
        <v>3001.8479081069222</v>
      </c>
    </row>
    <row r="116" spans="1:9" hidden="1" x14ac:dyDescent="0.25">
      <c r="A116" s="17" t="s">
        <v>2151</v>
      </c>
      <c r="B116" s="2405" t="s">
        <v>2116</v>
      </c>
      <c r="C116" s="2412">
        <f t="shared" ref="C116:G116" si="34">C87*1.2</f>
        <v>0</v>
      </c>
      <c r="D116" s="2412">
        <f t="shared" si="34"/>
        <v>0</v>
      </c>
      <c r="E116" s="2412">
        <f t="shared" si="34"/>
        <v>0</v>
      </c>
      <c r="F116" s="2412">
        <f t="shared" si="34"/>
        <v>0</v>
      </c>
      <c r="G116" s="2412">
        <f t="shared" si="34"/>
        <v>0</v>
      </c>
    </row>
    <row r="117" spans="1:9" hidden="1" x14ac:dyDescent="0.25">
      <c r="A117" s="17" t="s">
        <v>2152</v>
      </c>
      <c r="B117" s="2405" t="s">
        <v>2117</v>
      </c>
      <c r="C117" s="2412">
        <f t="shared" ref="C117:G117" si="35">C88*1.2</f>
        <v>0</v>
      </c>
      <c r="D117" s="2412">
        <f t="shared" si="35"/>
        <v>0</v>
      </c>
      <c r="E117" s="2412">
        <f t="shared" si="35"/>
        <v>0</v>
      </c>
      <c r="F117" s="2412">
        <f t="shared" si="35"/>
        <v>0</v>
      </c>
      <c r="G117" s="2412">
        <f t="shared" si="35"/>
        <v>0</v>
      </c>
    </row>
    <row r="118" spans="1:9" x14ac:dyDescent="0.25">
      <c r="A118" s="31"/>
      <c r="B118" s="1734"/>
      <c r="C118" s="2408"/>
      <c r="D118" s="2408"/>
      <c r="E118" s="2408"/>
      <c r="F118" s="2408"/>
      <c r="G118" s="2408"/>
    </row>
    <row r="119" spans="1:9" x14ac:dyDescent="0.25">
      <c r="A119" s="1304" t="s">
        <v>2138</v>
      </c>
      <c r="B119" s="2403" t="s">
        <v>2116</v>
      </c>
      <c r="C119" s="2409">
        <f t="shared" ref="C119:G119" si="36">C90*1.2</f>
        <v>178.84837274393905</v>
      </c>
      <c r="D119" s="2409">
        <f t="shared" si="36"/>
        <v>0</v>
      </c>
      <c r="E119" s="2409">
        <f t="shared" si="36"/>
        <v>0</v>
      </c>
      <c r="F119" s="2409">
        <f t="shared" si="36"/>
        <v>0</v>
      </c>
      <c r="G119" s="2409">
        <f t="shared" si="36"/>
        <v>178.84837274393905</v>
      </c>
    </row>
    <row r="120" spans="1:9" hidden="1" x14ac:dyDescent="0.25">
      <c r="A120" s="17" t="s">
        <v>2151</v>
      </c>
      <c r="B120" s="2405" t="s">
        <v>2116</v>
      </c>
      <c r="C120" s="2412">
        <f t="shared" ref="C120:G120" si="37">C91*1.2</f>
        <v>0</v>
      </c>
      <c r="D120" s="2412">
        <f t="shared" si="37"/>
        <v>0</v>
      </c>
      <c r="E120" s="2412">
        <f t="shared" si="37"/>
        <v>0</v>
      </c>
      <c r="F120" s="2412">
        <f t="shared" si="37"/>
        <v>0</v>
      </c>
      <c r="G120" s="2412">
        <f t="shared" si="37"/>
        <v>0</v>
      </c>
    </row>
    <row r="121" spans="1:9" hidden="1" x14ac:dyDescent="0.25">
      <c r="A121" s="17" t="s">
        <v>2152</v>
      </c>
      <c r="B121" s="2405" t="s">
        <v>2117</v>
      </c>
      <c r="C121" s="2412">
        <f t="shared" ref="C121:G121" si="38">C92*1.2</f>
        <v>0</v>
      </c>
      <c r="D121" s="2412">
        <f t="shared" si="38"/>
        <v>0</v>
      </c>
      <c r="E121" s="2412">
        <f t="shared" si="38"/>
        <v>0</v>
      </c>
      <c r="F121" s="2412">
        <f t="shared" si="38"/>
        <v>0</v>
      </c>
      <c r="G121" s="2412">
        <f t="shared" si="38"/>
        <v>0</v>
      </c>
    </row>
    <row r="122" spans="1:9" x14ac:dyDescent="0.25">
      <c r="C122" s="2408"/>
      <c r="D122" s="2408"/>
      <c r="E122" s="2408"/>
      <c r="F122" s="2408"/>
      <c r="G122" s="2408"/>
    </row>
    <row r="123" spans="1:9" x14ac:dyDescent="0.25">
      <c r="A123" s="1304" t="s">
        <v>2158</v>
      </c>
      <c r="B123" s="2403" t="s">
        <v>2116</v>
      </c>
      <c r="C123" s="2409">
        <f>C107+C111+C119</f>
        <v>10925.85325811196</v>
      </c>
      <c r="D123" s="2409">
        <f t="shared" ref="D123" si="39">D107+D111+D119</f>
        <v>0</v>
      </c>
      <c r="E123" s="2409">
        <v>0</v>
      </c>
      <c r="F123" s="2409">
        <v>0</v>
      </c>
      <c r="G123" s="2409">
        <f t="shared" ref="G123" si="40">G107+G111+G119</f>
        <v>10925.85325811196</v>
      </c>
      <c r="I123" s="2415"/>
    </row>
    <row r="124" spans="1:9" hidden="1" x14ac:dyDescent="0.25">
      <c r="A124" s="17" t="s">
        <v>2151</v>
      </c>
      <c r="B124" s="2405" t="s">
        <v>2116</v>
      </c>
      <c r="C124" s="2392">
        <f t="shared" ref="C124:D124" si="41">C108+C112+C120</f>
        <v>0</v>
      </c>
      <c r="D124" s="2392">
        <f t="shared" si="41"/>
        <v>0</v>
      </c>
      <c r="E124" s="2392">
        <v>0</v>
      </c>
      <c r="F124" s="2392">
        <f t="shared" ref="F124:G124" si="42">F108+F112+F120</f>
        <v>0</v>
      </c>
      <c r="G124" s="2392">
        <f t="shared" si="42"/>
        <v>0</v>
      </c>
    </row>
    <row r="125" spans="1:9" hidden="1" x14ac:dyDescent="0.25">
      <c r="A125" s="17" t="s">
        <v>2152</v>
      </c>
      <c r="B125" s="2405" t="s">
        <v>2117</v>
      </c>
      <c r="C125" s="2392">
        <f t="shared" ref="C125:D125" si="43">C109+C113+C121</f>
        <v>0</v>
      </c>
      <c r="D125" s="2392">
        <f t="shared" si="43"/>
        <v>0</v>
      </c>
      <c r="E125" s="2392">
        <v>0</v>
      </c>
      <c r="F125" s="2392">
        <f t="shared" ref="F125:G125" si="44">F109+F113+F121</f>
        <v>0</v>
      </c>
      <c r="G125" s="2392">
        <f t="shared" si="44"/>
        <v>0</v>
      </c>
    </row>
    <row r="126" spans="1:9" x14ac:dyDescent="0.25">
      <c r="C126" s="2408"/>
      <c r="D126" s="2408"/>
      <c r="E126" s="2408"/>
      <c r="F126" s="2408"/>
      <c r="G126" s="2408"/>
    </row>
    <row r="127" spans="1:9" x14ac:dyDescent="0.25">
      <c r="A127" s="1304" t="s">
        <v>2159</v>
      </c>
      <c r="B127" s="2403" t="s">
        <v>2116</v>
      </c>
      <c r="C127" s="2409">
        <f>C107+C115+C119</f>
        <v>10022.321747918011</v>
      </c>
      <c r="D127" s="2409">
        <f t="shared" ref="D127:G127" si="45">D107+D115+D119</f>
        <v>0</v>
      </c>
      <c r="E127" s="2409">
        <f t="shared" si="45"/>
        <v>0</v>
      </c>
      <c r="F127" s="2409">
        <f t="shared" si="45"/>
        <v>0</v>
      </c>
      <c r="G127" s="2409">
        <f t="shared" si="45"/>
        <v>10022.321747918011</v>
      </c>
    </row>
    <row r="128" spans="1:9" hidden="1" x14ac:dyDescent="0.25">
      <c r="A128" s="17" t="s">
        <v>2151</v>
      </c>
      <c r="B128" s="2405" t="s">
        <v>2116</v>
      </c>
      <c r="C128" s="2392">
        <f t="shared" ref="C128:G128" si="46">C108+C116+C120</f>
        <v>0</v>
      </c>
      <c r="D128" s="2392">
        <f t="shared" si="46"/>
        <v>0</v>
      </c>
      <c r="E128" s="2392">
        <f t="shared" si="46"/>
        <v>0</v>
      </c>
      <c r="F128" s="2392">
        <f t="shared" si="46"/>
        <v>0</v>
      </c>
      <c r="G128" s="2392">
        <f t="shared" si="46"/>
        <v>0</v>
      </c>
    </row>
    <row r="129" spans="1:9" hidden="1" x14ac:dyDescent="0.25">
      <c r="A129" s="17" t="s">
        <v>2152</v>
      </c>
      <c r="B129" s="2405" t="s">
        <v>2117</v>
      </c>
      <c r="C129" s="2392">
        <f t="shared" ref="C129:G129" si="47">C109+C117+C121</f>
        <v>0</v>
      </c>
      <c r="D129" s="2392">
        <f t="shared" si="47"/>
        <v>0</v>
      </c>
      <c r="E129" s="2392">
        <f t="shared" si="47"/>
        <v>0</v>
      </c>
      <c r="F129" s="2392">
        <f t="shared" si="47"/>
        <v>0</v>
      </c>
      <c r="G129" s="2392">
        <f t="shared" si="47"/>
        <v>0</v>
      </c>
    </row>
    <row r="131" spans="1:9" ht="29.25" customHeight="1" x14ac:dyDescent="0.25">
      <c r="A131" s="3810" t="s">
        <v>2896</v>
      </c>
      <c r="B131" s="2388" t="s">
        <v>2894</v>
      </c>
      <c r="C131" s="4445" t="s">
        <v>2695</v>
      </c>
      <c r="D131" s="4446"/>
      <c r="E131" s="4084" t="s">
        <v>2209</v>
      </c>
      <c r="F131" s="3388"/>
      <c r="G131" s="3388"/>
      <c r="H131" s="4460" t="s">
        <v>2209</v>
      </c>
    </row>
    <row r="132" spans="1:9" ht="14.45" customHeight="1" x14ac:dyDescent="0.25">
      <c r="A132" s="3810"/>
      <c r="B132" s="4084" t="s">
        <v>3348</v>
      </c>
      <c r="C132" s="4447" t="s">
        <v>3348</v>
      </c>
      <c r="D132" s="4448"/>
      <c r="E132" s="4462"/>
      <c r="F132" s="4461" t="s">
        <v>2891</v>
      </c>
      <c r="G132" s="4461"/>
      <c r="H132" s="4460"/>
    </row>
    <row r="133" spans="1:9" ht="38.25" x14ac:dyDescent="0.25">
      <c r="A133" s="3810"/>
      <c r="B133" s="4085"/>
      <c r="C133" s="4449"/>
      <c r="D133" s="4450"/>
      <c r="E133" s="4085"/>
      <c r="F133" s="3389" t="s">
        <v>2892</v>
      </c>
      <c r="G133" s="3389" t="s">
        <v>2893</v>
      </c>
      <c r="H133" s="4460"/>
    </row>
    <row r="134" spans="1:9" s="55" customFormat="1" ht="12.75" x14ac:dyDescent="0.25">
      <c r="A134" s="1792" t="s">
        <v>2897</v>
      </c>
      <c r="B134" s="2035" t="s">
        <v>74</v>
      </c>
      <c r="C134" s="4079" t="s">
        <v>74</v>
      </c>
      <c r="D134" s="4081"/>
      <c r="E134" s="3394" t="s">
        <v>4</v>
      </c>
      <c r="F134" s="3390" t="s">
        <v>74</v>
      </c>
      <c r="G134" s="3390" t="s">
        <v>2895</v>
      </c>
      <c r="H134" s="3390" t="s">
        <v>4</v>
      </c>
    </row>
    <row r="135" spans="1:9" x14ac:dyDescent="0.25">
      <c r="A135" s="2402" t="s">
        <v>3</v>
      </c>
      <c r="B135" s="3490">
        <f>D21</f>
        <v>0</v>
      </c>
      <c r="C135" s="4443">
        <f>D22</f>
        <v>0</v>
      </c>
      <c r="D135" s="4444"/>
      <c r="E135" s="3395"/>
      <c r="F135" s="3388"/>
      <c r="G135" s="3391"/>
      <c r="H135" s="3392"/>
      <c r="I135" s="2415"/>
    </row>
    <row r="136" spans="1:9" x14ac:dyDescent="0.25">
      <c r="A136" s="2402" t="s">
        <v>174</v>
      </c>
      <c r="B136" s="3490">
        <f>E21</f>
        <v>0</v>
      </c>
      <c r="C136" s="4443">
        <f t="shared" ref="C136:C137" si="48">D23</f>
        <v>0</v>
      </c>
      <c r="D136" s="4444"/>
      <c r="E136" s="3395"/>
      <c r="F136" s="3388"/>
      <c r="G136" s="3391"/>
      <c r="H136" s="3392"/>
      <c r="I136" s="2415"/>
    </row>
    <row r="137" spans="1:9" x14ac:dyDescent="0.25">
      <c r="A137" s="2402" t="s">
        <v>2156</v>
      </c>
      <c r="B137" s="3490">
        <f>F21</f>
        <v>0</v>
      </c>
      <c r="C137" s="4443">
        <f t="shared" si="48"/>
        <v>0</v>
      </c>
      <c r="D137" s="4444"/>
      <c r="E137" s="3395"/>
      <c r="F137" s="3388"/>
      <c r="G137" s="3391"/>
      <c r="H137" s="3392"/>
      <c r="I137" s="2415"/>
    </row>
    <row r="138" spans="1:9" x14ac:dyDescent="0.25">
      <c r="A138" s="2402" t="s">
        <v>99</v>
      </c>
      <c r="B138" s="3490">
        <f>G21</f>
        <v>5701.3545558892911</v>
      </c>
      <c r="C138" s="4443">
        <f>I50</f>
        <v>7163.27</v>
      </c>
      <c r="D138" s="4444"/>
      <c r="E138" s="3484">
        <f>B138/C138-1</f>
        <v>-0.20408492826749647</v>
      </c>
      <c r="F138" s="3388"/>
      <c r="G138" s="3391"/>
      <c r="H138" s="3392">
        <f t="shared" ref="H138" si="49">B138/E138-1</f>
        <v>-27937.18619605491</v>
      </c>
      <c r="I138" s="2415"/>
    </row>
    <row r="139" spans="1:9" x14ac:dyDescent="0.25">
      <c r="E139" s="3393"/>
    </row>
    <row r="140" spans="1:9" ht="15" customHeight="1" x14ac:dyDescent="0.25">
      <c r="A140" s="3810" t="s">
        <v>2898</v>
      </c>
      <c r="B140" s="2388" t="s">
        <v>2894</v>
      </c>
      <c r="C140" s="4445" t="s">
        <v>2695</v>
      </c>
      <c r="D140" s="4446"/>
      <c r="E140" s="4456" t="s">
        <v>2209</v>
      </c>
      <c r="F140" s="3398"/>
      <c r="G140" s="3398"/>
      <c r="H140" s="4454" t="s">
        <v>2209</v>
      </c>
    </row>
    <row r="141" spans="1:9" ht="15" customHeight="1" x14ac:dyDescent="0.25">
      <c r="A141" s="3810"/>
      <c r="B141" s="4084" t="s">
        <v>3348</v>
      </c>
      <c r="C141" s="4447" t="s">
        <v>3348</v>
      </c>
      <c r="D141" s="4448"/>
      <c r="E141" s="4457"/>
      <c r="F141" s="4455" t="s">
        <v>2891</v>
      </c>
      <c r="G141" s="4455"/>
      <c r="H141" s="4454"/>
    </row>
    <row r="142" spans="1:9" ht="38.25" x14ac:dyDescent="0.25">
      <c r="A142" s="3810"/>
      <c r="B142" s="4085"/>
      <c r="C142" s="4449"/>
      <c r="D142" s="4450"/>
      <c r="E142" s="4458"/>
      <c r="F142" s="3399" t="s">
        <v>2892</v>
      </c>
      <c r="G142" s="3399" t="s">
        <v>2893</v>
      </c>
      <c r="H142" s="4454"/>
    </row>
    <row r="143" spans="1:9" x14ac:dyDescent="0.25">
      <c r="A143" s="1792" t="s">
        <v>2897</v>
      </c>
      <c r="B143" s="2035" t="s">
        <v>74</v>
      </c>
      <c r="C143" s="4079" t="s">
        <v>74</v>
      </c>
      <c r="D143" s="4081"/>
      <c r="E143" s="2035" t="s">
        <v>4</v>
      </c>
      <c r="F143" s="3400" t="s">
        <v>74</v>
      </c>
      <c r="G143" s="3400" t="s">
        <v>2895</v>
      </c>
      <c r="H143" s="3400" t="s">
        <v>4</v>
      </c>
    </row>
    <row r="144" spans="1:9" x14ac:dyDescent="0.25">
      <c r="A144" s="2402" t="s">
        <v>3</v>
      </c>
      <c r="B144" s="3490">
        <f>D25</f>
        <v>0</v>
      </c>
      <c r="C144" s="4443">
        <f>D26</f>
        <v>0</v>
      </c>
      <c r="D144" s="4444"/>
      <c r="E144" s="1324"/>
      <c r="F144" s="3398"/>
      <c r="G144" s="3397"/>
      <c r="H144" s="3401"/>
    </row>
    <row r="145" spans="1:8" x14ac:dyDescent="0.25">
      <c r="A145" s="2402" t="s">
        <v>174</v>
      </c>
      <c r="B145" s="3490">
        <v>0</v>
      </c>
      <c r="C145" s="4443">
        <f t="shared" ref="C145:C146" si="50">D27</f>
        <v>0</v>
      </c>
      <c r="D145" s="4444"/>
      <c r="E145" s="1324"/>
      <c r="F145" s="3398"/>
      <c r="G145" s="3397"/>
      <c r="H145" s="3401"/>
    </row>
    <row r="146" spans="1:8" x14ac:dyDescent="0.25">
      <c r="A146" s="2402" t="s">
        <v>2156</v>
      </c>
      <c r="B146" s="3490">
        <f>F25</f>
        <v>0</v>
      </c>
      <c r="C146" s="4443">
        <f t="shared" si="50"/>
        <v>0</v>
      </c>
      <c r="D146" s="4444"/>
      <c r="E146" s="1324"/>
      <c r="F146" s="3398"/>
      <c r="G146" s="3397"/>
      <c r="H146" s="3401"/>
    </row>
    <row r="147" spans="1:8" x14ac:dyDescent="0.25">
      <c r="A147" s="2402" t="s">
        <v>99</v>
      </c>
      <c r="B147" s="3490">
        <f>G25</f>
        <v>3254.4828485840603</v>
      </c>
      <c r="C147" s="4443">
        <f>I54</f>
        <v>2667.5</v>
      </c>
      <c r="D147" s="4444"/>
      <c r="E147" s="3485">
        <f>B147/C147-1</f>
        <v>0.22004980265569274</v>
      </c>
      <c r="F147" s="3398"/>
      <c r="G147" s="3397"/>
      <c r="H147" s="3401">
        <f t="shared" ref="H147" si="51">B147/E147-1</f>
        <v>14788.755815760856</v>
      </c>
    </row>
    <row r="149" spans="1:8" ht="15" customHeight="1" x14ac:dyDescent="0.25">
      <c r="A149" s="3810" t="s">
        <v>2899</v>
      </c>
      <c r="B149" s="2388" t="s">
        <v>2894</v>
      </c>
      <c r="C149" s="4445" t="s">
        <v>2695</v>
      </c>
      <c r="D149" s="4446"/>
      <c r="E149" s="20" t="s">
        <v>2209</v>
      </c>
      <c r="F149" s="3398"/>
      <c r="G149" s="3398"/>
      <c r="H149" s="4454" t="s">
        <v>2209</v>
      </c>
    </row>
    <row r="150" spans="1:8" ht="15" customHeight="1" x14ac:dyDescent="0.25">
      <c r="A150" s="3810"/>
      <c r="B150" s="4084" t="s">
        <v>3348</v>
      </c>
      <c r="C150" s="4447" t="s">
        <v>3348</v>
      </c>
      <c r="D150" s="4448"/>
      <c r="E150" s="4459"/>
      <c r="F150" s="4455" t="s">
        <v>2891</v>
      </c>
      <c r="G150" s="4455"/>
      <c r="H150" s="4454"/>
    </row>
    <row r="151" spans="1:8" ht="38.25" x14ac:dyDescent="0.25">
      <c r="A151" s="3810"/>
      <c r="B151" s="4085"/>
      <c r="C151" s="4449"/>
      <c r="D151" s="4450"/>
      <c r="E151" s="4459"/>
      <c r="F151" s="3399" t="s">
        <v>2892</v>
      </c>
      <c r="G151" s="3399" t="s">
        <v>2893</v>
      </c>
      <c r="H151" s="4454"/>
    </row>
    <row r="152" spans="1:8" x14ac:dyDescent="0.25">
      <c r="A152" s="1792" t="s">
        <v>2897</v>
      </c>
      <c r="B152" s="2035" t="s">
        <v>74</v>
      </c>
      <c r="C152" s="4079" t="s">
        <v>74</v>
      </c>
      <c r="D152" s="4081"/>
      <c r="E152" s="2035" t="s">
        <v>4</v>
      </c>
      <c r="F152" s="3400" t="s">
        <v>74</v>
      </c>
      <c r="G152" s="3400" t="s">
        <v>2895</v>
      </c>
      <c r="H152" s="3400" t="s">
        <v>4</v>
      </c>
    </row>
    <row r="153" spans="1:8" x14ac:dyDescent="0.25">
      <c r="A153" s="2402" t="s">
        <v>3</v>
      </c>
      <c r="B153" s="3490">
        <f>D29</f>
        <v>0</v>
      </c>
      <c r="C153" s="4443">
        <f>D30</f>
        <v>0</v>
      </c>
      <c r="D153" s="4444"/>
      <c r="E153" s="1324"/>
      <c r="F153" s="3398"/>
      <c r="G153" s="3397"/>
      <c r="H153" s="3401"/>
    </row>
    <row r="154" spans="1:8" x14ac:dyDescent="0.25">
      <c r="A154" s="2402" t="s">
        <v>174</v>
      </c>
      <c r="B154" s="3490">
        <f>E29</f>
        <v>0</v>
      </c>
      <c r="C154" s="4443">
        <f t="shared" ref="C154:C155" si="52">D31</f>
        <v>0</v>
      </c>
      <c r="D154" s="4444"/>
      <c r="E154" s="1324"/>
      <c r="F154" s="3398"/>
      <c r="G154" s="3397"/>
      <c r="H154" s="3401"/>
    </row>
    <row r="155" spans="1:8" x14ac:dyDescent="0.25">
      <c r="A155" s="2402" t="s">
        <v>2156</v>
      </c>
      <c r="B155" s="3490">
        <f>F29</f>
        <v>0</v>
      </c>
      <c r="C155" s="4443">
        <f t="shared" si="52"/>
        <v>0</v>
      </c>
      <c r="D155" s="4444"/>
      <c r="E155" s="1324"/>
      <c r="F155" s="3398"/>
      <c r="G155" s="3397"/>
      <c r="H155" s="3401"/>
    </row>
    <row r="156" spans="1:8" x14ac:dyDescent="0.25">
      <c r="A156" s="2402" t="s">
        <v>99</v>
      </c>
      <c r="B156" s="3490">
        <f>G29</f>
        <v>2501.5399234224351</v>
      </c>
      <c r="C156" s="4443">
        <f>I58</f>
        <v>1987.35</v>
      </c>
      <c r="D156" s="4444"/>
      <c r="E156" s="3486">
        <f>B156/C156-1</f>
        <v>0.25873143805692767</v>
      </c>
      <c r="F156" s="3398"/>
      <c r="G156" s="3397"/>
      <c r="H156" s="3401">
        <f t="shared" ref="H156" si="53">B156/E156-1</f>
        <v>9667.4807312516496</v>
      </c>
    </row>
    <row r="158" spans="1:8" ht="15" customHeight="1" x14ac:dyDescent="0.25">
      <c r="A158" s="3810" t="s">
        <v>2900</v>
      </c>
      <c r="B158" s="2388" t="s">
        <v>2894</v>
      </c>
      <c r="C158" s="4445" t="s">
        <v>2695</v>
      </c>
      <c r="D158" s="4446"/>
      <c r="E158" s="4456" t="s">
        <v>2209</v>
      </c>
      <c r="F158" s="3398"/>
      <c r="G158" s="3398"/>
      <c r="H158" s="4454" t="s">
        <v>2209</v>
      </c>
    </row>
    <row r="159" spans="1:8" ht="15" customHeight="1" x14ac:dyDescent="0.25">
      <c r="A159" s="3810"/>
      <c r="B159" s="4084" t="s">
        <v>3348</v>
      </c>
      <c r="C159" s="4447" t="s">
        <v>3348</v>
      </c>
      <c r="D159" s="4448"/>
      <c r="E159" s="4457"/>
      <c r="F159" s="4455" t="s">
        <v>2891</v>
      </c>
      <c r="G159" s="4455"/>
      <c r="H159" s="4454"/>
    </row>
    <row r="160" spans="1:8" ht="38.25" x14ac:dyDescent="0.25">
      <c r="A160" s="3810"/>
      <c r="B160" s="4085"/>
      <c r="C160" s="4449"/>
      <c r="D160" s="4450"/>
      <c r="E160" s="4458"/>
      <c r="F160" s="3399" t="s">
        <v>2892</v>
      </c>
      <c r="G160" s="3399" t="s">
        <v>2893</v>
      </c>
      <c r="H160" s="4454"/>
    </row>
    <row r="161" spans="1:8" x14ac:dyDescent="0.25">
      <c r="A161" s="1792" t="s">
        <v>2897</v>
      </c>
      <c r="B161" s="2035" t="s">
        <v>74</v>
      </c>
      <c r="C161" s="4079" t="s">
        <v>74</v>
      </c>
      <c r="D161" s="4081"/>
      <c r="E161" s="2035" t="s">
        <v>4</v>
      </c>
      <c r="F161" s="3400" t="s">
        <v>74</v>
      </c>
      <c r="G161" s="3400" t="s">
        <v>2895</v>
      </c>
      <c r="H161" s="3400" t="s">
        <v>4</v>
      </c>
    </row>
    <row r="162" spans="1:8" x14ac:dyDescent="0.25">
      <c r="A162" s="2402" t="s">
        <v>3</v>
      </c>
      <c r="B162" s="3490">
        <f>D33</f>
        <v>0</v>
      </c>
      <c r="C162" s="4443">
        <f>D34</f>
        <v>0</v>
      </c>
      <c r="D162" s="4444"/>
      <c r="E162" s="1324"/>
      <c r="F162" s="3396"/>
      <c r="G162" s="3397"/>
      <c r="H162" s="3401"/>
    </row>
    <row r="163" spans="1:8" x14ac:dyDescent="0.25">
      <c r="A163" s="2402" t="s">
        <v>174</v>
      </c>
      <c r="B163" s="3490">
        <f>E33</f>
        <v>0</v>
      </c>
      <c r="C163" s="4443">
        <f t="shared" ref="C163:C164" si="54">D35</f>
        <v>0</v>
      </c>
      <c r="D163" s="4444"/>
      <c r="E163" s="1324"/>
      <c r="F163" s="3396"/>
      <c r="G163" s="3397"/>
      <c r="H163" s="3401"/>
    </row>
    <row r="164" spans="1:8" x14ac:dyDescent="0.25">
      <c r="A164" s="2402" t="s">
        <v>2156</v>
      </c>
      <c r="B164" s="3490">
        <f>F33</f>
        <v>0</v>
      </c>
      <c r="C164" s="4443">
        <f t="shared" si="54"/>
        <v>0</v>
      </c>
      <c r="D164" s="4444"/>
      <c r="E164" s="1324"/>
      <c r="F164" s="3396"/>
      <c r="G164" s="3397"/>
      <c r="H164" s="3401"/>
    </row>
    <row r="165" spans="1:8" x14ac:dyDescent="0.25">
      <c r="A165" s="2402" t="s">
        <v>99</v>
      </c>
      <c r="B165" s="3490">
        <f>G33</f>
        <v>149.04031061994922</v>
      </c>
      <c r="C165" s="4443">
        <f>I62</f>
        <v>109.41</v>
      </c>
      <c r="D165" s="4444"/>
      <c r="E165" s="3486">
        <f>B165/C165-1</f>
        <v>0.36221835865048191</v>
      </c>
      <c r="F165" s="3396"/>
      <c r="G165" s="3397"/>
      <c r="H165" s="3401">
        <f t="shared" ref="H165" si="55">B165/E165-1</f>
        <v>410.46536905315673</v>
      </c>
    </row>
    <row r="167" spans="1:8" ht="13.9" customHeight="1" x14ac:dyDescent="0.25">
      <c r="A167" s="4451" t="s">
        <v>3357</v>
      </c>
      <c r="B167" s="2388" t="s">
        <v>2894</v>
      </c>
      <c r="C167" s="4445" t="s">
        <v>2695</v>
      </c>
      <c r="D167" s="4446"/>
      <c r="E167" s="4456" t="s">
        <v>2209</v>
      </c>
      <c r="F167" s="18" t="s">
        <v>2161</v>
      </c>
      <c r="G167" s="3398"/>
      <c r="H167" s="4454" t="s">
        <v>2209</v>
      </c>
    </row>
    <row r="168" spans="1:8" ht="15" customHeight="1" x14ac:dyDescent="0.25">
      <c r="A168" s="4452"/>
      <c r="B168" s="4084" t="s">
        <v>3348</v>
      </c>
      <c r="C168" s="4447" t="s">
        <v>3348</v>
      </c>
      <c r="D168" s="4448"/>
      <c r="E168" s="4457"/>
      <c r="F168" s="4455" t="s">
        <v>2891</v>
      </c>
      <c r="G168" s="4455"/>
      <c r="H168" s="4454"/>
    </row>
    <row r="169" spans="1:8" ht="38.25" x14ac:dyDescent="0.25">
      <c r="A169" s="4452"/>
      <c r="B169" s="4085"/>
      <c r="C169" s="4449"/>
      <c r="D169" s="4450"/>
      <c r="E169" s="4458"/>
      <c r="F169" s="3399" t="s">
        <v>2892</v>
      </c>
      <c r="G169" s="3399" t="s">
        <v>2893</v>
      </c>
      <c r="H169" s="4454"/>
    </row>
    <row r="170" spans="1:8" ht="24" customHeight="1" x14ac:dyDescent="0.25">
      <c r="A170" s="4453"/>
      <c r="B170" s="2035" t="s">
        <v>74</v>
      </c>
      <c r="C170" s="4079" t="s">
        <v>74</v>
      </c>
      <c r="D170" s="4081"/>
      <c r="E170" s="2035" t="s">
        <v>4</v>
      </c>
      <c r="F170" s="3400" t="s">
        <v>74</v>
      </c>
      <c r="G170" s="3400" t="s">
        <v>2895</v>
      </c>
      <c r="H170" s="3400" t="s">
        <v>4</v>
      </c>
    </row>
    <row r="171" spans="1:8" ht="16.899999999999999" customHeight="1" x14ac:dyDescent="0.25">
      <c r="A171" s="4441" t="s">
        <v>2903</v>
      </c>
      <c r="B171" s="4442"/>
      <c r="C171" s="4442"/>
      <c r="D171" s="4442"/>
      <c r="E171" s="3487"/>
      <c r="F171" s="3402"/>
      <c r="G171" s="3402"/>
      <c r="H171" s="3402"/>
    </row>
    <row r="172" spans="1:8" x14ac:dyDescent="0.25">
      <c r="A172" s="1869" t="s">
        <v>939</v>
      </c>
      <c r="B172" s="3482">
        <f>B135</f>
        <v>0</v>
      </c>
      <c r="C172" s="4437">
        <f t="shared" ref="C172:G172" si="56">C135</f>
        <v>0</v>
      </c>
      <c r="D172" s="4438"/>
      <c r="E172" s="883"/>
      <c r="F172" s="3397">
        <f t="shared" si="56"/>
        <v>0</v>
      </c>
      <c r="G172" s="3397">
        <f t="shared" si="56"/>
        <v>0</v>
      </c>
      <c r="H172" s="3397"/>
    </row>
    <row r="173" spans="1:8" x14ac:dyDescent="0.25">
      <c r="A173" s="1869" t="s">
        <v>2902</v>
      </c>
      <c r="B173" s="3482">
        <f>B144</f>
        <v>0</v>
      </c>
      <c r="C173" s="4437">
        <f t="shared" ref="C173" si="57">C136</f>
        <v>0</v>
      </c>
      <c r="D173" s="4438"/>
      <c r="E173" s="883"/>
      <c r="F173" s="3397">
        <f t="shared" ref="F173:G173" si="58">F144</f>
        <v>0</v>
      </c>
      <c r="G173" s="3397">
        <f t="shared" si="58"/>
        <v>0</v>
      </c>
      <c r="H173" s="3397"/>
    </row>
    <row r="174" spans="1:8" x14ac:dyDescent="0.25">
      <c r="A174" s="1869" t="s">
        <v>941</v>
      </c>
      <c r="B174" s="3482">
        <f>B162</f>
        <v>0</v>
      </c>
      <c r="C174" s="4437">
        <f t="shared" ref="C174" si="59">C137</f>
        <v>0</v>
      </c>
      <c r="D174" s="4438"/>
      <c r="E174" s="883"/>
      <c r="F174" s="3397">
        <f t="shared" ref="F174:G174" si="60">F162</f>
        <v>0</v>
      </c>
      <c r="G174" s="3397">
        <f t="shared" si="60"/>
        <v>0</v>
      </c>
      <c r="H174" s="3398"/>
    </row>
    <row r="175" spans="1:8" x14ac:dyDescent="0.25">
      <c r="A175" s="1869" t="s">
        <v>2766</v>
      </c>
      <c r="B175" s="3482">
        <f>B172*0.2+B173*0.2+B174*0.2</f>
        <v>0</v>
      </c>
      <c r="C175" s="4437">
        <f>C172*0.2+C173*0.2+C174*0.2</f>
        <v>0</v>
      </c>
      <c r="D175" s="4438"/>
      <c r="E175" s="883"/>
      <c r="F175" s="3397">
        <f t="shared" ref="F175:G175" si="61">F172*0.2+F173*0.2+F174*0.2</f>
        <v>0</v>
      </c>
      <c r="G175" s="3397">
        <f t="shared" si="61"/>
        <v>0</v>
      </c>
      <c r="H175" s="3398"/>
    </row>
    <row r="176" spans="1:8" s="1735" customFormat="1" ht="15" customHeight="1" x14ac:dyDescent="0.2">
      <c r="A176" s="2416" t="s">
        <v>2901</v>
      </c>
      <c r="B176" s="3483">
        <f>SUM(B172:B175)</f>
        <v>0</v>
      </c>
      <c r="C176" s="4439">
        <f t="shared" ref="C176" si="62">C139</f>
        <v>0</v>
      </c>
      <c r="D176" s="4440"/>
      <c r="E176" s="2417">
        <f t="shared" ref="E176:G176" si="63">SUM(E172:E175)</f>
        <v>0</v>
      </c>
      <c r="F176" s="3403">
        <f t="shared" si="63"/>
        <v>0</v>
      </c>
      <c r="G176" s="3403">
        <f t="shared" si="63"/>
        <v>0</v>
      </c>
      <c r="H176" s="3404">
        <v>0</v>
      </c>
    </row>
    <row r="177" spans="1:8" ht="15" customHeight="1" x14ac:dyDescent="0.25">
      <c r="A177" s="4441" t="s">
        <v>2904</v>
      </c>
      <c r="B177" s="4442"/>
      <c r="C177" s="4442"/>
      <c r="D177" s="4442"/>
      <c r="E177" s="3487"/>
      <c r="F177" s="3402"/>
      <c r="G177" s="3402"/>
      <c r="H177" s="3402"/>
    </row>
    <row r="178" spans="1:8" x14ac:dyDescent="0.25">
      <c r="A178" s="1869" t="s">
        <v>939</v>
      </c>
      <c r="B178" s="3482">
        <f>B172</f>
        <v>0</v>
      </c>
      <c r="C178" s="4437">
        <f t="shared" ref="C178:G178" si="64">C172</f>
        <v>0</v>
      </c>
      <c r="D178" s="4438"/>
      <c r="E178" s="883"/>
      <c r="F178" s="3397">
        <f t="shared" si="64"/>
        <v>0</v>
      </c>
      <c r="G178" s="3397">
        <f t="shared" si="64"/>
        <v>0</v>
      </c>
      <c r="H178" s="3397"/>
    </row>
    <row r="179" spans="1:8" x14ac:dyDescent="0.25">
      <c r="A179" s="1869" t="s">
        <v>2902</v>
      </c>
      <c r="B179" s="3482">
        <f>B153</f>
        <v>0</v>
      </c>
      <c r="C179" s="4437">
        <f t="shared" ref="C179" si="65">C173</f>
        <v>0</v>
      </c>
      <c r="D179" s="4438"/>
      <c r="E179" s="883"/>
      <c r="F179" s="3397">
        <f t="shared" ref="F179:G179" si="66">F153</f>
        <v>0</v>
      </c>
      <c r="G179" s="3397">
        <f t="shared" si="66"/>
        <v>0</v>
      </c>
      <c r="H179" s="3397"/>
    </row>
    <row r="180" spans="1:8" x14ac:dyDescent="0.25">
      <c r="A180" s="1869" t="s">
        <v>941</v>
      </c>
      <c r="B180" s="3482">
        <f>B174</f>
        <v>0</v>
      </c>
      <c r="C180" s="4437">
        <f t="shared" ref="C180" si="67">C174</f>
        <v>0</v>
      </c>
      <c r="D180" s="4438"/>
      <c r="E180" s="883"/>
      <c r="F180" s="3397">
        <f t="shared" ref="F180:G180" si="68">F174</f>
        <v>0</v>
      </c>
      <c r="G180" s="3397">
        <f t="shared" si="68"/>
        <v>0</v>
      </c>
      <c r="H180" s="3398"/>
    </row>
    <row r="181" spans="1:8" x14ac:dyDescent="0.25">
      <c r="A181" s="1869" t="s">
        <v>2766</v>
      </c>
      <c r="B181" s="3482">
        <f>B178*0.2+B179*0.2+B180*0.2</f>
        <v>0</v>
      </c>
      <c r="C181" s="4437">
        <f>C178*0.2+C179*0.2+C180*0.2</f>
        <v>0</v>
      </c>
      <c r="D181" s="4438"/>
      <c r="E181" s="883"/>
      <c r="F181" s="3397">
        <f t="shared" ref="F181" si="69">F178*0.2+F179*0.2+F180*0.2</f>
        <v>0</v>
      </c>
      <c r="G181" s="3397">
        <f t="shared" ref="G181" si="70">G178*0.2+G179*0.2+G180*0.2</f>
        <v>0</v>
      </c>
      <c r="H181" s="3398"/>
    </row>
    <row r="182" spans="1:8" ht="16.149999999999999" customHeight="1" x14ac:dyDescent="0.25">
      <c r="A182" s="2416" t="s">
        <v>2901</v>
      </c>
      <c r="B182" s="3483">
        <f>SUM(B178:B181)</f>
        <v>0</v>
      </c>
      <c r="C182" s="4439">
        <f t="shared" ref="C182" si="71">C176</f>
        <v>0</v>
      </c>
      <c r="D182" s="4440"/>
      <c r="E182" s="2417">
        <f t="shared" ref="E182" si="72">SUM(E178:E181)</f>
        <v>0</v>
      </c>
      <c r="F182" s="3403">
        <f t="shared" ref="F182" si="73">SUM(F178:F181)</f>
        <v>0</v>
      </c>
      <c r="G182" s="3403">
        <f t="shared" ref="G182" si="74">SUM(G178:G181)</f>
        <v>0</v>
      </c>
      <c r="H182" s="3404">
        <v>0</v>
      </c>
    </row>
    <row r="183" spans="1:8" x14ac:dyDescent="0.25">
      <c r="F183" s="3398"/>
      <c r="G183" s="3398"/>
      <c r="H183" s="3398"/>
    </row>
    <row r="184" spans="1:8" ht="15" customHeight="1" x14ac:dyDescent="0.25">
      <c r="A184" s="4441" t="s">
        <v>2905</v>
      </c>
      <c r="B184" s="4442"/>
      <c r="C184" s="4442"/>
      <c r="D184" s="4442"/>
      <c r="E184" s="3487"/>
      <c r="F184" s="3402"/>
      <c r="G184" s="3402"/>
      <c r="H184" s="3402"/>
    </row>
    <row r="185" spans="1:8" x14ac:dyDescent="0.25">
      <c r="A185" s="1869" t="s">
        <v>939</v>
      </c>
      <c r="B185" s="883">
        <v>0</v>
      </c>
      <c r="C185" s="4437">
        <f t="shared" ref="C185:G185" si="75">C137</f>
        <v>0</v>
      </c>
      <c r="D185" s="4438"/>
      <c r="E185" s="883"/>
      <c r="F185" s="3397">
        <f t="shared" si="75"/>
        <v>0</v>
      </c>
      <c r="G185" s="3397">
        <f t="shared" si="75"/>
        <v>0</v>
      </c>
      <c r="H185" s="3397"/>
    </row>
    <row r="186" spans="1:8" x14ac:dyDescent="0.25">
      <c r="A186" s="1869" t="s">
        <v>2902</v>
      </c>
      <c r="B186" s="883">
        <f>B146</f>
        <v>0</v>
      </c>
      <c r="C186" s="4437">
        <f>C137</f>
        <v>0</v>
      </c>
      <c r="D186" s="4438"/>
      <c r="E186" s="883"/>
      <c r="F186" s="3397">
        <f t="shared" ref="F186:G186" si="76">F146</f>
        <v>0</v>
      </c>
      <c r="G186" s="3397">
        <f t="shared" si="76"/>
        <v>0</v>
      </c>
      <c r="H186" s="3397"/>
    </row>
    <row r="187" spans="1:8" x14ac:dyDescent="0.25">
      <c r="A187" s="1869" t="s">
        <v>941</v>
      </c>
      <c r="B187" s="883">
        <v>0</v>
      </c>
      <c r="C187" s="4437">
        <f t="shared" ref="C187:G187" si="77">C164</f>
        <v>0</v>
      </c>
      <c r="D187" s="4438"/>
      <c r="E187" s="883"/>
      <c r="F187" s="3397">
        <f t="shared" si="77"/>
        <v>0</v>
      </c>
      <c r="G187" s="3397">
        <f t="shared" si="77"/>
        <v>0</v>
      </c>
      <c r="H187" s="3398"/>
    </row>
    <row r="188" spans="1:8" x14ac:dyDescent="0.25">
      <c r="A188" s="1869" t="s">
        <v>2766</v>
      </c>
      <c r="B188" s="883">
        <f>B185*0.2+B186*0.2+B187*0.2</f>
        <v>0</v>
      </c>
      <c r="C188" s="4437">
        <f t="shared" ref="C188:G188" si="78">C185*0.2+C186*0.2+C187*0.2</f>
        <v>0</v>
      </c>
      <c r="D188" s="4438"/>
      <c r="E188" s="883"/>
      <c r="F188" s="3397">
        <f t="shared" si="78"/>
        <v>0</v>
      </c>
      <c r="G188" s="3397">
        <f t="shared" si="78"/>
        <v>0</v>
      </c>
      <c r="H188" s="3398"/>
    </row>
    <row r="189" spans="1:8" ht="15.6" customHeight="1" x14ac:dyDescent="0.25">
      <c r="A189" s="2416" t="s">
        <v>2901</v>
      </c>
      <c r="B189" s="2417">
        <f>SUM(B185:B188)</f>
        <v>0</v>
      </c>
      <c r="C189" s="4439">
        <f t="shared" ref="C189" si="79">SUM(C185:C188)</f>
        <v>0</v>
      </c>
      <c r="D189" s="4440"/>
      <c r="E189" s="2417">
        <f t="shared" ref="E189" si="80">SUM(E185:E188)</f>
        <v>0</v>
      </c>
      <c r="F189" s="3403">
        <f t="shared" ref="F189" si="81">SUM(F185:F188)</f>
        <v>0</v>
      </c>
      <c r="G189" s="3403">
        <f t="shared" ref="G189" si="82">SUM(G185:G188)</f>
        <v>0</v>
      </c>
      <c r="H189" s="3404">
        <v>0</v>
      </c>
    </row>
    <row r="190" spans="1:8" ht="19.5" customHeight="1" x14ac:dyDescent="0.25">
      <c r="A190" s="4441" t="s">
        <v>2906</v>
      </c>
      <c r="B190" s="4442"/>
      <c r="C190" s="4442"/>
      <c r="D190" s="4442"/>
      <c r="E190" s="3487"/>
      <c r="F190" s="3402"/>
      <c r="G190" s="3402"/>
      <c r="H190" s="3402"/>
    </row>
    <row r="191" spans="1:8" x14ac:dyDescent="0.25">
      <c r="A191" s="1869" t="s">
        <v>939</v>
      </c>
      <c r="B191" s="3482">
        <f>B137</f>
        <v>0</v>
      </c>
      <c r="C191" s="4437">
        <f t="shared" ref="C191:G191" si="83">C137</f>
        <v>0</v>
      </c>
      <c r="D191" s="4438"/>
      <c r="E191" s="883"/>
      <c r="F191" s="3397">
        <f t="shared" si="83"/>
        <v>0</v>
      </c>
      <c r="G191" s="3397">
        <f t="shared" si="83"/>
        <v>0</v>
      </c>
      <c r="H191" s="3397"/>
    </row>
    <row r="192" spans="1:8" x14ac:dyDescent="0.25">
      <c r="A192" s="1869" t="s">
        <v>2902</v>
      </c>
      <c r="B192" s="3482">
        <f>B155</f>
        <v>0</v>
      </c>
      <c r="C192" s="4437">
        <f>C146</f>
        <v>0</v>
      </c>
      <c r="D192" s="4438"/>
      <c r="E192" s="883"/>
      <c r="F192" s="3397">
        <f t="shared" ref="F192:G192" si="84">F155</f>
        <v>0</v>
      </c>
      <c r="G192" s="3397">
        <f t="shared" si="84"/>
        <v>0</v>
      </c>
      <c r="H192" s="3397"/>
    </row>
    <row r="193" spans="1:8" x14ac:dyDescent="0.25">
      <c r="A193" s="1869" t="s">
        <v>941</v>
      </c>
      <c r="B193" s="3482">
        <f>B164</f>
        <v>0</v>
      </c>
      <c r="C193" s="4437">
        <f t="shared" ref="C193" si="85">C139</f>
        <v>0</v>
      </c>
      <c r="D193" s="4438"/>
      <c r="E193" s="883"/>
      <c r="F193" s="3397">
        <f t="shared" ref="F193:G193" si="86">F164</f>
        <v>0</v>
      </c>
      <c r="G193" s="3397">
        <f t="shared" si="86"/>
        <v>0</v>
      </c>
      <c r="H193" s="3398"/>
    </row>
    <row r="194" spans="1:8" x14ac:dyDescent="0.25">
      <c r="A194" s="1869" t="s">
        <v>2766</v>
      </c>
      <c r="B194" s="3482">
        <f>B191*0.2+B192*0.2+B193*0.2</f>
        <v>0</v>
      </c>
      <c r="C194" s="4437">
        <f t="shared" ref="C194" si="87">C191*0.2+C192*0.2+C193*0.2</f>
        <v>0</v>
      </c>
      <c r="D194" s="4438"/>
      <c r="E194" s="883"/>
      <c r="F194" s="3397">
        <f t="shared" ref="F194" si="88">F191*0.2+F192*0.2+F193*0.2</f>
        <v>0</v>
      </c>
      <c r="G194" s="3397">
        <f t="shared" ref="G194" si="89">G191*0.2+G192*0.2+G193*0.2</f>
        <v>0</v>
      </c>
      <c r="H194" s="3398"/>
    </row>
    <row r="195" spans="1:8" ht="16.899999999999999" customHeight="1" x14ac:dyDescent="0.25">
      <c r="A195" s="2416" t="s">
        <v>2901</v>
      </c>
      <c r="B195" s="3483">
        <f>SUM(B191:B194)</f>
        <v>0</v>
      </c>
      <c r="C195" s="4439">
        <f t="shared" ref="C195" si="90">SUM(C191:C194)</f>
        <v>0</v>
      </c>
      <c r="D195" s="4440"/>
      <c r="E195" s="2417">
        <f t="shared" ref="E195" si="91">SUM(E191:E194)</f>
        <v>0</v>
      </c>
      <c r="F195" s="3403">
        <f t="shared" ref="F195" si="92">SUM(F191:F194)</f>
        <v>0</v>
      </c>
      <c r="G195" s="3403">
        <f t="shared" ref="G195" si="93">SUM(G191:G194)</f>
        <v>0</v>
      </c>
      <c r="H195" s="3404"/>
    </row>
    <row r="196" spans="1:8" ht="16.5" customHeight="1" x14ac:dyDescent="0.25">
      <c r="F196" s="3398"/>
      <c r="G196" s="3398"/>
      <c r="H196" s="3398"/>
    </row>
    <row r="197" spans="1:8" ht="15" customHeight="1" x14ac:dyDescent="0.25">
      <c r="A197" s="4441" t="s">
        <v>2907</v>
      </c>
      <c r="B197" s="4442"/>
      <c r="C197" s="4442"/>
      <c r="D197" s="4442"/>
      <c r="E197" s="3487"/>
      <c r="F197" s="3402"/>
      <c r="G197" s="3402"/>
      <c r="H197" s="3402"/>
    </row>
    <row r="198" spans="1:8" x14ac:dyDescent="0.25">
      <c r="A198" s="1869" t="s">
        <v>939</v>
      </c>
      <c r="B198" s="3482">
        <f>B138</f>
        <v>5701.3545558892911</v>
      </c>
      <c r="C198" s="4437">
        <f t="shared" ref="C198:G198" si="94">C138</f>
        <v>7163.27</v>
      </c>
      <c r="D198" s="4438"/>
      <c r="E198" s="883"/>
      <c r="F198" s="3397">
        <f t="shared" si="94"/>
        <v>0</v>
      </c>
      <c r="G198" s="3397">
        <f t="shared" si="94"/>
        <v>0</v>
      </c>
      <c r="H198" s="3397"/>
    </row>
    <row r="199" spans="1:8" x14ac:dyDescent="0.25">
      <c r="A199" s="1869" t="s">
        <v>2902</v>
      </c>
      <c r="B199" s="3482">
        <f>B147</f>
        <v>3254.4828485840603</v>
      </c>
      <c r="C199" s="4437">
        <f t="shared" ref="C199:G199" si="95">C147</f>
        <v>2667.5</v>
      </c>
      <c r="D199" s="4438"/>
      <c r="E199" s="883"/>
      <c r="F199" s="3397">
        <f t="shared" si="95"/>
        <v>0</v>
      </c>
      <c r="G199" s="3397">
        <f t="shared" si="95"/>
        <v>0</v>
      </c>
      <c r="H199" s="3397"/>
    </row>
    <row r="200" spans="1:8" x14ac:dyDescent="0.25">
      <c r="A200" s="1869" t="s">
        <v>941</v>
      </c>
      <c r="B200" s="3482">
        <f>B165</f>
        <v>149.04031061994922</v>
      </c>
      <c r="C200" s="4437">
        <f t="shared" ref="C200:G200" si="96">C165</f>
        <v>109.41</v>
      </c>
      <c r="D200" s="4438"/>
      <c r="E200" s="883"/>
      <c r="F200" s="3397">
        <f t="shared" si="96"/>
        <v>0</v>
      </c>
      <c r="G200" s="3397">
        <f t="shared" si="96"/>
        <v>0</v>
      </c>
      <c r="H200" s="3398"/>
    </row>
    <row r="201" spans="1:8" x14ac:dyDescent="0.25">
      <c r="A201" s="1869" t="s">
        <v>2766</v>
      </c>
      <c r="B201" s="3482">
        <f>B198*0.2+B199*0.2+B200*0.2</f>
        <v>1820.9755430186603</v>
      </c>
      <c r="C201" s="4437">
        <f>C198*0.2+C199*0.2+C200*0.2-0.01</f>
        <v>1988.0260000000003</v>
      </c>
      <c r="D201" s="4438"/>
      <c r="E201" s="883"/>
      <c r="F201" s="3397">
        <f t="shared" ref="F201" si="97">F198*0.2+F199*0.2+F200*0.2</f>
        <v>0</v>
      </c>
      <c r="G201" s="3397">
        <f t="shared" ref="G201" si="98">G198*0.2+G199*0.2+G200*0.2</f>
        <v>0</v>
      </c>
      <c r="H201" s="3398"/>
    </row>
    <row r="202" spans="1:8" ht="15" customHeight="1" x14ac:dyDescent="0.25">
      <c r="A202" s="2416" t="s">
        <v>2901</v>
      </c>
      <c r="B202" s="3483">
        <f>SUM(B198:B201)</f>
        <v>10925.853258111962</v>
      </c>
      <c r="C202" s="4439">
        <f t="shared" ref="C202" si="99">SUM(C198:C201)</f>
        <v>11928.206</v>
      </c>
      <c r="D202" s="4440"/>
      <c r="E202" s="3488">
        <f>B202/C202-1</f>
        <v>-8.4032145478376119E-2</v>
      </c>
      <c r="F202" s="3403">
        <f t="shared" ref="F202" si="100">SUM(F198:F201)</f>
        <v>0</v>
      </c>
      <c r="G202" s="3403">
        <f t="shared" ref="G202" si="101">SUM(G198:G201)</f>
        <v>0</v>
      </c>
      <c r="H202" s="3404">
        <f t="shared" ref="H202" si="102">B202/E202-1</f>
        <v>-130020.9250645516</v>
      </c>
    </row>
    <row r="203" spans="1:8" ht="15" customHeight="1" x14ac:dyDescent="0.25">
      <c r="A203" s="4441" t="s">
        <v>2908</v>
      </c>
      <c r="B203" s="4442"/>
      <c r="C203" s="4442"/>
      <c r="D203" s="4442"/>
      <c r="E203" s="3487"/>
      <c r="F203" s="3402"/>
      <c r="G203" s="3402"/>
      <c r="H203" s="3402"/>
    </row>
    <row r="204" spans="1:8" x14ac:dyDescent="0.25">
      <c r="A204" s="1869" t="s">
        <v>939</v>
      </c>
      <c r="B204" s="3482">
        <f>B138</f>
        <v>5701.3545558892911</v>
      </c>
      <c r="C204" s="4437">
        <f t="shared" ref="C204:G204" si="103">C138</f>
        <v>7163.27</v>
      </c>
      <c r="D204" s="4438"/>
      <c r="E204" s="883"/>
      <c r="F204" s="3397">
        <f t="shared" si="103"/>
        <v>0</v>
      </c>
      <c r="G204" s="3397">
        <f t="shared" si="103"/>
        <v>0</v>
      </c>
      <c r="H204" s="3397"/>
    </row>
    <row r="205" spans="1:8" x14ac:dyDescent="0.25">
      <c r="A205" s="1869" t="s">
        <v>2902</v>
      </c>
      <c r="B205" s="3482">
        <f>B156</f>
        <v>2501.5399234224351</v>
      </c>
      <c r="C205" s="4437">
        <f t="shared" ref="C205:G205" si="104">C156</f>
        <v>1987.35</v>
      </c>
      <c r="D205" s="4438"/>
      <c r="E205" s="883"/>
      <c r="F205" s="3397">
        <f t="shared" si="104"/>
        <v>0</v>
      </c>
      <c r="G205" s="3397">
        <f t="shared" si="104"/>
        <v>0</v>
      </c>
      <c r="H205" s="3397"/>
    </row>
    <row r="206" spans="1:8" x14ac:dyDescent="0.25">
      <c r="A206" s="1869" t="s">
        <v>941</v>
      </c>
      <c r="B206" s="3482">
        <f>B165</f>
        <v>149.04031061994922</v>
      </c>
      <c r="C206" s="4437">
        <f t="shared" ref="C206:G206" si="105">C165</f>
        <v>109.41</v>
      </c>
      <c r="D206" s="4438"/>
      <c r="E206" s="883"/>
      <c r="F206" s="3397">
        <f t="shared" si="105"/>
        <v>0</v>
      </c>
      <c r="G206" s="3397">
        <f t="shared" si="105"/>
        <v>0</v>
      </c>
      <c r="H206" s="3398"/>
    </row>
    <row r="207" spans="1:8" x14ac:dyDescent="0.25">
      <c r="A207" s="1869" t="s">
        <v>2766</v>
      </c>
      <c r="B207" s="3482">
        <f>B204*0.2+B205*0.2+B206*0.2</f>
        <v>1670.3869579863353</v>
      </c>
      <c r="C207" s="4437">
        <f t="shared" ref="C207:G207" si="106">C204*0.2+C205*0.2+C206*0.2</f>
        <v>1852.0060000000003</v>
      </c>
      <c r="D207" s="4438"/>
      <c r="E207" s="883"/>
      <c r="F207" s="3397">
        <f t="shared" si="106"/>
        <v>0</v>
      </c>
      <c r="G207" s="3397">
        <f t="shared" si="106"/>
        <v>0</v>
      </c>
      <c r="H207" s="3398"/>
    </row>
    <row r="208" spans="1:8" ht="16.899999999999999" customHeight="1" x14ac:dyDescent="0.25">
      <c r="A208" s="2416" t="s">
        <v>2901</v>
      </c>
      <c r="B208" s="3483">
        <f>SUM(B204:B207)</f>
        <v>10022.321747918011</v>
      </c>
      <c r="C208" s="4439">
        <f t="shared" ref="C208" si="107">SUM(C204:C207)</f>
        <v>11112.036</v>
      </c>
      <c r="D208" s="4440"/>
      <c r="E208" s="3488">
        <f>B208/C208-1</f>
        <v>-9.8066119663578255E-2</v>
      </c>
      <c r="F208" s="3403">
        <f t="shared" ref="F208" si="108">SUM(F204:F207)</f>
        <v>0</v>
      </c>
      <c r="G208" s="3403">
        <f t="shared" ref="G208" si="109">SUM(G204:G207)</f>
        <v>0</v>
      </c>
      <c r="H208" s="3404">
        <f t="shared" ref="H208" si="110">B208/E208-1</f>
        <v>-102200.63614651207</v>
      </c>
    </row>
    <row r="209" spans="1:8" x14ac:dyDescent="0.25">
      <c r="F209" s="3398"/>
      <c r="G209" s="3398"/>
      <c r="H209" s="3398"/>
    </row>
    <row r="210" spans="1:8" ht="15" customHeight="1" x14ac:dyDescent="0.25">
      <c r="A210" s="4441" t="s">
        <v>2909</v>
      </c>
      <c r="B210" s="4442"/>
      <c r="C210" s="4442"/>
      <c r="D210" s="4442"/>
      <c r="E210" s="3487"/>
      <c r="F210" s="3402"/>
      <c r="G210" s="3402"/>
      <c r="H210" s="3402"/>
    </row>
    <row r="211" spans="1:8" x14ac:dyDescent="0.25">
      <c r="A211" s="1869" t="s">
        <v>939</v>
      </c>
      <c r="B211" s="3482">
        <f>B136</f>
        <v>0</v>
      </c>
      <c r="C211" s="4437">
        <f t="shared" ref="C211:G211" si="111">C136</f>
        <v>0</v>
      </c>
      <c r="D211" s="4438"/>
      <c r="E211" s="883">
        <f t="shared" si="111"/>
        <v>0</v>
      </c>
      <c r="F211" s="3397">
        <f t="shared" si="111"/>
        <v>0</v>
      </c>
      <c r="G211" s="3397">
        <f t="shared" si="111"/>
        <v>0</v>
      </c>
      <c r="H211" s="3397"/>
    </row>
    <row r="212" spans="1:8" x14ac:dyDescent="0.25">
      <c r="A212" s="1869" t="s">
        <v>2902</v>
      </c>
      <c r="B212" s="3482">
        <f>B154</f>
        <v>0</v>
      </c>
      <c r="C212" s="4437">
        <f t="shared" ref="C212:G212" si="112">C154</f>
        <v>0</v>
      </c>
      <c r="D212" s="4438"/>
      <c r="E212" s="883">
        <f t="shared" si="112"/>
        <v>0</v>
      </c>
      <c r="F212" s="3397">
        <f t="shared" si="112"/>
        <v>0</v>
      </c>
      <c r="G212" s="3397">
        <f t="shared" si="112"/>
        <v>0</v>
      </c>
      <c r="H212" s="3397"/>
    </row>
    <row r="213" spans="1:8" x14ac:dyDescent="0.25">
      <c r="A213" s="1869" t="s">
        <v>941</v>
      </c>
      <c r="B213" s="3482">
        <f>B163</f>
        <v>0</v>
      </c>
      <c r="C213" s="4437">
        <f t="shared" ref="C213:G213" si="113">C163</f>
        <v>0</v>
      </c>
      <c r="D213" s="4438"/>
      <c r="E213" s="883">
        <f t="shared" si="113"/>
        <v>0</v>
      </c>
      <c r="F213" s="3397">
        <f t="shared" si="113"/>
        <v>0</v>
      </c>
      <c r="G213" s="3397">
        <f t="shared" si="113"/>
        <v>0</v>
      </c>
      <c r="H213" s="3398"/>
    </row>
    <row r="214" spans="1:8" x14ac:dyDescent="0.25">
      <c r="A214" s="1869" t="s">
        <v>2766</v>
      </c>
      <c r="B214" s="3482">
        <f>B211*0.2+B212*0.2+B213*0.2</f>
        <v>0</v>
      </c>
      <c r="C214" s="4437">
        <f t="shared" ref="C214" si="114">C211*0.2+C212*0.2+C213*0.2</f>
        <v>0</v>
      </c>
      <c r="D214" s="4438"/>
      <c r="E214" s="883">
        <f t="shared" ref="E214" si="115">E211*0.2+E212*0.2+E213*0.2</f>
        <v>0</v>
      </c>
      <c r="F214" s="3397">
        <f t="shared" ref="F214" si="116">F211*0.2+F212*0.2+F213*0.2</f>
        <v>0</v>
      </c>
      <c r="G214" s="3397">
        <f t="shared" ref="G214" si="117">G211*0.2+G212*0.2+G213*0.2</f>
        <v>0</v>
      </c>
      <c r="H214" s="3398"/>
    </row>
    <row r="215" spans="1:8" ht="16.149999999999999" customHeight="1" x14ac:dyDescent="0.25">
      <c r="A215" s="2416" t="s">
        <v>2901</v>
      </c>
      <c r="B215" s="3483">
        <f>SUM(B211:B214)</f>
        <v>0</v>
      </c>
      <c r="C215" s="4439">
        <f t="shared" ref="C215" si="118">SUM(C211:C214)</f>
        <v>0</v>
      </c>
      <c r="D215" s="4440"/>
      <c r="E215" s="2417">
        <f t="shared" ref="E215" si="119">SUM(E211:E214)</f>
        <v>0</v>
      </c>
      <c r="F215" s="3403">
        <f t="shared" ref="F215" si="120">SUM(F211:F214)</f>
        <v>0</v>
      </c>
      <c r="G215" s="3403">
        <f t="shared" ref="G215" si="121">SUM(G211:G214)</f>
        <v>0</v>
      </c>
      <c r="H215" s="3404"/>
    </row>
    <row r="217" spans="1:8" ht="39" customHeight="1" x14ac:dyDescent="0.25">
      <c r="A217" s="2418" t="s">
        <v>3356</v>
      </c>
    </row>
  </sheetData>
  <mergeCells count="116">
    <mergeCell ref="A18:E18"/>
    <mergeCell ref="A76:A77"/>
    <mergeCell ref="B76:B77"/>
    <mergeCell ref="C76:C77"/>
    <mergeCell ref="D76:G76"/>
    <mergeCell ref="A105:A106"/>
    <mergeCell ref="B105:B106"/>
    <mergeCell ref="C105:C106"/>
    <mergeCell ref="D105:G105"/>
    <mergeCell ref="B19:B20"/>
    <mergeCell ref="A19:A20"/>
    <mergeCell ref="C19:C20"/>
    <mergeCell ref="D19:G19"/>
    <mergeCell ref="A48:A49"/>
    <mergeCell ref="B48:B49"/>
    <mergeCell ref="C48:C49"/>
    <mergeCell ref="D48:G48"/>
    <mergeCell ref="A75:E75"/>
    <mergeCell ref="H131:H133"/>
    <mergeCell ref="A140:A142"/>
    <mergeCell ref="H140:H142"/>
    <mergeCell ref="F141:G141"/>
    <mergeCell ref="F132:G132"/>
    <mergeCell ref="A131:A133"/>
    <mergeCell ref="B141:B142"/>
    <mergeCell ref="B132:B133"/>
    <mergeCell ref="E131:E133"/>
    <mergeCell ref="C131:D131"/>
    <mergeCell ref="C135:D135"/>
    <mergeCell ref="C136:D136"/>
    <mergeCell ref="C134:D134"/>
    <mergeCell ref="C132:D133"/>
    <mergeCell ref="E140:E142"/>
    <mergeCell ref="H158:H160"/>
    <mergeCell ref="B159:B160"/>
    <mergeCell ref="F159:G159"/>
    <mergeCell ref="H167:H169"/>
    <mergeCell ref="B168:B169"/>
    <mergeCell ref="F168:G168"/>
    <mergeCell ref="E158:E160"/>
    <mergeCell ref="E167:E169"/>
    <mergeCell ref="A149:A151"/>
    <mergeCell ref="H149:H151"/>
    <mergeCell ref="B150:B151"/>
    <mergeCell ref="E150:E151"/>
    <mergeCell ref="F150:G150"/>
    <mergeCell ref="C150:D151"/>
    <mergeCell ref="C149:D149"/>
    <mergeCell ref="C143:D143"/>
    <mergeCell ref="C144:D144"/>
    <mergeCell ref="C145:D145"/>
    <mergeCell ref="C146:D146"/>
    <mergeCell ref="C137:D137"/>
    <mergeCell ref="C138:D138"/>
    <mergeCell ref="C141:D142"/>
    <mergeCell ref="C140:D140"/>
    <mergeCell ref="A190:D190"/>
    <mergeCell ref="C178:D178"/>
    <mergeCell ref="C179:D179"/>
    <mergeCell ref="A167:A170"/>
    <mergeCell ref="A158:A160"/>
    <mergeCell ref="C172:D172"/>
    <mergeCell ref="C173:D173"/>
    <mergeCell ref="C174:D174"/>
    <mergeCell ref="C175:D175"/>
    <mergeCell ref="C176:D176"/>
    <mergeCell ref="A171:D171"/>
    <mergeCell ref="A177:D177"/>
    <mergeCell ref="C164:D164"/>
    <mergeCell ref="C165:D165"/>
    <mergeCell ref="C168:D169"/>
    <mergeCell ref="C167:D167"/>
    <mergeCell ref="C147:D147"/>
    <mergeCell ref="C188:D188"/>
    <mergeCell ref="C180:D180"/>
    <mergeCell ref="C181:D181"/>
    <mergeCell ref="C182:D182"/>
    <mergeCell ref="C185:D185"/>
    <mergeCell ref="C186:D186"/>
    <mergeCell ref="A184:D184"/>
    <mergeCell ref="C187:D187"/>
    <mergeCell ref="C170:D170"/>
    <mergeCell ref="C158:D158"/>
    <mergeCell ref="C159:D160"/>
    <mergeCell ref="C161:D161"/>
    <mergeCell ref="C162:D162"/>
    <mergeCell ref="C163:D163"/>
    <mergeCell ref="C153:D153"/>
    <mergeCell ref="C154:D154"/>
    <mergeCell ref="C155:D155"/>
    <mergeCell ref="C156:D156"/>
    <mergeCell ref="C152:D152"/>
    <mergeCell ref="C195:D195"/>
    <mergeCell ref="C198:D198"/>
    <mergeCell ref="C199:D199"/>
    <mergeCell ref="C200:D200"/>
    <mergeCell ref="C201:D201"/>
    <mergeCell ref="C189:D189"/>
    <mergeCell ref="C191:D191"/>
    <mergeCell ref="C192:D192"/>
    <mergeCell ref="C193:D193"/>
    <mergeCell ref="C194:D194"/>
    <mergeCell ref="C212:D212"/>
    <mergeCell ref="C213:D213"/>
    <mergeCell ref="C214:D214"/>
    <mergeCell ref="C215:D215"/>
    <mergeCell ref="C208:D208"/>
    <mergeCell ref="A197:D197"/>
    <mergeCell ref="A203:D203"/>
    <mergeCell ref="A210:D210"/>
    <mergeCell ref="C211:D211"/>
    <mergeCell ref="C202:D202"/>
    <mergeCell ref="C204:D204"/>
    <mergeCell ref="C205:D205"/>
    <mergeCell ref="C206:D206"/>
    <mergeCell ref="C207:D207"/>
  </mergeCells>
  <pageMargins left="0.78740157480314965" right="0.35433070866141736" top="0.78740157480314965" bottom="0.31496062992125984" header="0.31496062992125984" footer="0.31496062992125984"/>
  <pageSetup paperSize="9" scale="8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70C0"/>
  </sheetPr>
  <dimension ref="A1:K30"/>
  <sheetViews>
    <sheetView topLeftCell="A13" workbookViewId="0">
      <selection activeCell="B13" sqref="B13"/>
    </sheetView>
  </sheetViews>
  <sheetFormatPr defaultColWidth="8.85546875" defaultRowHeight="15" x14ac:dyDescent="0.25"/>
  <cols>
    <col min="1" max="1" width="18.85546875" style="18" customWidth="1"/>
    <col min="2" max="2" width="9.140625" style="18" bestFit="1" customWidth="1"/>
    <col min="3" max="5" width="8.85546875" style="18"/>
    <col min="6" max="7" width="11.7109375" style="18" customWidth="1"/>
    <col min="8" max="16384" width="8.85546875" style="18"/>
  </cols>
  <sheetData>
    <row r="1" spans="1:11" ht="18.75" x14ac:dyDescent="0.3">
      <c r="A1" s="4476" t="s">
        <v>2769</v>
      </c>
      <c r="B1" s="4476"/>
      <c r="C1" s="4476"/>
      <c r="D1" s="4476"/>
      <c r="E1" s="4476"/>
      <c r="F1" s="4476"/>
      <c r="G1" s="4476"/>
    </row>
    <row r="2" spans="1:11" ht="60" x14ac:dyDescent="0.25">
      <c r="A2" s="1825" t="s">
        <v>2771</v>
      </c>
      <c r="B2" s="17" t="s">
        <v>885</v>
      </c>
      <c r="C2" s="17" t="s">
        <v>2329</v>
      </c>
      <c r="D2" s="17" t="s">
        <v>2328</v>
      </c>
      <c r="E2" s="17" t="s">
        <v>926</v>
      </c>
      <c r="F2" s="17" t="s">
        <v>2768</v>
      </c>
      <c r="G2" s="17" t="s">
        <v>2770</v>
      </c>
    </row>
    <row r="3" spans="1:11" x14ac:dyDescent="0.25">
      <c r="A3" s="20" t="s">
        <v>2390</v>
      </c>
      <c r="B3" s="883">
        <v>824.92</v>
      </c>
      <c r="C3" s="883">
        <v>478.39</v>
      </c>
      <c r="D3" s="883">
        <v>276.61</v>
      </c>
      <c r="E3" s="883">
        <v>5.68</v>
      </c>
      <c r="F3" s="883">
        <f>B3+C3+E3</f>
        <v>1308.99</v>
      </c>
      <c r="G3" s="883">
        <f>B3+D3+E3</f>
        <v>1107.21</v>
      </c>
    </row>
    <row r="4" spans="1:11" x14ac:dyDescent="0.25">
      <c r="A4" s="20" t="s">
        <v>2714</v>
      </c>
      <c r="B4" s="883">
        <v>0</v>
      </c>
      <c r="C4" s="883">
        <v>0</v>
      </c>
      <c r="D4" s="883">
        <v>0</v>
      </c>
      <c r="E4" s="883">
        <v>0</v>
      </c>
      <c r="F4" s="883">
        <f t="shared" ref="F4:F7" si="0">B4+C4+E4</f>
        <v>0</v>
      </c>
      <c r="G4" s="883">
        <f t="shared" ref="G4:G7" si="1">B4+D4+E4</f>
        <v>0</v>
      </c>
    </row>
    <row r="5" spans="1:11" x14ac:dyDescent="0.25">
      <c r="A5" s="20" t="s">
        <v>2205</v>
      </c>
      <c r="B5" s="883">
        <v>32.68</v>
      </c>
      <c r="C5" s="883">
        <v>13.73</v>
      </c>
      <c r="D5" s="883">
        <v>7.94</v>
      </c>
      <c r="E5" s="883">
        <v>0.16</v>
      </c>
      <c r="F5" s="883">
        <f t="shared" si="0"/>
        <v>46.569999999999993</v>
      </c>
      <c r="G5" s="883">
        <f t="shared" si="1"/>
        <v>40.779999999999994</v>
      </c>
    </row>
    <row r="6" spans="1:11" x14ac:dyDescent="0.25">
      <c r="A6" s="20" t="s">
        <v>1002</v>
      </c>
      <c r="B6" s="883">
        <v>857.6</v>
      </c>
      <c r="C6" s="883">
        <v>492.11</v>
      </c>
      <c r="D6" s="883">
        <v>284.54000000000002</v>
      </c>
      <c r="E6" s="883">
        <v>5.84</v>
      </c>
      <c r="F6" s="883">
        <f t="shared" si="0"/>
        <v>1355.55</v>
      </c>
      <c r="G6" s="883">
        <f t="shared" si="1"/>
        <v>1147.98</v>
      </c>
    </row>
    <row r="7" spans="1:11" x14ac:dyDescent="0.25">
      <c r="A7" s="20" t="s">
        <v>2766</v>
      </c>
      <c r="B7" s="883">
        <f>B6*0.2</f>
        <v>171.52</v>
      </c>
      <c r="C7" s="883">
        <f>C6*0.2</f>
        <v>98.422000000000011</v>
      </c>
      <c r="D7" s="883">
        <f>D6*0.2</f>
        <v>56.908000000000008</v>
      </c>
      <c r="E7" s="883">
        <f>E6*0.2</f>
        <v>1.1679999999999999</v>
      </c>
      <c r="F7" s="883">
        <f t="shared" si="0"/>
        <v>271.11</v>
      </c>
      <c r="G7" s="883">
        <f t="shared" si="1"/>
        <v>229.59600000000003</v>
      </c>
    </row>
    <row r="8" spans="1:11" s="23" customFormat="1" ht="14.25" x14ac:dyDescent="0.2">
      <c r="A8" s="1322" t="s">
        <v>2767</v>
      </c>
      <c r="B8" s="1473">
        <f>B6+B7</f>
        <v>1029.1200000000001</v>
      </c>
      <c r="C8" s="1473">
        <f t="shared" ref="C8" si="2">C6+C7</f>
        <v>590.53200000000004</v>
      </c>
      <c r="D8" s="1473">
        <f t="shared" ref="D8" si="3">D6+D7</f>
        <v>341.44800000000004</v>
      </c>
      <c r="E8" s="1473">
        <f t="shared" ref="E8" si="4">E6+E7</f>
        <v>7.008</v>
      </c>
      <c r="F8" s="1473">
        <f t="shared" ref="F8" si="5">F6+F7</f>
        <v>1626.6599999999999</v>
      </c>
      <c r="G8" s="1473">
        <f t="shared" ref="G8" si="6">G6+G7</f>
        <v>1377.576</v>
      </c>
    </row>
    <row r="9" spans="1:11" ht="29.45" customHeight="1" x14ac:dyDescent="0.3">
      <c r="A9" s="4476" t="s">
        <v>2772</v>
      </c>
      <c r="B9" s="4476"/>
      <c r="C9" s="4476"/>
      <c r="D9" s="4476"/>
      <c r="E9" s="4476"/>
      <c r="F9" s="4476"/>
      <c r="G9" s="4476"/>
    </row>
    <row r="10" spans="1:11" ht="60" x14ac:dyDescent="0.25">
      <c r="A10" s="1825" t="s">
        <v>2771</v>
      </c>
      <c r="B10" s="17" t="s">
        <v>885</v>
      </c>
      <c r="C10" s="17" t="s">
        <v>2329</v>
      </c>
      <c r="D10" s="17" t="s">
        <v>2328</v>
      </c>
      <c r="E10" s="17" t="s">
        <v>926</v>
      </c>
      <c r="F10" s="17" t="s">
        <v>2768</v>
      </c>
      <c r="G10" s="17" t="s">
        <v>2770</v>
      </c>
      <c r="I10" s="17" t="s">
        <v>926</v>
      </c>
      <c r="J10" s="17" t="s">
        <v>2768</v>
      </c>
      <c r="K10" s="17" t="s">
        <v>2770</v>
      </c>
    </row>
    <row r="11" spans="1:11" x14ac:dyDescent="0.25">
      <c r="A11" s="20" t="s">
        <v>2390</v>
      </c>
      <c r="B11" s="883">
        <f>'Д 5 Т на ТЕ з ЦТП'!D10</f>
        <v>5311.2931844251116</v>
      </c>
      <c r="C11" s="883">
        <f>'Д 5 Т на ТЕ з ЦТП'!D14</f>
        <v>3031.8255781264534</v>
      </c>
      <c r="D11" s="883">
        <f>'Д 5.1 Т на ТЕ без ЦТП'!D17</f>
        <v>2330.3956657311401</v>
      </c>
      <c r="E11" s="883">
        <f>'Д 5.1 Т на ТЕ без ЦТП'!D21</f>
        <v>138.84363412948019</v>
      </c>
      <c r="F11" s="883">
        <f>B11+C11+E11</f>
        <v>8481.962396681045</v>
      </c>
      <c r="G11" s="883">
        <f>B11+D11+E11</f>
        <v>7780.5324842857317</v>
      </c>
      <c r="I11" s="883">
        <f>8.34</f>
        <v>8.34</v>
      </c>
      <c r="J11" s="883">
        <f>B11+C11+I11</f>
        <v>8351.4587625515651</v>
      </c>
      <c r="K11" s="883">
        <f>B11+D11+I11</f>
        <v>7650.0288501562518</v>
      </c>
    </row>
    <row r="12" spans="1:11" x14ac:dyDescent="0.25">
      <c r="A12" s="20" t="s">
        <v>2714</v>
      </c>
      <c r="B12" s="883">
        <f>'Д 5 Т на ТЕ з ЦТП'!D11</f>
        <v>0</v>
      </c>
      <c r="C12" s="883">
        <f>'Д 5 Т на ТЕ з ЦТП'!D15</f>
        <v>0</v>
      </c>
      <c r="D12" s="883">
        <f>'Д 5.1 Т на ТЕ без ЦТП'!D18</f>
        <v>0</v>
      </c>
      <c r="E12" s="883">
        <f>'Д 5.1 Т на ТЕ без ЦТП'!D22</f>
        <v>0</v>
      </c>
      <c r="F12" s="883">
        <f t="shared" ref="F12:F13" si="7">B12+C12+E12</f>
        <v>0</v>
      </c>
      <c r="G12" s="883">
        <f t="shared" ref="G12:G13" si="8">B12+D12+E12</f>
        <v>0</v>
      </c>
      <c r="I12" s="883">
        <v>0</v>
      </c>
      <c r="J12" s="883">
        <f t="shared" ref="J12:J15" si="9">B12+C12+I12</f>
        <v>0</v>
      </c>
      <c r="K12" s="883">
        <f t="shared" ref="K12:K15" si="10">B12+D12+I12</f>
        <v>0</v>
      </c>
    </row>
    <row r="13" spans="1:11" x14ac:dyDescent="0.25">
      <c r="A13" s="20" t="s">
        <v>2205</v>
      </c>
      <c r="B13" s="883">
        <f>'Д 5 Т на ТЕ з ЦТП'!D12</f>
        <v>390.0613714641795</v>
      </c>
      <c r="C13" s="883">
        <f>'Д 5 Т на ТЕ з ЦТП'!D16</f>
        <v>222.65727045760678</v>
      </c>
      <c r="D13" s="883">
        <f>'Д 5.1 Т на ТЕ без ЦТП'!D19</f>
        <v>171.14425769129497</v>
      </c>
      <c r="E13" s="883">
        <f>'Д 5.1 Т на ТЕ без ЦТП'!D23</f>
        <v>10.196676490469027</v>
      </c>
      <c r="F13" s="883">
        <f t="shared" si="7"/>
        <v>622.91531841225526</v>
      </c>
      <c r="G13" s="883">
        <f t="shared" si="8"/>
        <v>571.40230564594356</v>
      </c>
      <c r="I13" s="883">
        <v>0.48</v>
      </c>
      <c r="J13" s="883">
        <f t="shared" si="9"/>
        <v>613.19864192178625</v>
      </c>
      <c r="K13" s="883">
        <f t="shared" si="10"/>
        <v>561.68562915547454</v>
      </c>
    </row>
    <row r="14" spans="1:11" x14ac:dyDescent="0.25">
      <c r="A14" s="20" t="s">
        <v>1002</v>
      </c>
      <c r="B14" s="883">
        <f>SUM(B11:B13)</f>
        <v>5701.3545558892911</v>
      </c>
      <c r="C14" s="883">
        <f t="shared" ref="C14:G14" si="11">SUM(C11:C13)</f>
        <v>3254.4828485840603</v>
      </c>
      <c r="D14" s="883">
        <f t="shared" si="11"/>
        <v>2501.5399234224351</v>
      </c>
      <c r="E14" s="883">
        <f t="shared" si="11"/>
        <v>149.04031061994922</v>
      </c>
      <c r="F14" s="883">
        <f t="shared" si="11"/>
        <v>9104.8777150933001</v>
      </c>
      <c r="G14" s="883">
        <f t="shared" si="11"/>
        <v>8351.9347899316745</v>
      </c>
      <c r="I14" s="883">
        <v>8.82</v>
      </c>
      <c r="J14" s="883">
        <f t="shared" si="9"/>
        <v>8964.6574044733516</v>
      </c>
      <c r="K14" s="883">
        <f t="shared" si="10"/>
        <v>8211.7144793117259</v>
      </c>
    </row>
    <row r="15" spans="1:11" x14ac:dyDescent="0.25">
      <c r="A15" s="20" t="s">
        <v>2766</v>
      </c>
      <c r="B15" s="883">
        <f>B14*0.2</f>
        <v>1140.2709111778584</v>
      </c>
      <c r="C15" s="883">
        <f t="shared" ref="C15:G15" si="12">C14*0.2</f>
        <v>650.89656971681211</v>
      </c>
      <c r="D15" s="883">
        <f t="shared" si="12"/>
        <v>500.30798468448705</v>
      </c>
      <c r="E15" s="883">
        <f t="shared" si="12"/>
        <v>29.808062123989846</v>
      </c>
      <c r="F15" s="883">
        <f t="shared" si="12"/>
        <v>1820.9755430186601</v>
      </c>
      <c r="G15" s="883">
        <f t="shared" si="12"/>
        <v>1670.3869579863349</v>
      </c>
      <c r="I15" s="883">
        <f>I14*0.2</f>
        <v>1.7640000000000002</v>
      </c>
      <c r="J15" s="883">
        <f t="shared" si="9"/>
        <v>1792.9314808946704</v>
      </c>
      <c r="K15" s="883">
        <f t="shared" si="10"/>
        <v>1642.3428958623454</v>
      </c>
    </row>
    <row r="16" spans="1:11" s="23" customFormat="1" ht="14.25" x14ac:dyDescent="0.2">
      <c r="A16" s="1322" t="s">
        <v>2767</v>
      </c>
      <c r="B16" s="1473">
        <f>B14+B15</f>
        <v>6841.6254670671497</v>
      </c>
      <c r="C16" s="1473">
        <f t="shared" ref="C16:G16" si="13">C14+C15</f>
        <v>3905.3794183008722</v>
      </c>
      <c r="D16" s="1473">
        <f t="shared" si="13"/>
        <v>3001.8479081069222</v>
      </c>
      <c r="E16" s="1473">
        <f t="shared" si="13"/>
        <v>178.84837274393908</v>
      </c>
      <c r="F16" s="1473">
        <f t="shared" si="13"/>
        <v>10925.85325811196</v>
      </c>
      <c r="G16" s="1473">
        <f t="shared" si="13"/>
        <v>10022.321747918009</v>
      </c>
      <c r="I16" s="1473">
        <f t="shared" ref="I16:K16" si="14">I14+I15</f>
        <v>10.584</v>
      </c>
      <c r="J16" s="1473">
        <f t="shared" si="14"/>
        <v>10757.588885368023</v>
      </c>
      <c r="K16" s="1473">
        <f t="shared" si="14"/>
        <v>9854.0573751740703</v>
      </c>
    </row>
    <row r="18" spans="1:11" x14ac:dyDescent="0.25">
      <c r="A18" s="20" t="s">
        <v>2209</v>
      </c>
      <c r="B18" s="2109">
        <f>B16/B8-1</f>
        <v>5.6480346966992663</v>
      </c>
      <c r="C18" s="2109">
        <f t="shared" ref="C18:G18" si="15">C16/C8-1</f>
        <v>5.613323949084676</v>
      </c>
      <c r="D18" s="2109">
        <f t="shared" si="15"/>
        <v>7.7915228910607812</v>
      </c>
      <c r="E18" s="2109">
        <f t="shared" si="15"/>
        <v>24.520601133552951</v>
      </c>
      <c r="F18" s="2111">
        <f t="shared" si="15"/>
        <v>5.7167405961368454</v>
      </c>
      <c r="G18" s="2111">
        <f t="shared" si="15"/>
        <v>6.2753312687779177</v>
      </c>
      <c r="I18" s="2110">
        <f>I16/E8-1</f>
        <v>0.51027397260273966</v>
      </c>
      <c r="J18" s="1303">
        <f t="shared" ref="J18:K18" si="16">J16/F8-1</f>
        <v>5.6132989594432905</v>
      </c>
      <c r="K18" s="1303">
        <f t="shared" si="16"/>
        <v>6.1531860130940652</v>
      </c>
    </row>
    <row r="19" spans="1:11" x14ac:dyDescent="0.25">
      <c r="J19" s="2057">
        <f>F18-J18</f>
        <v>0.10344163669355488</v>
      </c>
      <c r="K19" s="2057">
        <f>G18-K18</f>
        <v>0.12214525568385248</v>
      </c>
    </row>
    <row r="20" spans="1:11" ht="37.9" customHeight="1" x14ac:dyDescent="0.3">
      <c r="A20" s="4477" t="s">
        <v>2773</v>
      </c>
      <c r="B20" s="4477"/>
      <c r="C20" s="4477"/>
      <c r="D20" s="4477"/>
      <c r="E20" s="4477"/>
      <c r="F20" s="4477"/>
      <c r="G20" s="4477"/>
    </row>
    <row r="21" spans="1:11" ht="60" x14ac:dyDescent="0.25">
      <c r="A21" s="1825" t="s">
        <v>2771</v>
      </c>
      <c r="B21" s="17" t="s">
        <v>885</v>
      </c>
      <c r="C21" s="17" t="s">
        <v>2329</v>
      </c>
      <c r="D21" s="17" t="s">
        <v>2328</v>
      </c>
      <c r="E21" s="17" t="s">
        <v>926</v>
      </c>
      <c r="F21" s="17" t="s">
        <v>2768</v>
      </c>
      <c r="G21" s="17" t="s">
        <v>2770</v>
      </c>
      <c r="I21" s="17" t="s">
        <v>926</v>
      </c>
      <c r="J21" s="17" t="s">
        <v>2768</v>
      </c>
      <c r="K21" s="17" t="s">
        <v>2770</v>
      </c>
    </row>
    <row r="22" spans="1:11" x14ac:dyDescent="0.25">
      <c r="A22" s="20" t="s">
        <v>2390</v>
      </c>
      <c r="B22" s="883">
        <f>B11</f>
        <v>5311.2931844251116</v>
      </c>
      <c r="C22" s="883">
        <f t="shared" ref="C22:E22" si="17">C11</f>
        <v>3031.8255781264534</v>
      </c>
      <c r="D22" s="883">
        <f t="shared" si="17"/>
        <v>2330.3956657311401</v>
      </c>
      <c r="E22" s="883">
        <f t="shared" si="17"/>
        <v>138.84363412948019</v>
      </c>
      <c r="F22" s="883">
        <f>B22+C22+E22</f>
        <v>8481.962396681045</v>
      </c>
      <c r="G22" s="883">
        <f>B22+D22+E22</f>
        <v>7780.5324842857317</v>
      </c>
      <c r="I22" s="883">
        <f>8.34</f>
        <v>8.34</v>
      </c>
      <c r="J22" s="883">
        <f>B22+C22+I22</f>
        <v>8351.4587625515651</v>
      </c>
      <c r="K22" s="883">
        <f>B22+D22+I22</f>
        <v>7650.0288501562518</v>
      </c>
    </row>
    <row r="23" spans="1:11" x14ac:dyDescent="0.25">
      <c r="A23" s="20" t="s">
        <v>2714</v>
      </c>
      <c r="B23" s="883">
        <v>0</v>
      </c>
      <c r="C23" s="883">
        <f t="shared" ref="B23:E24" si="18">C12</f>
        <v>0</v>
      </c>
      <c r="D23" s="883">
        <f t="shared" si="18"/>
        <v>0</v>
      </c>
      <c r="E23" s="883">
        <f t="shared" si="18"/>
        <v>0</v>
      </c>
      <c r="F23" s="883">
        <f t="shared" ref="F23:F24" si="19">B23+C23+E23</f>
        <v>0</v>
      </c>
      <c r="G23" s="883">
        <f t="shared" ref="G23:G24" si="20">B23+D23+E23</f>
        <v>0</v>
      </c>
      <c r="I23" s="883">
        <v>0</v>
      </c>
      <c r="J23" s="883">
        <f t="shared" ref="J23:J26" si="21">B23+C23+I23</f>
        <v>0</v>
      </c>
      <c r="K23" s="883">
        <f t="shared" ref="K23:K26" si="22">B23+D23+I23</f>
        <v>0</v>
      </c>
    </row>
    <row r="24" spans="1:11" x14ac:dyDescent="0.25">
      <c r="A24" s="20" t="s">
        <v>2205</v>
      </c>
      <c r="B24" s="883">
        <f t="shared" si="18"/>
        <v>390.0613714641795</v>
      </c>
      <c r="C24" s="883">
        <f t="shared" si="18"/>
        <v>222.65727045760678</v>
      </c>
      <c r="D24" s="883">
        <f t="shared" si="18"/>
        <v>171.14425769129497</v>
      </c>
      <c r="E24" s="883">
        <f t="shared" si="18"/>
        <v>10.196676490469027</v>
      </c>
      <c r="F24" s="883">
        <f t="shared" si="19"/>
        <v>622.91531841225526</v>
      </c>
      <c r="G24" s="883">
        <f t="shared" si="20"/>
        <v>571.40230564594356</v>
      </c>
      <c r="I24" s="883">
        <v>0.48</v>
      </c>
      <c r="J24" s="883">
        <f t="shared" si="21"/>
        <v>613.19864192178625</v>
      </c>
      <c r="K24" s="883">
        <f t="shared" si="22"/>
        <v>561.68562915547454</v>
      </c>
    </row>
    <row r="25" spans="1:11" x14ac:dyDescent="0.25">
      <c r="A25" s="20" t="s">
        <v>1002</v>
      </c>
      <c r="B25" s="883">
        <f>SUM(B22:B24)</f>
        <v>5701.3545558892911</v>
      </c>
      <c r="C25" s="883">
        <f t="shared" ref="C25" si="23">SUM(C22:C24)</f>
        <v>3254.4828485840603</v>
      </c>
      <c r="D25" s="883">
        <f t="shared" ref="D25" si="24">SUM(D22:D24)</f>
        <v>2501.5399234224351</v>
      </c>
      <c r="E25" s="883">
        <f t="shared" ref="E25" si="25">SUM(E22:E24)</f>
        <v>149.04031061994922</v>
      </c>
      <c r="F25" s="883">
        <f t="shared" ref="F25" si="26">SUM(F22:F24)</f>
        <v>9104.8777150933001</v>
      </c>
      <c r="G25" s="883">
        <f t="shared" ref="G25" si="27">SUM(G22:G24)</f>
        <v>8351.9347899316745</v>
      </c>
      <c r="I25" s="883">
        <v>8.82</v>
      </c>
      <c r="J25" s="883">
        <f t="shared" si="21"/>
        <v>8964.6574044733516</v>
      </c>
      <c r="K25" s="883">
        <f t="shared" si="22"/>
        <v>8211.7144793117259</v>
      </c>
    </row>
    <row r="26" spans="1:11" x14ac:dyDescent="0.25">
      <c r="A26" s="20" t="s">
        <v>2766</v>
      </c>
      <c r="B26" s="883">
        <f>B25*0.2</f>
        <v>1140.2709111778584</v>
      </c>
      <c r="C26" s="883">
        <f t="shared" ref="C26" si="28">C25*0.2</f>
        <v>650.89656971681211</v>
      </c>
      <c r="D26" s="883">
        <f t="shared" ref="D26" si="29">D25*0.2</f>
        <v>500.30798468448705</v>
      </c>
      <c r="E26" s="883">
        <f t="shared" ref="E26" si="30">E25*0.2</f>
        <v>29.808062123989846</v>
      </c>
      <c r="F26" s="883">
        <f t="shared" ref="F26" si="31">F25*0.2</f>
        <v>1820.9755430186601</v>
      </c>
      <c r="G26" s="883">
        <f t="shared" ref="G26" si="32">G25*0.2</f>
        <v>1670.3869579863349</v>
      </c>
      <c r="I26" s="883">
        <f>I25*0.2</f>
        <v>1.7640000000000002</v>
      </c>
      <c r="J26" s="883">
        <f t="shared" si="21"/>
        <v>1792.9314808946704</v>
      </c>
      <c r="K26" s="883">
        <f t="shared" si="22"/>
        <v>1642.3428958623454</v>
      </c>
    </row>
    <row r="27" spans="1:11" x14ac:dyDescent="0.25">
      <c r="A27" s="1322" t="s">
        <v>2767</v>
      </c>
      <c r="B27" s="1473">
        <f>B25+B26</f>
        <v>6841.6254670671497</v>
      </c>
      <c r="C27" s="1473">
        <f t="shared" ref="C27" si="33">C25+C26</f>
        <v>3905.3794183008722</v>
      </c>
      <c r="D27" s="1473">
        <f t="shared" ref="D27" si="34">D25+D26</f>
        <v>3001.8479081069222</v>
      </c>
      <c r="E27" s="1473">
        <f t="shared" ref="E27" si="35">E25+E26</f>
        <v>178.84837274393908</v>
      </c>
      <c r="F27" s="1473">
        <f t="shared" ref="F27" si="36">F25+F26</f>
        <v>10925.85325811196</v>
      </c>
      <c r="G27" s="1473">
        <f t="shared" ref="G27" si="37">G25+G26</f>
        <v>10022.321747918009</v>
      </c>
      <c r="I27" s="1473">
        <f t="shared" ref="I27:K27" si="38">I25+I26</f>
        <v>10.584</v>
      </c>
      <c r="J27" s="1473">
        <f t="shared" si="38"/>
        <v>10757.588885368023</v>
      </c>
      <c r="K27" s="1473">
        <f t="shared" si="38"/>
        <v>9854.0573751740703</v>
      </c>
    </row>
    <row r="29" spans="1:11" x14ac:dyDescent="0.25">
      <c r="A29" s="20" t="s">
        <v>2209</v>
      </c>
      <c r="B29" s="2109">
        <f>B27/B8-1</f>
        <v>5.6480346966992663</v>
      </c>
      <c r="C29" s="2109">
        <f t="shared" ref="C29:G29" si="39">C27/C8-1</f>
        <v>5.613323949084676</v>
      </c>
      <c r="D29" s="2109">
        <f t="shared" si="39"/>
        <v>7.7915228910607812</v>
      </c>
      <c r="E29" s="2109">
        <f t="shared" si="39"/>
        <v>24.520601133552951</v>
      </c>
      <c r="F29" s="2109">
        <f t="shared" si="39"/>
        <v>5.7167405961368454</v>
      </c>
      <c r="G29" s="2109">
        <f t="shared" si="39"/>
        <v>6.2753312687779177</v>
      </c>
      <c r="I29" s="2110">
        <f>I27/E8-1</f>
        <v>0.51027397260273966</v>
      </c>
      <c r="J29" s="2110">
        <f t="shared" ref="J29:K29" si="40">J27/F8-1</f>
        <v>5.6132989594432905</v>
      </c>
      <c r="K29" s="2110">
        <f t="shared" si="40"/>
        <v>6.1531860130940652</v>
      </c>
    </row>
    <row r="30" spans="1:11" x14ac:dyDescent="0.25">
      <c r="J30" s="2057">
        <f>F29-J29</f>
        <v>0.10344163669355488</v>
      </c>
      <c r="K30" s="2057">
        <f>G29-K29</f>
        <v>0.12214525568385248</v>
      </c>
    </row>
  </sheetData>
  <mergeCells count="3">
    <mergeCell ref="A1:G1"/>
    <mergeCell ref="A9:G9"/>
    <mergeCell ref="A20:G20"/>
  </mergeCells>
  <pageMargins left="0.7" right="0.7" top="0.75" bottom="0.75" header="0.3" footer="0.3"/>
  <pageSetup paperSize="9" orientation="portrait" horizontalDpi="0"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J94"/>
  <sheetViews>
    <sheetView workbookViewId="0">
      <selection activeCell="F39" sqref="F39"/>
    </sheetView>
  </sheetViews>
  <sheetFormatPr defaultColWidth="8.85546875" defaultRowHeight="15.75" x14ac:dyDescent="0.25"/>
  <cols>
    <col min="1" max="1" width="27.140625" style="58" customWidth="1"/>
    <col min="2" max="2" width="13.5703125" style="58" customWidth="1"/>
    <col min="3" max="3" width="16.7109375" style="58" customWidth="1"/>
    <col min="4" max="4" width="12.85546875" style="58" customWidth="1"/>
    <col min="5" max="5" width="11.28515625" style="58" customWidth="1"/>
    <col min="6" max="6" width="27.140625" style="58" customWidth="1"/>
    <col min="7" max="7" width="13.28515625" style="58" customWidth="1"/>
    <col min="8" max="8" width="14.85546875" style="58" customWidth="1"/>
    <col min="9" max="9" width="12.85546875" style="58" customWidth="1"/>
    <col min="10" max="10" width="7.28515625" style="58" customWidth="1"/>
    <col min="11" max="16384" width="8.85546875" style="58"/>
  </cols>
  <sheetData>
    <row r="1" spans="1:10" ht="50.45" customHeight="1" x14ac:dyDescent="0.25">
      <c r="A1" s="1306" t="s">
        <v>2222</v>
      </c>
      <c r="B1" s="1309" t="s">
        <v>2220</v>
      </c>
      <c r="C1" s="15" t="s">
        <v>2763</v>
      </c>
      <c r="D1" s="1309" t="s">
        <v>2230</v>
      </c>
      <c r="F1" s="1312" t="s">
        <v>2232</v>
      </c>
      <c r="G1" s="15" t="s">
        <v>2220</v>
      </c>
      <c r="H1" s="15" t="s">
        <v>2763</v>
      </c>
      <c r="I1" s="15" t="s">
        <v>2233</v>
      </c>
    </row>
    <row r="2" spans="1:10" x14ac:dyDescent="0.25">
      <c r="A2" s="1312">
        <v>1</v>
      </c>
      <c r="B2" s="15">
        <v>2</v>
      </c>
      <c r="C2" s="15">
        <v>3</v>
      </c>
      <c r="D2" s="15">
        <v>4</v>
      </c>
      <c r="F2" s="1312">
        <v>1</v>
      </c>
      <c r="G2" s="15">
        <v>2</v>
      </c>
      <c r="H2" s="15">
        <v>3</v>
      </c>
      <c r="I2" s="15">
        <v>4</v>
      </c>
    </row>
    <row r="3" spans="1:10" x14ac:dyDescent="0.25">
      <c r="A3" s="1310" t="s">
        <v>2221</v>
      </c>
      <c r="B3" s="1316">
        <f>G3/$G$17</f>
        <v>0.57258142301385717</v>
      </c>
      <c r="C3" s="1315">
        <f>H3/$H$17</f>
        <v>0.33035263254723707</v>
      </c>
      <c r="D3" s="1308">
        <f>C3-B3</f>
        <v>-0.2422287904666201</v>
      </c>
      <c r="F3" s="1310" t="s">
        <v>2221</v>
      </c>
      <c r="G3" s="1307">
        <v>80140.5</v>
      </c>
      <c r="H3" s="1307">
        <f>C25</f>
        <v>11323.637583522617</v>
      </c>
      <c r="I3" s="1317">
        <f>H3-G3</f>
        <v>-68816.862416477379</v>
      </c>
      <c r="J3" s="1878">
        <f>H3/G3-1</f>
        <v>-0.85870268361786339</v>
      </c>
    </row>
    <row r="4" spans="1:10" hidden="1" x14ac:dyDescent="0.25">
      <c r="A4" s="2100" t="s">
        <v>440</v>
      </c>
      <c r="B4" s="2101">
        <f t="shared" ref="B4:B17" si="0">G4/$G$17</f>
        <v>0.4854848585524083</v>
      </c>
      <c r="C4" s="2102">
        <f t="shared" ref="C4:C17" si="1">H4/$H$17</f>
        <v>0.31731584154762577</v>
      </c>
      <c r="D4" s="2103">
        <f t="shared" ref="D4:D16" si="2">C4-B4</f>
        <v>-0.16816901700478254</v>
      </c>
      <c r="F4" s="2100" t="s">
        <v>440</v>
      </c>
      <c r="G4" s="2105">
        <v>67950.16</v>
      </c>
      <c r="H4" s="2105">
        <f>'Д 2_Т на В'!H15</f>
        <v>10876.769957878316</v>
      </c>
      <c r="I4" s="2106">
        <f t="shared" ref="I4:I17" si="3">H4-G4</f>
        <v>-57073.390042121689</v>
      </c>
      <c r="J4" s="1878">
        <f t="shared" ref="J4:J17" si="4">H4/G4-1</f>
        <v>-0.83993017885641008</v>
      </c>
    </row>
    <row r="5" spans="1:10" hidden="1" x14ac:dyDescent="0.25">
      <c r="A5" s="2100" t="s">
        <v>1840</v>
      </c>
      <c r="B5" s="2101">
        <f t="shared" si="0"/>
        <v>1.5027703651309092E-2</v>
      </c>
      <c r="C5" s="2102">
        <f t="shared" si="1"/>
        <v>1.4516500470633125E-3</v>
      </c>
      <c r="D5" s="2103">
        <f t="shared" si="2"/>
        <v>-1.357605360424578E-2</v>
      </c>
      <c r="F5" s="2100" t="s">
        <v>1840</v>
      </c>
      <c r="G5" s="2105">
        <v>2103.33</v>
      </c>
      <c r="H5" s="2105">
        <f>'Д 2_Т на В'!H16</f>
        <v>49.758825604933058</v>
      </c>
      <c r="I5" s="2106">
        <f t="shared" si="3"/>
        <v>-2053.5711743950669</v>
      </c>
      <c r="J5" s="1878">
        <f t="shared" si="4"/>
        <v>-0.97634283464557003</v>
      </c>
    </row>
    <row r="6" spans="1:10" hidden="1" x14ac:dyDescent="0.25">
      <c r="A6" s="2104" t="s">
        <v>1951</v>
      </c>
      <c r="B6" s="2101">
        <f t="shared" si="0"/>
        <v>7.2068860810139787E-2</v>
      </c>
      <c r="C6" s="2102">
        <f t="shared" si="1"/>
        <v>1.1585140952548036E-2</v>
      </c>
      <c r="D6" s="2103">
        <f t="shared" si="2"/>
        <v>-6.0483719857591753E-2</v>
      </c>
      <c r="F6" s="2104" t="s">
        <v>1951</v>
      </c>
      <c r="G6" s="2105">
        <v>10087.01</v>
      </c>
      <c r="H6" s="2105">
        <f>'Д 2_Т на В'!H17</f>
        <v>397.1088000393691</v>
      </c>
      <c r="I6" s="2106">
        <f t="shared" si="3"/>
        <v>-9689.9011999606319</v>
      </c>
      <c r="J6" s="1878">
        <f t="shared" si="4"/>
        <v>-0.96063166388856869</v>
      </c>
    </row>
    <row r="7" spans="1:10" ht="28.15" customHeight="1" x14ac:dyDescent="0.25">
      <c r="A7" s="2180" t="s">
        <v>2223</v>
      </c>
      <c r="B7" s="1316">
        <f t="shared" si="0"/>
        <v>6.3748548728775709E-2</v>
      </c>
      <c r="C7" s="1315">
        <f t="shared" si="1"/>
        <v>2.8073499310726564E-2</v>
      </c>
      <c r="D7" s="1308">
        <f t="shared" si="2"/>
        <v>-3.5675049418049144E-2</v>
      </c>
      <c r="F7" s="1310" t="s">
        <v>2605</v>
      </c>
      <c r="G7" s="1307">
        <v>8922.4699999999993</v>
      </c>
      <c r="H7" s="1307">
        <f>C26+C42</f>
        <v>962.28726692675582</v>
      </c>
      <c r="I7" s="1317">
        <f t="shared" si="3"/>
        <v>-7960.1827330732431</v>
      </c>
      <c r="J7" s="1878">
        <f t="shared" si="4"/>
        <v>-0.89215012581417974</v>
      </c>
    </row>
    <row r="8" spans="1:10" x14ac:dyDescent="0.25">
      <c r="A8" s="1310" t="s">
        <v>2224</v>
      </c>
      <c r="B8" s="1316">
        <f t="shared" si="0"/>
        <v>4.9691526719466148E-3</v>
      </c>
      <c r="C8" s="1315">
        <f t="shared" si="1"/>
        <v>4.703201597869841E-3</v>
      </c>
      <c r="D8" s="1308">
        <f t="shared" si="2"/>
        <v>-2.6595107407677374E-4</v>
      </c>
      <c r="F8" s="1310" t="s">
        <v>2224</v>
      </c>
      <c r="G8" s="1307">
        <v>695.5</v>
      </c>
      <c r="H8" s="1307">
        <f>C27+C43</f>
        <v>161.21364</v>
      </c>
      <c r="I8" s="1317">
        <f t="shared" si="3"/>
        <v>-534.28636000000006</v>
      </c>
      <c r="J8" s="1878">
        <f t="shared" si="4"/>
        <v>-0.76820468727534152</v>
      </c>
    </row>
    <row r="9" spans="1:10" ht="31.5" x14ac:dyDescent="0.25">
      <c r="A9" s="1310" t="s">
        <v>2231</v>
      </c>
      <c r="B9" s="1316">
        <f t="shared" si="0"/>
        <v>6.8206425246582145E-2</v>
      </c>
      <c r="C9" s="1315">
        <f t="shared" si="1"/>
        <v>9.8512754689964593E-2</v>
      </c>
      <c r="D9" s="1308">
        <f t="shared" si="2"/>
        <v>3.0306329443382449E-2</v>
      </c>
      <c r="F9" s="1310" t="s">
        <v>2231</v>
      </c>
      <c r="G9" s="1307">
        <v>9546.41</v>
      </c>
      <c r="H9" s="1307">
        <f>C41</f>
        <v>3376.7635597821932</v>
      </c>
      <c r="I9" s="1317">
        <f t="shared" si="3"/>
        <v>-6169.6464402178062</v>
      </c>
      <c r="J9" s="1878">
        <f t="shared" si="4"/>
        <v>-0.64627922331198917</v>
      </c>
    </row>
    <row r="10" spans="1:10" ht="30.6" customHeight="1" x14ac:dyDescent="0.25">
      <c r="A10" s="1310" t="s">
        <v>2225</v>
      </c>
      <c r="B10" s="1316">
        <f t="shared" si="0"/>
        <v>1.877482343611013E-2</v>
      </c>
      <c r="C10" s="1315">
        <f t="shared" si="1"/>
        <v>2.881934684968664E-2</v>
      </c>
      <c r="D10" s="1308">
        <f t="shared" si="2"/>
        <v>1.0044523413576509E-2</v>
      </c>
      <c r="F10" s="1310" t="s">
        <v>2225</v>
      </c>
      <c r="G10" s="1307">
        <v>2627.79</v>
      </c>
      <c r="H10" s="1307">
        <f>C30+C46+C61+C76+C91</f>
        <v>987.85299999999995</v>
      </c>
      <c r="I10" s="1317">
        <f t="shared" si="3"/>
        <v>-1639.9369999999999</v>
      </c>
      <c r="J10" s="1878">
        <f t="shared" si="4"/>
        <v>-0.62407460261284198</v>
      </c>
    </row>
    <row r="11" spans="1:10" x14ac:dyDescent="0.25">
      <c r="A11" s="808" t="s">
        <v>2195</v>
      </c>
      <c r="B11" s="1316">
        <f t="shared" si="0"/>
        <v>0.1700457619307891</v>
      </c>
      <c r="C11" s="1315">
        <f t="shared" si="1"/>
        <v>0.26976781035244884</v>
      </c>
      <c r="D11" s="1308">
        <f t="shared" si="2"/>
        <v>9.9722048421659742E-2</v>
      </c>
      <c r="F11" s="808" t="s">
        <v>2195</v>
      </c>
      <c r="G11" s="1307">
        <v>23800.2</v>
      </c>
      <c r="H11" s="1307">
        <f>C23+C39+C54+C69+C84</f>
        <v>9246.945885000001</v>
      </c>
      <c r="I11" s="1317">
        <f t="shared" si="3"/>
        <v>-14553.254115</v>
      </c>
      <c r="J11" s="1878">
        <f t="shared" si="4"/>
        <v>-0.61147612688128672</v>
      </c>
    </row>
    <row r="12" spans="1:10" x14ac:dyDescent="0.25">
      <c r="A12" s="1310" t="s">
        <v>2226</v>
      </c>
      <c r="B12" s="1316">
        <f t="shared" si="0"/>
        <v>3.6742722209718963E-2</v>
      </c>
      <c r="C12" s="1315">
        <f t="shared" si="1"/>
        <v>5.9348918277538742E-2</v>
      </c>
      <c r="D12" s="1308">
        <f t="shared" si="2"/>
        <v>2.260619606781978E-2</v>
      </c>
      <c r="F12" s="1310" t="s">
        <v>2226</v>
      </c>
      <c r="G12" s="1307">
        <v>5142.6400000000003</v>
      </c>
      <c r="H12" s="1307">
        <f>C24+C40+C55+C70+C85</f>
        <v>2034.3280947000003</v>
      </c>
      <c r="I12" s="1317">
        <f t="shared" si="3"/>
        <v>-3108.3119053</v>
      </c>
      <c r="J12" s="1878">
        <f t="shared" si="4"/>
        <v>-0.60441950152061974</v>
      </c>
    </row>
    <row r="13" spans="1:10" x14ac:dyDescent="0.25">
      <c r="A13" s="1310" t="s">
        <v>2227</v>
      </c>
      <c r="B13" s="1316">
        <f t="shared" si="0"/>
        <v>4.1467739803591655E-2</v>
      </c>
      <c r="C13" s="1315">
        <f t="shared" si="1"/>
        <v>5.8784750324324592E-2</v>
      </c>
      <c r="D13" s="1308">
        <f t="shared" si="2"/>
        <v>1.7317010520732937E-2</v>
      </c>
      <c r="F13" s="1310" t="s">
        <v>2227</v>
      </c>
      <c r="G13" s="1313">
        <v>5803.97</v>
      </c>
      <c r="H13" s="1313">
        <f>C28+C44+C59+C74+C89</f>
        <v>2014.9898700000008</v>
      </c>
      <c r="I13" s="1317">
        <f t="shared" si="3"/>
        <v>-3788.9801299999995</v>
      </c>
      <c r="J13" s="1878">
        <f t="shared" si="4"/>
        <v>-0.65282558834728632</v>
      </c>
    </row>
    <row r="14" spans="1:10" x14ac:dyDescent="0.25">
      <c r="A14" s="1310" t="s">
        <v>2228</v>
      </c>
      <c r="B14" s="1316">
        <f t="shared" si="0"/>
        <v>2.8048741278976302E-3</v>
      </c>
      <c r="C14" s="1315">
        <f t="shared" si="1"/>
        <v>7.1213050585547744E-3</v>
      </c>
      <c r="D14" s="1308">
        <f t="shared" si="2"/>
        <v>4.3164309306571447E-3</v>
      </c>
      <c r="F14" s="1310" t="s">
        <v>2228</v>
      </c>
      <c r="G14" s="1307">
        <v>392.58</v>
      </c>
      <c r="H14" s="1307">
        <f>C29+C45</f>
        <v>244.1</v>
      </c>
      <c r="I14" s="1317">
        <f t="shared" si="3"/>
        <v>-148.47999999999999</v>
      </c>
      <c r="J14" s="1878">
        <f t="shared" si="4"/>
        <v>-0.37821590503846347</v>
      </c>
    </row>
    <row r="15" spans="1:10" x14ac:dyDescent="0.25">
      <c r="A15" s="808" t="s">
        <v>2229</v>
      </c>
      <c r="B15" s="1316">
        <f t="shared" si="0"/>
        <v>2.0658528830730868E-2</v>
      </c>
      <c r="C15" s="1315">
        <f t="shared" si="1"/>
        <v>0.11451578099164826</v>
      </c>
      <c r="D15" s="1308">
        <f t="shared" si="2"/>
        <v>9.3857252160917393E-2</v>
      </c>
      <c r="F15" s="808" t="s">
        <v>2229</v>
      </c>
      <c r="G15" s="1307">
        <v>2891.44</v>
      </c>
      <c r="H15" s="1307">
        <f>H17-H3-H7-H8-H9-H10-H11-H12-H13-H14-H16</f>
        <v>3925.3060935061662</v>
      </c>
      <c r="I15" s="1317">
        <f t="shared" si="3"/>
        <v>1033.8660935061662</v>
      </c>
      <c r="J15" s="1878">
        <f t="shared" si="4"/>
        <v>0.35756097083327543</v>
      </c>
    </row>
    <row r="16" spans="1:10" x14ac:dyDescent="0.25">
      <c r="A16" s="808" t="s">
        <v>2747</v>
      </c>
      <c r="B16" s="1316">
        <f t="shared" si="0"/>
        <v>0</v>
      </c>
      <c r="C16" s="1315">
        <f t="shared" si="1"/>
        <v>0</v>
      </c>
      <c r="D16" s="1308">
        <f t="shared" si="2"/>
        <v>0</v>
      </c>
      <c r="F16" s="808" t="s">
        <v>2747</v>
      </c>
      <c r="G16" s="1307"/>
      <c r="H16" s="1307">
        <f>сведено!C13</f>
        <v>0</v>
      </c>
      <c r="I16" s="1317">
        <f t="shared" si="3"/>
        <v>0</v>
      </c>
      <c r="J16" s="1878"/>
    </row>
    <row r="17" spans="1:10" s="57" customFormat="1" x14ac:dyDescent="0.25">
      <c r="A17" s="1311" t="s">
        <v>771</v>
      </c>
      <c r="B17" s="1316">
        <f t="shared" si="0"/>
        <v>1</v>
      </c>
      <c r="C17" s="1315">
        <f t="shared" si="1"/>
        <v>1</v>
      </c>
      <c r="D17" s="1308"/>
      <c r="F17" s="1311" t="s">
        <v>771</v>
      </c>
      <c r="G17" s="1314">
        <v>139963.5</v>
      </c>
      <c r="H17" s="1314">
        <f>C33+C49+C64+C79+C94+H16</f>
        <v>34277.424993437737</v>
      </c>
      <c r="I17" s="1317">
        <f t="shared" si="3"/>
        <v>-105686.07500656226</v>
      </c>
      <c r="J17" s="1878">
        <f t="shared" si="4"/>
        <v>-0.75509740044055962</v>
      </c>
    </row>
    <row r="21" spans="1:10" x14ac:dyDescent="0.25">
      <c r="A21" s="58" t="str">
        <f>Виробництво_Транспортування_1ст!B177</f>
        <v>Порівняльна таблиця % планованих прямих витрат на виробництво теплової енергії  в 2023-2024 роках ЧФ ДП "АМПУ" та урахованих в  діючих тарифах в 2022-2023 роках</v>
      </c>
    </row>
    <row r="22" spans="1:10" x14ac:dyDescent="0.25">
      <c r="A22" s="878" t="str">
        <f>Виробництво_Транспортування_1ст!B179</f>
        <v>Показник</v>
      </c>
      <c r="B22" s="4428" t="str">
        <f>Виробництво_Транспортування_1ст!C179</f>
        <v>Плановані тарифи</v>
      </c>
      <c r="C22" s="4428"/>
      <c r="D22" s="4428" t="str">
        <f>Виробництво_Транспортування_1ст!E179</f>
        <v>Діючі тарифи</v>
      </c>
      <c r="E22" s="4428"/>
      <c r="F22" s="878" t="str">
        <f>Виробництво_Транспортування_1ст!G179</f>
        <v>Відхилення</v>
      </c>
      <c r="G22" s="878" t="str">
        <f>Виробництво_Транспортування_1ст!H179</f>
        <v>Різниця</v>
      </c>
    </row>
    <row r="23" spans="1:10" x14ac:dyDescent="0.25">
      <c r="A23" s="808" t="str">
        <f>Виробництво_Транспортування_1ст!B180</f>
        <v>Зарплата</v>
      </c>
      <c r="B23" s="2099">
        <f>Виробництво_Транспортування_1ст!C180</f>
        <v>0.14888253052786668</v>
      </c>
      <c r="C23" s="1482">
        <f>Виробництво_Транспортування_1ст!D180</f>
        <v>2967.8816200000001</v>
      </c>
      <c r="D23" s="2099">
        <f>Виробництво_Транспортування_1ст!E180</f>
        <v>7.4492564384582599E-2</v>
      </c>
      <c r="E23" s="1482">
        <f>Виробництво_Транспортування_1ст!F180</f>
        <v>5029.51</v>
      </c>
      <c r="F23" s="2099">
        <f>Виробництво_Транспортування_1ст!G180</f>
        <v>7.4389966143284081E-2</v>
      </c>
      <c r="G23" s="1482">
        <f>Виробництво_Транспортування_1ст!H180</f>
        <v>-2061.6283800000001</v>
      </c>
    </row>
    <row r="24" spans="1:10" x14ac:dyDescent="0.25">
      <c r="A24" s="808" t="str">
        <f>Виробництво_Транспортування_1ст!B181</f>
        <v>Відрахування</v>
      </c>
      <c r="B24" s="2099">
        <f>Виробництво_Транспортування_1ст!C181</f>
        <v>3.2754156716130668E-2</v>
      </c>
      <c r="C24" s="1482">
        <f>Виробництво_Транспортування_1ст!D181</f>
        <v>652.93395640000006</v>
      </c>
      <c r="D24" s="2099">
        <f>Виробництво_Транспортування_1ст!E181</f>
        <v>1.6388331580193059E-2</v>
      </c>
      <c r="E24" s="1482">
        <f>Виробництво_Транспортування_1ст!F181</f>
        <v>1106.49</v>
      </c>
      <c r="F24" s="2099">
        <f>Виробництво_Транспортування_1ст!G181</f>
        <v>1.6365825135937609E-2</v>
      </c>
      <c r="G24" s="1482">
        <f>Виробництво_Транспортування_1ст!H181</f>
        <v>-453.55604359999995</v>
      </c>
    </row>
    <row r="25" spans="1:10" x14ac:dyDescent="0.25">
      <c r="A25" s="808" t="str">
        <f>Виробництво_Транспортування_1ст!B182</f>
        <v>газ</v>
      </c>
      <c r="B25" s="2099">
        <f>Виробництво_Транспортування_1ст!C182</f>
        <v>0.56804550655066377</v>
      </c>
      <c r="C25" s="1482">
        <f>Виробництво_Транспортування_1ст!D182</f>
        <v>11323.637583522617</v>
      </c>
      <c r="D25" s="2099">
        <f>Виробництво_Транспортування_1ст!E182</f>
        <v>0.80914567514463775</v>
      </c>
      <c r="E25" s="1482">
        <f>Виробництво_Транспортування_1ст!F182</f>
        <v>54631.040000000001</v>
      </c>
      <c r="F25" s="2099">
        <f>Виробництво_Транспортування_1ст!G182</f>
        <v>-0.24110016859397398</v>
      </c>
      <c r="G25" s="1482">
        <f>Виробництво_Транспортування_1ст!H182</f>
        <v>-43307.402416477387</v>
      </c>
    </row>
    <row r="26" spans="1:10" x14ac:dyDescent="0.25">
      <c r="A26" s="808" t="str">
        <f>Виробництво_Транспортування_1ст!B183</f>
        <v>електроенергія</v>
      </c>
      <c r="B26" s="2099">
        <f>Виробництво_Транспортування_1ст!C183</f>
        <v>9.8097143419952348E-3</v>
      </c>
      <c r="C26" s="1482">
        <f>Виробництво_Транспортування_1ст!D183</f>
        <v>195.55061826148037</v>
      </c>
      <c r="D26" s="2099">
        <f>Виробництво_Транспортування_1ст!E183</f>
        <v>6.9036007852251594E-3</v>
      </c>
      <c r="E26" s="1482">
        <f>Виробництво_Транспортування_1ст!F183</f>
        <v>466.11</v>
      </c>
      <c r="F26" s="2099">
        <f>Виробництво_Транспортування_1ст!G183</f>
        <v>2.9061135567700755E-3</v>
      </c>
      <c r="G26" s="1482">
        <f>Виробництво_Транспортування_1ст!H183</f>
        <v>-270.55938173851962</v>
      </c>
    </row>
    <row r="27" spans="1:10" ht="31.5" x14ac:dyDescent="0.25">
      <c r="A27" s="808" t="str">
        <f>Виробництво_Транспортування_1ст!B184</f>
        <v>водопостачання, водовідведення</v>
      </c>
      <c r="B27" s="2099">
        <f>Виробництво_Транспортування_1ст!C184</f>
        <v>1.7879679137523836E-3</v>
      </c>
      <c r="C27" s="1482">
        <f>Виробництво_Транспортування_1ст!D184</f>
        <v>35.642039999999994</v>
      </c>
      <c r="D27" s="2099">
        <f>Виробництво_Транспортування_1ст!E184</f>
        <v>5.7452248280209382E-4</v>
      </c>
      <c r="E27" s="1482">
        <f>Виробництво_Транспортування_1ст!F184</f>
        <v>38.79</v>
      </c>
      <c r="F27" s="2099">
        <f>Виробництво_Транспортування_1ст!G184</f>
        <v>1.2134454309502898E-3</v>
      </c>
      <c r="G27" s="1482">
        <f>Виробництво_Транспортування_1ст!H184</f>
        <v>-3.1479600000000048</v>
      </c>
    </row>
    <row r="28" spans="1:10" x14ac:dyDescent="0.25">
      <c r="A28" s="808" t="str">
        <f>Виробництво_Транспортування_1ст!B185</f>
        <v>амортизація</v>
      </c>
      <c r="B28" s="2099">
        <f>Виробництво_Транспортування_1ст!C185</f>
        <v>9.5532695421912228E-2</v>
      </c>
      <c r="C28" s="1482">
        <f>Виробництво_Транспортування_1ст!D185</f>
        <v>1904.3854900000008</v>
      </c>
      <c r="D28" s="2099">
        <f>Виробництво_Транспортування_1ст!E185</f>
        <v>3.3399025489010609E-2</v>
      </c>
      <c r="E28" s="1482">
        <f>Виробництво_Транспортування_1ст!F185</f>
        <v>2255</v>
      </c>
      <c r="F28" s="2099">
        <f>Виробництво_Транспортування_1ст!G185</f>
        <v>6.213366993290162E-2</v>
      </c>
      <c r="G28" s="1482">
        <f>Виробництво_Транспортування_1ст!H185</f>
        <v>-350.6145099999992</v>
      </c>
    </row>
    <row r="29" spans="1:10" x14ac:dyDescent="0.25">
      <c r="A29" s="808" t="str">
        <f>Виробництво_Транспортування_1ст!B186</f>
        <v>податки</v>
      </c>
      <c r="B29" s="2099">
        <f>Виробництво_Транспортування_1ст!C186</f>
        <v>1.2245173613714503E-2</v>
      </c>
      <c r="C29" s="1482">
        <f>Виробництво_Транспортування_1ст!D186</f>
        <v>244.1</v>
      </c>
      <c r="D29" s="2099">
        <f>Виробництво_Транспортування_1ст!E186</f>
        <v>4.731108963172798E-3</v>
      </c>
      <c r="E29" s="1482">
        <f>Виробництво_Транспортування_1ст!F186</f>
        <v>319.43</v>
      </c>
      <c r="F29" s="2099">
        <f>Виробництво_Транспортування_1ст!G186</f>
        <v>7.5140646505417047E-3</v>
      </c>
      <c r="G29" s="1482">
        <f>Виробництво_Транспортування_1ст!H186</f>
        <v>-75.330000000000013</v>
      </c>
    </row>
    <row r="30" spans="1:10" x14ac:dyDescent="0.25">
      <c r="A30" s="808" t="str">
        <f>Виробництво_Транспортування_1ст!B187</f>
        <v>Ремонти</v>
      </c>
      <c r="B30" s="2099">
        <f>Виробництво_Транспортування_1ст!C187</f>
        <v>2.508228925381914E-2</v>
      </c>
      <c r="C30" s="1482">
        <f>Виробництво_Транспортування_1ст!D187</f>
        <v>500</v>
      </c>
      <c r="D30" s="2099">
        <f>Виробництво_Транспортування_1ст!E187</f>
        <v>1.0961693465373283E-2</v>
      </c>
      <c r="E30" s="1482">
        <f>Виробництво_Транспортування_1ст!F187</f>
        <v>740.1</v>
      </c>
      <c r="F30" s="2099">
        <f>Виробництво_Транспортування_1ст!G187</f>
        <v>1.4120595788445857E-2</v>
      </c>
      <c r="G30" s="1482">
        <f>Виробництво_Транспортування_1ст!H187</f>
        <v>-240.10000000000002</v>
      </c>
    </row>
    <row r="31" spans="1:10" x14ac:dyDescent="0.25">
      <c r="A31" s="808" t="str">
        <f>Виробництво_Транспортування_1ст!B188</f>
        <v>інші</v>
      </c>
      <c r="B31" s="2099">
        <f>Виробництво_Транспортування_1ст!C188</f>
        <v>0.10585996566014548</v>
      </c>
      <c r="C31" s="1482">
        <f>Виробництво_Транспортування_1ст!D188</f>
        <v>2110.2532665360036</v>
      </c>
      <c r="D31" s="2099">
        <f>Виробництво_Транспортування_1ст!E188</f>
        <v>4.3403477705002656E-2</v>
      </c>
      <c r="E31" s="1482">
        <f>Виробництво_Транспортування_1ст!F188</f>
        <v>2930.4700000000021</v>
      </c>
      <c r="F31" s="2099">
        <f>Виробництво_Транспортування_1ст!G188</f>
        <v>6.2456487955142824E-2</v>
      </c>
      <c r="G31" s="1482">
        <f>Виробництво_Транспортування_1ст!H188</f>
        <v>-820.21673346399848</v>
      </c>
    </row>
    <row r="32" spans="1:10" x14ac:dyDescent="0.25">
      <c r="A32" s="808" t="str">
        <f>Виробництво_Транспортування_1ст!B189</f>
        <v>Прибуток</v>
      </c>
      <c r="B32" s="2099">
        <f>Виробництво_Транспортування_1ст!C189</f>
        <v>0</v>
      </c>
      <c r="C32" s="1482">
        <f>Виробництво_Транспортування_1ст!D189</f>
        <v>0</v>
      </c>
      <c r="D32" s="2099">
        <f>Виробництво_Транспортування_1ст!E189</f>
        <v>0</v>
      </c>
      <c r="E32" s="1482">
        <f>Виробництво_Транспортування_1ст!F189</f>
        <v>0</v>
      </c>
      <c r="F32" s="2099">
        <f>Виробництво_Транспортування_1ст!G189</f>
        <v>0</v>
      </c>
      <c r="G32" s="1482">
        <f>Виробництво_Транспортування_1ст!H189</f>
        <v>0</v>
      </c>
    </row>
    <row r="33" spans="1:7" x14ac:dyDescent="0.25">
      <c r="A33" s="808" t="str">
        <f>Виробництво_Транспортування_1ст!B190</f>
        <v>Разом:</v>
      </c>
      <c r="B33" s="2099">
        <f>Виробництво_Транспортування_1ст!C190</f>
        <v>1.0000000000000002</v>
      </c>
      <c r="C33" s="1482">
        <f>Виробництво_Транспортування_1ст!D190</f>
        <v>19934.384574720101</v>
      </c>
      <c r="D33" s="2099">
        <f>Виробництво_Транспортування_1ст!E190</f>
        <v>0.99999999999999989</v>
      </c>
      <c r="E33" s="1482">
        <f>Виробництво_Транспортування_1ст!F190</f>
        <v>67516.94</v>
      </c>
      <c r="F33" s="2099">
        <f>Виробництво_Транспортування_1ст!G190</f>
        <v>0</v>
      </c>
      <c r="G33" s="1482">
        <f>Виробництво_Транспортування_1ст!H190</f>
        <v>-47582.555425279905</v>
      </c>
    </row>
    <row r="36" spans="1:7" x14ac:dyDescent="0.25">
      <c r="A36" s="58" t="str">
        <f>Виробництво_Транспортування_1ст!B193</f>
        <v>Порівняльна таблиця % планованих прямих витрат на транспортування теплової енергії  в 2023-2024 роках ЧФ ДП "АМПУ" та урахованих в  діючих тарифах в 2022-2023 роках</v>
      </c>
    </row>
    <row r="38" spans="1:7" x14ac:dyDescent="0.25">
      <c r="A38" s="878" t="str">
        <f>Виробництво_Транспортування_1ст!B195</f>
        <v>Показник</v>
      </c>
      <c r="B38" s="4428" t="str">
        <f>Виробництво_Транспортування_1ст!C195</f>
        <v>2023-2024</v>
      </c>
      <c r="C38" s="4428"/>
      <c r="D38" s="4428" t="str">
        <f>Виробництво_Транспортування_1ст!E195</f>
        <v>2022-2023</v>
      </c>
      <c r="E38" s="4428"/>
      <c r="F38" s="878" t="str">
        <f>Виробництво_Транспортування_1ст!G195</f>
        <v>Відхилення</v>
      </c>
      <c r="G38" s="878" t="str">
        <f>Виробництво_Транспортування_1ст!H195</f>
        <v>Різниця</v>
      </c>
    </row>
    <row r="39" spans="1:7" x14ac:dyDescent="0.25">
      <c r="A39" s="808" t="str">
        <f>Виробництво_Транспортування_1ст!B196</f>
        <v>Зарплата</v>
      </c>
      <c r="B39" s="2099">
        <f>Виробництво_Транспортування_1ст!C196</f>
        <v>0.28445231086381545</v>
      </c>
      <c r="C39" s="1482">
        <f>Виробництво_Транспортування_1ст!D196</f>
        <v>2505.9224250000002</v>
      </c>
      <c r="D39" s="2099">
        <f>Виробництво_Транспортування_1ст!E196</f>
        <v>0.16888579275146312</v>
      </c>
      <c r="E39" s="1482">
        <f>Виробництво_Транспортування_1ст!F196</f>
        <v>3023.13</v>
      </c>
      <c r="F39" s="2099">
        <f>Виробництво_Транспортування_1ст!G196</f>
        <v>0.11556651811235233</v>
      </c>
      <c r="G39" s="1482">
        <f>Виробництво_Транспортування_1ст!H196</f>
        <v>-517.20757499999991</v>
      </c>
    </row>
    <row r="40" spans="1:7" x14ac:dyDescent="0.25">
      <c r="A40" s="808" t="str">
        <f>Виробництво_Транспортування_1ст!B197</f>
        <v>Відрахування</v>
      </c>
      <c r="B40" s="2099">
        <f>Виробництво_Транспортування_1ст!C197</f>
        <v>6.2579508390039396E-2</v>
      </c>
      <c r="C40" s="1482">
        <f>Виробництво_Транспортування_1ст!D197</f>
        <v>551.30293349999999</v>
      </c>
      <c r="D40" s="2099">
        <f>Виробництво_Транспортування_1ст!E197</f>
        <v>3.71549526156899E-2</v>
      </c>
      <c r="E40" s="1482">
        <f>Виробництво_Транспортування_1ст!F197</f>
        <v>665.09</v>
      </c>
      <c r="F40" s="2099">
        <f>Виробництво_Транспортування_1ст!G197</f>
        <v>2.5424555774349496E-2</v>
      </c>
      <c r="G40" s="1482">
        <f>Виробництво_Транспортування_1ст!H197</f>
        <v>-113.78706650000004</v>
      </c>
    </row>
    <row r="41" spans="1:7" ht="47.25" x14ac:dyDescent="0.25">
      <c r="A41" s="808" t="str">
        <f>Виробництво_Транспортування_1ст!B198</f>
        <v>витрати на покриття втрат теплової енергії в теплових мережах</v>
      </c>
      <c r="B41" s="2099">
        <f>Виробництво_Транспортування_1ст!C198</f>
        <v>0.38330324523943249</v>
      </c>
      <c r="C41" s="1482">
        <f>Виробництво_Транспортування_1ст!D198</f>
        <v>3376.7635597821932</v>
      </c>
      <c r="D41" s="2099">
        <f>Виробництво_Транспортування_1ст!E198</f>
        <v>0.48399313089510654</v>
      </c>
      <c r="E41" s="1482">
        <f>Виробництво_Транспортування_1ст!F198</f>
        <v>8663.69</v>
      </c>
      <c r="F41" s="2099">
        <f>Виробництво_Транспортування_1ст!G198</f>
        <v>-0.10068988565567405</v>
      </c>
      <c r="G41" s="1482">
        <f>Виробництво_Транспортування_1ст!H198</f>
        <v>-5286.9264402178069</v>
      </c>
    </row>
    <row r="42" spans="1:7" x14ac:dyDescent="0.25">
      <c r="A42" s="808" t="str">
        <f>Виробництво_Транспортування_1ст!B199</f>
        <v>електроенергія</v>
      </c>
      <c r="B42" s="2099">
        <f>Виробництво_Транспортування_1ст!C199</f>
        <v>8.70338240964562E-2</v>
      </c>
      <c r="C42" s="1482">
        <f>Виробництво_Транспортування_1ст!D199</f>
        <v>766.73664866527542</v>
      </c>
      <c r="D42" s="2099">
        <f>Виробництво_Транспортування_1ст!E199</f>
        <v>0.10983808219239304</v>
      </c>
      <c r="E42" s="1482">
        <f>Виробництво_Транспортування_1ст!F199</f>
        <v>1966.1499999999999</v>
      </c>
      <c r="F42" s="2099">
        <f>Виробництво_Транспортування_1ст!G199</f>
        <v>-2.2804258095936836E-2</v>
      </c>
      <c r="G42" s="1482">
        <f>Виробництво_Транспортування_1ст!H199</f>
        <v>-1199.4133513347244</v>
      </c>
    </row>
    <row r="43" spans="1:7" ht="31.5" x14ac:dyDescent="0.25">
      <c r="A43" s="808" t="str">
        <f>Виробництво_Транспортування_1ст!B200</f>
        <v>водопостачання, водовідведення</v>
      </c>
      <c r="B43" s="2099">
        <f>Виробництво_Транспортування_1ст!C200</f>
        <v>1.4253885691958993E-2</v>
      </c>
      <c r="C43" s="1482">
        <f>Виробництво_Транспортування_1ст!D200</f>
        <v>125.57159999999999</v>
      </c>
      <c r="D43" s="2099">
        <f>Виробництво_Транспортування_1ст!E200</f>
        <v>2.6474768217987939E-2</v>
      </c>
      <c r="E43" s="1482">
        <f>Виробництво_Транспортування_1ст!F200</f>
        <v>473.91</v>
      </c>
      <c r="F43" s="2099">
        <f>Виробництво_Транспортування_1ст!G200</f>
        <v>-1.2220882526028947E-2</v>
      </c>
      <c r="G43" s="1482">
        <f>Виробництво_Транспортування_1ст!H200</f>
        <v>-348.33840000000004</v>
      </c>
    </row>
    <row r="44" spans="1:7" x14ac:dyDescent="0.25">
      <c r="A44" s="808" t="str">
        <f>Виробництво_Транспортування_1ст!B201</f>
        <v>амортизація</v>
      </c>
      <c r="B44" s="2099">
        <f>Виробництво_Транспортування_1ст!C201</f>
        <v>7.3737838096051929E-3</v>
      </c>
      <c r="C44" s="1482">
        <f>Виробництво_Транспортування_1ст!D201</f>
        <v>64.960380000000015</v>
      </c>
      <c r="D44" s="2099">
        <f>Виробництво_Транспортування_1ст!E201</f>
        <v>1.2730413330622041E-2</v>
      </c>
      <c r="E44" s="1482">
        <f>Виробництво_Транспортування_1ст!F201</f>
        <v>227.88</v>
      </c>
      <c r="F44" s="2099">
        <f>Виробництво_Транспортування_1ст!G201</f>
        <v>-5.3566295210168485E-3</v>
      </c>
      <c r="G44" s="1482">
        <f>Виробництво_Транспортування_1ст!H201</f>
        <v>-162.91961999999998</v>
      </c>
    </row>
    <row r="45" spans="1:7" x14ac:dyDescent="0.25">
      <c r="A45" s="808" t="str">
        <f>Виробництво_Транспортування_1ст!B202</f>
        <v>податки</v>
      </c>
      <c r="B45" s="2099">
        <f>Виробництво_Транспортування_1ст!C202</f>
        <v>0</v>
      </c>
      <c r="C45" s="1482">
        <f>Виробництво_Транспортування_1ст!D202</f>
        <v>0</v>
      </c>
      <c r="D45" s="2099">
        <f>Виробництво_Транспортування_1ст!E202</f>
        <v>0</v>
      </c>
      <c r="E45" s="1482">
        <f>Виробництво_Транспортування_1ст!F202</f>
        <v>0</v>
      </c>
      <c r="F45" s="2099">
        <f>Виробництво_Транспортування_1ст!G202</f>
        <v>0</v>
      </c>
      <c r="G45" s="1482">
        <f>Виробництво_Транспортування_1ст!H202</f>
        <v>0</v>
      </c>
    </row>
    <row r="46" spans="1:7" x14ac:dyDescent="0.25">
      <c r="A46" s="808" t="str">
        <f>Виробництво_Транспортування_1ст!B203</f>
        <v>Ремонти</v>
      </c>
      <c r="B46" s="2099">
        <f>Виробництво_Транспортування_1ст!C203</f>
        <v>3.4053605334229221E-2</v>
      </c>
      <c r="C46" s="1482">
        <f>Виробництво_Транспортування_1ст!D203</f>
        <v>300</v>
      </c>
      <c r="D46" s="2099">
        <f>Виробництво_Транспортування_1ст!E203</f>
        <v>1.6759364574278623E-2</v>
      </c>
      <c r="E46" s="1482">
        <f>Виробництво_Транспортування_1ст!F203</f>
        <v>300</v>
      </c>
      <c r="F46" s="2099">
        <f>Виробництво_Транспортування_1ст!G203</f>
        <v>1.7294240759950598E-2</v>
      </c>
      <c r="G46" s="1482">
        <f>Виробництво_Транспортування_1ст!H203</f>
        <v>0</v>
      </c>
    </row>
    <row r="47" spans="1:7" x14ac:dyDescent="0.25">
      <c r="A47" s="808" t="str">
        <f>Виробництво_Транспортування_1ст!B204</f>
        <v>інші</v>
      </c>
      <c r="B47" s="2099">
        <f>Виробництво_Транспортування_1ст!C204</f>
        <v>0.12694983657446296</v>
      </c>
      <c r="C47" s="1482">
        <f>Виробництво_Транспортування_1ст!D204</f>
        <v>1118.3823444989987</v>
      </c>
      <c r="D47" s="2099">
        <f>Виробництво_Транспортування_1ст!E204</f>
        <v>0.14416349542245877</v>
      </c>
      <c r="E47" s="1482">
        <f>Виробництво_Транспортування_1ст!F204</f>
        <v>2580.5899999999974</v>
      </c>
      <c r="F47" s="2099">
        <f>Виробництво_Транспортування_1ст!G204</f>
        <v>-1.7213658847995805E-2</v>
      </c>
      <c r="G47" s="1482">
        <f>Виробництво_Транспортування_1ст!H204</f>
        <v>-1462.2076555009987</v>
      </c>
    </row>
    <row r="48" spans="1:7" x14ac:dyDescent="0.25">
      <c r="A48" s="808" t="str">
        <f>Виробництво_Транспортування_1ст!B205</f>
        <v>Прибуток</v>
      </c>
      <c r="B48" s="2099">
        <f>Виробництво_Транспортування_1ст!C205</f>
        <v>0</v>
      </c>
      <c r="C48" s="1482">
        <f>Виробництво_Транспортування_1ст!D205</f>
        <v>0</v>
      </c>
      <c r="D48" s="2099">
        <f>Виробництво_Транспортування_1ст!E205</f>
        <v>0</v>
      </c>
      <c r="E48" s="1482">
        <f>Виробництво_Транспортування_1ст!F205</f>
        <v>0</v>
      </c>
      <c r="F48" s="2099">
        <f>Виробництво_Транспортування_1ст!G205</f>
        <v>0</v>
      </c>
      <c r="G48" s="1482">
        <f>Виробництво_Транспортування_1ст!H205</f>
        <v>0</v>
      </c>
    </row>
    <row r="49" spans="1:7" x14ac:dyDescent="0.25">
      <c r="A49" s="808" t="str">
        <f>Виробництво_Транспортування_1ст!B206</f>
        <v>Разом:</v>
      </c>
      <c r="B49" s="2099">
        <f>Виробництво_Транспортування_1ст!C206</f>
        <v>0.99999999999999978</v>
      </c>
      <c r="C49" s="1482">
        <f>Виробництво_Транспортування_1ст!D206</f>
        <v>8809.639891446468</v>
      </c>
      <c r="D49" s="2099">
        <f>Виробництво_Транспортування_1ст!E206</f>
        <v>0.99999999999999989</v>
      </c>
      <c r="E49" s="1482">
        <f>Виробництво_Транспортування_1ст!F206</f>
        <v>17900.439999999999</v>
      </c>
      <c r="F49" s="2099">
        <f>Виробництво_Транспортування_1ст!G206</f>
        <v>0</v>
      </c>
      <c r="G49" s="1482">
        <f>Виробництво_Транспортування_1ст!H206</f>
        <v>-9090.8001085535307</v>
      </c>
    </row>
    <row r="51" spans="1:7" x14ac:dyDescent="0.25">
      <c r="A51" s="58" t="str">
        <f>Постачання_1ст!B71</f>
        <v>Порівняльна таблиця % планованих прямих витрат на постачання теплової енергії  в 2023-2024 роках ЧФ ДП "АМПУ" та урахованих в  діючих тарифах в 2022-2023 роках</v>
      </c>
    </row>
    <row r="52" spans="1:7" x14ac:dyDescent="0.25">
      <c r="D52" s="58" t="str">
        <f>Постачання_1ст!E72</f>
        <v>тис. грн.</v>
      </c>
    </row>
    <row r="53" spans="1:7" x14ac:dyDescent="0.25">
      <c r="A53" s="878" t="str">
        <f>Постачання_1ст!B73</f>
        <v>Показник</v>
      </c>
      <c r="B53" s="4428" t="str">
        <f>Постачання_1ст!C73</f>
        <v>Плановані тарифи</v>
      </c>
      <c r="C53" s="4428">
        <f>Постачання_1ст!D73</f>
        <v>0</v>
      </c>
      <c r="D53" s="4428" t="str">
        <f>Постачання_1ст!E73</f>
        <v>Діючі тарифи</v>
      </c>
      <c r="E53" s="4428">
        <f>Постачання_1ст!F73</f>
        <v>0</v>
      </c>
      <c r="F53" s="878" t="str">
        <f>Постачання_1ст!G73</f>
        <v>Відхилення</v>
      </c>
      <c r="G53" s="878" t="str">
        <f>Постачання_1ст!H73</f>
        <v>Різниця</v>
      </c>
    </row>
    <row r="54" spans="1:7" x14ac:dyDescent="0.25">
      <c r="A54" s="808" t="str">
        <f>Постачання_1ст!B74</f>
        <v>Зарплата</v>
      </c>
      <c r="B54" s="2099">
        <f>Постачання_1ст!C74</f>
        <v>0.65670110401533843</v>
      </c>
      <c r="C54" s="1482">
        <f>Постачання_1ст!D74</f>
        <v>297.08970999999997</v>
      </c>
      <c r="D54" s="2099">
        <f>Постачання_1ст!E74</f>
        <v>0.66983547017896983</v>
      </c>
      <c r="E54" s="1482">
        <f>Постачання_1ст!F74</f>
        <v>612.30999999999995</v>
      </c>
      <c r="F54" s="2099">
        <f>Постачання_1ст!G74</f>
        <v>-1.3134366163631395E-2</v>
      </c>
      <c r="G54" s="1482">
        <f>Постачання_1ст!H74</f>
        <v>-315.22028999999998</v>
      </c>
    </row>
    <row r="55" spans="1:7" x14ac:dyDescent="0.25">
      <c r="A55" s="808" t="str">
        <f>Постачання_1ст!B75</f>
        <v>Відрахування</v>
      </c>
      <c r="B55" s="2099">
        <f>Постачання_1ст!C75</f>
        <v>0.14447424288337446</v>
      </c>
      <c r="C55" s="1482">
        <f>Постачання_1ст!D75</f>
        <v>65.3597362</v>
      </c>
      <c r="D55" s="2099">
        <f>Постачання_1ст!E75</f>
        <v>0.14736577254627403</v>
      </c>
      <c r="E55" s="1482">
        <f>Постачання_1ст!F75</f>
        <v>134.71</v>
      </c>
      <c r="F55" s="2099">
        <f>Постачання_1ст!G75</f>
        <v>-2.8915296628995724E-3</v>
      </c>
      <c r="G55" s="1482">
        <f>Постачання_1ст!H75</f>
        <v>-69.350263800000008</v>
      </c>
    </row>
    <row r="56" spans="1:7" x14ac:dyDescent="0.25">
      <c r="A56" s="808" t="str">
        <f>Постачання_1ст!B76</f>
        <v>газ</v>
      </c>
      <c r="B56" s="2099">
        <f>Постачання_1ст!C76</f>
        <v>0</v>
      </c>
      <c r="C56" s="1482">
        <f>Постачання_1ст!D76</f>
        <v>0</v>
      </c>
      <c r="D56" s="2099">
        <f>Постачання_1ст!E76</f>
        <v>0</v>
      </c>
      <c r="E56" s="1482">
        <f>Постачання_1ст!F76</f>
        <v>0</v>
      </c>
      <c r="F56" s="2099">
        <f>Постачання_1ст!G76</f>
        <v>0</v>
      </c>
      <c r="G56" s="1482">
        <f>Постачання_1ст!H76</f>
        <v>0</v>
      </c>
    </row>
    <row r="57" spans="1:7" x14ac:dyDescent="0.25">
      <c r="A57" s="808" t="str">
        <f>Постачання_1ст!B77</f>
        <v>електроенергія</v>
      </c>
      <c r="B57" s="2099">
        <f>Постачання_1ст!C77</f>
        <v>0</v>
      </c>
      <c r="C57" s="1482">
        <f>Постачання_1ст!D77</f>
        <v>0</v>
      </c>
      <c r="D57" s="2099">
        <f>Постачання_1ст!E77</f>
        <v>0</v>
      </c>
      <c r="E57" s="1482">
        <f>Постачання_1ст!F77</f>
        <v>0</v>
      </c>
      <c r="F57" s="2099">
        <f>Постачання_1ст!G77</f>
        <v>0</v>
      </c>
      <c r="G57" s="1482">
        <f>Постачання_1ст!H77</f>
        <v>0</v>
      </c>
    </row>
    <row r="58" spans="1:7" ht="31.5" x14ac:dyDescent="0.25">
      <c r="A58" s="808" t="str">
        <f>Постачання_1ст!B78</f>
        <v>водопостачання, водовідведення</v>
      </c>
      <c r="B58" s="2099">
        <f>Постачання_1ст!C78</f>
        <v>0</v>
      </c>
      <c r="C58" s="1482">
        <f>Постачання_1ст!D78</f>
        <v>0</v>
      </c>
      <c r="D58" s="2099">
        <f>Постачання_1ст!E78</f>
        <v>0</v>
      </c>
      <c r="E58" s="1482">
        <f>Постачання_1ст!F78</f>
        <v>0</v>
      </c>
      <c r="F58" s="2099">
        <f>Постачання_1ст!G78</f>
        <v>0</v>
      </c>
      <c r="G58" s="1482">
        <f>Постачання_1ст!H78</f>
        <v>0</v>
      </c>
    </row>
    <row r="59" spans="1:7" x14ac:dyDescent="0.25">
      <c r="A59" s="808" t="str">
        <f>Постачання_1ст!B79</f>
        <v>амортизація</v>
      </c>
      <c r="B59" s="2099">
        <f>Постачання_1ст!C79</f>
        <v>0</v>
      </c>
      <c r="C59" s="1482">
        <f>Постачання_1ст!D79</f>
        <v>0</v>
      </c>
      <c r="D59" s="2099">
        <f>Постачання_1ст!E79</f>
        <v>0</v>
      </c>
      <c r="E59" s="1482">
        <f>Постачання_1ст!F79</f>
        <v>0</v>
      </c>
      <c r="F59" s="2099">
        <f>Постачання_1ст!G79</f>
        <v>0</v>
      </c>
      <c r="G59" s="1482">
        <f>Постачання_1ст!H79</f>
        <v>0</v>
      </c>
    </row>
    <row r="60" spans="1:7" x14ac:dyDescent="0.25">
      <c r="A60" s="808" t="str">
        <f>Постачання_1ст!B80</f>
        <v>податки</v>
      </c>
      <c r="B60" s="2099">
        <f>Постачання_1ст!C80</f>
        <v>0</v>
      </c>
      <c r="C60" s="1482">
        <f>Постачання_1ст!D80</f>
        <v>0</v>
      </c>
      <c r="D60" s="2099">
        <f>Постачання_1ст!E80</f>
        <v>0</v>
      </c>
      <c r="E60" s="1482">
        <f>Постачання_1ст!F80</f>
        <v>0</v>
      </c>
      <c r="F60" s="2099">
        <f>Постачання_1ст!G80</f>
        <v>0</v>
      </c>
      <c r="G60" s="1482">
        <f>Постачання_1ст!H80</f>
        <v>0</v>
      </c>
    </row>
    <row r="61" spans="1:7" x14ac:dyDescent="0.25">
      <c r="A61" s="808" t="str">
        <f>Постачання_1ст!B81</f>
        <v>Ремонти</v>
      </c>
      <c r="B61" s="2099">
        <f>Постачання_1ст!C81</f>
        <v>0</v>
      </c>
      <c r="C61" s="1482">
        <f>Постачання_1ст!D81</f>
        <v>0</v>
      </c>
      <c r="D61" s="2099">
        <f>Постачання_1ст!E81</f>
        <v>0</v>
      </c>
      <c r="E61" s="1482">
        <f>Постачання_1ст!F81</f>
        <v>0</v>
      </c>
      <c r="F61" s="2099">
        <f>Постачання_1ст!G81</f>
        <v>0</v>
      </c>
      <c r="G61" s="1482">
        <f>Постачання_1ст!H81</f>
        <v>0</v>
      </c>
    </row>
    <row r="62" spans="1:7" x14ac:dyDescent="0.25">
      <c r="A62" s="808" t="str">
        <f>Постачання_1ст!B82</f>
        <v>інші</v>
      </c>
      <c r="B62" s="2099">
        <f>Постачання_1ст!C82</f>
        <v>0.19882465310128716</v>
      </c>
      <c r="C62" s="1482">
        <f>Постачання_1ст!D82</f>
        <v>89.94770706115996</v>
      </c>
      <c r="D62" s="2099">
        <f>Постачання_1ст!E82</f>
        <v>0.18279875727475611</v>
      </c>
      <c r="E62" s="1482">
        <f>Постачання_1ст!F82</f>
        <v>167.10000000000005</v>
      </c>
      <c r="F62" s="2099">
        <f>Постачання_1ст!G82</f>
        <v>1.602589582653105E-2</v>
      </c>
      <c r="G62" s="1482">
        <f>Постачання_1ст!H82</f>
        <v>-77.152292938840091</v>
      </c>
    </row>
    <row r="63" spans="1:7" x14ac:dyDescent="0.25">
      <c r="A63" s="808" t="str">
        <f>Постачання_1ст!B83</f>
        <v>Прибуток</v>
      </c>
      <c r="B63" s="2099">
        <f>Постачання_1ст!C83</f>
        <v>0</v>
      </c>
      <c r="C63" s="1482">
        <f>Постачання_1ст!D83</f>
        <v>0</v>
      </c>
      <c r="D63" s="2099">
        <f>Постачання_1ст!E83</f>
        <v>0</v>
      </c>
      <c r="E63" s="1482">
        <f>Постачання_1ст!F83</f>
        <v>0</v>
      </c>
      <c r="F63" s="2099">
        <f>Постачання_1ст!G83</f>
        <v>0</v>
      </c>
      <c r="G63" s="1482">
        <f>Постачання_1ст!H83</f>
        <v>0</v>
      </c>
    </row>
    <row r="64" spans="1:7" x14ac:dyDescent="0.25">
      <c r="A64" s="808" t="str">
        <f>Постачання_1ст!B84</f>
        <v>Разом:</v>
      </c>
      <c r="B64" s="2099">
        <f>Постачання_1ст!C84</f>
        <v>1</v>
      </c>
      <c r="C64" s="1482">
        <f>Постачання_1ст!D84</f>
        <v>452.39715326115993</v>
      </c>
      <c r="D64" s="2099">
        <f>Постачання_1ст!E84</f>
        <v>1</v>
      </c>
      <c r="E64" s="1482">
        <f>Постачання_1ст!F84</f>
        <v>914.12</v>
      </c>
      <c r="F64" s="2099">
        <f>Постачання_1ст!G84</f>
        <v>0</v>
      </c>
      <c r="G64" s="1482">
        <f>Постачання_1ст!H84</f>
        <v>-461.72284673884008</v>
      </c>
    </row>
    <row r="66" spans="1:7" x14ac:dyDescent="0.25">
      <c r="A66" s="58" t="str">
        <f>ЗВВ_1ст!B77</f>
        <v>Порівняльна таблиця % планованих загальновиробничих витрат на  теплову енергію  в 2021-2022 роках КП "ЧТЕ" та урахованих в  діючих тарифах в 2020-2021 роках</v>
      </c>
    </row>
    <row r="67" spans="1:7" x14ac:dyDescent="0.25">
      <c r="D67" s="58" t="str">
        <f>ЗВВ_1ст!E78</f>
        <v>тис. грн.</v>
      </c>
    </row>
    <row r="68" spans="1:7" x14ac:dyDescent="0.25">
      <c r="A68" s="878" t="str">
        <f>ЗВВ_1ст!B79</f>
        <v>Показник</v>
      </c>
      <c r="B68" s="4428" t="str">
        <f>ЗВВ_1ст!C79</f>
        <v>Плановані тарифи</v>
      </c>
      <c r="C68" s="4428">
        <f>ЗВВ_1ст!D79</f>
        <v>0</v>
      </c>
      <c r="D68" s="4428" t="str">
        <f>ЗВВ_1ст!E79</f>
        <v>Діючі тарифи</v>
      </c>
      <c r="E68" s="4428">
        <f>ЗВВ_1ст!F79</f>
        <v>0</v>
      </c>
      <c r="F68" s="878" t="str">
        <f>ЗВВ_1ст!G79</f>
        <v>Відхилення</v>
      </c>
      <c r="G68" s="878" t="str">
        <f>ЗВВ_1ст!H79</f>
        <v>Різниця</v>
      </c>
    </row>
    <row r="69" spans="1:7" x14ac:dyDescent="0.25">
      <c r="A69" s="808" t="str">
        <f>ЗВВ_1ст!B80</f>
        <v>Зарплата</v>
      </c>
      <c r="B69" s="2099">
        <f>ЗВВ_1ст!C80</f>
        <v>0.7241988965392594</v>
      </c>
      <c r="C69" s="1482">
        <f>ЗВВ_1ст!D80</f>
        <v>2816.3291200000003</v>
      </c>
      <c r="D69" s="2099">
        <f>ЗВВ_1ст!E80</f>
        <v>0.665989669652571</v>
      </c>
      <c r="E69" s="1482">
        <f>ЗВВ_1ст!F80</f>
        <v>2620.0300000000002</v>
      </c>
      <c r="F69" s="2099">
        <f>ЗВВ_1ст!G80</f>
        <v>5.8209226886688392E-2</v>
      </c>
      <c r="G69" s="1482">
        <f>ЗВВ_1ст!H80</f>
        <v>196.29912000000013</v>
      </c>
    </row>
    <row r="70" spans="1:7" x14ac:dyDescent="0.25">
      <c r="A70" s="808" t="str">
        <f>ЗВВ_1ст!B81</f>
        <v>Відрахування</v>
      </c>
      <c r="B70" s="2099">
        <f>ЗВВ_1ст!C81</f>
        <v>0.15932375723863706</v>
      </c>
      <c r="C70" s="1482">
        <f>ЗВВ_1ст!D81</f>
        <v>619.59240640000007</v>
      </c>
      <c r="D70" s="2099">
        <f>ЗВВ_1ст!E81</f>
        <v>0.14651859157507294</v>
      </c>
      <c r="E70" s="1482">
        <f>ЗВВ_1ст!F81</f>
        <v>576.41</v>
      </c>
      <c r="F70" s="2099">
        <f>ЗВВ_1ст!G81</f>
        <v>1.2805165663564128E-2</v>
      </c>
      <c r="G70" s="1482">
        <f>ЗВВ_1ст!H81</f>
        <v>43.182406400000104</v>
      </c>
    </row>
    <row r="71" spans="1:7" x14ac:dyDescent="0.25">
      <c r="A71" s="808" t="str">
        <f>ЗВВ_1ст!B82</f>
        <v>газ</v>
      </c>
      <c r="B71" s="2099">
        <f>ЗВВ_1ст!C82</f>
        <v>0</v>
      </c>
      <c r="C71" s="1482">
        <f>ЗВВ_1ст!D82</f>
        <v>0</v>
      </c>
      <c r="D71" s="2099">
        <f>ЗВВ_1ст!E82</f>
        <v>0</v>
      </c>
      <c r="E71" s="1482">
        <f>ЗВВ_1ст!F82</f>
        <v>0</v>
      </c>
      <c r="F71" s="2099">
        <f>ЗВВ_1ст!G82</f>
        <v>0</v>
      </c>
      <c r="G71" s="1482">
        <f>ЗВВ_1ст!H82</f>
        <v>0</v>
      </c>
    </row>
    <row r="72" spans="1:7" x14ac:dyDescent="0.25">
      <c r="A72" s="808" t="str">
        <f>ЗВВ_1ст!B83</f>
        <v>електроенергія</v>
      </c>
      <c r="B72" s="2099">
        <f>ЗВВ_1ст!C83</f>
        <v>0</v>
      </c>
      <c r="C72" s="1482">
        <f>ЗВВ_1ст!D83</f>
        <v>0</v>
      </c>
      <c r="D72" s="2099">
        <f>ЗВВ_1ст!E83</f>
        <v>0</v>
      </c>
      <c r="E72" s="1482">
        <f>ЗВВ_1ст!F83</f>
        <v>0</v>
      </c>
      <c r="F72" s="2099">
        <f>ЗВВ_1ст!G83</f>
        <v>0</v>
      </c>
      <c r="G72" s="1482">
        <f>ЗВВ_1ст!H83</f>
        <v>0</v>
      </c>
    </row>
    <row r="73" spans="1:7" ht="31.5" x14ac:dyDescent="0.25">
      <c r="A73" s="808" t="str">
        <f>ЗВВ_1ст!B84</f>
        <v>водопостачання, водовідведення</v>
      </c>
      <c r="B73" s="2099">
        <f>ЗВВ_1ст!C84</f>
        <v>0</v>
      </c>
      <c r="C73" s="1482">
        <f>ЗВВ_1ст!D84</f>
        <v>0</v>
      </c>
      <c r="D73" s="2099">
        <f>ЗВВ_1ст!E84</f>
        <v>0</v>
      </c>
      <c r="E73" s="1482">
        <f>ЗВВ_1ст!F84</f>
        <v>0</v>
      </c>
      <c r="F73" s="2099">
        <f>ЗВВ_1ст!G84</f>
        <v>0</v>
      </c>
      <c r="G73" s="1482">
        <f>ЗВВ_1ст!H84</f>
        <v>0</v>
      </c>
    </row>
    <row r="74" spans="1:7" x14ac:dyDescent="0.25">
      <c r="A74" s="808" t="str">
        <f>ЗВВ_1ст!B85</f>
        <v>амортизація</v>
      </c>
      <c r="B74" s="2099">
        <f>ЗВВ_1ст!C85</f>
        <v>6.2462569700785352E-3</v>
      </c>
      <c r="C74" s="1482">
        <f>ЗВВ_1ст!D85</f>
        <v>24.291</v>
      </c>
      <c r="D74" s="2099">
        <f>ЗВВ_1ст!E85</f>
        <v>1.4234730709397975E-4</v>
      </c>
      <c r="E74" s="1482">
        <f>ЗВВ_1ст!F85</f>
        <v>0.56000000000000005</v>
      </c>
      <c r="F74" s="2099">
        <f>ЗВВ_1ст!G85</f>
        <v>6.1039096629845555E-3</v>
      </c>
      <c r="G74" s="1482">
        <f>ЗВВ_1ст!H85</f>
        <v>23.731000000000002</v>
      </c>
    </row>
    <row r="75" spans="1:7" x14ac:dyDescent="0.25">
      <c r="A75" s="808" t="str">
        <f>ЗВВ_1ст!B86</f>
        <v>податки</v>
      </c>
      <c r="B75" s="2099">
        <f>ЗВВ_1ст!C86</f>
        <v>0</v>
      </c>
      <c r="C75" s="1482">
        <f>ЗВВ_1ст!D86</f>
        <v>0</v>
      </c>
      <c r="D75" s="2099">
        <f>ЗВВ_1ст!E86</f>
        <v>0</v>
      </c>
      <c r="E75" s="1482">
        <f>ЗВВ_1ст!F86</f>
        <v>0</v>
      </c>
      <c r="F75" s="2099">
        <f>ЗВВ_1ст!G86</f>
        <v>0</v>
      </c>
      <c r="G75" s="1482">
        <f>ЗВВ_1ст!H86</f>
        <v>0</v>
      </c>
    </row>
    <row r="76" spans="1:7" x14ac:dyDescent="0.25">
      <c r="A76" s="808" t="str">
        <f>ЗВВ_1ст!B87</f>
        <v>Ремонти</v>
      </c>
      <c r="B76" s="2099">
        <f>ЗВВ_1ст!C87</f>
        <v>1.7719713795566747E-3</v>
      </c>
      <c r="C76" s="1482">
        <f>ЗВВ_1ст!D87</f>
        <v>6.891</v>
      </c>
      <c r="D76" s="2099">
        <f>ЗВВ_1ст!E87</f>
        <v>0</v>
      </c>
      <c r="E76" s="1482">
        <f>ЗВВ_1ст!F87</f>
        <v>0</v>
      </c>
      <c r="F76" s="2099">
        <f>ЗВВ_1ст!G87</f>
        <v>1.7719713795566747E-3</v>
      </c>
      <c r="G76" s="1482">
        <f>ЗВВ_1ст!H87</f>
        <v>6.891</v>
      </c>
    </row>
    <row r="77" spans="1:7" x14ac:dyDescent="0.25">
      <c r="A77" s="808" t="str">
        <f>ЗВВ_1ст!B88</f>
        <v>інші</v>
      </c>
      <c r="B77" s="2099">
        <f>ЗВВ_1ст!C88</f>
        <v>0.10845911787246833</v>
      </c>
      <c r="C77" s="1482">
        <f>ЗВВ_1ст!D88</f>
        <v>421.78547006000031</v>
      </c>
      <c r="D77" s="2099">
        <f>ЗВВ_1ст!E88</f>
        <v>0.18734939146526217</v>
      </c>
      <c r="E77" s="1482">
        <f>ЗВВ_1ст!F88</f>
        <v>737.04</v>
      </c>
      <c r="F77" s="2099">
        <f>ЗВВ_1ст!G88</f>
        <v>-7.8890273592793839E-2</v>
      </c>
      <c r="G77" s="1482">
        <f>ЗВВ_1ст!H88</f>
        <v>-315.25452993999966</v>
      </c>
    </row>
    <row r="78" spans="1:7" x14ac:dyDescent="0.25">
      <c r="A78" s="808" t="str">
        <f>ЗВВ_1ст!B89</f>
        <v>Прибуток</v>
      </c>
      <c r="B78" s="2099">
        <f>ЗВВ_1ст!C89</f>
        <v>0</v>
      </c>
      <c r="C78" s="1482">
        <f>ЗВВ_1ст!D89</f>
        <v>0</v>
      </c>
      <c r="D78" s="2099">
        <f>ЗВВ_1ст!E89</f>
        <v>0</v>
      </c>
      <c r="E78" s="1482">
        <f>ЗВВ_1ст!F89</f>
        <v>0</v>
      </c>
      <c r="F78" s="2099">
        <f>ЗВВ_1ст!G89</f>
        <v>0</v>
      </c>
      <c r="G78" s="1482">
        <f>ЗВВ_1ст!H89</f>
        <v>0</v>
      </c>
    </row>
    <row r="79" spans="1:7" x14ac:dyDescent="0.25">
      <c r="A79" s="808" t="str">
        <f>ЗВВ_1ст!B90</f>
        <v>Разом:</v>
      </c>
      <c r="B79" s="2099">
        <f>ЗВВ_1ст!C90</f>
        <v>0.99999999999999989</v>
      </c>
      <c r="C79" s="1482">
        <f>ЗВВ_1ст!D90</f>
        <v>3888.8889964600007</v>
      </c>
      <c r="D79" s="2099">
        <f>ЗВВ_1ст!E90</f>
        <v>1</v>
      </c>
      <c r="E79" s="1482">
        <f>ЗВВ_1ст!F90</f>
        <v>3934.04</v>
      </c>
      <c r="F79" s="2099">
        <f>ЗВВ_1ст!G90</f>
        <v>0</v>
      </c>
      <c r="G79" s="1482">
        <f>ЗВВ_1ст!H90</f>
        <v>-45.151003539999238</v>
      </c>
    </row>
    <row r="81" spans="1:7" x14ac:dyDescent="0.25">
      <c r="A81" s="58" t="str">
        <f>Адміністративні_1ст!B103</f>
        <v>Порівняльна таблиця % планованих адміністративних витрат на тепловe енергі.  в 2022-2023 роках ЧФ ДП "АМПУ" та урахованих в  діючих тарифах в 2020-2021 роках</v>
      </c>
    </row>
    <row r="82" spans="1:7" x14ac:dyDescent="0.25">
      <c r="D82" s="58" t="str">
        <f>Адміністративні_1ст!E104</f>
        <v>тис. грн.</v>
      </c>
    </row>
    <row r="83" spans="1:7" x14ac:dyDescent="0.25">
      <c r="A83" s="878" t="str">
        <f>Адміністративні_1ст!B105</f>
        <v>Показник</v>
      </c>
      <c r="B83" s="4428" t="str">
        <f>Адміністративні_1ст!C105</f>
        <v>Плановані тарифи</v>
      </c>
      <c r="C83" s="4428">
        <f>Адміністративні_1ст!D105</f>
        <v>0</v>
      </c>
      <c r="D83" s="4428" t="str">
        <f>Адміністративні_1ст!E105</f>
        <v>Діючі тарифи</v>
      </c>
      <c r="E83" s="4428">
        <f>Адміністративні_1ст!F105</f>
        <v>0</v>
      </c>
      <c r="F83" s="878" t="str">
        <f>Адміністративні_1ст!G105</f>
        <v>Відхилення</v>
      </c>
      <c r="G83" s="878" t="str">
        <f>Адміністративні_1ст!H105</f>
        <v>Різниця</v>
      </c>
    </row>
    <row r="84" spans="1:7" x14ac:dyDescent="0.25">
      <c r="A84" s="808" t="str">
        <f>Адміністративні_1ст!B106</f>
        <v>Зарплата</v>
      </c>
      <c r="B84" s="2099">
        <f>Адміністративні_1ст!C106</f>
        <v>0.55340579932929268</v>
      </c>
      <c r="C84" s="1482">
        <f>Адміністративні_1ст!D106</f>
        <v>659.72301000000004</v>
      </c>
      <c r="D84" s="2099">
        <f>Адміністративні_1ст!E106</f>
        <v>0.62270478424971942</v>
      </c>
      <c r="E84" s="1482">
        <f>Адміністративні_1ст!F106</f>
        <v>976.7</v>
      </c>
      <c r="F84" s="2099">
        <f>Адміністративні_1ст!G106</f>
        <v>-6.9298984920426743E-2</v>
      </c>
      <c r="G84" s="1482">
        <f>Адміністративні_1ст!H106</f>
        <v>-316.97699</v>
      </c>
    </row>
    <row r="85" spans="1:7" x14ac:dyDescent="0.25">
      <c r="A85" s="808" t="str">
        <f>Адміністративні_1ст!B107</f>
        <v>Відрахування</v>
      </c>
      <c r="B85" s="2099">
        <f>Адміністративні_1ст!C107</f>
        <v>0.12174927585244438</v>
      </c>
      <c r="C85" s="1482">
        <f>Адміністративні_1ст!D107</f>
        <v>145.13906220000001</v>
      </c>
      <c r="D85" s="2099">
        <f>Адміністративні_1ст!E107</f>
        <v>0.13699887789452206</v>
      </c>
      <c r="E85" s="1482">
        <f>Адміністративні_1ст!F107</f>
        <v>214.88</v>
      </c>
      <c r="F85" s="2099">
        <f>Адміністративні_1ст!G107</f>
        <v>-1.5249602042077676E-2</v>
      </c>
      <c r="G85" s="1482">
        <f>Адміністративні_1ст!H107</f>
        <v>-69.740937799999983</v>
      </c>
    </row>
    <row r="86" spans="1:7" x14ac:dyDescent="0.25">
      <c r="A86" s="808" t="str">
        <f>Адміністративні_1ст!B108</f>
        <v>газ</v>
      </c>
      <c r="B86" s="2099">
        <f>Адміністративні_1ст!C108</f>
        <v>0</v>
      </c>
      <c r="C86" s="1482">
        <f>Адміністративні_1ст!D108</f>
        <v>0</v>
      </c>
      <c r="D86" s="2099">
        <f>Адміністративні_1ст!E108</f>
        <v>0</v>
      </c>
      <c r="E86" s="1482">
        <f>Адміністративні_1ст!F108</f>
        <v>0</v>
      </c>
      <c r="F86" s="2099">
        <f>Адміністративні_1ст!G108</f>
        <v>0</v>
      </c>
      <c r="G86" s="1482">
        <f>Адміністративні_1ст!H108</f>
        <v>0</v>
      </c>
    </row>
    <row r="87" spans="1:7" x14ac:dyDescent="0.25">
      <c r="A87" s="808" t="str">
        <f>Адміністративні_1ст!B109</f>
        <v>електроенергія</v>
      </c>
      <c r="B87" s="2099">
        <f>Адміністративні_1ст!C109</f>
        <v>0</v>
      </c>
      <c r="C87" s="1482">
        <f>Адміністративні_1ст!D109</f>
        <v>0</v>
      </c>
      <c r="D87" s="2099">
        <f>Адміністративні_1ст!E109</f>
        <v>0</v>
      </c>
      <c r="E87" s="1482">
        <f>Адміністративні_1ст!F109</f>
        <v>0</v>
      </c>
      <c r="F87" s="2099">
        <f>Адміністративні_1ст!G109</f>
        <v>0</v>
      </c>
      <c r="G87" s="1482">
        <f>Адміністративні_1ст!H109</f>
        <v>0</v>
      </c>
    </row>
    <row r="88" spans="1:7" ht="31.5" x14ac:dyDescent="0.25">
      <c r="A88" s="808" t="str">
        <f>Адміністративні_1ст!B110</f>
        <v>водопостачання, водовідведення</v>
      </c>
      <c r="B88" s="2099">
        <f>Адміністративні_1ст!C110</f>
        <v>0</v>
      </c>
      <c r="C88" s="1482">
        <f>Адміністративні_1ст!D110</f>
        <v>0</v>
      </c>
      <c r="D88" s="2099">
        <f>Адміністративні_1ст!E110</f>
        <v>0</v>
      </c>
      <c r="E88" s="1482">
        <f>Адміністративні_1ст!F110</f>
        <v>0</v>
      </c>
      <c r="F88" s="2099">
        <f>Адміністративні_1ст!G110</f>
        <v>0</v>
      </c>
      <c r="G88" s="1482">
        <f>Адміністративні_1ст!H110</f>
        <v>0</v>
      </c>
    </row>
    <row r="89" spans="1:7" x14ac:dyDescent="0.25">
      <c r="A89" s="808" t="str">
        <f>Адміністративні_1ст!B111</f>
        <v>амортизація</v>
      </c>
      <c r="B89" s="2099">
        <f>Адміністративні_1ст!C111</f>
        <v>1.7911871882532012E-2</v>
      </c>
      <c r="C89" s="1482">
        <f>Адміністративні_1ст!D111</f>
        <v>21.353000000000002</v>
      </c>
      <c r="D89" s="2099">
        <f>Адміністративні_1ст!E111</f>
        <v>1.5798735081097623E-2</v>
      </c>
      <c r="E89" s="1482">
        <f>Адміністративні_1ст!F111</f>
        <v>24.78</v>
      </c>
      <c r="F89" s="2099">
        <f>Адміністративні_1ст!G111</f>
        <v>2.1131368014343892E-3</v>
      </c>
      <c r="G89" s="1482">
        <f>Адміністративні_1ст!H111</f>
        <v>-3.4269999999999996</v>
      </c>
    </row>
    <row r="90" spans="1:7" x14ac:dyDescent="0.25">
      <c r="A90" s="808" t="str">
        <f>Адміністративні_1ст!B112</f>
        <v>податки</v>
      </c>
      <c r="B90" s="2099">
        <f>Адміністративні_1ст!C112</f>
        <v>0</v>
      </c>
      <c r="C90" s="1482">
        <f>Адміністративні_1ст!D112</f>
        <v>0</v>
      </c>
      <c r="D90" s="2099">
        <f>Адміністративні_1ст!E112</f>
        <v>0</v>
      </c>
      <c r="E90" s="1482">
        <f>Адміністративні_1ст!F112</f>
        <v>0</v>
      </c>
      <c r="F90" s="2099">
        <f>Адміністративні_1ст!G112</f>
        <v>0</v>
      </c>
      <c r="G90" s="1482">
        <f>Адміністративні_1ст!H112</f>
        <v>0</v>
      </c>
    </row>
    <row r="91" spans="1:7" x14ac:dyDescent="0.25">
      <c r="A91" s="808" t="str">
        <f>Адміністративні_1ст!B113</f>
        <v>Ремонти</v>
      </c>
      <c r="B91" s="2099">
        <f>Адміністративні_1ст!C113</f>
        <v>0.15179919260088784</v>
      </c>
      <c r="C91" s="1482">
        <f>Адміністративні_1ст!D113</f>
        <v>180.96199999999999</v>
      </c>
      <c r="D91" s="2099">
        <f>Адміністративні_1ст!E113</f>
        <v>0</v>
      </c>
      <c r="E91" s="1482">
        <f>Адміністративні_1ст!F113</f>
        <v>0</v>
      </c>
      <c r="F91" s="2099">
        <f>Адміністративні_1ст!G113</f>
        <v>0.15179919260088784</v>
      </c>
      <c r="G91" s="1482">
        <f>Адміністративні_1ст!H113</f>
        <v>180.96199999999999</v>
      </c>
    </row>
    <row r="92" spans="1:7" x14ac:dyDescent="0.25">
      <c r="A92" s="808" t="str">
        <f>Адміністративні_1ст!B114</f>
        <v>інші</v>
      </c>
      <c r="B92" s="2099">
        <f>Адміністративні_1ст!C114</f>
        <v>0.15513386033484311</v>
      </c>
      <c r="C92" s="1482">
        <f>Адміністративні_1ст!D114</f>
        <v>184.93730535000014</v>
      </c>
      <c r="D92" s="2099">
        <f>Адміністративні_1ст!E114</f>
        <v>0.22449760277466094</v>
      </c>
      <c r="E92" s="1482">
        <f>Адміністративні_1ст!F114</f>
        <v>352.12000000000023</v>
      </c>
      <c r="F92" s="2099">
        <f>Адміністративні_1ст!G114</f>
        <v>-6.9363742439817827E-2</v>
      </c>
      <c r="G92" s="1482">
        <f>Адміністративні_1ст!H114</f>
        <v>-167.18269465000009</v>
      </c>
    </row>
    <row r="93" spans="1:7" x14ac:dyDescent="0.25">
      <c r="A93" s="808" t="str">
        <f>Адміністративні_1ст!B115</f>
        <v>Прибуток</v>
      </c>
      <c r="B93" s="2099">
        <f>Адміністративні_1ст!C115</f>
        <v>0</v>
      </c>
      <c r="C93" s="1482">
        <f>Адміністративні_1ст!D115</f>
        <v>0</v>
      </c>
      <c r="D93" s="2099">
        <f>Адміністративні_1ст!E115</f>
        <v>0</v>
      </c>
      <c r="E93" s="1482">
        <f>Адміністративні_1ст!F115</f>
        <v>0</v>
      </c>
      <c r="F93" s="2099">
        <f>Адміністративні_1ст!G115</f>
        <v>0</v>
      </c>
      <c r="G93" s="1482">
        <f>Адміністративні_1ст!H115</f>
        <v>0</v>
      </c>
    </row>
    <row r="94" spans="1:7" x14ac:dyDescent="0.25">
      <c r="A94" s="808" t="str">
        <f>Адміністративні_1ст!B116</f>
        <v>Разом:</v>
      </c>
      <c r="B94" s="2099">
        <f>Адміністративні_1ст!C116</f>
        <v>0.99999999999999989</v>
      </c>
      <c r="C94" s="1482">
        <f>Адміністративні_1ст!D116</f>
        <v>1192.1143775500002</v>
      </c>
      <c r="D94" s="2099">
        <f>Адміністративні_1ст!E116</f>
        <v>1</v>
      </c>
      <c r="E94" s="1482">
        <f>Адміністративні_1ст!F116</f>
        <v>1568.4800000000002</v>
      </c>
      <c r="F94" s="2099">
        <f>Адміністративні_1ст!G116</f>
        <v>0</v>
      </c>
      <c r="G94" s="1482">
        <f>Адміністративні_1ст!H116</f>
        <v>-376.36562245000005</v>
      </c>
    </row>
  </sheetData>
  <mergeCells count="10">
    <mergeCell ref="B68:C68"/>
    <mergeCell ref="D68:E68"/>
    <mergeCell ref="B83:C83"/>
    <mergeCell ref="D83:E83"/>
    <mergeCell ref="B22:C22"/>
    <mergeCell ref="D22:E22"/>
    <mergeCell ref="B38:C38"/>
    <mergeCell ref="D38:E38"/>
    <mergeCell ref="B53:C53"/>
    <mergeCell ref="D53:E53"/>
  </mergeCells>
  <pageMargins left="0.15748031496062992" right="0.15748031496062992" top="0.74803149606299213" bottom="0.74803149606299213" header="0.31496062992125984" footer="0.31496062992125984"/>
  <pageSetup paperSize="9" scale="97" orientation="landscape" horizontalDpi="0"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F30"/>
  <sheetViews>
    <sheetView workbookViewId="0">
      <selection activeCell="B7" sqref="B7"/>
    </sheetView>
  </sheetViews>
  <sheetFormatPr defaultColWidth="8.85546875" defaultRowHeight="15" x14ac:dyDescent="0.25"/>
  <cols>
    <col min="1" max="1" width="21.7109375" style="18" customWidth="1"/>
    <col min="2" max="6" width="13.28515625" style="18" customWidth="1"/>
    <col min="7" max="16384" width="8.85546875" style="18"/>
  </cols>
  <sheetData>
    <row r="1" spans="1:6" s="23" customFormat="1" ht="14.25" x14ac:dyDescent="0.2">
      <c r="A1" s="1322" t="s">
        <v>2235</v>
      </c>
      <c r="B1" s="1322" t="s">
        <v>1002</v>
      </c>
      <c r="C1" s="1322" t="s">
        <v>2236</v>
      </c>
      <c r="D1" s="1322" t="s">
        <v>2237</v>
      </c>
      <c r="E1" s="1322" t="s">
        <v>1969</v>
      </c>
      <c r="F1" s="1322" t="s">
        <v>2238</v>
      </c>
    </row>
    <row r="2" spans="1:6" ht="13.9" x14ac:dyDescent="0.25">
      <c r="A2" s="20" t="s">
        <v>2239</v>
      </c>
      <c r="B2" s="1474" t="e">
        <f>#REF!</f>
        <v>#REF!</v>
      </c>
      <c r="C2" s="1474" t="e">
        <f>#REF!</f>
        <v>#REF!</v>
      </c>
      <c r="D2" s="1474" t="e">
        <f>#REF!</f>
        <v>#REF!</v>
      </c>
      <c r="E2" s="1474" t="e">
        <f>#REF!</f>
        <v>#REF!</v>
      </c>
      <c r="F2" s="1474" t="e">
        <f>#REF!</f>
        <v>#REF!</v>
      </c>
    </row>
    <row r="3" spans="1:6" ht="13.9" x14ac:dyDescent="0.25">
      <c r="A3" s="20" t="s">
        <v>2240</v>
      </c>
      <c r="B3" s="1474" t="e">
        <f>#REF!</f>
        <v>#REF!</v>
      </c>
      <c r="C3" s="1474" t="e">
        <f>#REF!</f>
        <v>#REF!</v>
      </c>
      <c r="D3" s="1474" t="e">
        <f>#REF!</f>
        <v>#REF!</v>
      </c>
      <c r="E3" s="1474" t="e">
        <f>#REF!</f>
        <v>#REF!</v>
      </c>
      <c r="F3" s="1474" t="e">
        <f>#REF!</f>
        <v>#REF!</v>
      </c>
    </row>
    <row r="4" spans="1:6" ht="13.9" x14ac:dyDescent="0.25">
      <c r="A4" s="1323" t="s">
        <v>2241</v>
      </c>
      <c r="B4" s="1474" t="e">
        <f>#REF!</f>
        <v>#REF!</v>
      </c>
      <c r="C4" s="1474" t="e">
        <f>#REF!</f>
        <v>#REF!</v>
      </c>
      <c r="D4" s="1474" t="e">
        <f>#REF!</f>
        <v>#REF!</v>
      </c>
      <c r="E4" s="1474" t="e">
        <f>#REF!</f>
        <v>#REF!</v>
      </c>
      <c r="F4" s="1474" t="e">
        <f>#REF!</f>
        <v>#REF!</v>
      </c>
    </row>
    <row r="5" spans="1:6" ht="13.9" x14ac:dyDescent="0.25">
      <c r="A5" s="1323" t="s">
        <v>2242</v>
      </c>
      <c r="B5" s="1474" t="e">
        <f>#REF!</f>
        <v>#REF!</v>
      </c>
      <c r="C5" s="1474" t="e">
        <f>#REF!</f>
        <v>#REF!</v>
      </c>
      <c r="D5" s="1474" t="e">
        <f>#REF!</f>
        <v>#REF!</v>
      </c>
      <c r="E5" s="1474" t="e">
        <f>#REF!</f>
        <v>#REF!</v>
      </c>
      <c r="F5" s="1474" t="e">
        <f>#REF!</f>
        <v>#REF!</v>
      </c>
    </row>
    <row r="6" spans="1:6" ht="13.9" x14ac:dyDescent="0.25">
      <c r="A6" s="20" t="s">
        <v>2243</v>
      </c>
      <c r="B6" s="1474" t="e">
        <f>#REF!</f>
        <v>#REF!</v>
      </c>
      <c r="C6" s="1474" t="e">
        <f>#REF!</f>
        <v>#REF!</v>
      </c>
      <c r="D6" s="1474" t="e">
        <f>#REF!</f>
        <v>#REF!</v>
      </c>
      <c r="E6" s="1474" t="e">
        <f>#REF!</f>
        <v>#REF!</v>
      </c>
      <c r="F6" s="1474" t="e">
        <f>#REF!</f>
        <v>#REF!</v>
      </c>
    </row>
    <row r="7" spans="1:6" ht="13.9" x14ac:dyDescent="0.25">
      <c r="A7" s="20" t="s">
        <v>2227</v>
      </c>
      <c r="B7" s="883" t="e">
        <f>(-#REF!-#REF!-#REF!-#REF!-#REF!-Адміністративні_1ст!G36-Адміністративні_1ст!H36-Адміністративні_1ст!K36-Постачання_1ст!F25)*(-1)</f>
        <v>#REF!</v>
      </c>
      <c r="C7" s="883" t="e">
        <f>B7/B2*C2</f>
        <v>#REF!</v>
      </c>
      <c r="D7" s="883" t="e">
        <f>B7/B2*D2</f>
        <v>#REF!</v>
      </c>
      <c r="E7" s="883" t="e">
        <f>B7/B2*E2</f>
        <v>#REF!</v>
      </c>
      <c r="F7" s="883" t="e">
        <f>B7/B2*F2</f>
        <v>#REF!</v>
      </c>
    </row>
    <row r="8" spans="1:6" ht="13.9" x14ac:dyDescent="0.25">
      <c r="A8" s="1323" t="s">
        <v>2244</v>
      </c>
      <c r="B8" s="1324" t="e">
        <f>B7/B3</f>
        <v>#REF!</v>
      </c>
      <c r="C8" s="1324" t="e">
        <f>C7/C3</f>
        <v>#REF!</v>
      </c>
      <c r="D8" s="1324" t="e">
        <f>D7/D3</f>
        <v>#REF!</v>
      </c>
      <c r="E8" s="1324" t="e">
        <f>E7/E3</f>
        <v>#REF!</v>
      </c>
      <c r="F8" s="1324" t="e">
        <f>F7/F3</f>
        <v>#REF!</v>
      </c>
    </row>
    <row r="9" spans="1:6" ht="13.9" x14ac:dyDescent="0.25">
      <c r="A9" s="20" t="s">
        <v>2245</v>
      </c>
      <c r="B9" s="1324" t="e">
        <f>#REF!</f>
        <v>#REF!</v>
      </c>
      <c r="C9" s="1324" t="e">
        <f>#REF!</f>
        <v>#REF!</v>
      </c>
      <c r="D9" s="1324" t="e">
        <f>#REF!</f>
        <v>#REF!</v>
      </c>
      <c r="E9" s="1324" t="e">
        <f>#REF!</f>
        <v>#REF!</v>
      </c>
      <c r="F9" s="1324" t="e">
        <f>#REF!</f>
        <v>#REF!</v>
      </c>
    </row>
    <row r="10" spans="1:6" ht="13.9" x14ac:dyDescent="0.25">
      <c r="A10" s="1323" t="s">
        <v>2244</v>
      </c>
      <c r="B10" s="1324" t="e">
        <f>B9/B3</f>
        <v>#REF!</v>
      </c>
      <c r="C10" s="1324" t="e">
        <f t="shared" ref="C10:F10" si="0">C9/C3</f>
        <v>#REF!</v>
      </c>
      <c r="D10" s="1324" t="e">
        <f t="shared" si="0"/>
        <v>#REF!</v>
      </c>
      <c r="E10" s="1324" t="e">
        <f t="shared" si="0"/>
        <v>#REF!</v>
      </c>
      <c r="F10" s="1324" t="e">
        <f t="shared" si="0"/>
        <v>#REF!</v>
      </c>
    </row>
    <row r="13" spans="1:6" ht="13.9" x14ac:dyDescent="0.25">
      <c r="A13" s="3956" t="s">
        <v>2246</v>
      </c>
      <c r="B13" s="3956"/>
      <c r="C13" s="3956"/>
      <c r="D13" s="3956"/>
      <c r="E13" s="3956"/>
      <c r="F13" s="3956"/>
    </row>
    <row r="14" spans="1:6" s="23" customFormat="1" ht="14.25" x14ac:dyDescent="0.2">
      <c r="A14" s="1322" t="s">
        <v>2241</v>
      </c>
      <c r="B14" s="1322" t="s">
        <v>1002</v>
      </c>
      <c r="C14" s="1322" t="s">
        <v>2236</v>
      </c>
      <c r="D14" s="1322" t="s">
        <v>2237</v>
      </c>
      <c r="E14" s="1322" t="s">
        <v>1969</v>
      </c>
      <c r="F14" s="1322" t="s">
        <v>2238</v>
      </c>
    </row>
    <row r="15" spans="1:6" ht="13.9" x14ac:dyDescent="0.25">
      <c r="A15" s="20" t="s">
        <v>885</v>
      </c>
      <c r="B15" s="883" t="e">
        <f>#REF!</f>
        <v>#REF!</v>
      </c>
      <c r="C15" s="883" t="e">
        <f>#REF!</f>
        <v>#REF!</v>
      </c>
      <c r="D15" s="883" t="e">
        <f>IF(D4=0,0,#REF!)</f>
        <v>#REF!</v>
      </c>
      <c r="E15" s="883" t="e">
        <f>#REF!</f>
        <v>#REF!</v>
      </c>
      <c r="F15" s="883" t="e">
        <f>#REF!</f>
        <v>#REF!</v>
      </c>
    </row>
    <row r="16" spans="1:6" ht="13.9" x14ac:dyDescent="0.25">
      <c r="A16" s="1323" t="s">
        <v>2244</v>
      </c>
      <c r="B16" s="883" t="e">
        <f>B15/B6</f>
        <v>#REF!</v>
      </c>
      <c r="C16" s="883" t="e">
        <f t="shared" ref="C16:F16" si="1">C15/C6</f>
        <v>#REF!</v>
      </c>
      <c r="D16" s="883" t="e">
        <f>IF(D4=0,0,D15/D6)</f>
        <v>#REF!</v>
      </c>
      <c r="E16" s="883" t="e">
        <f t="shared" si="1"/>
        <v>#REF!</v>
      </c>
      <c r="F16" s="883" t="e">
        <f t="shared" si="1"/>
        <v>#REF!</v>
      </c>
    </row>
    <row r="17" spans="1:6" ht="13.9" x14ac:dyDescent="0.25">
      <c r="A17" s="20" t="s">
        <v>959</v>
      </c>
      <c r="B17" s="883" t="e">
        <f>#REF!</f>
        <v>#REF!</v>
      </c>
      <c r="C17" s="883" t="e">
        <f>#REF!</f>
        <v>#REF!</v>
      </c>
      <c r="D17" s="883" t="e">
        <f>IF(D4=0,0,#REF!)</f>
        <v>#REF!</v>
      </c>
      <c r="E17" s="883" t="e">
        <f>#REF!</f>
        <v>#REF!</v>
      </c>
      <c r="F17" s="883" t="e">
        <f>#REF!</f>
        <v>#REF!</v>
      </c>
    </row>
    <row r="18" spans="1:6" ht="13.9" x14ac:dyDescent="0.25">
      <c r="A18" s="1323" t="s">
        <v>2244</v>
      </c>
      <c r="B18" s="883" t="e">
        <f>B17/B4</f>
        <v>#REF!</v>
      </c>
      <c r="C18" s="883" t="e">
        <f t="shared" ref="C18:F18" si="2">C17/C4</f>
        <v>#REF!</v>
      </c>
      <c r="D18" s="883" t="e">
        <f>IF(D4=0,0,D17/D4)</f>
        <v>#REF!</v>
      </c>
      <c r="E18" s="883" t="e">
        <f t="shared" si="2"/>
        <v>#REF!</v>
      </c>
      <c r="F18" s="883" t="e">
        <f t="shared" si="2"/>
        <v>#REF!</v>
      </c>
    </row>
    <row r="19" spans="1:6" ht="13.9" x14ac:dyDescent="0.25">
      <c r="A19" s="20" t="s">
        <v>2138</v>
      </c>
      <c r="B19" s="883" t="e">
        <f>#REF!</f>
        <v>#REF!</v>
      </c>
      <c r="C19" s="883" t="e">
        <f>#REF!</f>
        <v>#REF!</v>
      </c>
      <c r="D19" s="883" t="e">
        <f>IF(D4=0,0,#REF!)</f>
        <v>#REF!</v>
      </c>
      <c r="E19" s="883" t="e">
        <f>#REF!</f>
        <v>#REF!</v>
      </c>
      <c r="F19" s="883" t="e">
        <f>#REF!</f>
        <v>#REF!</v>
      </c>
    </row>
    <row r="20" spans="1:6" ht="13.9" x14ac:dyDescent="0.25">
      <c r="A20" s="1323" t="s">
        <v>2244</v>
      </c>
      <c r="B20" s="883" t="e">
        <f>B19/B3</f>
        <v>#REF!</v>
      </c>
      <c r="C20" s="883" t="e">
        <f t="shared" ref="C20:F20" si="3">C19/C3</f>
        <v>#REF!</v>
      </c>
      <c r="D20" s="883" t="e">
        <f>IF(D4=0,0,D19/D3)</f>
        <v>#REF!</v>
      </c>
      <c r="E20" s="883" t="e">
        <f t="shared" si="3"/>
        <v>#REF!</v>
      </c>
      <c r="F20" s="883" t="e">
        <f t="shared" si="3"/>
        <v>#REF!</v>
      </c>
    </row>
    <row r="21" spans="1:6" s="23" customFormat="1" ht="14.25" x14ac:dyDescent="0.2">
      <c r="A21" s="1325" t="s">
        <v>1002</v>
      </c>
      <c r="B21" s="1326" t="e">
        <f>B16+B18+B20</f>
        <v>#REF!</v>
      </c>
      <c r="C21" s="1326" t="e">
        <f t="shared" ref="C21:F21" si="4">C16+C18+C20</f>
        <v>#REF!</v>
      </c>
      <c r="D21" s="1326" t="e">
        <f t="shared" si="4"/>
        <v>#REF!</v>
      </c>
      <c r="E21" s="1326" t="e">
        <f t="shared" si="4"/>
        <v>#REF!</v>
      </c>
      <c r="F21" s="1326" t="e">
        <f t="shared" si="4"/>
        <v>#REF!</v>
      </c>
    </row>
    <row r="23" spans="1:6" s="23" customFormat="1" ht="14.25" x14ac:dyDescent="0.2">
      <c r="A23" s="1322" t="s">
        <v>2242</v>
      </c>
      <c r="B23" s="1322" t="s">
        <v>1002</v>
      </c>
      <c r="C23" s="1322" t="s">
        <v>2236</v>
      </c>
      <c r="D23" s="1322" t="s">
        <v>2237</v>
      </c>
      <c r="E23" s="1322" t="s">
        <v>1969</v>
      </c>
      <c r="F23" s="1322" t="s">
        <v>2238</v>
      </c>
    </row>
    <row r="24" spans="1:6" ht="13.9" x14ac:dyDescent="0.25">
      <c r="A24" s="20" t="s">
        <v>885</v>
      </c>
      <c r="B24" s="883" t="e">
        <f>#REF!</f>
        <v>#REF!</v>
      </c>
      <c r="C24" s="883" t="e">
        <f>#REF!</f>
        <v>#REF!</v>
      </c>
      <c r="D24" s="883" t="e">
        <f>#REF!</f>
        <v>#REF!</v>
      </c>
      <c r="E24" s="883" t="e">
        <f>#REF!</f>
        <v>#REF!</v>
      </c>
      <c r="F24" s="883" t="e">
        <f>#REF!</f>
        <v>#REF!</v>
      </c>
    </row>
    <row r="25" spans="1:6" ht="13.9" x14ac:dyDescent="0.25">
      <c r="A25" s="1323" t="s">
        <v>2244</v>
      </c>
      <c r="B25" s="883" t="e">
        <f>B24/B6</f>
        <v>#REF!</v>
      </c>
      <c r="C25" s="883" t="e">
        <f t="shared" ref="C25:F25" si="5">C24/C6</f>
        <v>#REF!</v>
      </c>
      <c r="D25" s="883" t="e">
        <f t="shared" si="5"/>
        <v>#REF!</v>
      </c>
      <c r="E25" s="883" t="e">
        <f t="shared" si="5"/>
        <v>#REF!</v>
      </c>
      <c r="F25" s="883" t="e">
        <f t="shared" si="5"/>
        <v>#REF!</v>
      </c>
    </row>
    <row r="26" spans="1:6" ht="13.9" x14ac:dyDescent="0.25">
      <c r="A26" s="20" t="s">
        <v>959</v>
      </c>
      <c r="B26" s="883" t="e">
        <f>#REF!</f>
        <v>#REF!</v>
      </c>
      <c r="C26" s="883" t="e">
        <f>#REF!</f>
        <v>#REF!</v>
      </c>
      <c r="D26" s="883" t="e">
        <f>#REF!</f>
        <v>#REF!</v>
      </c>
      <c r="E26" s="883" t="e">
        <f>#REF!</f>
        <v>#REF!</v>
      </c>
      <c r="F26" s="883" t="e">
        <f>#REF!</f>
        <v>#REF!</v>
      </c>
    </row>
    <row r="27" spans="1:6" ht="13.9" x14ac:dyDescent="0.25">
      <c r="A27" s="1323" t="s">
        <v>2244</v>
      </c>
      <c r="B27" s="883" t="e">
        <f>B26/B5</f>
        <v>#REF!</v>
      </c>
      <c r="C27" s="883" t="e">
        <f t="shared" ref="C27:F27" si="6">C26/C5</f>
        <v>#REF!</v>
      </c>
      <c r="D27" s="883" t="e">
        <f t="shared" si="6"/>
        <v>#REF!</v>
      </c>
      <c r="E27" s="883" t="e">
        <f t="shared" si="6"/>
        <v>#REF!</v>
      </c>
      <c r="F27" s="883" t="e">
        <f t="shared" si="6"/>
        <v>#REF!</v>
      </c>
    </row>
    <row r="28" spans="1:6" ht="13.9" x14ac:dyDescent="0.25">
      <c r="A28" s="20" t="s">
        <v>2138</v>
      </c>
      <c r="B28" s="883" t="e">
        <f>#REF!</f>
        <v>#REF!</v>
      </c>
      <c r="C28" s="883" t="e">
        <f>#REF!</f>
        <v>#REF!</v>
      </c>
      <c r="D28" s="883" t="e">
        <f>#REF!</f>
        <v>#REF!</v>
      </c>
      <c r="E28" s="883" t="e">
        <f>#REF!</f>
        <v>#REF!</v>
      </c>
      <c r="F28" s="883" t="e">
        <f>#REF!</f>
        <v>#REF!</v>
      </c>
    </row>
    <row r="29" spans="1:6" ht="13.9" x14ac:dyDescent="0.25">
      <c r="A29" s="1323" t="s">
        <v>2244</v>
      </c>
      <c r="B29" s="883" t="e">
        <f>B28/B3</f>
        <v>#REF!</v>
      </c>
      <c r="C29" s="883" t="e">
        <f t="shared" ref="C29:F29" si="7">C28/C3</f>
        <v>#REF!</v>
      </c>
      <c r="D29" s="883" t="e">
        <f t="shared" si="7"/>
        <v>#REF!</v>
      </c>
      <c r="E29" s="883" t="e">
        <f t="shared" si="7"/>
        <v>#REF!</v>
      </c>
      <c r="F29" s="883" t="e">
        <f t="shared" si="7"/>
        <v>#REF!</v>
      </c>
    </row>
    <row r="30" spans="1:6" s="23" customFormat="1" ht="14.25" x14ac:dyDescent="0.2">
      <c r="A30" s="1325" t="s">
        <v>1002</v>
      </c>
      <c r="B30" s="1473" t="e">
        <f>B25+B27+B29</f>
        <v>#REF!</v>
      </c>
      <c r="C30" s="1473" t="e">
        <f t="shared" ref="C30:F30" si="8">C25+C27+C29</f>
        <v>#REF!</v>
      </c>
      <c r="D30" s="1473" t="e">
        <f t="shared" si="8"/>
        <v>#REF!</v>
      </c>
      <c r="E30" s="1473" t="e">
        <f t="shared" si="8"/>
        <v>#REF!</v>
      </c>
      <c r="F30" s="1473" t="e">
        <f t="shared" si="8"/>
        <v>#REF!</v>
      </c>
    </row>
  </sheetData>
  <mergeCells count="1">
    <mergeCell ref="A13:F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A77"/>
  <sheetViews>
    <sheetView view="pageBreakPreview" topLeftCell="A55" zoomScale="120" zoomScaleNormal="110" zoomScaleSheetLayoutView="120" workbookViewId="0">
      <selection activeCell="E67" sqref="E67"/>
    </sheetView>
  </sheetViews>
  <sheetFormatPr defaultColWidth="9.140625" defaultRowHeight="15" x14ac:dyDescent="0.25"/>
  <cols>
    <col min="1" max="1" width="6" style="147" customWidth="1"/>
    <col min="2" max="2" width="53.85546875" style="138" customWidth="1"/>
    <col min="3" max="3" width="7.5703125" style="138" customWidth="1"/>
    <col min="4" max="4" width="11" style="138" customWidth="1"/>
    <col min="5" max="5" width="10.140625" style="138" customWidth="1"/>
    <col min="6" max="6" width="10.85546875" style="138" customWidth="1"/>
    <col min="7" max="7" width="10" style="138" customWidth="1"/>
    <col min="8" max="8" width="7.7109375" style="138" customWidth="1"/>
    <col min="9" max="9" width="8.140625" style="138" customWidth="1"/>
    <col min="10" max="10" width="8.28515625" style="138" customWidth="1"/>
    <col min="11" max="11" width="9.140625" style="138" customWidth="1"/>
    <col min="12" max="12" width="8.7109375" style="1056" customWidth="1"/>
    <col min="13" max="13" width="9.28515625" style="1056" bestFit="1" customWidth="1"/>
    <col min="14" max="14" width="13.85546875" style="1056" bestFit="1" customWidth="1"/>
    <col min="15" max="15" width="14.5703125" style="1056" customWidth="1"/>
    <col min="16" max="18" width="9.28515625" style="1056" bestFit="1" customWidth="1"/>
    <col min="19" max="19" width="9.28515625" style="1168" bestFit="1" customWidth="1"/>
    <col min="20" max="22" width="9.28515625" style="1056" bestFit="1" customWidth="1"/>
    <col min="23" max="23" width="9.140625" style="1056"/>
    <col min="24" max="24" width="9.28515625" style="2434" bestFit="1" customWidth="1"/>
    <col min="25" max="25" width="9.42578125" style="2434" bestFit="1" customWidth="1"/>
    <col min="26" max="27" width="9.28515625" style="2434" bestFit="1" customWidth="1"/>
    <col min="28" max="16384" width="9.140625" style="138"/>
  </cols>
  <sheetData>
    <row r="1" spans="1:27" ht="43.9" customHeight="1" x14ac:dyDescent="0.25">
      <c r="A1" s="2766"/>
      <c r="B1" s="2767"/>
      <c r="C1" s="2764"/>
      <c r="D1" s="2765"/>
      <c r="E1" s="2765"/>
      <c r="F1" s="2765"/>
      <c r="G1" s="2765"/>
      <c r="H1" s="3718" t="s">
        <v>3234</v>
      </c>
      <c r="I1" s="3718"/>
      <c r="J1" s="3718"/>
      <c r="K1" s="3718"/>
    </row>
    <row r="2" spans="1:27" ht="11.45" customHeight="1" x14ac:dyDescent="0.25">
      <c r="A2" s="2937"/>
      <c r="B2" s="2767"/>
      <c r="C2" s="2938"/>
      <c r="D2" s="3760"/>
      <c r="E2" s="3760"/>
      <c r="F2" s="3760"/>
      <c r="G2" s="3760"/>
      <c r="H2" s="2939" t="str">
        <f>'Вхідні дані'!F1</f>
        <v>станом на 01.08.2023 року</v>
      </c>
      <c r="I2" s="2940"/>
      <c r="J2" s="2940"/>
      <c r="K2" s="2940"/>
    </row>
    <row r="3" spans="1:27" x14ac:dyDescent="0.25">
      <c r="A3" s="3719" t="s">
        <v>3247</v>
      </c>
      <c r="B3" s="3719"/>
      <c r="C3" s="3719"/>
      <c r="D3" s="3719"/>
      <c r="E3" s="3719"/>
      <c r="F3" s="3719"/>
      <c r="G3" s="3719"/>
      <c r="H3" s="2940"/>
      <c r="I3" s="2940"/>
      <c r="J3" s="2940"/>
      <c r="K3" s="2940"/>
    </row>
    <row r="4" spans="1:27" x14ac:dyDescent="0.25">
      <c r="A4" s="3719" t="s">
        <v>566</v>
      </c>
      <c r="B4" s="3719"/>
      <c r="C4" s="3719"/>
      <c r="D4" s="3719"/>
      <c r="E4" s="3719"/>
      <c r="F4" s="3719"/>
      <c r="G4" s="3719"/>
      <c r="H4" s="3719"/>
      <c r="I4" s="3719"/>
      <c r="J4" s="3719"/>
      <c r="K4" s="3719"/>
    </row>
    <row r="5" spans="1:27" ht="4.9000000000000004" customHeight="1" x14ac:dyDescent="0.25">
      <c r="A5" s="2766"/>
      <c r="B5" s="3738"/>
      <c r="C5" s="3738"/>
      <c r="D5" s="3738"/>
      <c r="E5" s="3738"/>
      <c r="F5" s="3738"/>
      <c r="G5" s="2764"/>
      <c r="H5" s="2734"/>
      <c r="I5" s="2734"/>
      <c r="J5" s="2734"/>
      <c r="K5" s="2734"/>
    </row>
    <row r="6" spans="1:27" x14ac:dyDescent="0.25">
      <c r="A6" s="3757" t="s">
        <v>221</v>
      </c>
      <c r="B6" s="3757"/>
      <c r="C6" s="3757"/>
      <c r="D6" s="3757"/>
      <c r="E6" s="3757"/>
      <c r="F6" s="3757"/>
      <c r="G6" s="3757"/>
      <c r="H6" s="3757"/>
      <c r="I6" s="3757"/>
      <c r="J6" s="3757"/>
      <c r="K6" s="3757"/>
    </row>
    <row r="7" spans="1:27" ht="15" customHeight="1" x14ac:dyDescent="0.25">
      <c r="A7" s="3744" t="s">
        <v>7</v>
      </c>
      <c r="B7" s="3747" t="s">
        <v>8</v>
      </c>
      <c r="C7" s="3750" t="s">
        <v>35</v>
      </c>
      <c r="D7" s="2769" t="s">
        <v>80</v>
      </c>
      <c r="E7" s="2770"/>
      <c r="F7" s="2770"/>
      <c r="G7" s="3755" t="s">
        <v>3131</v>
      </c>
      <c r="H7" s="3740" t="s">
        <v>3132</v>
      </c>
      <c r="I7" s="3741"/>
      <c r="J7" s="3741"/>
      <c r="K7" s="3742"/>
      <c r="N7" s="1056" t="s">
        <v>3135</v>
      </c>
      <c r="S7" s="1168" t="s">
        <v>3134</v>
      </c>
    </row>
    <row r="8" spans="1:27" ht="46.5" customHeight="1" x14ac:dyDescent="0.25">
      <c r="A8" s="3745"/>
      <c r="B8" s="3748"/>
      <c r="C8" s="3751"/>
      <c r="D8" s="2192" t="s">
        <v>251</v>
      </c>
      <c r="E8" s="2192" t="s">
        <v>223</v>
      </c>
      <c r="F8" s="2192" t="s">
        <v>224</v>
      </c>
      <c r="G8" s="3755"/>
      <c r="H8" s="2192" t="s">
        <v>3</v>
      </c>
      <c r="I8" s="2192" t="s">
        <v>174</v>
      </c>
      <c r="J8" s="2192" t="s">
        <v>98</v>
      </c>
      <c r="K8" s="2192" t="s">
        <v>99</v>
      </c>
      <c r="N8" s="127" t="s">
        <v>3</v>
      </c>
      <c r="O8" s="127" t="s">
        <v>174</v>
      </c>
      <c r="P8" s="127" t="s">
        <v>98</v>
      </c>
      <c r="Q8" s="127" t="s">
        <v>99</v>
      </c>
      <c r="S8" s="141" t="s">
        <v>3</v>
      </c>
      <c r="T8" s="127" t="s">
        <v>174</v>
      </c>
      <c r="U8" s="127" t="s">
        <v>98</v>
      </c>
      <c r="V8" s="127" t="s">
        <v>99</v>
      </c>
    </row>
    <row r="9" spans="1:27" ht="24.75" customHeight="1" x14ac:dyDescent="0.25">
      <c r="A9" s="3746"/>
      <c r="B9" s="3749"/>
      <c r="C9" s="3752"/>
      <c r="D9" s="2192">
        <f>'Вхідні дані'!$F$8</f>
        <v>2021</v>
      </c>
      <c r="E9" s="2192">
        <f>'Вхідні дані'!$F$7</f>
        <v>2022</v>
      </c>
      <c r="F9" s="2192" t="str">
        <f>'Вхідні дані'!$F$9</f>
        <v xml:space="preserve">Ріш. № 297 від 25.10.2022 </v>
      </c>
      <c r="G9" s="2192" t="str">
        <f>'Вхідні дані'!$F$6</f>
        <v>2023-2024</v>
      </c>
      <c r="H9" s="2192" t="str">
        <f>'Вхідні дані'!$F$6</f>
        <v>2023-2024</v>
      </c>
      <c r="I9" s="2192" t="str">
        <f>'Вхідні дані'!$F$6</f>
        <v>2023-2024</v>
      </c>
      <c r="J9" s="2192" t="str">
        <f>'Вхідні дані'!$F$6</f>
        <v>2023-2024</v>
      </c>
      <c r="K9" s="2192" t="str">
        <f>'Вхідні дані'!$F$6</f>
        <v>2023-2024</v>
      </c>
    </row>
    <row r="10" spans="1:27" ht="12" customHeight="1" x14ac:dyDescent="0.25">
      <c r="A10" s="2771">
        <v>1</v>
      </c>
      <c r="B10" s="2873">
        <v>2</v>
      </c>
      <c r="C10" s="2192">
        <v>3</v>
      </c>
      <c r="D10" s="2192">
        <v>4</v>
      </c>
      <c r="E10" s="2192">
        <v>5</v>
      </c>
      <c r="F10" s="2192">
        <v>6</v>
      </c>
      <c r="G10" s="2192">
        <v>7</v>
      </c>
      <c r="H10" s="2192">
        <v>8</v>
      </c>
      <c r="I10" s="2192">
        <v>9</v>
      </c>
      <c r="J10" s="2192">
        <v>10</v>
      </c>
      <c r="K10" s="2192">
        <v>11</v>
      </c>
    </row>
    <row r="11" spans="1:27" s="140" customFormat="1" ht="12" customHeight="1" x14ac:dyDescent="0.25">
      <c r="A11" s="2772">
        <v>1</v>
      </c>
      <c r="B11" s="2773" t="s">
        <v>225</v>
      </c>
      <c r="C11" s="2774" t="s">
        <v>40</v>
      </c>
      <c r="D11" s="2758">
        <f>D12+D18+D19+D23</f>
        <v>10355.666024</v>
      </c>
      <c r="E11" s="2758">
        <f>E12+E18+E19+E23</f>
        <v>5970.3368000000009</v>
      </c>
      <c r="F11" s="2758">
        <f>F12+F18+F19+F23</f>
        <v>15374.01</v>
      </c>
      <c r="G11" s="2758">
        <f>G12+G18+G19+G23</f>
        <v>6298.4464564139707</v>
      </c>
      <c r="H11" s="2758">
        <f t="shared" ref="H11:I11" si="0">H12+H18+H19+H23</f>
        <v>0</v>
      </c>
      <c r="I11" s="2758">
        <f t="shared" si="0"/>
        <v>0</v>
      </c>
      <c r="J11" s="2758">
        <f>J12+J18+J19+J23</f>
        <v>0</v>
      </c>
      <c r="K11" s="2758">
        <f>K12+K18+K19+K23</f>
        <v>6298.4464564139707</v>
      </c>
      <c r="L11" s="1057"/>
      <c r="M11" s="1057"/>
      <c r="N11" s="1060">
        <v>0</v>
      </c>
      <c r="O11" s="1060">
        <v>0</v>
      </c>
      <c r="P11" s="1060">
        <v>0</v>
      </c>
      <c r="Q11" s="1060">
        <f>K11/K$56*1000</f>
        <v>2272.7093987365556</v>
      </c>
      <c r="R11" s="2522">
        <f>K11/$R$46</f>
        <v>2272.7093987365556</v>
      </c>
      <c r="S11" s="1061">
        <v>0</v>
      </c>
      <c r="T11" s="1061">
        <v>0</v>
      </c>
      <c r="U11" s="1061" t="e">
        <f>#REF!/#REF!</f>
        <v>#REF!</v>
      </c>
      <c r="V11" s="1061" t="e">
        <f>#REF!/#REF!</f>
        <v>#REF!</v>
      </c>
      <c r="W11" s="1057"/>
      <c r="X11" s="2435">
        <f>N11-S11</f>
        <v>0</v>
      </c>
      <c r="Y11" s="2435">
        <f t="shared" ref="Y11:AA26" si="1">O11-T11</f>
        <v>0</v>
      </c>
      <c r="Z11" s="2435" t="e">
        <f t="shared" si="1"/>
        <v>#REF!</v>
      </c>
      <c r="AA11" s="2435" t="e">
        <f t="shared" si="1"/>
        <v>#REF!</v>
      </c>
    </row>
    <row r="12" spans="1:27" ht="12" customHeight="1" x14ac:dyDescent="0.25">
      <c r="A12" s="2776" t="s">
        <v>23</v>
      </c>
      <c r="B12" s="2773" t="s">
        <v>226</v>
      </c>
      <c r="C12" s="2791" t="s">
        <v>40</v>
      </c>
      <c r="D12" s="2759">
        <f>D13+D14+D15+D16</f>
        <v>1926.458934</v>
      </c>
      <c r="E12" s="2759">
        <f>E13+E14+E15+E16</f>
        <v>1161.1842200000001</v>
      </c>
      <c r="F12" s="2759">
        <f>F13+F14+F15+F16</f>
        <v>9472.25</v>
      </c>
      <c r="G12" s="2759">
        <f>G13+G14+G15+G16</f>
        <v>2982.4813563760576</v>
      </c>
      <c r="H12" s="2759">
        <f t="shared" ref="H12:K12" si="2">H13+H14+H15+H16</f>
        <v>0</v>
      </c>
      <c r="I12" s="2759">
        <f t="shared" si="2"/>
        <v>0</v>
      </c>
      <c r="J12" s="2759">
        <f>J13+J14+J15+J16</f>
        <v>0</v>
      </c>
      <c r="K12" s="2759">
        <f t="shared" si="2"/>
        <v>2982.4813563760576</v>
      </c>
      <c r="N12" s="1060">
        <v>0</v>
      </c>
      <c r="O12" s="1060">
        <v>0</v>
      </c>
      <c r="P12" s="1060">
        <v>0</v>
      </c>
      <c r="Q12" s="1060">
        <f t="shared" ref="Q12:Q44" si="3">K12/K$56*1000</f>
        <v>1076.1881452988739</v>
      </c>
      <c r="R12" s="2522">
        <f t="shared" ref="R12:R45" si="4">K12/$R$46</f>
        <v>1076.1881452988741</v>
      </c>
      <c r="S12" s="1061">
        <v>0</v>
      </c>
      <c r="T12" s="1061">
        <v>0</v>
      </c>
      <c r="U12" s="1061" t="e">
        <f>#REF!/#REF!</f>
        <v>#REF!</v>
      </c>
      <c r="V12" s="1061" t="e">
        <f>#REF!/#REF!</f>
        <v>#REF!</v>
      </c>
      <c r="X12" s="2435">
        <f t="shared" ref="X12:AA45" si="5">N12-S12</f>
        <v>0</v>
      </c>
      <c r="Y12" s="2435">
        <f t="shared" si="1"/>
        <v>0</v>
      </c>
      <c r="Z12" s="2435" t="e">
        <f t="shared" si="1"/>
        <v>#REF!</v>
      </c>
      <c r="AA12" s="2435" t="e">
        <f t="shared" si="1"/>
        <v>#REF!</v>
      </c>
    </row>
    <row r="13" spans="1:27" ht="12" customHeight="1" x14ac:dyDescent="0.25">
      <c r="A13" s="2776" t="s">
        <v>41</v>
      </c>
      <c r="B13" s="2773" t="s">
        <v>43</v>
      </c>
      <c r="C13" s="2791" t="s">
        <v>40</v>
      </c>
      <c r="D13" s="2759">
        <f>Виробництво_Транспортування_1ст!C102</f>
        <v>1582.4759839999999</v>
      </c>
      <c r="E13" s="2759">
        <f>Виробництво_Транспортування_1ст!D102</f>
        <v>994.13666000000001</v>
      </c>
      <c r="F13" s="2759">
        <v>1676.1</v>
      </c>
      <c r="G13" s="2759">
        <f>Виробництво_Транспортування_1ст!L102</f>
        <v>542.51769819639287</v>
      </c>
      <c r="H13" s="2758">
        <f t="shared" ref="H13:K27" si="6">$G13/$G$56*H$56</f>
        <v>0</v>
      </c>
      <c r="I13" s="2758">
        <f t="shared" si="6"/>
        <v>0</v>
      </c>
      <c r="J13" s="2758">
        <f>$G13/$G$56*J$56</f>
        <v>0</v>
      </c>
      <c r="K13" s="2758">
        <f t="shared" si="6"/>
        <v>542.51769819639287</v>
      </c>
      <c r="L13" s="1056">
        <f>G13/G56*1000</f>
        <v>195.76018946962137</v>
      </c>
      <c r="M13" s="1056">
        <f>'Д 3_Т на Т з ЦТП'!G13/'Д 3_Т на Т з ЦТП'!G56*1000</f>
        <v>198.74359570792657</v>
      </c>
      <c r="N13" s="1060">
        <v>0</v>
      </c>
      <c r="O13" s="1060">
        <v>0</v>
      </c>
      <c r="P13" s="1060">
        <v>0</v>
      </c>
      <c r="Q13" s="1060">
        <f t="shared" si="3"/>
        <v>195.76018946962137</v>
      </c>
      <c r="R13" s="2522">
        <f t="shared" si="4"/>
        <v>195.76018946962137</v>
      </c>
      <c r="S13" s="1061">
        <v>0</v>
      </c>
      <c r="T13" s="1061">
        <v>0</v>
      </c>
      <c r="U13" s="1061" t="e">
        <f>#REF!/#REF!</f>
        <v>#REF!</v>
      </c>
      <c r="V13" s="1061" t="e">
        <f>#REF!/#REF!</f>
        <v>#REF!</v>
      </c>
      <c r="X13" s="2435">
        <f t="shared" si="5"/>
        <v>0</v>
      </c>
      <c r="Y13" s="2435">
        <f t="shared" si="1"/>
        <v>0</v>
      </c>
      <c r="Z13" s="2435" t="e">
        <f t="shared" si="1"/>
        <v>#REF!</v>
      </c>
      <c r="AA13" s="2435" t="e">
        <f t="shared" si="1"/>
        <v>#REF!</v>
      </c>
    </row>
    <row r="14" spans="1:27" ht="12.6" customHeight="1" x14ac:dyDescent="0.25">
      <c r="A14" s="2776" t="s">
        <v>42</v>
      </c>
      <c r="B14" s="2773" t="s">
        <v>596</v>
      </c>
      <c r="C14" s="2791" t="s">
        <v>40</v>
      </c>
      <c r="D14" s="2759">
        <v>0</v>
      </c>
      <c r="E14" s="2759">
        <v>0</v>
      </c>
      <c r="F14" s="2760">
        <v>0</v>
      </c>
      <c r="G14" s="2759">
        <v>0</v>
      </c>
      <c r="H14" s="2758">
        <f t="shared" si="6"/>
        <v>0</v>
      </c>
      <c r="I14" s="2758">
        <f t="shared" si="6"/>
        <v>0</v>
      </c>
      <c r="J14" s="2758">
        <f t="shared" si="6"/>
        <v>0</v>
      </c>
      <c r="K14" s="2758">
        <f t="shared" si="6"/>
        <v>0</v>
      </c>
      <c r="L14" s="1058"/>
      <c r="M14" s="1058"/>
      <c r="N14" s="1060">
        <v>0</v>
      </c>
      <c r="O14" s="1060">
        <v>0</v>
      </c>
      <c r="P14" s="1060">
        <v>0</v>
      </c>
      <c r="Q14" s="1060">
        <f t="shared" si="3"/>
        <v>0</v>
      </c>
      <c r="R14" s="2522">
        <f t="shared" si="4"/>
        <v>0</v>
      </c>
      <c r="S14" s="1061">
        <v>0</v>
      </c>
      <c r="T14" s="1061">
        <v>0</v>
      </c>
      <c r="U14" s="1061" t="e">
        <f>#REF!/#REF!</f>
        <v>#REF!</v>
      </c>
      <c r="V14" s="1061" t="e">
        <f>#REF!/#REF!</f>
        <v>#REF!</v>
      </c>
      <c r="X14" s="2435">
        <f t="shared" si="5"/>
        <v>0</v>
      </c>
      <c r="Y14" s="2435">
        <f t="shared" si="1"/>
        <v>0</v>
      </c>
      <c r="Z14" s="2435" t="e">
        <f t="shared" si="1"/>
        <v>#REF!</v>
      </c>
      <c r="AA14" s="2435" t="e">
        <f t="shared" si="1"/>
        <v>#REF!</v>
      </c>
    </row>
    <row r="15" spans="1:27" ht="12" customHeight="1" x14ac:dyDescent="0.25">
      <c r="A15" s="2776" t="s">
        <v>44</v>
      </c>
      <c r="B15" s="2773" t="s">
        <v>597</v>
      </c>
      <c r="C15" s="2791" t="s">
        <v>40</v>
      </c>
      <c r="D15" s="2759">
        <f>Виробництво_Транспортування_1ст!C103</f>
        <v>210.97</v>
      </c>
      <c r="E15" s="2759">
        <f>Виробництво_Транспортування_1ст!D103</f>
        <v>119.67381</v>
      </c>
      <c r="F15" s="2759">
        <v>413.86</v>
      </c>
      <c r="G15" s="2759">
        <f>Виробництво_Транспортування_1ст!L103</f>
        <v>89.242103689199993</v>
      </c>
      <c r="H15" s="2758">
        <f t="shared" si="6"/>
        <v>0</v>
      </c>
      <c r="I15" s="2758">
        <f t="shared" si="6"/>
        <v>0</v>
      </c>
      <c r="J15" s="2758">
        <f t="shared" si="6"/>
        <v>0</v>
      </c>
      <c r="K15" s="2758">
        <f t="shared" si="6"/>
        <v>89.242103689199993</v>
      </c>
      <c r="L15" s="1058"/>
      <c r="N15" s="1060">
        <v>0</v>
      </c>
      <c r="O15" s="1060">
        <v>0</v>
      </c>
      <c r="P15" s="1060">
        <v>0</v>
      </c>
      <c r="Q15" s="1060">
        <f t="shared" si="3"/>
        <v>32.201808687430471</v>
      </c>
      <c r="R15" s="2522">
        <f t="shared" si="4"/>
        <v>32.201808687430471</v>
      </c>
      <c r="S15" s="1061">
        <v>0</v>
      </c>
      <c r="T15" s="1061">
        <v>0</v>
      </c>
      <c r="U15" s="1061" t="e">
        <f>#REF!/#REF!</f>
        <v>#REF!</v>
      </c>
      <c r="V15" s="1061" t="e">
        <f>#REF!/#REF!</f>
        <v>#REF!</v>
      </c>
      <c r="X15" s="2435">
        <f t="shared" si="5"/>
        <v>0</v>
      </c>
      <c r="Y15" s="2435">
        <f t="shared" si="1"/>
        <v>0</v>
      </c>
      <c r="Z15" s="2435" t="e">
        <f t="shared" si="1"/>
        <v>#REF!</v>
      </c>
      <c r="AA15" s="2435" t="e">
        <f t="shared" si="1"/>
        <v>#REF!</v>
      </c>
    </row>
    <row r="16" spans="1:27" ht="12" customHeight="1" x14ac:dyDescent="0.25">
      <c r="A16" s="2776" t="s">
        <v>45</v>
      </c>
      <c r="B16" s="2773" t="s">
        <v>598</v>
      </c>
      <c r="C16" s="2791" t="s">
        <v>40</v>
      </c>
      <c r="D16" s="2759">
        <f>Виробництво_Транспортування_1ст!C101-Виробництво_Транспортування_1ст!C102-Виробництво_Транспортування_1ст!C103</f>
        <v>133.01295000000007</v>
      </c>
      <c r="E16" s="2759">
        <f>Виробництво_Транспортування_1ст!D101-Виробництво_Транспортування_1ст!D102-Виробництво_Транспортування_1ст!D103</f>
        <v>47.373750000000086</v>
      </c>
      <c r="F16" s="2759">
        <f>124.82+F17</f>
        <v>7382.29</v>
      </c>
      <c r="G16" s="2759">
        <f>Виробництво_Транспортування_1ст!L101-Виробництво_Транспортування_1ст!L102-Виробництво_Транспортування_1ст!L103</f>
        <v>2350.7215544904648</v>
      </c>
      <c r="H16" s="2758">
        <f>($G16-$G17)/$G$56*H$56+H17</f>
        <v>0</v>
      </c>
      <c r="I16" s="2758">
        <f t="shared" ref="I16:K16" si="7">($G16-$G17)/$G$56*I$56+I17</f>
        <v>0</v>
      </c>
      <c r="J16" s="2758">
        <f>($G16-$G17)/$G$56*J$56+J17</f>
        <v>0</v>
      </c>
      <c r="K16" s="2758">
        <f t="shared" si="7"/>
        <v>2350.7215544904648</v>
      </c>
      <c r="L16" s="1058"/>
      <c r="N16" s="1060">
        <v>0</v>
      </c>
      <c r="O16" s="1060">
        <v>0</v>
      </c>
      <c r="P16" s="1060">
        <v>0</v>
      </c>
      <c r="Q16" s="1060">
        <f t="shared" si="3"/>
        <v>848.22614714182225</v>
      </c>
      <c r="R16" s="2522">
        <f t="shared" si="4"/>
        <v>848.22614714182225</v>
      </c>
      <c r="S16" s="1061">
        <v>0</v>
      </c>
      <c r="T16" s="1061">
        <v>0</v>
      </c>
      <c r="U16" s="1061" t="e">
        <f>#REF!/#REF!</f>
        <v>#REF!</v>
      </c>
      <c r="V16" s="1061" t="e">
        <f>#REF!/#REF!</f>
        <v>#REF!</v>
      </c>
      <c r="X16" s="2435">
        <f t="shared" si="5"/>
        <v>0</v>
      </c>
      <c r="Y16" s="2435">
        <f t="shared" si="1"/>
        <v>0</v>
      </c>
      <c r="Z16" s="2435" t="e">
        <f t="shared" si="1"/>
        <v>#REF!</v>
      </c>
      <c r="AA16" s="2435" t="e">
        <f t="shared" si="1"/>
        <v>#REF!</v>
      </c>
    </row>
    <row r="17" spans="1:27" ht="13.9" customHeight="1" x14ac:dyDescent="0.25">
      <c r="A17" s="2776" t="s">
        <v>1957</v>
      </c>
      <c r="B17" s="2773" t="s">
        <v>2786</v>
      </c>
      <c r="C17" s="2791" t="s">
        <v>40</v>
      </c>
      <c r="D17" s="2759">
        <v>0</v>
      </c>
      <c r="E17" s="2759">
        <v>0</v>
      </c>
      <c r="F17" s="2759">
        <v>7257.47</v>
      </c>
      <c r="G17" s="2759">
        <f>Виробництво_Транспортування_1ст!L114</f>
        <v>2314.3902559014505</v>
      </c>
      <c r="H17" s="2758">
        <f>'Покриття втрат в мережах'!D13</f>
        <v>0</v>
      </c>
      <c r="I17" s="2758">
        <f>'Покриття втрат в мережах'!E13</f>
        <v>0</v>
      </c>
      <c r="J17" s="2758">
        <f>'Покриття втрат в мережах'!F13</f>
        <v>0</v>
      </c>
      <c r="K17" s="2758">
        <f>'Покриття втрат в мережах'!G13</f>
        <v>2314.3902559014505</v>
      </c>
      <c r="L17" s="2369">
        <f>G17+'Д 3_Т на Т з ЦТП'!G17</f>
        <v>3376.7635597821927</v>
      </c>
      <c r="N17" s="1060">
        <v>0</v>
      </c>
      <c r="O17" s="1060">
        <v>0</v>
      </c>
      <c r="P17" s="1060">
        <v>0</v>
      </c>
      <c r="Q17" s="1060">
        <f t="shared" si="3"/>
        <v>835.11648838026019</v>
      </c>
      <c r="R17" s="2522">
        <f t="shared" si="4"/>
        <v>835.11648838026019</v>
      </c>
      <c r="S17" s="1061">
        <v>0</v>
      </c>
      <c r="T17" s="1061">
        <v>0</v>
      </c>
      <c r="U17" s="1061" t="e">
        <f>#REF!/#REF!</f>
        <v>#REF!</v>
      </c>
      <c r="V17" s="1061" t="e">
        <f>#REF!/#REF!</f>
        <v>#REF!</v>
      </c>
      <c r="X17" s="2435">
        <f t="shared" si="5"/>
        <v>0</v>
      </c>
      <c r="Y17" s="2435">
        <f t="shared" si="1"/>
        <v>0</v>
      </c>
      <c r="Z17" s="2435" t="e">
        <f t="shared" si="1"/>
        <v>#REF!</v>
      </c>
      <c r="AA17" s="2435" t="e">
        <f t="shared" si="1"/>
        <v>#REF!</v>
      </c>
    </row>
    <row r="18" spans="1:27" ht="12" customHeight="1" x14ac:dyDescent="0.25">
      <c r="A18" s="2777" t="s">
        <v>24</v>
      </c>
      <c r="B18" s="2778" t="s">
        <v>47</v>
      </c>
      <c r="C18" s="2874" t="s">
        <v>40</v>
      </c>
      <c r="D18" s="2779">
        <f>Виробництво_Транспортування_1ст!C115</f>
        <v>2897.5093500000003</v>
      </c>
      <c r="E18" s="2779">
        <f>Виробництво_Транспортування_1ст!D115</f>
        <v>1892.82411</v>
      </c>
      <c r="F18" s="2779">
        <v>2429.21</v>
      </c>
      <c r="G18" s="2779">
        <f>Виробництво_Транспортування_1ст!L115</f>
        <v>1468.3672397681601</v>
      </c>
      <c r="H18" s="2758">
        <f t="shared" si="6"/>
        <v>0</v>
      </c>
      <c r="I18" s="2758">
        <f t="shared" si="6"/>
        <v>0</v>
      </c>
      <c r="J18" s="2758">
        <f t="shared" si="6"/>
        <v>0</v>
      </c>
      <c r="K18" s="2758">
        <f t="shared" si="6"/>
        <v>1468.3672397681601</v>
      </c>
      <c r="N18" s="1060">
        <v>0</v>
      </c>
      <c r="O18" s="1060">
        <v>0</v>
      </c>
      <c r="P18" s="1060">
        <v>0</v>
      </c>
      <c r="Q18" s="1060">
        <f t="shared" si="3"/>
        <v>529.84050110000851</v>
      </c>
      <c r="R18" s="2522">
        <f t="shared" si="4"/>
        <v>529.84050110000851</v>
      </c>
      <c r="S18" s="1061">
        <v>0</v>
      </c>
      <c r="T18" s="1061">
        <v>0</v>
      </c>
      <c r="U18" s="1061" t="e">
        <f>#REF!/#REF!</f>
        <v>#REF!</v>
      </c>
      <c r="V18" s="1061" t="e">
        <f>#REF!/#REF!</f>
        <v>#REF!</v>
      </c>
      <c r="X18" s="2435">
        <f t="shared" si="5"/>
        <v>0</v>
      </c>
      <c r="Y18" s="2435">
        <f t="shared" si="1"/>
        <v>0</v>
      </c>
      <c r="Z18" s="2435" t="e">
        <f t="shared" si="1"/>
        <v>#REF!</v>
      </c>
      <c r="AA18" s="2435" t="e">
        <f t="shared" si="1"/>
        <v>#REF!</v>
      </c>
    </row>
    <row r="19" spans="1:27" ht="12" customHeight="1" x14ac:dyDescent="0.25">
      <c r="A19" s="2776" t="s">
        <v>48</v>
      </c>
      <c r="B19" s="2773" t="s">
        <v>227</v>
      </c>
      <c r="C19" s="2791" t="s">
        <v>40</v>
      </c>
      <c r="D19" s="2759">
        <f>D20+D21+D22</f>
        <v>3396.3777399999999</v>
      </c>
      <c r="E19" s="2759">
        <f>E20+E21+E22</f>
        <v>2165.7184700000003</v>
      </c>
      <c r="F19" s="2759">
        <f>F20+F21+F22</f>
        <v>3081.18</v>
      </c>
      <c r="G19" s="2759">
        <f>G20+G21+G22</f>
        <v>1326.079514381235</v>
      </c>
      <c r="H19" s="2758">
        <f t="shared" si="6"/>
        <v>0</v>
      </c>
      <c r="I19" s="2758">
        <f t="shared" si="6"/>
        <v>0</v>
      </c>
      <c r="J19" s="2758">
        <f t="shared" si="6"/>
        <v>0</v>
      </c>
      <c r="K19" s="2758">
        <f t="shared" si="6"/>
        <v>1326.079514381235</v>
      </c>
      <c r="N19" s="1060">
        <v>0</v>
      </c>
      <c r="O19" s="1060">
        <v>0</v>
      </c>
      <c r="P19" s="1060">
        <v>0</v>
      </c>
      <c r="Q19" s="1060">
        <f t="shared" si="3"/>
        <v>478.49789573699854</v>
      </c>
      <c r="R19" s="2522">
        <f t="shared" si="4"/>
        <v>478.49789573699854</v>
      </c>
      <c r="S19" s="1061">
        <v>0</v>
      </c>
      <c r="T19" s="1061">
        <v>0</v>
      </c>
      <c r="U19" s="1061" t="e">
        <f>#REF!/#REF!</f>
        <v>#REF!</v>
      </c>
      <c r="V19" s="1061" t="e">
        <f>#REF!/#REF!</f>
        <v>#REF!</v>
      </c>
      <c r="X19" s="2435">
        <f t="shared" si="5"/>
        <v>0</v>
      </c>
      <c r="Y19" s="2435">
        <f t="shared" si="1"/>
        <v>0</v>
      </c>
      <c r="Z19" s="2435" t="e">
        <f t="shared" si="1"/>
        <v>#REF!</v>
      </c>
      <c r="AA19" s="2435" t="e">
        <f t="shared" si="1"/>
        <v>#REF!</v>
      </c>
    </row>
    <row r="20" spans="1:27" ht="24" customHeight="1" x14ac:dyDescent="0.25">
      <c r="A20" s="2776" t="s">
        <v>49</v>
      </c>
      <c r="B20" s="2773" t="s">
        <v>452</v>
      </c>
      <c r="C20" s="2791" t="s">
        <v>40</v>
      </c>
      <c r="D20" s="2779">
        <f>Виробництво_Транспортування_1ст!C118</f>
        <v>641.78502000000003</v>
      </c>
      <c r="E20" s="2779">
        <f>Виробництво_Транспортування_1ст!D118</f>
        <v>425.07799</v>
      </c>
      <c r="F20" s="2779">
        <v>534.42999999999995</v>
      </c>
      <c r="G20" s="2779">
        <f>Виробництво_Транспортування_1ст!L118</f>
        <v>323.04079274899522</v>
      </c>
      <c r="H20" s="2758">
        <f t="shared" si="6"/>
        <v>0</v>
      </c>
      <c r="I20" s="2758">
        <f t="shared" si="6"/>
        <v>0</v>
      </c>
      <c r="J20" s="2758">
        <f>$G20/$G$56*J$56</f>
        <v>0</v>
      </c>
      <c r="K20" s="2758">
        <f t="shared" si="6"/>
        <v>323.04079274899522</v>
      </c>
      <c r="L20" s="1059"/>
      <c r="N20" s="1060">
        <v>0</v>
      </c>
      <c r="O20" s="1060">
        <v>0</v>
      </c>
      <c r="P20" s="1060">
        <v>0</v>
      </c>
      <c r="Q20" s="1060">
        <f t="shared" si="3"/>
        <v>116.56491024200186</v>
      </c>
      <c r="R20" s="2522">
        <f t="shared" si="4"/>
        <v>116.56491024200186</v>
      </c>
      <c r="S20" s="1061">
        <v>0</v>
      </c>
      <c r="T20" s="1061">
        <v>0</v>
      </c>
      <c r="U20" s="1061" t="e">
        <f>#REF!/#REF!</f>
        <v>#REF!</v>
      </c>
      <c r="V20" s="1061" t="e">
        <f>#REF!/#REF!</f>
        <v>#REF!</v>
      </c>
      <c r="X20" s="2435">
        <f t="shared" si="5"/>
        <v>0</v>
      </c>
      <c r="Y20" s="2435">
        <f t="shared" si="1"/>
        <v>0</v>
      </c>
      <c r="Z20" s="2435" t="e">
        <f t="shared" si="1"/>
        <v>#REF!</v>
      </c>
      <c r="AA20" s="2435" t="e">
        <f t="shared" si="1"/>
        <v>#REF!</v>
      </c>
    </row>
    <row r="21" spans="1:27" ht="12" customHeight="1" x14ac:dyDescent="0.25">
      <c r="A21" s="2776" t="s">
        <v>50</v>
      </c>
      <c r="B21" s="2773" t="s">
        <v>460</v>
      </c>
      <c r="C21" s="2791" t="s">
        <v>40</v>
      </c>
      <c r="D21" s="2779">
        <f>Виробництво_Транспортування_1ст!C119+Виробництво_Транспортування_1ст!C120</f>
        <v>286.92779999999999</v>
      </c>
      <c r="E21" s="2779">
        <f>Виробництво_Транспортування_1ст!D119+Виробництво_Транспортування_1ст!D120</f>
        <v>286.81142</v>
      </c>
      <c r="F21" s="2779">
        <v>195.32</v>
      </c>
      <c r="G21" s="2779">
        <f>Виробництво_Транспортування_1ст!L119+Виробництво_Транспортування_1ст!L120</f>
        <v>43.172657524860007</v>
      </c>
      <c r="H21" s="2758">
        <f t="shared" si="6"/>
        <v>0</v>
      </c>
      <c r="I21" s="2758">
        <f t="shared" si="6"/>
        <v>0</v>
      </c>
      <c r="J21" s="2758">
        <f t="shared" si="6"/>
        <v>0</v>
      </c>
      <c r="K21" s="2758">
        <f t="shared" si="6"/>
        <v>43.172657524860007</v>
      </c>
      <c r="L21" s="1059"/>
      <c r="N21" s="1060">
        <v>0</v>
      </c>
      <c r="O21" s="1060">
        <v>0</v>
      </c>
      <c r="P21" s="1060">
        <v>0</v>
      </c>
      <c r="Q21" s="1060">
        <f t="shared" si="3"/>
        <v>15.578270801248971</v>
      </c>
      <c r="R21" s="2522">
        <f t="shared" si="4"/>
        <v>15.578270801248973</v>
      </c>
      <c r="S21" s="1061">
        <v>0</v>
      </c>
      <c r="T21" s="1061">
        <v>0</v>
      </c>
      <c r="U21" s="1061" t="e">
        <f>#REF!/#REF!</f>
        <v>#REF!</v>
      </c>
      <c r="V21" s="1061" t="e">
        <f>#REF!/#REF!</f>
        <v>#REF!</v>
      </c>
      <c r="X21" s="2435">
        <f t="shared" si="5"/>
        <v>0</v>
      </c>
      <c r="Y21" s="2435">
        <f t="shared" si="1"/>
        <v>0</v>
      </c>
      <c r="Z21" s="2435" t="e">
        <f t="shared" si="1"/>
        <v>#REF!</v>
      </c>
      <c r="AA21" s="2435" t="e">
        <f t="shared" si="1"/>
        <v>#REF!</v>
      </c>
    </row>
    <row r="22" spans="1:27" ht="12" customHeight="1" x14ac:dyDescent="0.25">
      <c r="A22" s="2776" t="s">
        <v>51</v>
      </c>
      <c r="B22" s="2780" t="s">
        <v>82</v>
      </c>
      <c r="C22" s="2791" t="s">
        <v>40</v>
      </c>
      <c r="D22" s="2759">
        <f>Виробництво_Транспортування_1ст!C117-Виробництво_Транспортування_1ст!C118-Виробництво_Транспортування_1ст!C119-Виробництво_Транспортування_1ст!C120</f>
        <v>2467.6649199999997</v>
      </c>
      <c r="E22" s="2759">
        <f>Виробництво_Транспортування_1ст!D117-Виробництво_Транспортування_1ст!D118-Виробництво_Транспортування_1ст!D119-Виробництво_Транспортування_1ст!D120</f>
        <v>1453.8290600000003</v>
      </c>
      <c r="F22" s="2759">
        <v>2351.4299999999998</v>
      </c>
      <c r="G22" s="2759">
        <f>Виробництво_Транспортування_1ст!L117-Виробництво_Транспортування_1ст!L118-Виробництво_Транспортування_1ст!L119-Виробництво_Транспортування_1ст!L120</f>
        <v>959.86606410737966</v>
      </c>
      <c r="H22" s="2758">
        <f t="shared" si="6"/>
        <v>0</v>
      </c>
      <c r="I22" s="2758">
        <f t="shared" si="6"/>
        <v>0</v>
      </c>
      <c r="J22" s="2758">
        <f t="shared" si="6"/>
        <v>0</v>
      </c>
      <c r="K22" s="2758">
        <f t="shared" si="6"/>
        <v>959.86606410737966</v>
      </c>
      <c r="L22" s="1059"/>
      <c r="M22" s="1059"/>
      <c r="N22" s="1060">
        <v>0</v>
      </c>
      <c r="O22" s="1060">
        <v>0</v>
      </c>
      <c r="P22" s="1060">
        <v>0</v>
      </c>
      <c r="Q22" s="1060">
        <f t="shared" si="3"/>
        <v>346.35471469374767</v>
      </c>
      <c r="R22" s="2522">
        <f t="shared" si="4"/>
        <v>346.35471469374767</v>
      </c>
      <c r="S22" s="1061">
        <v>0</v>
      </c>
      <c r="T22" s="1061">
        <v>0</v>
      </c>
      <c r="U22" s="1061" t="e">
        <f>#REF!/#REF!</f>
        <v>#REF!</v>
      </c>
      <c r="V22" s="1061" t="e">
        <f>#REF!/#REF!</f>
        <v>#REF!</v>
      </c>
      <c r="X22" s="2435">
        <f t="shared" si="5"/>
        <v>0</v>
      </c>
      <c r="Y22" s="2435">
        <f t="shared" si="1"/>
        <v>0</v>
      </c>
      <c r="Z22" s="2435" t="e">
        <f t="shared" si="1"/>
        <v>#REF!</v>
      </c>
      <c r="AA22" s="2435" t="e">
        <f t="shared" si="1"/>
        <v>#REF!</v>
      </c>
    </row>
    <row r="23" spans="1:27" ht="12" customHeight="1" x14ac:dyDescent="0.25">
      <c r="A23" s="2776" t="s">
        <v>53</v>
      </c>
      <c r="B23" s="2787" t="s">
        <v>3387</v>
      </c>
      <c r="C23" s="2791" t="s">
        <v>40</v>
      </c>
      <c r="D23" s="2758">
        <f>D24+D25+D26</f>
        <v>2135.3200000000002</v>
      </c>
      <c r="E23" s="2758">
        <f t="shared" ref="E23:F23" si="8">E24+E25+E26</f>
        <v>750.61000000000013</v>
      </c>
      <c r="F23" s="2758">
        <f t="shared" si="8"/>
        <v>391.37000000000006</v>
      </c>
      <c r="G23" s="2759">
        <f>ЗВВ_1ст!J8</f>
        <v>521.51834588851841</v>
      </c>
      <c r="H23" s="2758">
        <f t="shared" si="6"/>
        <v>0</v>
      </c>
      <c r="I23" s="2758">
        <f t="shared" si="6"/>
        <v>0</v>
      </c>
      <c r="J23" s="2758">
        <f t="shared" si="6"/>
        <v>0</v>
      </c>
      <c r="K23" s="2758">
        <f t="shared" si="6"/>
        <v>521.51834588851841</v>
      </c>
      <c r="N23" s="1060">
        <v>0</v>
      </c>
      <c r="O23" s="1060">
        <v>0</v>
      </c>
      <c r="P23" s="1060">
        <v>0</v>
      </c>
      <c r="Q23" s="1060">
        <f t="shared" si="3"/>
        <v>188.18285660067465</v>
      </c>
      <c r="R23" s="2522">
        <f t="shared" si="4"/>
        <v>188.18285660067465</v>
      </c>
      <c r="S23" s="1061">
        <v>0</v>
      </c>
      <c r="T23" s="1061">
        <v>0</v>
      </c>
      <c r="U23" s="1061" t="e">
        <f>#REF!/#REF!</f>
        <v>#REF!</v>
      </c>
      <c r="V23" s="1061" t="e">
        <f>#REF!/#REF!</f>
        <v>#REF!</v>
      </c>
      <c r="X23" s="2435">
        <f t="shared" si="5"/>
        <v>0</v>
      </c>
      <c r="Y23" s="2435">
        <f t="shared" si="1"/>
        <v>0</v>
      </c>
      <c r="Z23" s="2435" t="e">
        <f t="shared" si="1"/>
        <v>#REF!</v>
      </c>
      <c r="AA23" s="2435" t="e">
        <f t="shared" si="1"/>
        <v>#REF!</v>
      </c>
    </row>
    <row r="24" spans="1:27" ht="12" customHeight="1" x14ac:dyDescent="0.25">
      <c r="A24" s="2776" t="s">
        <v>54</v>
      </c>
      <c r="B24" s="2773" t="s">
        <v>55</v>
      </c>
      <c r="C24" s="2791" t="s">
        <v>40</v>
      </c>
      <c r="D24" s="2759">
        <v>1535.43</v>
      </c>
      <c r="E24" s="2759">
        <v>519.21</v>
      </c>
      <c r="F24" s="2760">
        <v>260.67</v>
      </c>
      <c r="G24" s="2759">
        <f>ЗВВ_1ст!J21</f>
        <v>377.68301061744489</v>
      </c>
      <c r="H24" s="2758">
        <f t="shared" si="6"/>
        <v>0</v>
      </c>
      <c r="I24" s="2758">
        <f t="shared" si="6"/>
        <v>0</v>
      </c>
      <c r="J24" s="2758">
        <f t="shared" si="6"/>
        <v>0</v>
      </c>
      <c r="K24" s="2758">
        <f t="shared" si="6"/>
        <v>377.68301061744489</v>
      </c>
      <c r="N24" s="1060">
        <v>0</v>
      </c>
      <c r="O24" s="1060">
        <v>0</v>
      </c>
      <c r="P24" s="1060">
        <v>0</v>
      </c>
      <c r="Q24" s="1060">
        <f t="shared" si="3"/>
        <v>136.2818170978143</v>
      </c>
      <c r="R24" s="2522">
        <f t="shared" si="4"/>
        <v>136.2818170978143</v>
      </c>
      <c r="S24" s="1061">
        <v>0</v>
      </c>
      <c r="T24" s="1061">
        <v>0</v>
      </c>
      <c r="U24" s="1061" t="e">
        <f>#REF!/#REF!</f>
        <v>#REF!</v>
      </c>
      <c r="V24" s="1061" t="e">
        <f>#REF!/#REF!</f>
        <v>#REF!</v>
      </c>
      <c r="X24" s="2435">
        <f t="shared" si="5"/>
        <v>0</v>
      </c>
      <c r="Y24" s="2435">
        <f t="shared" si="1"/>
        <v>0</v>
      </c>
      <c r="Z24" s="2435" t="e">
        <f t="shared" si="1"/>
        <v>#REF!</v>
      </c>
      <c r="AA24" s="2435" t="e">
        <f t="shared" si="1"/>
        <v>#REF!</v>
      </c>
    </row>
    <row r="25" spans="1:27" ht="23.45" customHeight="1" x14ac:dyDescent="0.25">
      <c r="A25" s="2776" t="s">
        <v>56</v>
      </c>
      <c r="B25" s="2773" t="s">
        <v>452</v>
      </c>
      <c r="C25" s="2791" t="s">
        <v>40</v>
      </c>
      <c r="D25" s="2759">
        <v>319.23</v>
      </c>
      <c r="E25" s="2759">
        <v>109.21</v>
      </c>
      <c r="F25" s="2760">
        <v>57.35</v>
      </c>
      <c r="G25" s="2759">
        <f>ЗВВ_1ст!J23</f>
        <v>83.090262335837878</v>
      </c>
      <c r="H25" s="2758">
        <f t="shared" si="6"/>
        <v>0</v>
      </c>
      <c r="I25" s="2758">
        <f t="shared" si="6"/>
        <v>0</v>
      </c>
      <c r="J25" s="2758">
        <f t="shared" si="6"/>
        <v>0</v>
      </c>
      <c r="K25" s="2758">
        <f t="shared" si="6"/>
        <v>83.090262335837878</v>
      </c>
      <c r="L25" s="1059"/>
      <c r="N25" s="1060">
        <v>0</v>
      </c>
      <c r="O25" s="1060">
        <v>0</v>
      </c>
      <c r="P25" s="1060">
        <v>0</v>
      </c>
      <c r="Q25" s="1060">
        <f t="shared" si="3"/>
        <v>29.981999761519145</v>
      </c>
      <c r="R25" s="2522">
        <f t="shared" si="4"/>
        <v>29.981999761519145</v>
      </c>
      <c r="S25" s="1061">
        <v>0</v>
      </c>
      <c r="T25" s="1061">
        <v>0</v>
      </c>
      <c r="U25" s="1061" t="e">
        <f>#REF!/#REF!</f>
        <v>#REF!</v>
      </c>
      <c r="V25" s="1061" t="e">
        <f>#REF!/#REF!</f>
        <v>#REF!</v>
      </c>
      <c r="X25" s="2435">
        <f t="shared" si="5"/>
        <v>0</v>
      </c>
      <c r="Y25" s="2435">
        <f t="shared" si="1"/>
        <v>0</v>
      </c>
      <c r="Z25" s="2435" t="e">
        <f t="shared" si="1"/>
        <v>#REF!</v>
      </c>
      <c r="AA25" s="2435" t="e">
        <f t="shared" si="1"/>
        <v>#REF!</v>
      </c>
    </row>
    <row r="26" spans="1:27" ht="12" customHeight="1" x14ac:dyDescent="0.25">
      <c r="A26" s="2776" t="s">
        <v>57</v>
      </c>
      <c r="B26" s="2773" t="s">
        <v>58</v>
      </c>
      <c r="C26" s="2791" t="s">
        <v>40</v>
      </c>
      <c r="D26" s="2759">
        <v>280.66000000000003</v>
      </c>
      <c r="E26" s="2759">
        <v>122.19</v>
      </c>
      <c r="F26" s="2760">
        <f>69.79+3.56</f>
        <v>73.350000000000009</v>
      </c>
      <c r="G26" s="2759">
        <f>G23-G24-G25</f>
        <v>60.74507293523564</v>
      </c>
      <c r="H26" s="2758">
        <f t="shared" si="6"/>
        <v>0</v>
      </c>
      <c r="I26" s="2758">
        <f t="shared" si="6"/>
        <v>0</v>
      </c>
      <c r="J26" s="2758">
        <f t="shared" si="6"/>
        <v>0</v>
      </c>
      <c r="K26" s="2758">
        <f t="shared" si="6"/>
        <v>60.745072935235648</v>
      </c>
      <c r="N26" s="1060">
        <v>0</v>
      </c>
      <c r="O26" s="1060">
        <v>0</v>
      </c>
      <c r="P26" s="1060">
        <v>0</v>
      </c>
      <c r="Q26" s="1060">
        <f t="shared" si="3"/>
        <v>21.919039741341223</v>
      </c>
      <c r="R26" s="2522">
        <f t="shared" si="4"/>
        <v>21.919039741341223</v>
      </c>
      <c r="S26" s="1061">
        <v>0</v>
      </c>
      <c r="T26" s="1061">
        <v>0</v>
      </c>
      <c r="U26" s="1061" t="e">
        <f>#REF!/#REF!</f>
        <v>#REF!</v>
      </c>
      <c r="V26" s="1061" t="e">
        <f>#REF!/#REF!</f>
        <v>#REF!</v>
      </c>
      <c r="X26" s="2435">
        <f t="shared" si="5"/>
        <v>0</v>
      </c>
      <c r="Y26" s="2435">
        <f t="shared" si="1"/>
        <v>0</v>
      </c>
      <c r="Z26" s="2435" t="e">
        <f t="shared" si="1"/>
        <v>#REF!</v>
      </c>
      <c r="AA26" s="2435" t="e">
        <f t="shared" si="1"/>
        <v>#REF!</v>
      </c>
    </row>
    <row r="27" spans="1:27" s="140" customFormat="1" ht="12" customHeight="1" x14ac:dyDescent="0.25">
      <c r="A27" s="2781">
        <v>2</v>
      </c>
      <c r="B27" s="2782" t="s">
        <v>229</v>
      </c>
      <c r="C27" s="2783" t="s">
        <v>40</v>
      </c>
      <c r="D27" s="2758">
        <f>D28+D29+D30</f>
        <v>486.78</v>
      </c>
      <c r="E27" s="2758">
        <f>E28+E29+E30</f>
        <v>300.94</v>
      </c>
      <c r="F27" s="2758">
        <f>F28+F29+F30</f>
        <v>156.06</v>
      </c>
      <c r="G27" s="2758">
        <f>Адміністративні_1ст!J8</f>
        <v>159.86815742381179</v>
      </c>
      <c r="H27" s="2758">
        <f>$G27/$G$56*H$56</f>
        <v>0</v>
      </c>
      <c r="I27" s="2758">
        <f t="shared" si="6"/>
        <v>0</v>
      </c>
      <c r="J27" s="2758">
        <f t="shared" si="6"/>
        <v>0</v>
      </c>
      <c r="K27" s="2758">
        <f t="shared" si="6"/>
        <v>159.86815742381179</v>
      </c>
      <c r="L27" s="1057"/>
      <c r="M27" s="1057"/>
      <c r="N27" s="1060">
        <v>0</v>
      </c>
      <c r="O27" s="1060">
        <v>0</v>
      </c>
      <c r="P27" s="1060">
        <v>0</v>
      </c>
      <c r="Q27" s="1060">
        <f t="shared" si="3"/>
        <v>57.68626699458472</v>
      </c>
      <c r="R27" s="2522">
        <f t="shared" si="4"/>
        <v>57.68626699458472</v>
      </c>
      <c r="S27" s="1061">
        <v>0</v>
      </c>
      <c r="T27" s="1061">
        <v>0</v>
      </c>
      <c r="U27" s="1061" t="e">
        <f>#REF!/#REF!</f>
        <v>#REF!</v>
      </c>
      <c r="V27" s="1061" t="e">
        <f>#REF!/#REF!</f>
        <v>#REF!</v>
      </c>
      <c r="W27" s="1057"/>
      <c r="X27" s="2435">
        <f t="shared" si="5"/>
        <v>0</v>
      </c>
      <c r="Y27" s="2435">
        <f t="shared" si="5"/>
        <v>0</v>
      </c>
      <c r="Z27" s="2435" t="e">
        <f t="shared" si="5"/>
        <v>#REF!</v>
      </c>
      <c r="AA27" s="2435" t="e">
        <f t="shared" si="5"/>
        <v>#REF!</v>
      </c>
    </row>
    <row r="28" spans="1:27" ht="12" customHeight="1" x14ac:dyDescent="0.25">
      <c r="A28" s="2784" t="s">
        <v>25</v>
      </c>
      <c r="B28" s="2785" t="s">
        <v>55</v>
      </c>
      <c r="C28" s="2192" t="s">
        <v>40</v>
      </c>
      <c r="D28" s="2759">
        <v>313.79000000000002</v>
      </c>
      <c r="E28" s="2759">
        <v>159.5</v>
      </c>
      <c r="F28" s="2760">
        <v>97.18</v>
      </c>
      <c r="G28" s="2759">
        <f>Адміністративні_1ст!J21</f>
        <v>88.47196544642577</v>
      </c>
      <c r="H28" s="2759">
        <f t="shared" ref="H28:K36" si="9">$G28/$G$56*H$56</f>
        <v>0</v>
      </c>
      <c r="I28" s="2759">
        <f t="shared" si="9"/>
        <v>0</v>
      </c>
      <c r="J28" s="2759">
        <f t="shared" si="9"/>
        <v>0</v>
      </c>
      <c r="K28" s="2759">
        <f t="shared" si="9"/>
        <v>88.471965446425756</v>
      </c>
      <c r="L28" s="1057"/>
      <c r="M28" s="1057"/>
      <c r="N28" s="1060">
        <v>0</v>
      </c>
      <c r="O28" s="1060">
        <v>0</v>
      </c>
      <c r="P28" s="1060">
        <v>0</v>
      </c>
      <c r="Q28" s="1060">
        <f t="shared" si="3"/>
        <v>31.92391469646115</v>
      </c>
      <c r="R28" s="2522">
        <f t="shared" si="4"/>
        <v>31.92391469646115</v>
      </c>
      <c r="S28" s="1061">
        <v>0</v>
      </c>
      <c r="T28" s="1061">
        <v>0</v>
      </c>
      <c r="U28" s="1061" t="e">
        <f>#REF!/#REF!</f>
        <v>#REF!</v>
      </c>
      <c r="V28" s="1061" t="e">
        <f>#REF!/#REF!</f>
        <v>#REF!</v>
      </c>
      <c r="W28" s="1077"/>
      <c r="X28" s="2435">
        <f t="shared" si="5"/>
        <v>0</v>
      </c>
      <c r="Y28" s="2435">
        <f t="shared" si="5"/>
        <v>0</v>
      </c>
      <c r="Z28" s="2435" t="e">
        <f t="shared" si="5"/>
        <v>#REF!</v>
      </c>
      <c r="AA28" s="2435" t="e">
        <f t="shared" si="5"/>
        <v>#REF!</v>
      </c>
    </row>
    <row r="29" spans="1:27" ht="21.75" customHeight="1" x14ac:dyDescent="0.25">
      <c r="A29" s="2784" t="s">
        <v>26</v>
      </c>
      <c r="B29" s="2785" t="s">
        <v>452</v>
      </c>
      <c r="C29" s="2192" t="s">
        <v>40</v>
      </c>
      <c r="D29" s="2759">
        <v>67.849999999999994</v>
      </c>
      <c r="E29" s="2759">
        <v>36.11</v>
      </c>
      <c r="F29" s="2760">
        <v>21.38</v>
      </c>
      <c r="G29" s="2759">
        <f>Адміністративні_1ст!J23</f>
        <v>19.463832398213668</v>
      </c>
      <c r="H29" s="2759">
        <f t="shared" si="9"/>
        <v>0</v>
      </c>
      <c r="I29" s="2759">
        <f t="shared" si="9"/>
        <v>0</v>
      </c>
      <c r="J29" s="2759">
        <f>$G29/$G$56*J$56</f>
        <v>0</v>
      </c>
      <c r="K29" s="2759">
        <f t="shared" si="9"/>
        <v>19.463832398213668</v>
      </c>
      <c r="L29" s="1059"/>
      <c r="M29" s="1057"/>
      <c r="N29" s="1060">
        <v>0</v>
      </c>
      <c r="O29" s="1060">
        <v>0</v>
      </c>
      <c r="P29" s="1060">
        <v>0</v>
      </c>
      <c r="Q29" s="1060">
        <f t="shared" si="3"/>
        <v>7.0232612332214535</v>
      </c>
      <c r="R29" s="2522">
        <f t="shared" si="4"/>
        <v>7.0232612332214535</v>
      </c>
      <c r="S29" s="1061">
        <v>0</v>
      </c>
      <c r="T29" s="1061">
        <v>0</v>
      </c>
      <c r="U29" s="1061" t="e">
        <f>#REF!/#REF!</f>
        <v>#REF!</v>
      </c>
      <c r="V29" s="1061" t="e">
        <f>#REF!/#REF!</f>
        <v>#REF!</v>
      </c>
      <c r="W29" s="1077"/>
      <c r="X29" s="2435">
        <f t="shared" si="5"/>
        <v>0</v>
      </c>
      <c r="Y29" s="2435">
        <f t="shared" si="5"/>
        <v>0</v>
      </c>
      <c r="Z29" s="2435" t="e">
        <f t="shared" si="5"/>
        <v>#REF!</v>
      </c>
      <c r="AA29" s="2435" t="e">
        <f t="shared" si="5"/>
        <v>#REF!</v>
      </c>
    </row>
    <row r="30" spans="1:27" ht="12" customHeight="1" x14ac:dyDescent="0.25">
      <c r="A30" s="2784" t="s">
        <v>59</v>
      </c>
      <c r="B30" s="2786" t="s">
        <v>58</v>
      </c>
      <c r="C30" s="2192" t="s">
        <v>40</v>
      </c>
      <c r="D30" s="2759">
        <v>105.14</v>
      </c>
      <c r="E30" s="2759">
        <v>105.33</v>
      </c>
      <c r="F30" s="2760">
        <f>2.47+35.03</f>
        <v>37.5</v>
      </c>
      <c r="G30" s="2759">
        <f>G27-G28-G29</f>
        <v>51.932359579172356</v>
      </c>
      <c r="H30" s="2758">
        <f t="shared" si="9"/>
        <v>0</v>
      </c>
      <c r="I30" s="2758">
        <f t="shared" si="9"/>
        <v>0</v>
      </c>
      <c r="J30" s="2758">
        <f t="shared" si="9"/>
        <v>0</v>
      </c>
      <c r="K30" s="2758">
        <f t="shared" si="9"/>
        <v>51.932359579172356</v>
      </c>
      <c r="L30" s="1057"/>
      <c r="M30" s="1057"/>
      <c r="N30" s="1060">
        <v>0</v>
      </c>
      <c r="O30" s="1060">
        <v>0</v>
      </c>
      <c r="P30" s="1060">
        <v>0</v>
      </c>
      <c r="Q30" s="1060">
        <f t="shared" si="3"/>
        <v>18.739091064902112</v>
      </c>
      <c r="R30" s="2522">
        <f t="shared" si="4"/>
        <v>18.739091064902112</v>
      </c>
      <c r="S30" s="1061">
        <v>0</v>
      </c>
      <c r="T30" s="1061">
        <v>0</v>
      </c>
      <c r="U30" s="1061" t="e">
        <f>#REF!/#REF!</f>
        <v>#REF!</v>
      </c>
      <c r="V30" s="1061" t="e">
        <f>#REF!/#REF!</f>
        <v>#REF!</v>
      </c>
      <c r="X30" s="2435">
        <f t="shared" si="5"/>
        <v>0</v>
      </c>
      <c r="Y30" s="2435">
        <f t="shared" si="5"/>
        <v>0</v>
      </c>
      <c r="Z30" s="2435" t="e">
        <f t="shared" si="5"/>
        <v>#REF!</v>
      </c>
      <c r="AA30" s="2435" t="e">
        <f t="shared" si="5"/>
        <v>#REF!</v>
      </c>
    </row>
    <row r="31" spans="1:27" s="140" customFormat="1" ht="12" customHeight="1" x14ac:dyDescent="0.25">
      <c r="A31" s="2772" t="s">
        <v>181</v>
      </c>
      <c r="B31" s="2787" t="s">
        <v>230</v>
      </c>
      <c r="C31" s="2783" t="s">
        <v>40</v>
      </c>
      <c r="D31" s="2758">
        <f>D32+D33+D34</f>
        <v>0</v>
      </c>
      <c r="E31" s="2758">
        <f>E32+E33+E34</f>
        <v>0</v>
      </c>
      <c r="F31" s="2758">
        <f>F32+F33+F34</f>
        <v>0</v>
      </c>
      <c r="G31" s="2758">
        <f>G32+G33+G34</f>
        <v>0</v>
      </c>
      <c r="H31" s="2758">
        <f t="shared" si="9"/>
        <v>0</v>
      </c>
      <c r="I31" s="2758">
        <f t="shared" si="9"/>
        <v>0</v>
      </c>
      <c r="J31" s="2758">
        <f t="shared" si="9"/>
        <v>0</v>
      </c>
      <c r="K31" s="2758">
        <f t="shared" si="9"/>
        <v>0</v>
      </c>
      <c r="L31" s="1057"/>
      <c r="M31" s="1057"/>
      <c r="N31" s="1060">
        <v>0</v>
      </c>
      <c r="O31" s="1060">
        <v>0</v>
      </c>
      <c r="P31" s="1060">
        <v>0</v>
      </c>
      <c r="Q31" s="1060">
        <f t="shared" si="3"/>
        <v>0</v>
      </c>
      <c r="R31" s="2522">
        <f t="shared" si="4"/>
        <v>0</v>
      </c>
      <c r="S31" s="1061">
        <v>0</v>
      </c>
      <c r="T31" s="1061">
        <v>0</v>
      </c>
      <c r="U31" s="1061" t="e">
        <f>#REF!/#REF!</f>
        <v>#REF!</v>
      </c>
      <c r="V31" s="1061" t="e">
        <f>#REF!/#REF!</f>
        <v>#REF!</v>
      </c>
      <c r="W31" s="1057"/>
      <c r="X31" s="2435">
        <f t="shared" si="5"/>
        <v>0</v>
      </c>
      <c r="Y31" s="2435">
        <f t="shared" si="5"/>
        <v>0</v>
      </c>
      <c r="Z31" s="2435" t="e">
        <f t="shared" si="5"/>
        <v>#REF!</v>
      </c>
      <c r="AA31" s="2435" t="e">
        <f t="shared" si="5"/>
        <v>#REF!</v>
      </c>
    </row>
    <row r="32" spans="1:27" ht="12" customHeight="1" x14ac:dyDescent="0.25">
      <c r="A32" s="2776" t="s">
        <v>60</v>
      </c>
      <c r="B32" s="2773" t="s">
        <v>55</v>
      </c>
      <c r="C32" s="2192" t="s">
        <v>40</v>
      </c>
      <c r="D32" s="2759">
        <v>0</v>
      </c>
      <c r="E32" s="2759">
        <v>0</v>
      </c>
      <c r="F32" s="2759">
        <v>0</v>
      </c>
      <c r="G32" s="2759">
        <v>0</v>
      </c>
      <c r="H32" s="2758">
        <f t="shared" si="9"/>
        <v>0</v>
      </c>
      <c r="I32" s="2758">
        <f t="shared" si="9"/>
        <v>0</v>
      </c>
      <c r="J32" s="2758">
        <f t="shared" si="9"/>
        <v>0</v>
      </c>
      <c r="K32" s="2758">
        <f t="shared" si="9"/>
        <v>0</v>
      </c>
      <c r="L32" s="1057"/>
      <c r="M32" s="1057"/>
      <c r="N32" s="1060">
        <v>0</v>
      </c>
      <c r="O32" s="1060">
        <v>0</v>
      </c>
      <c r="P32" s="1060">
        <v>0</v>
      </c>
      <c r="Q32" s="1060">
        <f t="shared" si="3"/>
        <v>0</v>
      </c>
      <c r="R32" s="2522">
        <f t="shared" si="4"/>
        <v>0</v>
      </c>
      <c r="S32" s="1061">
        <v>0</v>
      </c>
      <c r="T32" s="1061">
        <v>0</v>
      </c>
      <c r="U32" s="1061" t="e">
        <f>#REF!/#REF!</f>
        <v>#REF!</v>
      </c>
      <c r="V32" s="1061" t="e">
        <f>#REF!/#REF!</f>
        <v>#REF!</v>
      </c>
      <c r="X32" s="2435">
        <f t="shared" si="5"/>
        <v>0</v>
      </c>
      <c r="Y32" s="2435">
        <f t="shared" si="5"/>
        <v>0</v>
      </c>
      <c r="Z32" s="2435" t="e">
        <f t="shared" si="5"/>
        <v>#REF!</v>
      </c>
      <c r="AA32" s="2435" t="e">
        <f t="shared" si="5"/>
        <v>#REF!</v>
      </c>
    </row>
    <row r="33" spans="1:27" ht="23.25" customHeight="1" x14ac:dyDescent="0.25">
      <c r="A33" s="2776" t="s">
        <v>61</v>
      </c>
      <c r="B33" s="2785" t="s">
        <v>452</v>
      </c>
      <c r="C33" s="2192" t="s">
        <v>40</v>
      </c>
      <c r="D33" s="2759">
        <v>0</v>
      </c>
      <c r="E33" s="2759">
        <v>0</v>
      </c>
      <c r="F33" s="2759">
        <v>0</v>
      </c>
      <c r="G33" s="2759">
        <v>0</v>
      </c>
      <c r="H33" s="2758">
        <f t="shared" si="9"/>
        <v>0</v>
      </c>
      <c r="I33" s="2758">
        <f t="shared" si="9"/>
        <v>0</v>
      </c>
      <c r="J33" s="2758">
        <f t="shared" si="9"/>
        <v>0</v>
      </c>
      <c r="K33" s="2758">
        <f t="shared" si="9"/>
        <v>0</v>
      </c>
      <c r="L33" s="1059"/>
      <c r="M33" s="1057"/>
      <c r="N33" s="1060">
        <v>0</v>
      </c>
      <c r="O33" s="1060">
        <v>0</v>
      </c>
      <c r="P33" s="1060">
        <v>0</v>
      </c>
      <c r="Q33" s="1060">
        <f t="shared" si="3"/>
        <v>0</v>
      </c>
      <c r="R33" s="2522">
        <f t="shared" si="4"/>
        <v>0</v>
      </c>
      <c r="S33" s="1061">
        <v>0</v>
      </c>
      <c r="T33" s="1061">
        <v>0</v>
      </c>
      <c r="U33" s="1061" t="e">
        <f>#REF!/#REF!</f>
        <v>#REF!</v>
      </c>
      <c r="V33" s="1061" t="e">
        <f>#REF!/#REF!</f>
        <v>#REF!</v>
      </c>
      <c r="X33" s="2435">
        <f t="shared" si="5"/>
        <v>0</v>
      </c>
      <c r="Y33" s="2435">
        <f t="shared" si="5"/>
        <v>0</v>
      </c>
      <c r="Z33" s="2435" t="e">
        <f t="shared" si="5"/>
        <v>#REF!</v>
      </c>
      <c r="AA33" s="2435" t="e">
        <f t="shared" si="5"/>
        <v>#REF!</v>
      </c>
    </row>
    <row r="34" spans="1:27" ht="12" customHeight="1" x14ac:dyDescent="0.25">
      <c r="A34" s="2784" t="s">
        <v>62</v>
      </c>
      <c r="B34" s="2678" t="s">
        <v>243</v>
      </c>
      <c r="C34" s="2192" t="s">
        <v>40</v>
      </c>
      <c r="D34" s="2759">
        <v>0</v>
      </c>
      <c r="E34" s="2759">
        <v>0</v>
      </c>
      <c r="F34" s="2759">
        <v>0</v>
      </c>
      <c r="G34" s="2759">
        <v>0</v>
      </c>
      <c r="H34" s="2758">
        <f t="shared" si="9"/>
        <v>0</v>
      </c>
      <c r="I34" s="2758">
        <f t="shared" si="9"/>
        <v>0</v>
      </c>
      <c r="J34" s="2758">
        <f t="shared" si="9"/>
        <v>0</v>
      </c>
      <c r="K34" s="2758">
        <f t="shared" si="9"/>
        <v>0</v>
      </c>
      <c r="L34" s="1057"/>
      <c r="M34" s="1057"/>
      <c r="N34" s="1060">
        <v>0</v>
      </c>
      <c r="O34" s="1060">
        <v>0</v>
      </c>
      <c r="P34" s="1060">
        <v>0</v>
      </c>
      <c r="Q34" s="1060">
        <f t="shared" si="3"/>
        <v>0</v>
      </c>
      <c r="R34" s="2522">
        <f t="shared" si="4"/>
        <v>0</v>
      </c>
      <c r="S34" s="1061">
        <v>0</v>
      </c>
      <c r="T34" s="1061">
        <v>0</v>
      </c>
      <c r="U34" s="1061" t="e">
        <f>#REF!/#REF!</f>
        <v>#REF!</v>
      </c>
      <c r="V34" s="1061" t="e">
        <f>#REF!/#REF!</f>
        <v>#REF!</v>
      </c>
      <c r="X34" s="2435">
        <f t="shared" si="5"/>
        <v>0</v>
      </c>
      <c r="Y34" s="2435">
        <f t="shared" si="5"/>
        <v>0</v>
      </c>
      <c r="Z34" s="2435" t="e">
        <f t="shared" si="5"/>
        <v>#REF!</v>
      </c>
      <c r="AA34" s="2435" t="e">
        <f t="shared" si="5"/>
        <v>#REF!</v>
      </c>
    </row>
    <row r="35" spans="1:27" s="140" customFormat="1" ht="12" customHeight="1" x14ac:dyDescent="0.25">
      <c r="A35" s="2781" t="s">
        <v>182</v>
      </c>
      <c r="B35" s="2788" t="s">
        <v>83</v>
      </c>
      <c r="C35" s="2783" t="s">
        <v>40</v>
      </c>
      <c r="D35" s="2759">
        <v>0</v>
      </c>
      <c r="E35" s="2759">
        <v>0</v>
      </c>
      <c r="F35" s="2759">
        <v>0</v>
      </c>
      <c r="G35" s="2759">
        <v>0</v>
      </c>
      <c r="H35" s="2758">
        <f t="shared" si="9"/>
        <v>0</v>
      </c>
      <c r="I35" s="2758">
        <f t="shared" si="9"/>
        <v>0</v>
      </c>
      <c r="J35" s="2758">
        <f t="shared" si="9"/>
        <v>0</v>
      </c>
      <c r="K35" s="2758">
        <f t="shared" si="9"/>
        <v>0</v>
      </c>
      <c r="L35" s="1057"/>
      <c r="M35" s="1057"/>
      <c r="N35" s="1060">
        <v>0</v>
      </c>
      <c r="O35" s="1060">
        <v>0</v>
      </c>
      <c r="P35" s="1060">
        <v>0</v>
      </c>
      <c r="Q35" s="1060">
        <f t="shared" si="3"/>
        <v>0</v>
      </c>
      <c r="R35" s="2522">
        <f t="shared" si="4"/>
        <v>0</v>
      </c>
      <c r="S35" s="1061">
        <v>0</v>
      </c>
      <c r="T35" s="1061">
        <v>0</v>
      </c>
      <c r="U35" s="1061" t="e">
        <f>#REF!/#REF!</f>
        <v>#REF!</v>
      </c>
      <c r="V35" s="1061" t="e">
        <f>#REF!/#REF!</f>
        <v>#REF!</v>
      </c>
      <c r="W35" s="1057"/>
      <c r="X35" s="2435">
        <f t="shared" si="5"/>
        <v>0</v>
      </c>
      <c r="Y35" s="2435">
        <f t="shared" si="5"/>
        <v>0</v>
      </c>
      <c r="Z35" s="2435" t="e">
        <f t="shared" si="5"/>
        <v>#REF!</v>
      </c>
      <c r="AA35" s="2435" t="e">
        <f t="shared" si="5"/>
        <v>#REF!</v>
      </c>
    </row>
    <row r="36" spans="1:27" s="140" customFormat="1" ht="12" customHeight="1" x14ac:dyDescent="0.25">
      <c r="A36" s="2781" t="s">
        <v>177</v>
      </c>
      <c r="B36" s="2788" t="s">
        <v>5</v>
      </c>
      <c r="C36" s="2783" t="s">
        <v>40</v>
      </c>
      <c r="D36" s="2761">
        <v>0</v>
      </c>
      <c r="E36" s="2761">
        <v>0</v>
      </c>
      <c r="F36" s="2761">
        <v>0</v>
      </c>
      <c r="G36" s="2758">
        <v>0</v>
      </c>
      <c r="H36" s="2758">
        <f t="shared" si="9"/>
        <v>0</v>
      </c>
      <c r="I36" s="2758">
        <f t="shared" si="9"/>
        <v>0</v>
      </c>
      <c r="J36" s="2758">
        <f t="shared" si="9"/>
        <v>0</v>
      </c>
      <c r="K36" s="2758">
        <f t="shared" si="9"/>
        <v>0</v>
      </c>
      <c r="L36" s="1057">
        <f>G37/G53*1000</f>
        <v>1378.3290178932382</v>
      </c>
      <c r="M36" s="1057"/>
      <c r="N36" s="1060">
        <v>0</v>
      </c>
      <c r="O36" s="1060">
        <v>0</v>
      </c>
      <c r="P36" s="1060">
        <v>0</v>
      </c>
      <c r="Q36" s="1060">
        <f t="shared" si="3"/>
        <v>0</v>
      </c>
      <c r="R36" s="2522">
        <f t="shared" si="4"/>
        <v>0</v>
      </c>
      <c r="S36" s="1061">
        <v>0</v>
      </c>
      <c r="T36" s="1061">
        <v>0</v>
      </c>
      <c r="U36" s="1061" t="e">
        <f>#REF!/#REF!</f>
        <v>#REF!</v>
      </c>
      <c r="V36" s="1061" t="e">
        <f>#REF!/#REF!</f>
        <v>#REF!</v>
      </c>
      <c r="W36" s="1057"/>
      <c r="X36" s="2435">
        <f t="shared" si="5"/>
        <v>0</v>
      </c>
      <c r="Y36" s="2435">
        <f t="shared" si="5"/>
        <v>0</v>
      </c>
      <c r="Z36" s="2435" t="e">
        <f t="shared" si="5"/>
        <v>#REF!</v>
      </c>
      <c r="AA36" s="2435" t="e">
        <f t="shared" si="5"/>
        <v>#REF!</v>
      </c>
    </row>
    <row r="37" spans="1:27" s="140" customFormat="1" ht="12" customHeight="1" x14ac:dyDescent="0.25">
      <c r="A37" s="2781" t="s">
        <v>178</v>
      </c>
      <c r="B37" s="2788" t="s">
        <v>63</v>
      </c>
      <c r="C37" s="2783" t="s">
        <v>40</v>
      </c>
      <c r="D37" s="2758">
        <f>D36+D35+D31+D27+D11</f>
        <v>10842.446024000001</v>
      </c>
      <c r="E37" s="2758">
        <f>E36+E35+E31+E27+E11</f>
        <v>6271.2768000000005</v>
      </c>
      <c r="F37" s="2758">
        <f>F36+F35+F31+F27+F11</f>
        <v>15530.07</v>
      </c>
      <c r="G37" s="2758">
        <f>G36+G35+G31+G27+G11</f>
        <v>6458.3146138377824</v>
      </c>
      <c r="H37" s="2758">
        <f t="shared" ref="H37:J37" si="10">H36+H35+H31+H27+H11</f>
        <v>0</v>
      </c>
      <c r="I37" s="2775">
        <f t="shared" si="10"/>
        <v>0</v>
      </c>
      <c r="J37" s="2758">
        <f t="shared" si="10"/>
        <v>0</v>
      </c>
      <c r="K37" s="2758">
        <f>K36+K35+K31+K27+K11</f>
        <v>6458.3146138377824</v>
      </c>
      <c r="L37" s="1060">
        <f>Виробництво_Транспортування_1ст!L100+ЗВВ_1ст!J8+Адміністративні_1ст!J8</f>
        <v>6458.3146138377824</v>
      </c>
      <c r="M37" s="1061">
        <f>G37-L37</f>
        <v>0</v>
      </c>
      <c r="N37" s="1060">
        <f>P11+P27</f>
        <v>0</v>
      </c>
      <c r="O37" s="1060">
        <f>Q11+Q27</f>
        <v>2330.3956657311405</v>
      </c>
      <c r="P37" s="1060">
        <v>0</v>
      </c>
      <c r="Q37" s="1060">
        <f t="shared" si="3"/>
        <v>2330.3956657311401</v>
      </c>
      <c r="R37" s="2522">
        <f t="shared" si="4"/>
        <v>2330.3956657311401</v>
      </c>
      <c r="S37" s="1061">
        <v>0</v>
      </c>
      <c r="T37" s="1061">
        <v>0</v>
      </c>
      <c r="U37" s="1061" t="e">
        <f>#REF!/#REF!</f>
        <v>#REF!</v>
      </c>
      <c r="V37" s="1061" t="e">
        <f>#REF!/#REF!</f>
        <v>#REF!</v>
      </c>
      <c r="W37" s="1057"/>
      <c r="X37" s="2435">
        <f t="shared" si="5"/>
        <v>0</v>
      </c>
      <c r="Y37" s="2435">
        <f t="shared" si="5"/>
        <v>2330.3956657311405</v>
      </c>
      <c r="Z37" s="2435" t="e">
        <f t="shared" si="5"/>
        <v>#REF!</v>
      </c>
      <c r="AA37" s="2435" t="e">
        <f t="shared" si="5"/>
        <v>#REF!</v>
      </c>
    </row>
    <row r="38" spans="1:27" s="140" customFormat="1" ht="12" customHeight="1" x14ac:dyDescent="0.25">
      <c r="A38" s="2781" t="s">
        <v>179</v>
      </c>
      <c r="B38" s="2788" t="s">
        <v>244</v>
      </c>
      <c r="C38" s="2783" t="s">
        <v>40</v>
      </c>
      <c r="D38" s="2758">
        <v>0</v>
      </c>
      <c r="E38" s="2758">
        <v>0</v>
      </c>
      <c r="F38" s="2758"/>
      <c r="G38" s="2758">
        <v>0</v>
      </c>
      <c r="H38" s="2758">
        <v>0</v>
      </c>
      <c r="I38" s="2758">
        <v>0</v>
      </c>
      <c r="J38" s="2758">
        <v>0</v>
      </c>
      <c r="K38" s="2758">
        <v>0</v>
      </c>
      <c r="L38" s="1057"/>
      <c r="M38" s="1057"/>
      <c r="N38" s="1060">
        <v>0</v>
      </c>
      <c r="O38" s="1060">
        <v>0</v>
      </c>
      <c r="P38" s="1060">
        <v>0</v>
      </c>
      <c r="Q38" s="1060">
        <f t="shared" si="3"/>
        <v>0</v>
      </c>
      <c r="R38" s="2522">
        <f t="shared" si="4"/>
        <v>0</v>
      </c>
      <c r="S38" s="1061">
        <v>0</v>
      </c>
      <c r="T38" s="1061">
        <v>0</v>
      </c>
      <c r="U38" s="1061" t="e">
        <f>#REF!/#REF!</f>
        <v>#REF!</v>
      </c>
      <c r="V38" s="1061" t="e">
        <f>#REF!/#REF!</f>
        <v>#REF!</v>
      </c>
      <c r="W38" s="1057"/>
      <c r="X38" s="2435">
        <f t="shared" si="5"/>
        <v>0</v>
      </c>
      <c r="Y38" s="2435">
        <f t="shared" si="5"/>
        <v>0</v>
      </c>
      <c r="Z38" s="2435" t="e">
        <f t="shared" si="5"/>
        <v>#REF!</v>
      </c>
      <c r="AA38" s="2435" t="e">
        <f t="shared" si="5"/>
        <v>#REF!</v>
      </c>
    </row>
    <row r="39" spans="1:27" s="140" customFormat="1" ht="12" customHeight="1" x14ac:dyDescent="0.25">
      <c r="A39" s="2781" t="s">
        <v>180</v>
      </c>
      <c r="B39" s="2788" t="s">
        <v>245</v>
      </c>
      <c r="C39" s="2783" t="s">
        <v>40</v>
      </c>
      <c r="D39" s="2761">
        <f>D40+D41+D42+D43+D44</f>
        <v>0</v>
      </c>
      <c r="E39" s="2761">
        <f>E40+E41+E42+E43+E44</f>
        <v>0</v>
      </c>
      <c r="F39" s="2761">
        <f>F40+F41+F42+F43+F44</f>
        <v>885.83</v>
      </c>
      <c r="G39" s="2761">
        <f>G40+G41+G42+G43+G44</f>
        <v>474.29862524024679</v>
      </c>
      <c r="H39" s="2761">
        <f t="shared" ref="H39:J39" si="11">H40+H41+H42+H43+H44</f>
        <v>0</v>
      </c>
      <c r="I39" s="2761">
        <f t="shared" si="11"/>
        <v>0</v>
      </c>
      <c r="J39" s="2761">
        <f t="shared" si="11"/>
        <v>0</v>
      </c>
      <c r="K39" s="2761">
        <f>K40+K41+K42+K43+K44</f>
        <v>474.29862524024679</v>
      </c>
      <c r="L39" s="1057">
        <f>G39/G53*1000</f>
        <v>101.22448307407943</v>
      </c>
      <c r="M39" s="1057"/>
      <c r="N39" s="1060">
        <v>0</v>
      </c>
      <c r="O39" s="1060">
        <v>0</v>
      </c>
      <c r="P39" s="1060">
        <v>0</v>
      </c>
      <c r="Q39" s="1060">
        <f t="shared" si="3"/>
        <v>171.14425769129497</v>
      </c>
      <c r="R39" s="2522">
        <f t="shared" si="4"/>
        <v>171.14425769129497</v>
      </c>
      <c r="S39" s="1061">
        <v>0</v>
      </c>
      <c r="T39" s="1061">
        <v>0</v>
      </c>
      <c r="U39" s="1061" t="e">
        <f>#REF!/#REF!</f>
        <v>#REF!</v>
      </c>
      <c r="V39" s="1061" t="e">
        <f>#REF!/#REF!</f>
        <v>#REF!</v>
      </c>
      <c r="W39" s="1057"/>
      <c r="X39" s="2435">
        <f t="shared" si="5"/>
        <v>0</v>
      </c>
      <c r="Y39" s="2435">
        <f t="shared" si="5"/>
        <v>0</v>
      </c>
      <c r="Z39" s="2435" t="e">
        <f t="shared" si="5"/>
        <v>#REF!</v>
      </c>
      <c r="AA39" s="2435" t="e">
        <f t="shared" si="5"/>
        <v>#REF!</v>
      </c>
    </row>
    <row r="40" spans="1:27" ht="12" customHeight="1" x14ac:dyDescent="0.25">
      <c r="A40" s="2784" t="s">
        <v>116</v>
      </c>
      <c r="B40" s="2785" t="s">
        <v>65</v>
      </c>
      <c r="C40" s="2192" t="s">
        <v>84</v>
      </c>
      <c r="D40" s="2759">
        <v>0</v>
      </c>
      <c r="E40" s="2759">
        <v>0</v>
      </c>
      <c r="F40" s="2760">
        <v>111.82</v>
      </c>
      <c r="G40" s="2759">
        <f>G44*'Вхідні дані'!D47</f>
        <v>46.499865219632035</v>
      </c>
      <c r="H40" s="2762">
        <f>(H41+H42+H43+H44)/(100%-'Вхідні дані'!$D$47)-(H41+H42+H43+H44)</f>
        <v>0</v>
      </c>
      <c r="I40" s="2762">
        <f>(I41+I42+I43+I44)/(100%-'Вхідні дані'!$D$47)-(I41+I42+I43+I44)</f>
        <v>0</v>
      </c>
      <c r="J40" s="2759">
        <f>G40*J56/G56</f>
        <v>0</v>
      </c>
      <c r="K40" s="2759">
        <f>G40*K56/G56</f>
        <v>46.499865219632035</v>
      </c>
      <c r="N40" s="1060">
        <v>0</v>
      </c>
      <c r="O40" s="1060">
        <v>0</v>
      </c>
      <c r="P40" s="1060">
        <v>0</v>
      </c>
      <c r="Q40" s="1060">
        <f t="shared" si="3"/>
        <v>16.77884879326421</v>
      </c>
      <c r="R40" s="2522">
        <f t="shared" si="4"/>
        <v>16.77884879326421</v>
      </c>
      <c r="S40" s="1061">
        <v>0</v>
      </c>
      <c r="T40" s="1061">
        <v>0</v>
      </c>
      <c r="U40" s="1061" t="e">
        <f>#REF!/#REF!</f>
        <v>#REF!</v>
      </c>
      <c r="V40" s="1061" t="e">
        <f>#REF!/#REF!</f>
        <v>#REF!</v>
      </c>
      <c r="X40" s="2435">
        <f t="shared" si="5"/>
        <v>0</v>
      </c>
      <c r="Y40" s="2435">
        <f t="shared" si="5"/>
        <v>0</v>
      </c>
      <c r="Z40" s="2435" t="e">
        <f t="shared" si="5"/>
        <v>#REF!</v>
      </c>
      <c r="AA40" s="2435" t="e">
        <f t="shared" si="5"/>
        <v>#REF!</v>
      </c>
    </row>
    <row r="41" spans="1:27" ht="12" customHeight="1" x14ac:dyDescent="0.25">
      <c r="A41" s="2784" t="s">
        <v>118</v>
      </c>
      <c r="B41" s="2785" t="s">
        <v>85</v>
      </c>
      <c r="C41" s="2192" t="s">
        <v>40</v>
      </c>
      <c r="D41" s="2759">
        <v>0</v>
      </c>
      <c r="E41" s="2759">
        <v>0</v>
      </c>
      <c r="F41" s="2760">
        <v>152.81</v>
      </c>
      <c r="G41" s="2759">
        <f>(G44-G40)*'Вхідні дані'!D48</f>
        <v>169.46617546710343</v>
      </c>
      <c r="H41" s="2762">
        <f>(H43+H44)/(100%-'Вхідні дані'!$D$48)*'Вхідні дані'!$D$48</f>
        <v>0</v>
      </c>
      <c r="I41" s="2762">
        <f>(I43+I44)/(100%-'Вхідні дані'!$D$48)*'Вхідні дані'!$D$48</f>
        <v>0</v>
      </c>
      <c r="J41" s="2759">
        <f>G41*J56/G56</f>
        <v>0</v>
      </c>
      <c r="K41" s="2759">
        <f>G41*K56/G56</f>
        <v>169.46617546710343</v>
      </c>
      <c r="N41" s="1060">
        <v>0</v>
      </c>
      <c r="O41" s="1060">
        <v>0</v>
      </c>
      <c r="P41" s="1060">
        <v>0</v>
      </c>
      <c r="Q41" s="1060">
        <f t="shared" si="3"/>
        <v>61.149582268785124</v>
      </c>
      <c r="R41" s="2522">
        <f t="shared" si="4"/>
        <v>61.149582268785124</v>
      </c>
      <c r="S41" s="1061">
        <v>0</v>
      </c>
      <c r="T41" s="1061">
        <v>0</v>
      </c>
      <c r="U41" s="1061" t="e">
        <f>#REF!/#REF!</f>
        <v>#REF!</v>
      </c>
      <c r="V41" s="1061" t="e">
        <f>#REF!/#REF!</f>
        <v>#REF!</v>
      </c>
      <c r="X41" s="2435">
        <f t="shared" si="5"/>
        <v>0</v>
      </c>
      <c r="Y41" s="2435">
        <f t="shared" si="5"/>
        <v>0</v>
      </c>
      <c r="Z41" s="2435" t="e">
        <f t="shared" si="5"/>
        <v>#REF!</v>
      </c>
      <c r="AA41" s="2435" t="e">
        <f t="shared" si="5"/>
        <v>#REF!</v>
      </c>
    </row>
    <row r="42" spans="1:27" ht="12" customHeight="1" x14ac:dyDescent="0.25">
      <c r="A42" s="2784" t="s">
        <v>120</v>
      </c>
      <c r="B42" s="2785" t="s">
        <v>86</v>
      </c>
      <c r="C42" s="2192" t="s">
        <v>40</v>
      </c>
      <c r="D42" s="2759">
        <v>0</v>
      </c>
      <c r="E42" s="2759">
        <v>0</v>
      </c>
      <c r="F42" s="2760">
        <v>0</v>
      </c>
      <c r="G42" s="2759">
        <v>0</v>
      </c>
      <c r="H42" s="2759">
        <v>0</v>
      </c>
      <c r="I42" s="2759">
        <v>0</v>
      </c>
      <c r="J42" s="2759">
        <v>0</v>
      </c>
      <c r="K42" s="2759">
        <v>0</v>
      </c>
      <c r="N42" s="1060">
        <v>0</v>
      </c>
      <c r="O42" s="1060">
        <v>0</v>
      </c>
      <c r="P42" s="1060">
        <v>0</v>
      </c>
      <c r="Q42" s="1060">
        <f t="shared" si="3"/>
        <v>0</v>
      </c>
      <c r="R42" s="2522">
        <f t="shared" si="4"/>
        <v>0</v>
      </c>
      <c r="S42" s="1061">
        <v>0</v>
      </c>
      <c r="T42" s="1061">
        <v>0</v>
      </c>
      <c r="U42" s="1061" t="e">
        <f>#REF!/#REF!</f>
        <v>#REF!</v>
      </c>
      <c r="V42" s="1061" t="e">
        <f>#REF!/#REF!</f>
        <v>#REF!</v>
      </c>
      <c r="X42" s="2435">
        <f t="shared" si="5"/>
        <v>0</v>
      </c>
      <c r="Y42" s="2435">
        <f t="shared" si="5"/>
        <v>0</v>
      </c>
      <c r="Z42" s="2435" t="e">
        <f t="shared" si="5"/>
        <v>#REF!</v>
      </c>
      <c r="AA42" s="2435" t="e">
        <f t="shared" si="5"/>
        <v>#REF!</v>
      </c>
    </row>
    <row r="43" spans="1:27" ht="12" customHeight="1" x14ac:dyDescent="0.25">
      <c r="A43" s="2784" t="s">
        <v>122</v>
      </c>
      <c r="B43" s="2785" t="s">
        <v>71</v>
      </c>
      <c r="C43" s="2192" t="s">
        <v>40</v>
      </c>
      <c r="D43" s="2759">
        <v>0</v>
      </c>
      <c r="E43" s="2759">
        <v>0</v>
      </c>
      <c r="F43" s="2760">
        <v>0</v>
      </c>
      <c r="G43" s="2759">
        <v>0</v>
      </c>
      <c r="H43" s="2759">
        <v>0</v>
      </c>
      <c r="I43" s="2759">
        <v>0</v>
      </c>
      <c r="J43" s="2759">
        <v>0</v>
      </c>
      <c r="K43" s="2759">
        <v>0</v>
      </c>
      <c r="N43" s="1060">
        <v>0</v>
      </c>
      <c r="O43" s="1060">
        <v>0</v>
      </c>
      <c r="P43" s="1060">
        <v>0</v>
      </c>
      <c r="Q43" s="1060">
        <f t="shared" si="3"/>
        <v>0</v>
      </c>
      <c r="R43" s="2522">
        <f t="shared" si="4"/>
        <v>0</v>
      </c>
      <c r="S43" s="1061">
        <v>0</v>
      </c>
      <c r="T43" s="1061">
        <v>0</v>
      </c>
      <c r="U43" s="1061" t="e">
        <f>#REF!/#REF!</f>
        <v>#REF!</v>
      </c>
      <c r="V43" s="1061" t="e">
        <f>#REF!/#REF!</f>
        <v>#REF!</v>
      </c>
      <c r="X43" s="2435">
        <f t="shared" si="5"/>
        <v>0</v>
      </c>
      <c r="Y43" s="2435">
        <f t="shared" si="5"/>
        <v>0</v>
      </c>
      <c r="Z43" s="2435" t="e">
        <f t="shared" si="5"/>
        <v>#REF!</v>
      </c>
      <c r="AA43" s="2435" t="e">
        <f t="shared" si="5"/>
        <v>#REF!</v>
      </c>
    </row>
    <row r="44" spans="1:27" ht="12" customHeight="1" x14ac:dyDescent="0.25">
      <c r="A44" s="2784" t="s">
        <v>233</v>
      </c>
      <c r="B44" s="2738" t="s">
        <v>3432</v>
      </c>
      <c r="C44" s="2192" t="s">
        <v>40</v>
      </c>
      <c r="D44" s="2759">
        <v>0</v>
      </c>
      <c r="E44" s="2759">
        <v>0</v>
      </c>
      <c r="F44" s="2760">
        <v>621.20000000000005</v>
      </c>
      <c r="G44" s="2759">
        <f>G37*'Вхідні дані'!$D$46</f>
        <v>258.33258455351131</v>
      </c>
      <c r="H44" s="2759">
        <f>H37*'Вхідні дані'!$D$46</f>
        <v>0</v>
      </c>
      <c r="I44" s="2759">
        <f>I37*'Вхідні дані'!$D$46</f>
        <v>0</v>
      </c>
      <c r="J44" s="2759">
        <f>G44*J56/G56</f>
        <v>0</v>
      </c>
      <c r="K44" s="2759">
        <f>G44*K56/G56</f>
        <v>258.33258455351131</v>
      </c>
      <c r="L44" s="1056" t="s">
        <v>2760</v>
      </c>
      <c r="N44" s="1060">
        <v>0</v>
      </c>
      <c r="O44" s="1060">
        <v>0</v>
      </c>
      <c r="P44" s="1060">
        <v>0</v>
      </c>
      <c r="Q44" s="1060">
        <f t="shared" si="3"/>
        <v>93.215826629245612</v>
      </c>
      <c r="R44" s="2522">
        <f t="shared" si="4"/>
        <v>93.215826629245612</v>
      </c>
      <c r="S44" s="1061">
        <v>0</v>
      </c>
      <c r="T44" s="1061">
        <v>0</v>
      </c>
      <c r="U44" s="1061" t="e">
        <f>#REF!/#REF!</f>
        <v>#REF!</v>
      </c>
      <c r="V44" s="1061" t="e">
        <f>#REF!/#REF!</f>
        <v>#REF!</v>
      </c>
      <c r="X44" s="2435">
        <f t="shared" si="5"/>
        <v>0</v>
      </c>
      <c r="Y44" s="2435">
        <f t="shared" si="5"/>
        <v>0</v>
      </c>
      <c r="Z44" s="2435" t="e">
        <f t="shared" si="5"/>
        <v>#REF!</v>
      </c>
      <c r="AA44" s="2435" t="e">
        <f t="shared" si="5"/>
        <v>#REF!</v>
      </c>
    </row>
    <row r="45" spans="1:27" s="140" customFormat="1" ht="24" customHeight="1" x14ac:dyDescent="0.25">
      <c r="A45" s="2781" t="s">
        <v>195</v>
      </c>
      <c r="B45" s="2789" t="s">
        <v>567</v>
      </c>
      <c r="C45" s="2783" t="s">
        <v>40</v>
      </c>
      <c r="D45" s="2758">
        <f>D39+D38+D37</f>
        <v>10842.446024000001</v>
      </c>
      <c r="E45" s="2758">
        <f>E39+E38+E37</f>
        <v>6271.2768000000005</v>
      </c>
      <c r="F45" s="2758">
        <f>F39+F17+F37</f>
        <v>23673.37</v>
      </c>
      <c r="G45" s="2758">
        <f>G39+G38+G37</f>
        <v>6932.6132390780294</v>
      </c>
      <c r="H45" s="2758">
        <f t="shared" ref="H45:K45" si="12">H39+H38+H37</f>
        <v>0</v>
      </c>
      <c r="I45" s="2758">
        <f t="shared" si="12"/>
        <v>0</v>
      </c>
      <c r="J45" s="2758">
        <f>J39+J38+J37</f>
        <v>0</v>
      </c>
      <c r="K45" s="2758">
        <f t="shared" si="12"/>
        <v>6932.6132390780294</v>
      </c>
      <c r="L45" s="1171">
        <f>G45+'Д 3_Т на Т з ЦТП'!G45</f>
        <v>10604.262260165928</v>
      </c>
      <c r="M45" s="1172">
        <v>36422.587741725998</v>
      </c>
      <c r="N45" s="1060">
        <v>0</v>
      </c>
      <c r="O45" s="1060">
        <v>0</v>
      </c>
      <c r="P45" s="1060">
        <v>0</v>
      </c>
      <c r="Q45" s="1060">
        <f t="shared" ref="Q45" si="13">K45/K$56*1000</f>
        <v>2501.5399234224351</v>
      </c>
      <c r="R45" s="2522">
        <f t="shared" si="4"/>
        <v>2501.5399234224355</v>
      </c>
      <c r="S45" s="1061">
        <v>0</v>
      </c>
      <c r="T45" s="1061">
        <v>0</v>
      </c>
      <c r="U45" s="1061" t="e">
        <f>#REF!/#REF!</f>
        <v>#REF!</v>
      </c>
      <c r="V45" s="1061" t="e">
        <f>#REF!/#REF!</f>
        <v>#REF!</v>
      </c>
      <c r="W45" s="1057"/>
      <c r="X45" s="2435">
        <f t="shared" si="5"/>
        <v>0</v>
      </c>
      <c r="Y45" s="2435">
        <f t="shared" si="5"/>
        <v>0</v>
      </c>
      <c r="Z45" s="2435" t="e">
        <f t="shared" si="5"/>
        <v>#REF!</v>
      </c>
      <c r="AA45" s="2435" t="e">
        <f t="shared" si="5"/>
        <v>#REF!</v>
      </c>
    </row>
    <row r="46" spans="1:27" s="140" customFormat="1" ht="14.45" customHeight="1" x14ac:dyDescent="0.25">
      <c r="A46" s="2772" t="s">
        <v>196</v>
      </c>
      <c r="B46" s="2788" t="s">
        <v>88</v>
      </c>
      <c r="C46" s="2774" t="s">
        <v>74</v>
      </c>
      <c r="D46" s="2758">
        <f>D45/D56*1000</f>
        <v>1224.6771008809137</v>
      </c>
      <c r="E46" s="2758">
        <f>E45/E56*1000</f>
        <v>7473.5461728218515</v>
      </c>
      <c r="F46" s="2758">
        <f>F45/F56*1000+0.11</f>
        <v>2865.9099067869961</v>
      </c>
      <c r="G46" s="2758">
        <f>G45/G56*1000</f>
        <v>2501.5399234224351</v>
      </c>
      <c r="H46" s="2758">
        <v>0</v>
      </c>
      <c r="I46" s="2758">
        <v>0</v>
      </c>
      <c r="J46" s="2758">
        <v>0</v>
      </c>
      <c r="K46" s="2758">
        <f>K45/K56*1000</f>
        <v>2501.5399234224351</v>
      </c>
      <c r="L46" s="1968">
        <f>G46</f>
        <v>2501.5399234224351</v>
      </c>
      <c r="M46" s="1056"/>
      <c r="N46" s="1060"/>
      <c r="O46" s="1056"/>
      <c r="P46" s="1056"/>
      <c r="Q46" s="1057"/>
      <c r="R46" s="1057">
        <f>G56/1000</f>
        <v>2.7713382361666663</v>
      </c>
      <c r="S46" s="1061"/>
      <c r="T46" s="1057"/>
      <c r="U46" s="1057"/>
      <c r="V46" s="1057"/>
      <c r="W46" s="1057"/>
      <c r="X46" s="2435"/>
      <c r="Y46" s="2435"/>
      <c r="Z46" s="2435"/>
      <c r="AA46" s="2435"/>
    </row>
    <row r="47" spans="1:27" ht="24" x14ac:dyDescent="0.25">
      <c r="A47" s="2790">
        <v>11</v>
      </c>
      <c r="B47" s="2773" t="s">
        <v>568</v>
      </c>
      <c r="C47" s="2791" t="s">
        <v>22</v>
      </c>
      <c r="D47" s="2762">
        <f>D48+D49</f>
        <v>12915.64</v>
      </c>
      <c r="E47" s="2762">
        <f>E48+E49</f>
        <v>2712.7400000000002</v>
      </c>
      <c r="F47" s="3599">
        <f>F48+F49</f>
        <v>11672.37</v>
      </c>
      <c r="G47" s="2762">
        <f>G48+G49</f>
        <v>5361.3907298533331</v>
      </c>
      <c r="H47" s="2762">
        <f t="shared" ref="H47:K47" si="14">H48+H49</f>
        <v>0</v>
      </c>
      <c r="I47" s="2762">
        <f t="shared" si="14"/>
        <v>0</v>
      </c>
      <c r="J47" s="2759">
        <f t="shared" si="14"/>
        <v>0</v>
      </c>
      <c r="K47" s="2762">
        <f t="shared" si="14"/>
        <v>3177.275146985653</v>
      </c>
      <c r="L47" s="1320">
        <f>G39/G56*1000</f>
        <v>171.14425769129497</v>
      </c>
      <c r="M47" s="1056" t="s">
        <v>2234</v>
      </c>
    </row>
    <row r="48" spans="1:27" ht="12" customHeight="1" x14ac:dyDescent="0.25">
      <c r="A48" s="2776" t="s">
        <v>92</v>
      </c>
      <c r="B48" s="2785" t="s">
        <v>90</v>
      </c>
      <c r="C48" s="2791" t="s">
        <v>22</v>
      </c>
      <c r="D48" s="2762">
        <f>'Д 7_РП'!E26</f>
        <v>12915.64</v>
      </c>
      <c r="E48" s="2762">
        <f>'Д 7_РП'!F26</f>
        <v>2712.7400000000002</v>
      </c>
      <c r="F48" s="3599">
        <v>11672.37</v>
      </c>
      <c r="G48" s="2762">
        <f>'Д 7_РП'!G29+'Д 7_РП'!G32+'Д 7_РП'!G35+'Д 7_РП'!G38+'Д 7_РП'!G41</f>
        <v>5361.3907298533331</v>
      </c>
      <c r="H48" s="2763">
        <f>'Д 7_РП'!G29</f>
        <v>0</v>
      </c>
      <c r="I48" s="2763">
        <f>'Д 7_РП'!G32</f>
        <v>0</v>
      </c>
      <c r="J48" s="2760">
        <f>'Д 7_РП'!G35</f>
        <v>0</v>
      </c>
      <c r="K48" s="2763">
        <f>'Д 7_РП'!G38</f>
        <v>3177.275146985653</v>
      </c>
      <c r="L48" s="1321">
        <f>L46-L47</f>
        <v>2330.3956657311401</v>
      </c>
    </row>
    <row r="49" spans="1:27" ht="24" x14ac:dyDescent="0.25">
      <c r="A49" s="2776" t="s">
        <v>93</v>
      </c>
      <c r="B49" s="2785" t="s">
        <v>599</v>
      </c>
      <c r="C49" s="2791" t="s">
        <v>22</v>
      </c>
      <c r="D49" s="2762">
        <v>0</v>
      </c>
      <c r="E49" s="2762">
        <v>0</v>
      </c>
      <c r="F49" s="3600">
        <v>0</v>
      </c>
      <c r="G49" s="2763">
        <v>0</v>
      </c>
      <c r="H49" s="2763">
        <v>0</v>
      </c>
      <c r="I49" s="2763">
        <v>0</v>
      </c>
      <c r="J49" s="2760">
        <v>0</v>
      </c>
      <c r="K49" s="2763">
        <v>0</v>
      </c>
      <c r="L49" s="1059"/>
    </row>
    <row r="50" spans="1:27" ht="24" x14ac:dyDescent="0.25">
      <c r="A50" s="2776" t="s">
        <v>198</v>
      </c>
      <c r="B50" s="2785" t="s">
        <v>569</v>
      </c>
      <c r="C50" s="2791" t="s">
        <v>22</v>
      </c>
      <c r="D50" s="2762">
        <f>D51+D52</f>
        <v>1945.7600000000002</v>
      </c>
      <c r="E50" s="2762">
        <f>E51+E52</f>
        <v>528.68999999999994</v>
      </c>
      <c r="F50" s="3599">
        <f>F51+F52</f>
        <v>1013.15</v>
      </c>
      <c r="G50" s="2762">
        <f>G51+G52</f>
        <v>405.93691081898578</v>
      </c>
      <c r="H50" s="2762">
        <f t="shared" ref="H50:K50" si="15">H51+H52</f>
        <v>0</v>
      </c>
      <c r="I50" s="2762">
        <f t="shared" si="15"/>
        <v>0</v>
      </c>
      <c r="J50" s="2759">
        <f t="shared" si="15"/>
        <v>0</v>
      </c>
      <c r="K50" s="2762">
        <f t="shared" si="15"/>
        <v>405.93691081898669</v>
      </c>
      <c r="L50" s="1059"/>
      <c r="P50" s="1077"/>
      <c r="Q50" s="1077">
        <f>K40/K56*1000</f>
        <v>16.77884879326421</v>
      </c>
    </row>
    <row r="51" spans="1:27" ht="12" customHeight="1" x14ac:dyDescent="0.25">
      <c r="A51" s="2776" t="s">
        <v>94</v>
      </c>
      <c r="B51" s="2773" t="s">
        <v>90</v>
      </c>
      <c r="C51" s="2791" t="s">
        <v>22</v>
      </c>
      <c r="D51" s="2762">
        <f>'Д 7_РП'!E48</f>
        <v>1945.7600000000002</v>
      </c>
      <c r="E51" s="2762">
        <f>'Д 7_РП'!F48</f>
        <v>528.68999999999994</v>
      </c>
      <c r="F51" s="3599">
        <v>1013.15</v>
      </c>
      <c r="G51" s="2762">
        <f>'Д 7_РП'!G58-'Д 7_РП'!G63</f>
        <v>405.93691081898578</v>
      </c>
      <c r="H51" s="2763">
        <f>H48-H56</f>
        <v>0</v>
      </c>
      <c r="I51" s="2763">
        <f t="shared" ref="I51:K51" si="16">I48-I56</f>
        <v>0</v>
      </c>
      <c r="J51" s="2760">
        <f t="shared" si="16"/>
        <v>0</v>
      </c>
      <c r="K51" s="2763">
        <f t="shared" si="16"/>
        <v>405.93691081898669</v>
      </c>
      <c r="L51" s="1059"/>
      <c r="P51" s="1077"/>
      <c r="Q51" s="1077">
        <f>K41/K56*1000</f>
        <v>61.149582268785124</v>
      </c>
    </row>
    <row r="52" spans="1:27" ht="24" x14ac:dyDescent="0.25">
      <c r="A52" s="2776" t="s">
        <v>95</v>
      </c>
      <c r="B52" s="2780" t="s">
        <v>570</v>
      </c>
      <c r="C52" s="2791" t="s">
        <v>22</v>
      </c>
      <c r="D52" s="2762">
        <v>0</v>
      </c>
      <c r="E52" s="2762">
        <v>0</v>
      </c>
      <c r="F52" s="3600">
        <v>0</v>
      </c>
      <c r="G52" s="2763">
        <v>0</v>
      </c>
      <c r="H52" s="2763">
        <v>0</v>
      </c>
      <c r="I52" s="2763">
        <v>0</v>
      </c>
      <c r="J52" s="2760">
        <v>0</v>
      </c>
      <c r="K52" s="2763">
        <v>0</v>
      </c>
      <c r="L52" s="1059"/>
      <c r="P52" s="1077"/>
      <c r="Q52" s="1077">
        <f>K44/K56*1000</f>
        <v>93.215826629245612</v>
      </c>
    </row>
    <row r="53" spans="1:27" ht="24" x14ac:dyDescent="0.25">
      <c r="A53" s="2776" t="s">
        <v>199</v>
      </c>
      <c r="B53" s="2773" t="s">
        <v>571</v>
      </c>
      <c r="C53" s="2791" t="s">
        <v>22</v>
      </c>
      <c r="D53" s="2762">
        <f>D54+D55+D56</f>
        <v>8853.31</v>
      </c>
      <c r="E53" s="2762">
        <f>E54+E55+E56</f>
        <v>839.13</v>
      </c>
      <c r="F53" s="3599">
        <f>F54+F55+F56</f>
        <v>10418.58</v>
      </c>
      <c r="G53" s="2762">
        <f>G54+G55+G56</f>
        <v>4685.6117298533336</v>
      </c>
      <c r="H53" s="2762">
        <f t="shared" ref="H53:K53" si="17">H54+H55+H56</f>
        <v>0</v>
      </c>
      <c r="I53" s="2762">
        <f t="shared" si="17"/>
        <v>0</v>
      </c>
      <c r="J53" s="2759">
        <f t="shared" si="17"/>
        <v>0</v>
      </c>
      <c r="K53" s="2762">
        <f t="shared" si="17"/>
        <v>4685.6117298533336</v>
      </c>
      <c r="L53" s="1059"/>
      <c r="P53" s="1077"/>
      <c r="Q53" s="1077">
        <f>Q50+Q51+Q52</f>
        <v>171.14425769129494</v>
      </c>
    </row>
    <row r="54" spans="1:27" x14ac:dyDescent="0.25">
      <c r="A54" s="2776" t="s">
        <v>246</v>
      </c>
      <c r="B54" s="2773" t="s">
        <v>248</v>
      </c>
      <c r="C54" s="2791" t="s">
        <v>22</v>
      </c>
      <c r="D54" s="2762">
        <f>'Д 7_РП'!E72</f>
        <v>0</v>
      </c>
      <c r="E54" s="2762">
        <f>'Д 7_РП'!F72</f>
        <v>0</v>
      </c>
      <c r="F54" s="3599">
        <v>2157.9299999999998</v>
      </c>
      <c r="G54" s="2762">
        <f>'Д 7_РП'!G73</f>
        <v>1914.2734936866668</v>
      </c>
      <c r="H54" s="2792">
        <v>0</v>
      </c>
      <c r="I54" s="2792">
        <v>0</v>
      </c>
      <c r="J54" s="2760">
        <v>0</v>
      </c>
      <c r="K54" s="2763">
        <f>G54</f>
        <v>1914.2734936866668</v>
      </c>
    </row>
    <row r="55" spans="1:27" x14ac:dyDescent="0.25">
      <c r="A55" s="2776" t="s">
        <v>247</v>
      </c>
      <c r="B55" s="2773" t="s">
        <v>96</v>
      </c>
      <c r="C55" s="2791" t="s">
        <v>22</v>
      </c>
      <c r="D55" s="2762">
        <v>0</v>
      </c>
      <c r="E55" s="2762">
        <v>0</v>
      </c>
      <c r="F55" s="3600">
        <v>0</v>
      </c>
      <c r="G55" s="2763">
        <v>0</v>
      </c>
      <c r="H55" s="2763">
        <v>0</v>
      </c>
      <c r="I55" s="2763">
        <v>0</v>
      </c>
      <c r="J55" s="2760">
        <v>0</v>
      </c>
      <c r="K55" s="2763">
        <v>0</v>
      </c>
    </row>
    <row r="56" spans="1:27" ht="14.25" customHeight="1" x14ac:dyDescent="0.25">
      <c r="A56" s="2776" t="s">
        <v>572</v>
      </c>
      <c r="B56" s="2773" t="s">
        <v>249</v>
      </c>
      <c r="C56" s="2791" t="s">
        <v>22</v>
      </c>
      <c r="D56" s="2762">
        <f>D57+D58+D59+D60</f>
        <v>8853.31</v>
      </c>
      <c r="E56" s="2762">
        <f>E57+E58+E59+E60</f>
        <v>839.13</v>
      </c>
      <c r="F56" s="3599">
        <v>8260.65</v>
      </c>
      <c r="G56" s="2762">
        <f>G57+G58+G59+G60</f>
        <v>2771.3382361666663</v>
      </c>
      <c r="H56" s="2763">
        <f>G57</f>
        <v>0</v>
      </c>
      <c r="I56" s="2763">
        <f>G58</f>
        <v>0</v>
      </c>
      <c r="J56" s="2760">
        <f>G59</f>
        <v>0</v>
      </c>
      <c r="K56" s="2763">
        <f>G60</f>
        <v>2771.3382361666663</v>
      </c>
      <c r="N56" s="2569"/>
      <c r="O56" s="1168"/>
    </row>
    <row r="57" spans="1:27" ht="15.75" customHeight="1" x14ac:dyDescent="0.25">
      <c r="A57" s="2776" t="s">
        <v>573</v>
      </c>
      <c r="B57" s="2773" t="s">
        <v>3</v>
      </c>
      <c r="C57" s="2791" t="s">
        <v>22</v>
      </c>
      <c r="D57" s="2762">
        <f>'Д 7_РП'!$E$75</f>
        <v>0</v>
      </c>
      <c r="E57" s="2762">
        <f>'Д 7_РП'!$F$75</f>
        <v>0</v>
      </c>
      <c r="F57" s="3599">
        <v>0</v>
      </c>
      <c r="G57" s="2762">
        <f>'Д 7_РП'!G80</f>
        <v>0</v>
      </c>
      <c r="H57" s="2192" t="s">
        <v>3133</v>
      </c>
      <c r="I57" s="2192" t="s">
        <v>3133</v>
      </c>
      <c r="J57" s="2759" t="s">
        <v>3133</v>
      </c>
      <c r="K57" s="2192" t="s">
        <v>3133</v>
      </c>
      <c r="N57" s="2570"/>
      <c r="O57" s="2570"/>
    </row>
    <row r="58" spans="1:27" ht="15" customHeight="1" x14ac:dyDescent="0.25">
      <c r="A58" s="2776" t="s">
        <v>574</v>
      </c>
      <c r="B58" s="2773" t="s">
        <v>174</v>
      </c>
      <c r="C58" s="2791" t="s">
        <v>22</v>
      </c>
      <c r="D58" s="2762">
        <f>'Д 7_РП'!$E$83</f>
        <v>0</v>
      </c>
      <c r="E58" s="2762">
        <f>'Д 7_РП'!$F$83</f>
        <v>0</v>
      </c>
      <c r="F58" s="3599">
        <v>0</v>
      </c>
      <c r="G58" s="2762">
        <f>'Д 7_РП'!G86</f>
        <v>0</v>
      </c>
      <c r="H58" s="2192" t="s">
        <v>3133</v>
      </c>
      <c r="I58" s="2192" t="s">
        <v>3133</v>
      </c>
      <c r="J58" s="2759" t="s">
        <v>3133</v>
      </c>
      <c r="K58" s="2192" t="s">
        <v>3133</v>
      </c>
      <c r="N58" s="1077"/>
      <c r="O58" s="1077"/>
    </row>
    <row r="59" spans="1:27" ht="16.5" customHeight="1" x14ac:dyDescent="0.25">
      <c r="A59" s="2776" t="s">
        <v>575</v>
      </c>
      <c r="B59" s="2773" t="s">
        <v>98</v>
      </c>
      <c r="C59" s="2791" t="s">
        <v>22</v>
      </c>
      <c r="D59" s="2762">
        <f>'Д 7_РП'!$E$87</f>
        <v>198.47</v>
      </c>
      <c r="E59" s="2762">
        <f>'Д 7_РП'!$F$87</f>
        <v>86</v>
      </c>
      <c r="F59" s="3599">
        <v>0</v>
      </c>
      <c r="G59" s="2762">
        <f>'Д 7_РП'!G90</f>
        <v>0</v>
      </c>
      <c r="H59" s="2192" t="s">
        <v>3133</v>
      </c>
      <c r="I59" s="2192" t="s">
        <v>3133</v>
      </c>
      <c r="J59" s="2759" t="s">
        <v>3133</v>
      </c>
      <c r="K59" s="2192" t="s">
        <v>3133</v>
      </c>
    </row>
    <row r="60" spans="1:27" ht="14.25" customHeight="1" x14ac:dyDescent="0.25">
      <c r="A60" s="2776" t="s">
        <v>576</v>
      </c>
      <c r="B60" s="2773" t="s">
        <v>110</v>
      </c>
      <c r="C60" s="2791" t="s">
        <v>22</v>
      </c>
      <c r="D60" s="2762">
        <f>'Д 7_РП'!$E$91</f>
        <v>8654.84</v>
      </c>
      <c r="E60" s="2762">
        <f>'Д 7_РП'!$F$91</f>
        <v>753.13</v>
      </c>
      <c r="F60" s="3599">
        <v>8260.65</v>
      </c>
      <c r="G60" s="2762">
        <f>'Д 7_РП'!G94</f>
        <v>2771.3382361666663</v>
      </c>
      <c r="H60" s="2192" t="s">
        <v>3133</v>
      </c>
      <c r="I60" s="2192" t="s">
        <v>3133</v>
      </c>
      <c r="J60" s="2759" t="s">
        <v>3133</v>
      </c>
      <c r="K60" s="2192" t="s">
        <v>3133</v>
      </c>
    </row>
    <row r="61" spans="1:27" ht="24" x14ac:dyDescent="0.25">
      <c r="A61" s="2784" t="s">
        <v>200</v>
      </c>
      <c r="B61" s="2793" t="s">
        <v>577</v>
      </c>
      <c r="C61" s="2192" t="s">
        <v>22</v>
      </c>
      <c r="D61" s="2762">
        <v>0</v>
      </c>
      <c r="E61" s="2762">
        <v>0</v>
      </c>
      <c r="F61" s="2762">
        <v>0</v>
      </c>
      <c r="G61" s="2762">
        <v>0</v>
      </c>
      <c r="H61" s="2762">
        <v>0</v>
      </c>
      <c r="I61" s="2762">
        <v>0</v>
      </c>
      <c r="J61" s="2759">
        <v>0</v>
      </c>
      <c r="K61" s="2762">
        <v>0</v>
      </c>
      <c r="L61" s="1059"/>
    </row>
    <row r="62" spans="1:27" ht="24" x14ac:dyDescent="0.25">
      <c r="A62" s="2784" t="s">
        <v>201</v>
      </c>
      <c r="B62" s="2785" t="s">
        <v>578</v>
      </c>
      <c r="C62" s="2192" t="s">
        <v>74</v>
      </c>
      <c r="D62" s="2762">
        <v>0</v>
      </c>
      <c r="E62" s="2762">
        <v>0</v>
      </c>
      <c r="F62" s="2762">
        <v>0</v>
      </c>
      <c r="G62" s="2762">
        <v>0</v>
      </c>
      <c r="H62" s="2762">
        <v>0</v>
      </c>
      <c r="I62" s="2762">
        <v>0</v>
      </c>
      <c r="J62" s="2759">
        <v>0</v>
      </c>
      <c r="K62" s="2762">
        <v>0</v>
      </c>
      <c r="L62" s="1059"/>
    </row>
    <row r="63" spans="1:27" x14ac:dyDescent="0.25">
      <c r="A63" s="2794"/>
      <c r="B63" s="2795"/>
      <c r="C63" s="2796"/>
      <c r="D63" s="2797"/>
      <c r="E63" s="2797"/>
      <c r="F63" s="2797"/>
      <c r="G63" s="2797"/>
      <c r="H63" s="2797"/>
      <c r="I63" s="2797"/>
      <c r="J63" s="2797"/>
      <c r="K63" s="2797"/>
    </row>
    <row r="64" spans="1:27" s="146" customFormat="1" x14ac:dyDescent="0.25">
      <c r="A64" s="2798" t="s">
        <v>79</v>
      </c>
      <c r="B64" s="2768"/>
      <c r="C64" s="2764"/>
      <c r="D64" s="2764"/>
      <c r="E64" s="2764"/>
      <c r="F64" s="2764"/>
      <c r="G64" s="2764"/>
      <c r="H64" s="2764"/>
      <c r="I64" s="2764"/>
      <c r="J64" s="2764"/>
      <c r="K64" s="2764"/>
      <c r="L64" s="1056"/>
      <c r="M64" s="1056"/>
      <c r="N64" s="1056"/>
      <c r="O64" s="1056"/>
      <c r="P64" s="1056"/>
      <c r="Q64" s="1056"/>
      <c r="R64" s="1056"/>
      <c r="S64" s="1168"/>
      <c r="T64" s="1056"/>
      <c r="U64" s="1056"/>
      <c r="V64" s="1056"/>
      <c r="W64" s="1056"/>
      <c r="X64" s="2434"/>
      <c r="Y64" s="2434"/>
      <c r="Z64" s="2434"/>
      <c r="AA64" s="2434"/>
    </row>
    <row r="65" spans="1:27" s="146" customFormat="1" x14ac:dyDescent="0.25">
      <c r="A65" s="2799"/>
      <c r="B65" s="2800"/>
      <c r="C65" s="2800"/>
      <c r="D65" s="2800"/>
      <c r="E65" s="2800"/>
      <c r="F65" s="2800"/>
      <c r="G65" s="2800"/>
      <c r="H65" s="2800"/>
      <c r="I65" s="2800"/>
      <c r="J65" s="2800"/>
      <c r="K65" s="2800"/>
      <c r="L65" s="1056"/>
      <c r="M65" s="1056"/>
      <c r="N65" s="1056"/>
      <c r="O65" s="1056"/>
      <c r="P65" s="1056"/>
      <c r="Q65" s="1056"/>
      <c r="R65" s="1056"/>
      <c r="S65" s="1168"/>
      <c r="T65" s="1056"/>
      <c r="U65" s="1056"/>
      <c r="V65" s="1056"/>
      <c r="W65" s="1056"/>
      <c r="X65" s="2434"/>
      <c r="Y65" s="2434"/>
      <c r="Z65" s="2434"/>
      <c r="AA65" s="2434"/>
    </row>
    <row r="66" spans="1:27" s="146" customFormat="1" ht="30" customHeight="1" x14ac:dyDescent="0.25">
      <c r="A66" s="2799"/>
      <c r="B66" s="3654" t="str">
        <f>'Вхідні дані'!B14</f>
        <v>Заступник начальника Адміністрації морського порту Чорноморськ з технічних питань та розвитку</v>
      </c>
      <c r="C66" s="3758" t="s">
        <v>250</v>
      </c>
      <c r="D66" s="3759"/>
      <c r="E66" s="2800"/>
      <c r="F66" s="2800"/>
      <c r="G66" s="2800"/>
      <c r="H66" s="3737" t="str">
        <f>'Вхідні дані'!F14</f>
        <v>Віталій ЛІПСКИЙ</v>
      </c>
      <c r="I66" s="3737"/>
      <c r="J66" s="3737"/>
      <c r="K66" s="2800"/>
      <c r="L66" s="1056"/>
      <c r="M66" s="1056"/>
      <c r="N66" s="1056"/>
      <c r="O66" s="1056"/>
      <c r="P66" s="1056"/>
      <c r="Q66" s="1056"/>
      <c r="R66" s="1056"/>
      <c r="S66" s="1168"/>
      <c r="T66" s="1056"/>
      <c r="U66" s="1056"/>
      <c r="V66" s="1056"/>
      <c r="W66" s="1056"/>
      <c r="X66" s="2434"/>
      <c r="Y66" s="2434"/>
      <c r="Z66" s="2434"/>
      <c r="AA66" s="2434"/>
    </row>
    <row r="67" spans="1:27" s="146" customFormat="1" ht="25.5" customHeight="1" x14ac:dyDescent="0.25">
      <c r="A67" s="2799"/>
      <c r="B67" s="2869" t="s">
        <v>242</v>
      </c>
      <c r="C67" s="3739" t="s">
        <v>220</v>
      </c>
      <c r="D67" s="3756"/>
      <c r="E67" s="2869"/>
      <c r="F67" s="2800"/>
      <c r="G67" s="2800"/>
      <c r="H67" s="3739" t="s">
        <v>240</v>
      </c>
      <c r="I67" s="3739"/>
      <c r="J67" s="3739"/>
      <c r="K67" s="2800"/>
      <c r="L67" s="1056"/>
      <c r="M67" s="1056"/>
      <c r="N67" s="1056"/>
      <c r="O67" s="1056"/>
      <c r="P67" s="1056"/>
      <c r="Q67" s="1056"/>
      <c r="R67" s="1056"/>
      <c r="S67" s="1168"/>
      <c r="T67" s="1056"/>
      <c r="U67" s="1056"/>
      <c r="V67" s="1056"/>
      <c r="W67" s="1056"/>
      <c r="X67" s="2434"/>
      <c r="Y67" s="2434"/>
      <c r="Z67" s="2434"/>
      <c r="AA67" s="2434"/>
    </row>
    <row r="68" spans="1:27" x14ac:dyDescent="0.25">
      <c r="A68" s="2941"/>
      <c r="B68" s="2942"/>
      <c r="C68" s="2942"/>
      <c r="D68" s="2942"/>
      <c r="E68" s="2942"/>
      <c r="F68" s="2942"/>
      <c r="G68" s="2942"/>
      <c r="H68" s="2942"/>
      <c r="I68" s="2942"/>
      <c r="J68" s="2935"/>
      <c r="K68" s="2935"/>
    </row>
    <row r="69" spans="1:27" s="146" customFormat="1" x14ac:dyDescent="0.25">
      <c r="J69" s="2800"/>
      <c r="K69" s="2800"/>
      <c r="L69" s="1056"/>
      <c r="M69" s="1056"/>
      <c r="N69" s="1056"/>
      <c r="O69" s="1056"/>
      <c r="P69" s="1056"/>
      <c r="Q69" s="1056"/>
      <c r="R69" s="1056"/>
      <c r="S69" s="1168"/>
      <c r="T69" s="1056"/>
      <c r="U69" s="1056"/>
      <c r="V69" s="1056"/>
      <c r="W69" s="1056"/>
      <c r="X69" s="2434"/>
      <c r="Y69" s="2434"/>
      <c r="Z69" s="2434"/>
      <c r="AA69" s="2434"/>
    </row>
    <row r="73" spans="1:27" x14ac:dyDescent="0.25">
      <c r="D73" s="1062"/>
      <c r="E73" s="1062"/>
      <c r="F73" s="1062"/>
      <c r="G73" s="1062"/>
    </row>
    <row r="75" spans="1:27" x14ac:dyDescent="0.25">
      <c r="D75" s="1062"/>
      <c r="E75" s="1062"/>
      <c r="F75" s="1062"/>
      <c r="G75" s="1063"/>
    </row>
    <row r="76" spans="1:27" x14ac:dyDescent="0.25">
      <c r="D76" s="1063"/>
      <c r="E76" s="1063"/>
      <c r="F76" s="1063"/>
      <c r="G76" s="1062"/>
      <c r="H76" s="1062"/>
      <c r="I76" s="1062"/>
      <c r="J76" s="1062"/>
      <c r="K76" s="1062"/>
    </row>
    <row r="77" spans="1:27" x14ac:dyDescent="0.25">
      <c r="G77" s="1063"/>
    </row>
  </sheetData>
  <mergeCells count="15">
    <mergeCell ref="C67:D67"/>
    <mergeCell ref="H7:K7"/>
    <mergeCell ref="H1:K1"/>
    <mergeCell ref="A4:K4"/>
    <mergeCell ref="A6:K6"/>
    <mergeCell ref="G7:G8"/>
    <mergeCell ref="C66:D66"/>
    <mergeCell ref="H66:J66"/>
    <mergeCell ref="A3:G3"/>
    <mergeCell ref="B5:F5"/>
    <mergeCell ref="A7:A9"/>
    <mergeCell ref="B7:B9"/>
    <mergeCell ref="C7:C9"/>
    <mergeCell ref="D2:G2"/>
    <mergeCell ref="H67:J67"/>
  </mergeCells>
  <conditionalFormatting sqref="B1:B2">
    <cfRule type="containsText" dxfId="48" priority="1" operator="containsText" text="Для корек">
      <formula>NOT(ISERROR(SEARCH("Для корек",B1)))</formula>
    </cfRule>
  </conditionalFormatting>
  <pageMargins left="0.43307086614173229" right="0.27559055118110237" top="0.5" bottom="0.23622047244094491" header="0.27" footer="0.22"/>
  <pageSetup paperSize="9" scale="98" fitToHeight="0" orientation="landscape" r:id="rId1"/>
  <headerFooter differentFirst="1">
    <oddHeader>&amp;Rпродовження додатку 3.1</oddHeader>
  </headerFooter>
  <rowBreaks count="2" manualBreakCount="2">
    <brk id="34" max="10" man="1"/>
    <brk id="67" max="1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R83"/>
  <sheetViews>
    <sheetView topLeftCell="D40" workbookViewId="0">
      <selection activeCell="K21" sqref="K21"/>
    </sheetView>
  </sheetViews>
  <sheetFormatPr defaultRowHeight="15" x14ac:dyDescent="0.25"/>
  <cols>
    <col min="1" max="1" width="6.28515625" style="1332" customWidth="1"/>
    <col min="2" max="2" width="39.7109375" style="1327" customWidth="1"/>
    <col min="3" max="3" width="8.28515625" style="1327" customWidth="1"/>
    <col min="4" max="4" width="14.7109375" customWidth="1"/>
    <col min="5" max="5" width="10.85546875" customWidth="1"/>
    <col min="6" max="6" width="11.140625" customWidth="1"/>
    <col min="7" max="7" width="9.85546875" customWidth="1"/>
    <col min="8" max="8" width="11.42578125" customWidth="1"/>
    <col min="9" max="9" width="14.28515625" customWidth="1"/>
    <col min="10" max="10" width="11.42578125" customWidth="1"/>
    <col min="11" max="18" width="14.28515625" customWidth="1"/>
  </cols>
  <sheetData>
    <row r="1" spans="1:18" x14ac:dyDescent="0.25">
      <c r="A1" s="112"/>
      <c r="B1" s="113"/>
      <c r="C1" s="114"/>
    </row>
    <row r="2" spans="1:18" x14ac:dyDescent="0.25">
      <c r="A2" s="112"/>
      <c r="B2" s="113"/>
      <c r="C2" s="114"/>
    </row>
    <row r="3" spans="1:18" x14ac:dyDescent="0.25">
      <c r="A3" s="4479" t="s">
        <v>2247</v>
      </c>
      <c r="B3" s="4479"/>
      <c r="C3" s="4479"/>
      <c r="D3" s="4479"/>
      <c r="E3" s="4479"/>
      <c r="F3" s="4479"/>
      <c r="G3" s="4479"/>
      <c r="H3" s="4479"/>
      <c r="I3" s="4479"/>
      <c r="J3" s="4479"/>
      <c r="K3" s="4479"/>
      <c r="L3" s="4479"/>
      <c r="M3" s="4479"/>
      <c r="N3" s="4479"/>
      <c r="O3" s="4479"/>
      <c r="P3" s="4479"/>
      <c r="Q3" s="4479"/>
      <c r="R3" s="4479"/>
    </row>
    <row r="4" spans="1:18" x14ac:dyDescent="0.25">
      <c r="A4" s="112"/>
      <c r="B4"/>
      <c r="C4"/>
    </row>
    <row r="5" spans="1:18" ht="15.75" thickBot="1" x14ac:dyDescent="0.3">
      <c r="A5" s="112"/>
      <c r="B5" s="114"/>
      <c r="C5" s="115"/>
    </row>
    <row r="6" spans="1:18" x14ac:dyDescent="0.25">
      <c r="A6" s="4480" t="s">
        <v>7</v>
      </c>
      <c r="B6" s="4483" t="s">
        <v>8</v>
      </c>
      <c r="C6" s="3764" t="s">
        <v>35</v>
      </c>
      <c r="D6" s="4484" t="s">
        <v>2248</v>
      </c>
      <c r="E6" s="4484"/>
      <c r="F6" s="4484"/>
      <c r="G6" s="4484"/>
      <c r="H6" s="4484"/>
      <c r="I6" s="4485" t="s">
        <v>2249</v>
      </c>
      <c r="J6" s="4485"/>
      <c r="K6" s="4485"/>
      <c r="L6" s="4485"/>
      <c r="M6" s="4485"/>
      <c r="N6" s="4486" t="s">
        <v>2250</v>
      </c>
      <c r="O6" s="4486"/>
      <c r="P6" s="4486"/>
      <c r="Q6" s="4486"/>
      <c r="R6" s="4486"/>
    </row>
    <row r="7" spans="1:18" s="1327" customFormat="1" x14ac:dyDescent="0.25">
      <c r="A7" s="4481"/>
      <c r="B7" s="4483"/>
      <c r="C7" s="3764"/>
      <c r="D7" s="3764" t="s">
        <v>36</v>
      </c>
      <c r="E7" s="3764" t="s">
        <v>2251</v>
      </c>
      <c r="F7" s="3764"/>
      <c r="G7" s="3764"/>
      <c r="H7" s="3764"/>
      <c r="I7" s="3764" t="s">
        <v>36</v>
      </c>
      <c r="J7" s="3764" t="s">
        <v>2251</v>
      </c>
      <c r="K7" s="3764"/>
      <c r="L7" s="3764"/>
      <c r="M7" s="3764"/>
      <c r="N7" s="3764" t="s">
        <v>36</v>
      </c>
      <c r="O7" s="3764" t="s">
        <v>2251</v>
      </c>
      <c r="P7" s="3764"/>
      <c r="Q7" s="3764"/>
      <c r="R7" s="3764"/>
    </row>
    <row r="8" spans="1:18" s="1327" customFormat="1" ht="25.5" x14ac:dyDescent="0.25">
      <c r="A8" s="4481"/>
      <c r="B8" s="4483"/>
      <c r="C8" s="3764"/>
      <c r="D8" s="3764"/>
      <c r="E8" s="148" t="s">
        <v>2252</v>
      </c>
      <c r="F8" s="148" t="s">
        <v>2253</v>
      </c>
      <c r="G8" s="2200" t="s">
        <v>98</v>
      </c>
      <c r="H8" s="1328" t="s">
        <v>2255</v>
      </c>
      <c r="I8" s="3764"/>
      <c r="J8" s="148" t="s">
        <v>2252</v>
      </c>
      <c r="K8" s="148" t="s">
        <v>2253</v>
      </c>
      <c r="L8" s="1328" t="s">
        <v>2254</v>
      </c>
      <c r="M8" s="1328" t="s">
        <v>2255</v>
      </c>
      <c r="N8" s="3764"/>
      <c r="O8" s="148" t="s">
        <v>2252</v>
      </c>
      <c r="P8" s="148" t="s">
        <v>2253</v>
      </c>
      <c r="Q8" s="1328" t="s">
        <v>2254</v>
      </c>
      <c r="R8" s="1328" t="s">
        <v>2255</v>
      </c>
    </row>
    <row r="9" spans="1:18" s="1329" customFormat="1" ht="15.75" thickBot="1" x14ac:dyDescent="0.3">
      <c r="A9" s="4482"/>
      <c r="B9" s="4483"/>
      <c r="C9" s="3764"/>
      <c r="D9" s="2192" t="str">
        <f>'Вхідні дані'!$F$6</f>
        <v>2023-2024</v>
      </c>
      <c r="E9" s="2192" t="str">
        <f>'Вхідні дані'!$F$6</f>
        <v>2023-2024</v>
      </c>
      <c r="F9" s="2192" t="str">
        <f>'Вхідні дані'!$F$6</f>
        <v>2023-2024</v>
      </c>
      <c r="G9" s="2192" t="str">
        <f>'Вхідні дані'!$F$6</f>
        <v>2023-2024</v>
      </c>
      <c r="H9" s="2192" t="str">
        <f>'Вхідні дані'!$F$6</f>
        <v>2023-2024</v>
      </c>
      <c r="I9" s="2192" t="str">
        <f>'Вхідні дані'!$F$6</f>
        <v>2023-2024</v>
      </c>
      <c r="J9" s="2192" t="str">
        <f>'Вхідні дані'!$F$6</f>
        <v>2023-2024</v>
      </c>
      <c r="K9" s="2192" t="str">
        <f>'Вхідні дані'!$F$6</f>
        <v>2023-2024</v>
      </c>
      <c r="L9" s="2192" t="str">
        <f>'Вхідні дані'!$F$6</f>
        <v>2023-2024</v>
      </c>
      <c r="M9" s="2192" t="str">
        <f>'Вхідні дані'!$F$6</f>
        <v>2023-2024</v>
      </c>
      <c r="N9" s="2192" t="str">
        <f>'Вхідні дані'!$F$6</f>
        <v>2023-2024</v>
      </c>
      <c r="O9" s="2192" t="str">
        <f>'Вхідні дані'!$F$6</f>
        <v>2023-2024</v>
      </c>
      <c r="P9" s="2192" t="str">
        <f>'Вхідні дані'!$F$6</f>
        <v>2023-2024</v>
      </c>
      <c r="Q9" s="2192" t="str">
        <f>'Вхідні дані'!$F$6</f>
        <v>2023-2024</v>
      </c>
      <c r="R9" s="2192" t="str">
        <f>'Вхідні дані'!$F$6</f>
        <v>2023-2024</v>
      </c>
    </row>
    <row r="10" spans="1:18" s="1327" customFormat="1" x14ac:dyDescent="0.25">
      <c r="A10" s="1330">
        <v>1</v>
      </c>
      <c r="B10" s="862" t="s">
        <v>500</v>
      </c>
      <c r="C10" s="2193">
        <v>3</v>
      </c>
      <c r="D10" s="862" t="s">
        <v>182</v>
      </c>
      <c r="E10" s="862" t="s">
        <v>177</v>
      </c>
      <c r="F10" s="862" t="s">
        <v>178</v>
      </c>
      <c r="G10" s="862" t="s">
        <v>179</v>
      </c>
      <c r="H10" s="862" t="s">
        <v>180</v>
      </c>
      <c r="I10" s="862" t="s">
        <v>195</v>
      </c>
      <c r="J10" s="862" t="s">
        <v>196</v>
      </c>
      <c r="K10" s="862" t="s">
        <v>197</v>
      </c>
      <c r="L10" s="862" t="s">
        <v>198</v>
      </c>
      <c r="M10" s="862" t="s">
        <v>198</v>
      </c>
      <c r="N10" s="862" t="s">
        <v>195</v>
      </c>
      <c r="O10" s="862" t="s">
        <v>196</v>
      </c>
      <c r="P10" s="862" t="s">
        <v>197</v>
      </c>
      <c r="Q10" s="862" t="s">
        <v>198</v>
      </c>
      <c r="R10" s="862" t="s">
        <v>198</v>
      </c>
    </row>
    <row r="11" spans="1:18" x14ac:dyDescent="0.25">
      <c r="A11" s="122">
        <v>1</v>
      </c>
      <c r="B11" s="13" t="s">
        <v>225</v>
      </c>
      <c r="C11" s="129" t="s">
        <v>40</v>
      </c>
      <c r="D11" s="1331">
        <f>'Д 2_Т на В'!H12</f>
        <v>22936.849155960776</v>
      </c>
      <c r="E11" s="1331">
        <f>'Д 2_Т на В'!L12</f>
        <v>0</v>
      </c>
      <c r="F11" s="1331">
        <f>'Д 2_Т на В'!P12</f>
        <v>0</v>
      </c>
      <c r="G11" s="1331">
        <f>'Д 2_Т на В'!T12</f>
        <v>0</v>
      </c>
      <c r="H11" s="1331">
        <f>'Д 2_Т на В'!X12</f>
        <v>22936.849155960776</v>
      </c>
      <c r="I11" s="1347" t="e">
        <f>#REF!</f>
        <v>#REF!</v>
      </c>
      <c r="J11" s="1347" t="e">
        <f>#REF!</f>
        <v>#REF!</v>
      </c>
      <c r="K11" s="1347" t="e">
        <f>#REF!</f>
        <v>#REF!</v>
      </c>
      <c r="L11" s="1347" t="e">
        <f>#REF!</f>
        <v>#REF!</v>
      </c>
      <c r="M11" s="1347" t="e">
        <f>#REF!</f>
        <v>#REF!</v>
      </c>
      <c r="N11" s="1331" t="e">
        <f>D11-I11</f>
        <v>#REF!</v>
      </c>
      <c r="O11" s="1331" t="e">
        <f>E11-J11</f>
        <v>#REF!</v>
      </c>
      <c r="P11" s="1331" t="e">
        <f>F11-K11</f>
        <v>#REF!</v>
      </c>
      <c r="Q11" s="1331" t="e">
        <f>G11-L11</f>
        <v>#REF!</v>
      </c>
      <c r="R11" s="1331" t="e">
        <f>H11-M11</f>
        <v>#REF!</v>
      </c>
    </row>
    <row r="12" spans="1:18" x14ac:dyDescent="0.25">
      <c r="A12" s="125" t="s">
        <v>23</v>
      </c>
      <c r="B12" s="13" t="s">
        <v>226</v>
      </c>
      <c r="C12" s="127" t="s">
        <v>40</v>
      </c>
      <c r="D12" s="1331">
        <f>'Д 2_Т на В'!H13</f>
        <v>11700.190826664102</v>
      </c>
      <c r="E12" s="1331">
        <f>'Д 2_Т на В'!L13</f>
        <v>0</v>
      </c>
      <c r="F12" s="1331">
        <f>'Д 2_Т на В'!P13</f>
        <v>0</v>
      </c>
      <c r="G12" s="1331">
        <f>'Д 2_Т на В'!T13</f>
        <v>0</v>
      </c>
      <c r="H12" s="1331">
        <f>'Д 2_Т на В'!X13</f>
        <v>11700.190826664102</v>
      </c>
      <c r="I12" s="1347" t="e">
        <f>#REF!</f>
        <v>#REF!</v>
      </c>
      <c r="J12" s="1347" t="e">
        <f>#REF!</f>
        <v>#REF!</v>
      </c>
      <c r="K12" s="1347" t="e">
        <f>#REF!</f>
        <v>#REF!</v>
      </c>
      <c r="L12" s="1347" t="e">
        <f>#REF!</f>
        <v>#REF!</v>
      </c>
      <c r="M12" s="1347" t="e">
        <f>#REF!</f>
        <v>#REF!</v>
      </c>
      <c r="N12" s="1331" t="e">
        <f t="shared" ref="N12:R51" si="0">D12-I12</f>
        <v>#REF!</v>
      </c>
      <c r="O12" s="1331" t="e">
        <f t="shared" si="0"/>
        <v>#REF!</v>
      </c>
      <c r="P12" s="1331" t="e">
        <f t="shared" si="0"/>
        <v>#REF!</v>
      </c>
      <c r="Q12" s="1331" t="e">
        <f t="shared" si="0"/>
        <v>#REF!</v>
      </c>
      <c r="R12" s="1331" t="e">
        <f t="shared" si="0"/>
        <v>#REF!</v>
      </c>
    </row>
    <row r="13" spans="1:18" x14ac:dyDescent="0.25">
      <c r="A13" s="2188" t="s">
        <v>41</v>
      </c>
      <c r="B13" s="863" t="s">
        <v>454</v>
      </c>
      <c r="C13" s="2193" t="s">
        <v>40</v>
      </c>
      <c r="D13" s="1331">
        <f>'Д 2_Т на В'!H14</f>
        <v>11323.637583522617</v>
      </c>
      <c r="E13" s="1331">
        <f>'Д 2_Т на В'!L14</f>
        <v>0</v>
      </c>
      <c r="F13" s="1331">
        <f>'Д 2_Т на В'!P14</f>
        <v>0</v>
      </c>
      <c r="G13" s="1331">
        <f>'Д 2_Т на В'!T14</f>
        <v>0</v>
      </c>
      <c r="H13" s="1331">
        <f>'Д 2_Т на В'!X14</f>
        <v>11323.637583522617</v>
      </c>
      <c r="I13" s="1347" t="e">
        <f>#REF!</f>
        <v>#REF!</v>
      </c>
      <c r="J13" s="1347" t="e">
        <f>#REF!</f>
        <v>#REF!</v>
      </c>
      <c r="K13" s="1347" t="e">
        <f>#REF!</f>
        <v>#REF!</v>
      </c>
      <c r="L13" s="1347" t="e">
        <f>#REF!</f>
        <v>#REF!</v>
      </c>
      <c r="M13" s="1347" t="e">
        <f>#REF!</f>
        <v>#REF!</v>
      </c>
      <c r="N13" s="1331" t="e">
        <f t="shared" si="0"/>
        <v>#REF!</v>
      </c>
      <c r="O13" s="1331" t="e">
        <f t="shared" si="0"/>
        <v>#REF!</v>
      </c>
      <c r="P13" s="1331" t="e">
        <f t="shared" si="0"/>
        <v>#REF!</v>
      </c>
      <c r="Q13" s="1331" t="e">
        <f t="shared" si="0"/>
        <v>#REF!</v>
      </c>
      <c r="R13" s="1331" t="e">
        <f t="shared" si="0"/>
        <v>#REF!</v>
      </c>
    </row>
    <row r="14" spans="1:18" x14ac:dyDescent="0.25">
      <c r="A14" s="2188" t="s">
        <v>455</v>
      </c>
      <c r="B14" s="2194" t="s">
        <v>440</v>
      </c>
      <c r="C14" s="2193" t="s">
        <v>40</v>
      </c>
      <c r="D14" s="1331">
        <f>'Д 2_Т на В'!H15</f>
        <v>10876.769957878316</v>
      </c>
      <c r="E14" s="1331">
        <f>'Д 2_Т на В'!L15</f>
        <v>0</v>
      </c>
      <c r="F14" s="1331">
        <f>'Д 2_Т на В'!P15</f>
        <v>0</v>
      </c>
      <c r="G14" s="1331">
        <f>'Д 2_Т на В'!T15</f>
        <v>0</v>
      </c>
      <c r="H14" s="1331">
        <f>'Д 2_Т на В'!X15</f>
        <v>10876.769957878316</v>
      </c>
      <c r="I14" s="1347" t="e">
        <f>#REF!</f>
        <v>#REF!</v>
      </c>
      <c r="J14" s="1347" t="e">
        <f>#REF!</f>
        <v>#REF!</v>
      </c>
      <c r="K14" s="1347" t="e">
        <f>#REF!</f>
        <v>#REF!</v>
      </c>
      <c r="L14" s="1347" t="e">
        <f>#REF!</f>
        <v>#REF!</v>
      </c>
      <c r="M14" s="1347" t="e">
        <f>#REF!</f>
        <v>#REF!</v>
      </c>
      <c r="N14" s="1331" t="e">
        <f t="shared" si="0"/>
        <v>#REF!</v>
      </c>
      <c r="O14" s="1331" t="e">
        <f t="shared" si="0"/>
        <v>#REF!</v>
      </c>
      <c r="P14" s="1331" t="e">
        <f t="shared" si="0"/>
        <v>#REF!</v>
      </c>
      <c r="Q14" s="1331" t="e">
        <f t="shared" si="0"/>
        <v>#REF!</v>
      </c>
      <c r="R14" s="1331" t="e">
        <f t="shared" si="0"/>
        <v>#REF!</v>
      </c>
    </row>
    <row r="15" spans="1:18" x14ac:dyDescent="0.25">
      <c r="A15" s="2188" t="s">
        <v>456</v>
      </c>
      <c r="B15" s="2194" t="s">
        <v>1850</v>
      </c>
      <c r="C15" s="2193" t="s">
        <v>40</v>
      </c>
      <c r="D15" s="1331">
        <f>'Д 2_Т на В'!H16</f>
        <v>49.758825604933058</v>
      </c>
      <c r="E15" s="1331">
        <f>'Д 2_Т на В'!L16</f>
        <v>0</v>
      </c>
      <c r="F15" s="1331">
        <f>'Д 2_Т на В'!P16</f>
        <v>0</v>
      </c>
      <c r="G15" s="1331">
        <f>'Д 2_Т на В'!T16</f>
        <v>0</v>
      </c>
      <c r="H15" s="1331">
        <f>'Д 2_Т на В'!X16</f>
        <v>49.758825604933058</v>
      </c>
      <c r="I15" s="1347" t="e">
        <f>#REF!</f>
        <v>#REF!</v>
      </c>
      <c r="J15" s="1347" t="e">
        <f>#REF!</f>
        <v>#REF!</v>
      </c>
      <c r="K15" s="1347" t="e">
        <f>#REF!</f>
        <v>#REF!</v>
      </c>
      <c r="L15" s="1347" t="e">
        <f>#REF!</f>
        <v>#REF!</v>
      </c>
      <c r="M15" s="1347" t="e">
        <f>#REF!</f>
        <v>#REF!</v>
      </c>
      <c r="N15" s="1331" t="e">
        <f t="shared" si="0"/>
        <v>#REF!</v>
      </c>
      <c r="O15" s="1331" t="e">
        <f t="shared" si="0"/>
        <v>#REF!</v>
      </c>
      <c r="P15" s="1331" t="e">
        <f t="shared" si="0"/>
        <v>#REF!</v>
      </c>
      <c r="Q15" s="1331" t="e">
        <f t="shared" si="0"/>
        <v>#REF!</v>
      </c>
      <c r="R15" s="1331" t="e">
        <f t="shared" si="0"/>
        <v>#REF!</v>
      </c>
    </row>
    <row r="16" spans="1:18" x14ac:dyDescent="0.25">
      <c r="A16" s="2188" t="s">
        <v>457</v>
      </c>
      <c r="B16" s="2194" t="s">
        <v>1851</v>
      </c>
      <c r="C16" s="2193" t="s">
        <v>40</v>
      </c>
      <c r="D16" s="1331">
        <f>'Д 2_Т на В'!H17</f>
        <v>397.1088000393691</v>
      </c>
      <c r="E16" s="1331">
        <f>'Д 2_Т на В'!L17</f>
        <v>0</v>
      </c>
      <c r="F16" s="1331">
        <f>'Д 2_Т на В'!P17</f>
        <v>0</v>
      </c>
      <c r="G16" s="1331">
        <f>'Д 2_Т на В'!T17</f>
        <v>0</v>
      </c>
      <c r="H16" s="1331">
        <f>'Д 2_Т на В'!X17</f>
        <v>397.1088000393691</v>
      </c>
      <c r="I16" s="1347" t="e">
        <f>#REF!</f>
        <v>#REF!</v>
      </c>
      <c r="J16" s="1347" t="e">
        <f>#REF!</f>
        <v>#REF!</v>
      </c>
      <c r="K16" s="1347" t="e">
        <f>#REF!</f>
        <v>#REF!</v>
      </c>
      <c r="L16" s="1347" t="e">
        <f>#REF!</f>
        <v>#REF!</v>
      </c>
      <c r="M16" s="1347" t="e">
        <f>#REF!</f>
        <v>#REF!</v>
      </c>
      <c r="N16" s="1331" t="e">
        <f t="shared" si="0"/>
        <v>#REF!</v>
      </c>
      <c r="O16" s="1331" t="e">
        <f t="shared" si="0"/>
        <v>#REF!</v>
      </c>
      <c r="P16" s="1331" t="e">
        <f t="shared" si="0"/>
        <v>#REF!</v>
      </c>
      <c r="Q16" s="1331" t="e">
        <f t="shared" si="0"/>
        <v>#REF!</v>
      </c>
      <c r="R16" s="1331" t="e">
        <f t="shared" si="0"/>
        <v>#REF!</v>
      </c>
    </row>
    <row r="17" spans="1:18" x14ac:dyDescent="0.25">
      <c r="A17" s="125" t="s">
        <v>42</v>
      </c>
      <c r="B17" s="126" t="s">
        <v>43</v>
      </c>
      <c r="C17" s="127" t="s">
        <v>40</v>
      </c>
      <c r="D17" s="1331">
        <f>'Д 2_Т на В'!H18</f>
        <v>195.55061826148037</v>
      </c>
      <c r="E17" s="1331">
        <f>'Д 2_Т на В'!L18</f>
        <v>0</v>
      </c>
      <c r="F17" s="1331">
        <f>'Д 2_Т на В'!P18</f>
        <v>0</v>
      </c>
      <c r="G17" s="1331">
        <f>'Д 2_Т на В'!T18</f>
        <v>0</v>
      </c>
      <c r="H17" s="1331">
        <f>'Д 2_Т на В'!X18</f>
        <v>195.55061826148037</v>
      </c>
      <c r="I17" s="1347" t="e">
        <f>#REF!</f>
        <v>#REF!</v>
      </c>
      <c r="J17" s="1347" t="e">
        <f>#REF!</f>
        <v>#REF!</v>
      </c>
      <c r="K17" s="1347" t="e">
        <f>#REF!</f>
        <v>#REF!</v>
      </c>
      <c r="L17" s="1347" t="e">
        <f>#REF!</f>
        <v>#REF!</v>
      </c>
      <c r="M17" s="1347" t="e">
        <f>#REF!</f>
        <v>#REF!</v>
      </c>
      <c r="N17" s="1331" t="e">
        <f t="shared" si="0"/>
        <v>#REF!</v>
      </c>
      <c r="O17" s="1331" t="e">
        <f t="shared" si="0"/>
        <v>#REF!</v>
      </c>
      <c r="P17" s="1331" t="e">
        <f t="shared" si="0"/>
        <v>#REF!</v>
      </c>
      <c r="Q17" s="1331" t="e">
        <f t="shared" si="0"/>
        <v>#REF!</v>
      </c>
      <c r="R17" s="1331" t="e">
        <f t="shared" si="0"/>
        <v>#REF!</v>
      </c>
    </row>
    <row r="18" spans="1:18" ht="56.25" x14ac:dyDescent="0.25">
      <c r="A18" s="2189" t="s">
        <v>44</v>
      </c>
      <c r="B18" s="2195" t="s">
        <v>1928</v>
      </c>
      <c r="C18" s="127" t="s">
        <v>40</v>
      </c>
      <c r="D18" s="1331">
        <f>'Д 2_Т на В'!H19</f>
        <v>0</v>
      </c>
      <c r="E18" s="1331">
        <f>'Д 2_Т на В'!L19</f>
        <v>0</v>
      </c>
      <c r="F18" s="1331">
        <f>'Д 2_Т на В'!P19</f>
        <v>0</v>
      </c>
      <c r="G18" s="1331">
        <f>'Д 2_Т на В'!T19</f>
        <v>0</v>
      </c>
      <c r="H18" s="1331">
        <f>'Д 2_Т на В'!X19</f>
        <v>0</v>
      </c>
      <c r="I18" s="1347" t="e">
        <f>#REF!</f>
        <v>#REF!</v>
      </c>
      <c r="J18" s="1347" t="e">
        <f>#REF!</f>
        <v>#REF!</v>
      </c>
      <c r="K18" s="1347" t="e">
        <f>#REF!</f>
        <v>#REF!</v>
      </c>
      <c r="L18" s="1347" t="e">
        <f>#REF!</f>
        <v>#REF!</v>
      </c>
      <c r="M18" s="1347" t="e">
        <f>#REF!</f>
        <v>#REF!</v>
      </c>
      <c r="N18" s="1331" t="e">
        <f t="shared" si="0"/>
        <v>#REF!</v>
      </c>
      <c r="O18" s="1331" t="e">
        <f t="shared" si="0"/>
        <v>#REF!</v>
      </c>
      <c r="P18" s="1331" t="e">
        <f t="shared" si="0"/>
        <v>#REF!</v>
      </c>
      <c r="Q18" s="1331" t="e">
        <f t="shared" si="0"/>
        <v>#REF!</v>
      </c>
      <c r="R18" s="1331" t="e">
        <f t="shared" si="0"/>
        <v>#REF!</v>
      </c>
    </row>
    <row r="19" spans="1:18" x14ac:dyDescent="0.25">
      <c r="A19" s="2190" t="s">
        <v>561</v>
      </c>
      <c r="B19" s="2195" t="s">
        <v>562</v>
      </c>
      <c r="C19" s="2193" t="s">
        <v>40</v>
      </c>
      <c r="D19" s="1331">
        <f>'Д 2_Т на В'!H20</f>
        <v>0</v>
      </c>
      <c r="E19" s="1331">
        <f>'Д 2_Т на В'!L20</f>
        <v>0</v>
      </c>
      <c r="F19" s="1331">
        <f>'Д 2_Т на В'!P20</f>
        <v>0</v>
      </c>
      <c r="G19" s="1331">
        <f>'Д 2_Т на В'!T20</f>
        <v>0</v>
      </c>
      <c r="H19" s="1331">
        <f>'Д 2_Т на В'!X20</f>
        <v>0</v>
      </c>
      <c r="I19" s="1347" t="e">
        <f>#REF!</f>
        <v>#REF!</v>
      </c>
      <c r="J19" s="1347" t="e">
        <f>#REF!</f>
        <v>#REF!</v>
      </c>
      <c r="K19" s="1347" t="e">
        <f>#REF!</f>
        <v>#REF!</v>
      </c>
      <c r="L19" s="1347" t="e">
        <f>#REF!</f>
        <v>#REF!</v>
      </c>
      <c r="M19" s="1347" t="e">
        <f>#REF!</f>
        <v>#REF!</v>
      </c>
      <c r="N19" s="1331" t="e">
        <f t="shared" si="0"/>
        <v>#REF!</v>
      </c>
      <c r="O19" s="1331" t="e">
        <f t="shared" si="0"/>
        <v>#REF!</v>
      </c>
      <c r="P19" s="1331" t="e">
        <f t="shared" si="0"/>
        <v>#REF!</v>
      </c>
      <c r="Q19" s="1331" t="e">
        <f t="shared" si="0"/>
        <v>#REF!</v>
      </c>
      <c r="R19" s="1331" t="e">
        <f t="shared" si="0"/>
        <v>#REF!</v>
      </c>
    </row>
    <row r="20" spans="1:18" ht="20.45" customHeight="1" x14ac:dyDescent="0.25">
      <c r="A20" s="2190" t="s">
        <v>563</v>
      </c>
      <c r="B20" s="2195" t="s">
        <v>564</v>
      </c>
      <c r="C20" s="2193" t="s">
        <v>40</v>
      </c>
      <c r="D20" s="1331">
        <f>'Д 2_Т на В'!H21</f>
        <v>0</v>
      </c>
      <c r="E20" s="1331">
        <f>'Д 2_Т на В'!L21</f>
        <v>0</v>
      </c>
      <c r="F20" s="1331">
        <f>'Д 2_Т на В'!P21</f>
        <v>0</v>
      </c>
      <c r="G20" s="1331">
        <f>'Д 2_Т на В'!T21</f>
        <v>0</v>
      </c>
      <c r="H20" s="1331">
        <f>'Д 2_Т на В'!X21</f>
        <v>0</v>
      </c>
      <c r="I20" s="1347" t="e">
        <f>#REF!</f>
        <v>#REF!</v>
      </c>
      <c r="J20" s="1347" t="e">
        <f>#REF!</f>
        <v>#REF!</v>
      </c>
      <c r="K20" s="1347" t="e">
        <f>#REF!</f>
        <v>#REF!</v>
      </c>
      <c r="L20" s="1347" t="e">
        <f>#REF!</f>
        <v>#REF!</v>
      </c>
      <c r="M20" s="1347" t="e">
        <f>#REF!</f>
        <v>#REF!</v>
      </c>
      <c r="N20" s="1331" t="e">
        <f t="shared" si="0"/>
        <v>#REF!</v>
      </c>
      <c r="O20" s="1331" t="e">
        <f t="shared" si="0"/>
        <v>#REF!</v>
      </c>
      <c r="P20" s="1331" t="e">
        <f t="shared" si="0"/>
        <v>#REF!</v>
      </c>
      <c r="Q20" s="1331" t="e">
        <f t="shared" si="0"/>
        <v>#REF!</v>
      </c>
      <c r="R20" s="1331" t="e">
        <f t="shared" si="0"/>
        <v>#REF!</v>
      </c>
    </row>
    <row r="21" spans="1:18" ht="22.5" x14ac:dyDescent="0.25">
      <c r="A21" s="2189" t="s">
        <v>45</v>
      </c>
      <c r="B21" s="861" t="s">
        <v>1623</v>
      </c>
      <c r="C21" s="127" t="s">
        <v>40</v>
      </c>
      <c r="D21" s="1331">
        <f>'Д 2_Т на В'!H22</f>
        <v>35.642039999999994</v>
      </c>
      <c r="E21" s="1331">
        <f>'Д 2_Т на В'!L22</f>
        <v>0</v>
      </c>
      <c r="F21" s="1331">
        <f>'Д 2_Т на В'!P22</f>
        <v>0</v>
      </c>
      <c r="G21" s="1331">
        <f>'Д 2_Т на В'!T22</f>
        <v>0</v>
      </c>
      <c r="H21" s="1331">
        <f>'Д 2_Т на В'!X22</f>
        <v>35.642039999999994</v>
      </c>
      <c r="I21" s="1347" t="e">
        <f>#REF!</f>
        <v>#REF!</v>
      </c>
      <c r="J21" s="1347" t="e">
        <f>#REF!</f>
        <v>#REF!</v>
      </c>
      <c r="K21" s="1347" t="e">
        <f>#REF!</f>
        <v>#REF!</v>
      </c>
      <c r="L21" s="1347" t="e">
        <f>#REF!</f>
        <v>#REF!</v>
      </c>
      <c r="M21" s="1347" t="e">
        <f>#REF!</f>
        <v>#REF!</v>
      </c>
      <c r="N21" s="1331" t="e">
        <f t="shared" si="0"/>
        <v>#REF!</v>
      </c>
      <c r="O21" s="1331" t="e">
        <f t="shared" si="0"/>
        <v>#REF!</v>
      </c>
      <c r="P21" s="1331" t="e">
        <f t="shared" si="0"/>
        <v>#REF!</v>
      </c>
      <c r="Q21" s="1331" t="e">
        <f t="shared" si="0"/>
        <v>#REF!</v>
      </c>
      <c r="R21" s="1331" t="e">
        <f t="shared" si="0"/>
        <v>#REF!</v>
      </c>
    </row>
    <row r="22" spans="1:18" x14ac:dyDescent="0.25">
      <c r="A22" s="2189" t="s">
        <v>46</v>
      </c>
      <c r="B22" s="82" t="s">
        <v>598</v>
      </c>
      <c r="C22" s="127" t="s">
        <v>40</v>
      </c>
      <c r="D22" s="1331">
        <f>'Д 2_Т на В'!H23</f>
        <v>145.36058488000276</v>
      </c>
      <c r="E22" s="1331">
        <f>'Д 2_Т на В'!L23</f>
        <v>0</v>
      </c>
      <c r="F22" s="1331">
        <f>'Д 2_Т на В'!P23</f>
        <v>0</v>
      </c>
      <c r="G22" s="1331">
        <f>'Д 2_Т на В'!T23</f>
        <v>0</v>
      </c>
      <c r="H22" s="1331">
        <f>'Д 2_Т на В'!X23</f>
        <v>145.36058488000276</v>
      </c>
      <c r="I22" s="1347" t="e">
        <f>#REF!</f>
        <v>#REF!</v>
      </c>
      <c r="J22" s="1347" t="e">
        <f>#REF!</f>
        <v>#REF!</v>
      </c>
      <c r="K22" s="1347" t="e">
        <f>#REF!</f>
        <v>#REF!</v>
      </c>
      <c r="L22" s="1347" t="e">
        <f>#REF!</f>
        <v>#REF!</v>
      </c>
      <c r="M22" s="1347" t="e">
        <f>#REF!</f>
        <v>#REF!</v>
      </c>
      <c r="N22" s="1331" t="e">
        <f t="shared" si="0"/>
        <v>#REF!</v>
      </c>
      <c r="O22" s="1331" t="e">
        <f t="shared" si="0"/>
        <v>#REF!</v>
      </c>
      <c r="P22" s="1331" t="e">
        <f t="shared" si="0"/>
        <v>#REF!</v>
      </c>
      <c r="Q22" s="1331" t="e">
        <f t="shared" si="0"/>
        <v>#REF!</v>
      </c>
      <c r="R22" s="1331" t="e">
        <f t="shared" si="0"/>
        <v>#REF!</v>
      </c>
    </row>
    <row r="23" spans="1:18" x14ac:dyDescent="0.25">
      <c r="A23" s="125" t="s">
        <v>24</v>
      </c>
      <c r="B23" s="13" t="s">
        <v>47</v>
      </c>
      <c r="C23" s="127" t="s">
        <v>40</v>
      </c>
      <c r="D23" s="1331">
        <f>'Д 2_Т на В'!H24</f>
        <v>2967.8816200000001</v>
      </c>
      <c r="E23" s="1331">
        <f>'Д 2_Т на В'!L24</f>
        <v>0</v>
      </c>
      <c r="F23" s="1331">
        <f>'Д 2_Т на В'!P24</f>
        <v>0</v>
      </c>
      <c r="G23" s="1331">
        <f>'Д 2_Т на В'!T24</f>
        <v>0</v>
      </c>
      <c r="H23" s="1331">
        <f>'Д 2_Т на В'!X24</f>
        <v>2967.8816200000001</v>
      </c>
      <c r="I23" s="1347" t="e">
        <f>#REF!</f>
        <v>#REF!</v>
      </c>
      <c r="J23" s="1347" t="e">
        <f>#REF!</f>
        <v>#REF!</v>
      </c>
      <c r="K23" s="1347" t="e">
        <f>#REF!</f>
        <v>#REF!</v>
      </c>
      <c r="L23" s="1347" t="e">
        <f>#REF!</f>
        <v>#REF!</v>
      </c>
      <c r="M23" s="1347" t="e">
        <f>#REF!</f>
        <v>#REF!</v>
      </c>
      <c r="N23" s="1331" t="e">
        <f t="shared" si="0"/>
        <v>#REF!</v>
      </c>
      <c r="O23" s="1331" t="e">
        <f t="shared" si="0"/>
        <v>#REF!</v>
      </c>
      <c r="P23" s="1331" t="e">
        <f t="shared" si="0"/>
        <v>#REF!</v>
      </c>
      <c r="Q23" s="1331" t="e">
        <f t="shared" si="0"/>
        <v>#REF!</v>
      </c>
      <c r="R23" s="1331" t="e">
        <f t="shared" si="0"/>
        <v>#REF!</v>
      </c>
    </row>
    <row r="24" spans="1:18" x14ac:dyDescent="0.25">
      <c r="A24" s="125" t="s">
        <v>48</v>
      </c>
      <c r="B24" s="13" t="s">
        <v>227</v>
      </c>
      <c r="C24" s="127" t="s">
        <v>40</v>
      </c>
      <c r="D24" s="1331">
        <f>'Д 2_Т на В'!H25</f>
        <v>5266.3121280560008</v>
      </c>
      <c r="E24" s="1331">
        <f>'Д 2_Т на В'!L25</f>
        <v>0</v>
      </c>
      <c r="F24" s="1331">
        <f>'Д 2_Т на В'!P25</f>
        <v>0</v>
      </c>
      <c r="G24" s="1331">
        <f>'Д 2_Т на В'!T25</f>
        <v>0</v>
      </c>
      <c r="H24" s="1331">
        <f>'Д 2_Т на В'!X25</f>
        <v>5266.3121280560008</v>
      </c>
      <c r="I24" s="1347" t="e">
        <f>#REF!</f>
        <v>#REF!</v>
      </c>
      <c r="J24" s="1347" t="e">
        <f>#REF!</f>
        <v>#REF!</v>
      </c>
      <c r="K24" s="1347" t="e">
        <f>#REF!</f>
        <v>#REF!</v>
      </c>
      <c r="L24" s="1347" t="e">
        <f>#REF!</f>
        <v>#REF!</v>
      </c>
      <c r="M24" s="1347" t="e">
        <f>#REF!</f>
        <v>#REF!</v>
      </c>
      <c r="N24" s="1331" t="e">
        <f t="shared" si="0"/>
        <v>#REF!</v>
      </c>
      <c r="O24" s="1331" t="e">
        <f t="shared" si="0"/>
        <v>#REF!</v>
      </c>
      <c r="P24" s="1331" t="e">
        <f t="shared" si="0"/>
        <v>#REF!</v>
      </c>
      <c r="Q24" s="1331" t="e">
        <f t="shared" si="0"/>
        <v>#REF!</v>
      </c>
      <c r="R24" s="1331" t="e">
        <f t="shared" si="0"/>
        <v>#REF!</v>
      </c>
    </row>
    <row r="25" spans="1:18" ht="22.5" x14ac:dyDescent="0.25">
      <c r="A25" s="125" t="s">
        <v>49</v>
      </c>
      <c r="B25" s="863" t="s">
        <v>452</v>
      </c>
      <c r="C25" s="127" t="s">
        <v>40</v>
      </c>
      <c r="D25" s="1331">
        <f>'Д 2_Т на В'!H26</f>
        <v>652.93395640000006</v>
      </c>
      <c r="E25" s="1331">
        <f>'Д 2_Т на В'!L26</f>
        <v>0</v>
      </c>
      <c r="F25" s="1331">
        <f>'Д 2_Т на В'!P26</f>
        <v>0</v>
      </c>
      <c r="G25" s="1331">
        <f>'Д 2_Т на В'!T26</f>
        <v>0</v>
      </c>
      <c r="H25" s="1331">
        <f>'Д 2_Т на В'!X26</f>
        <v>652.93395640000006</v>
      </c>
      <c r="I25" s="1347" t="e">
        <f>#REF!</f>
        <v>#REF!</v>
      </c>
      <c r="J25" s="1347" t="e">
        <f>#REF!</f>
        <v>#REF!</v>
      </c>
      <c r="K25" s="1347" t="e">
        <f>#REF!</f>
        <v>#REF!</v>
      </c>
      <c r="L25" s="1347" t="e">
        <f>#REF!</f>
        <v>#REF!</v>
      </c>
      <c r="M25" s="1347" t="e">
        <f>#REF!</f>
        <v>#REF!</v>
      </c>
      <c r="N25" s="1331" t="e">
        <f t="shared" si="0"/>
        <v>#REF!</v>
      </c>
      <c r="O25" s="1331" t="e">
        <f t="shared" si="0"/>
        <v>#REF!</v>
      </c>
      <c r="P25" s="1331" t="e">
        <f t="shared" si="0"/>
        <v>#REF!</v>
      </c>
      <c r="Q25" s="1331" t="e">
        <f t="shared" si="0"/>
        <v>#REF!</v>
      </c>
      <c r="R25" s="1331" t="e">
        <f t="shared" si="0"/>
        <v>#REF!</v>
      </c>
    </row>
    <row r="26" spans="1:18" x14ac:dyDescent="0.25">
      <c r="A26" s="125" t="s">
        <v>50</v>
      </c>
      <c r="B26" s="863" t="s">
        <v>453</v>
      </c>
      <c r="C26" s="127" t="s">
        <v>40</v>
      </c>
      <c r="D26" s="1331">
        <f>'Д 2_Т на В'!H27</f>
        <v>1904.3854900000008</v>
      </c>
      <c r="E26" s="1331">
        <f>'Д 2_Т на В'!L27</f>
        <v>0</v>
      </c>
      <c r="F26" s="1331">
        <f>'Д 2_Т на В'!P27</f>
        <v>0</v>
      </c>
      <c r="G26" s="1331">
        <f>'Д 2_Т на В'!T27</f>
        <v>0</v>
      </c>
      <c r="H26" s="1331">
        <f>'Д 2_Т на В'!X27</f>
        <v>1904.3854900000008</v>
      </c>
      <c r="I26" s="1347" t="e">
        <f>#REF!</f>
        <v>#REF!</v>
      </c>
      <c r="J26" s="1347" t="e">
        <f>#REF!</f>
        <v>#REF!</v>
      </c>
      <c r="K26" s="1347" t="e">
        <f>#REF!</f>
        <v>#REF!</v>
      </c>
      <c r="L26" s="1347" t="e">
        <f>#REF!</f>
        <v>#REF!</v>
      </c>
      <c r="M26" s="1347" t="e">
        <f>#REF!</f>
        <v>#REF!</v>
      </c>
      <c r="N26" s="1331" t="e">
        <f t="shared" si="0"/>
        <v>#REF!</v>
      </c>
      <c r="O26" s="1331" t="e">
        <f t="shared" si="0"/>
        <v>#REF!</v>
      </c>
      <c r="P26" s="1331" t="e">
        <f t="shared" si="0"/>
        <v>#REF!</v>
      </c>
      <c r="Q26" s="1331" t="e">
        <f t="shared" si="0"/>
        <v>#REF!</v>
      </c>
      <c r="R26" s="1331" t="e">
        <f t="shared" si="0"/>
        <v>#REF!</v>
      </c>
    </row>
    <row r="27" spans="1:18" x14ac:dyDescent="0.25">
      <c r="A27" s="125" t="s">
        <v>51</v>
      </c>
      <c r="B27" s="126" t="s">
        <v>52</v>
      </c>
      <c r="C27" s="127" t="s">
        <v>40</v>
      </c>
      <c r="D27" s="1331">
        <f>'Д 2_Т на В'!H28</f>
        <v>2708.9926816560001</v>
      </c>
      <c r="E27" s="1331">
        <f>'Д 2_Т на В'!L28</f>
        <v>0</v>
      </c>
      <c r="F27" s="1331">
        <f>'Д 2_Т на В'!P28</f>
        <v>0</v>
      </c>
      <c r="G27" s="1331">
        <f>'Д 2_Т на В'!T28</f>
        <v>0</v>
      </c>
      <c r="H27" s="1331">
        <f>'Д 2_Т на В'!X28</f>
        <v>2708.9926816560001</v>
      </c>
      <c r="I27" s="1347" t="e">
        <f>#REF!</f>
        <v>#REF!</v>
      </c>
      <c r="J27" s="1347" t="e">
        <f>#REF!</f>
        <v>#REF!</v>
      </c>
      <c r="K27" s="1347" t="e">
        <f>#REF!</f>
        <v>#REF!</v>
      </c>
      <c r="L27" s="1347" t="e">
        <f>#REF!</f>
        <v>#REF!</v>
      </c>
      <c r="M27" s="1347" t="e">
        <f>#REF!</f>
        <v>#REF!</v>
      </c>
      <c r="N27" s="1331" t="e">
        <f t="shared" si="0"/>
        <v>#REF!</v>
      </c>
      <c r="O27" s="1331" t="e">
        <f t="shared" si="0"/>
        <v>#REF!</v>
      </c>
      <c r="P27" s="1331" t="e">
        <f t="shared" si="0"/>
        <v>#REF!</v>
      </c>
      <c r="Q27" s="1331" t="e">
        <f t="shared" si="0"/>
        <v>#REF!</v>
      </c>
      <c r="R27" s="1331" t="e">
        <f t="shared" si="0"/>
        <v>#REF!</v>
      </c>
    </row>
    <row r="28" spans="1:18" s="173" customFormat="1" x14ac:dyDescent="0.25">
      <c r="A28" s="122" t="s">
        <v>53</v>
      </c>
      <c r="B28" s="128" t="s">
        <v>228</v>
      </c>
      <c r="C28" s="129" t="s">
        <v>40</v>
      </c>
      <c r="D28" s="2044">
        <f>'Д 2_Т на В'!H29</f>
        <v>3002.4645812406711</v>
      </c>
      <c r="E28" s="2044">
        <f>'Д 2_Т на В'!L29</f>
        <v>0</v>
      </c>
      <c r="F28" s="2044">
        <f>'Д 2_Т на В'!P29</f>
        <v>0</v>
      </c>
      <c r="G28" s="2044">
        <f>'Д 2_Т на В'!T29</f>
        <v>0</v>
      </c>
      <c r="H28" s="2044">
        <f>'Д 2_Т на В'!X29</f>
        <v>3002.4645812406711</v>
      </c>
      <c r="I28" s="2196" t="e">
        <f>#REF!</f>
        <v>#REF!</v>
      </c>
      <c r="J28" s="2196" t="e">
        <f>#REF!</f>
        <v>#REF!</v>
      </c>
      <c r="K28" s="2196" t="e">
        <f>#REF!</f>
        <v>#REF!</v>
      </c>
      <c r="L28" s="2196" t="e">
        <f>#REF!</f>
        <v>#REF!</v>
      </c>
      <c r="M28" s="2196" t="e">
        <f>#REF!</f>
        <v>#REF!</v>
      </c>
      <c r="N28" s="2044" t="e">
        <f t="shared" si="0"/>
        <v>#REF!</v>
      </c>
      <c r="O28" s="2044" t="e">
        <f t="shared" si="0"/>
        <v>#REF!</v>
      </c>
      <c r="P28" s="2044" t="e">
        <f t="shared" si="0"/>
        <v>#REF!</v>
      </c>
      <c r="Q28" s="2044" t="e">
        <f t="shared" si="0"/>
        <v>#REF!</v>
      </c>
      <c r="R28" s="2044" t="e">
        <f t="shared" si="0"/>
        <v>#REF!</v>
      </c>
    </row>
    <row r="29" spans="1:18" x14ac:dyDescent="0.25">
      <c r="A29" s="125" t="s">
        <v>54</v>
      </c>
      <c r="B29" s="126" t="s">
        <v>55</v>
      </c>
      <c r="C29" s="127" t="s">
        <v>40</v>
      </c>
      <c r="D29" s="1331">
        <f>'Д 2_Т на В'!H30</f>
        <v>2174.381536632704</v>
      </c>
      <c r="E29" s="1331">
        <f>'Д 2_Т на В'!L30</f>
        <v>0</v>
      </c>
      <c r="F29" s="1331">
        <f>'Д 2_Т на В'!P30</f>
        <v>0</v>
      </c>
      <c r="G29" s="1331">
        <f>'Д 2_Т на В'!T30</f>
        <v>0</v>
      </c>
      <c r="H29" s="1331">
        <f>'Д 2_Т на В'!X30</f>
        <v>2174.381536632704</v>
      </c>
      <c r="I29" s="1347" t="e">
        <f>#REF!</f>
        <v>#REF!</v>
      </c>
      <c r="J29" s="1347" t="e">
        <f>#REF!</f>
        <v>#REF!</v>
      </c>
      <c r="K29" s="1347" t="e">
        <f>#REF!</f>
        <v>#REF!</v>
      </c>
      <c r="L29" s="1347" t="e">
        <f>#REF!</f>
        <v>#REF!</v>
      </c>
      <c r="M29" s="1347" t="e">
        <f>#REF!</f>
        <v>#REF!</v>
      </c>
      <c r="N29" s="1331" t="e">
        <f t="shared" si="0"/>
        <v>#REF!</v>
      </c>
      <c r="O29" s="1331" t="e">
        <f t="shared" si="0"/>
        <v>#REF!</v>
      </c>
      <c r="P29" s="1331" t="e">
        <f t="shared" si="0"/>
        <v>#REF!</v>
      </c>
      <c r="Q29" s="1331" t="e">
        <f t="shared" si="0"/>
        <v>#REF!</v>
      </c>
      <c r="R29" s="1331" t="e">
        <f t="shared" si="0"/>
        <v>#REF!</v>
      </c>
    </row>
    <row r="30" spans="1:18" ht="22.5" x14ac:dyDescent="0.25">
      <c r="A30" s="125" t="s">
        <v>56</v>
      </c>
      <c r="B30" s="863" t="s">
        <v>452</v>
      </c>
      <c r="C30" s="127" t="s">
        <v>40</v>
      </c>
      <c r="D30" s="1331">
        <f>'Д 2_Т на В'!H31</f>
        <v>478.36393805919488</v>
      </c>
      <c r="E30" s="1331">
        <f>'Д 2_Т на В'!L31</f>
        <v>0</v>
      </c>
      <c r="F30" s="1331">
        <f>'Д 2_Т на В'!P31</f>
        <v>0</v>
      </c>
      <c r="G30" s="1331">
        <f>'Д 2_Т на В'!T31</f>
        <v>0</v>
      </c>
      <c r="H30" s="1331">
        <f>'Д 2_Т на В'!X31</f>
        <v>478.36393805919488</v>
      </c>
      <c r="I30" s="1347" t="e">
        <f>#REF!</f>
        <v>#REF!</v>
      </c>
      <c r="J30" s="1347" t="e">
        <f>#REF!</f>
        <v>#REF!</v>
      </c>
      <c r="K30" s="1347" t="e">
        <f>#REF!</f>
        <v>#REF!</v>
      </c>
      <c r="L30" s="1347" t="e">
        <f>#REF!</f>
        <v>#REF!</v>
      </c>
      <c r="M30" s="1347" t="e">
        <f>#REF!</f>
        <v>#REF!</v>
      </c>
      <c r="N30" s="1331" t="e">
        <f t="shared" si="0"/>
        <v>#REF!</v>
      </c>
      <c r="O30" s="1331" t="e">
        <f t="shared" si="0"/>
        <v>#REF!</v>
      </c>
      <c r="P30" s="1331" t="e">
        <f t="shared" si="0"/>
        <v>#REF!</v>
      </c>
      <c r="Q30" s="1331" t="e">
        <f t="shared" si="0"/>
        <v>#REF!</v>
      </c>
      <c r="R30" s="1331" t="e">
        <f t="shared" si="0"/>
        <v>#REF!</v>
      </c>
    </row>
    <row r="31" spans="1:18" x14ac:dyDescent="0.25">
      <c r="A31" s="125" t="s">
        <v>57</v>
      </c>
      <c r="B31" s="126" t="s">
        <v>58</v>
      </c>
      <c r="C31" s="127" t="s">
        <v>40</v>
      </c>
      <c r="D31" s="1331">
        <f>'Д 2_Т на В'!H32</f>
        <v>349.71910654877229</v>
      </c>
      <c r="E31" s="1331">
        <f>'Д 2_Т на В'!L32</f>
        <v>0</v>
      </c>
      <c r="F31" s="1331">
        <f>'Д 2_Т на В'!P32</f>
        <v>0</v>
      </c>
      <c r="G31" s="1331">
        <f>'Д 2_Т на В'!T32</f>
        <v>0</v>
      </c>
      <c r="H31" s="1331">
        <f>'Д 2_Т на В'!X32</f>
        <v>349.71910654877229</v>
      </c>
      <c r="I31" s="1347" t="e">
        <f>#REF!</f>
        <v>#REF!</v>
      </c>
      <c r="J31" s="1347" t="e">
        <f>#REF!</f>
        <v>#REF!</v>
      </c>
      <c r="K31" s="1347" t="e">
        <f>#REF!</f>
        <v>#REF!</v>
      </c>
      <c r="L31" s="1347" t="e">
        <f>#REF!</f>
        <v>#REF!</v>
      </c>
      <c r="M31" s="1347" t="e">
        <f>#REF!</f>
        <v>#REF!</v>
      </c>
      <c r="N31" s="1331" t="e">
        <f t="shared" si="0"/>
        <v>#REF!</v>
      </c>
      <c r="O31" s="1331" t="e">
        <f t="shared" si="0"/>
        <v>#REF!</v>
      </c>
      <c r="P31" s="1331" t="e">
        <f t="shared" si="0"/>
        <v>#REF!</v>
      </c>
      <c r="Q31" s="1331" t="e">
        <f t="shared" si="0"/>
        <v>#REF!</v>
      </c>
      <c r="R31" s="1331" t="e">
        <f t="shared" si="0"/>
        <v>#REF!</v>
      </c>
    </row>
    <row r="32" spans="1:18" s="173" customFormat="1" x14ac:dyDescent="0.25">
      <c r="A32" s="122">
        <v>2</v>
      </c>
      <c r="B32" s="128" t="s">
        <v>229</v>
      </c>
      <c r="C32" s="129" t="s">
        <v>40</v>
      </c>
      <c r="D32" s="2044">
        <f>'Д 2_Т на В'!H33</f>
        <v>920.38656763919266</v>
      </c>
      <c r="E32" s="2044">
        <f>'Д 2_Т на В'!L33</f>
        <v>0</v>
      </c>
      <c r="F32" s="2044">
        <f>'Д 2_Т на В'!P33</f>
        <v>0</v>
      </c>
      <c r="G32" s="2044">
        <f>'Д 2_Т на В'!T33</f>
        <v>0</v>
      </c>
      <c r="H32" s="2044">
        <f>'Д 2_Т на В'!X33</f>
        <v>920.38656763919266</v>
      </c>
      <c r="I32" s="2196" t="e">
        <f>#REF!</f>
        <v>#REF!</v>
      </c>
      <c r="J32" s="2196" t="e">
        <f>#REF!</f>
        <v>#REF!</v>
      </c>
      <c r="K32" s="2196" t="e">
        <f>#REF!</f>
        <v>#REF!</v>
      </c>
      <c r="L32" s="2196" t="e">
        <f>#REF!</f>
        <v>#REF!</v>
      </c>
      <c r="M32" s="2196" t="e">
        <f>#REF!</f>
        <v>#REF!</v>
      </c>
      <c r="N32" s="2044" t="e">
        <f t="shared" si="0"/>
        <v>#REF!</v>
      </c>
      <c r="O32" s="2044" t="e">
        <f t="shared" si="0"/>
        <v>#REF!</v>
      </c>
      <c r="P32" s="2044" t="e">
        <f t="shared" si="0"/>
        <v>#REF!</v>
      </c>
      <c r="Q32" s="2044" t="e">
        <f t="shared" si="0"/>
        <v>#REF!</v>
      </c>
      <c r="R32" s="2044" t="e">
        <f t="shared" si="0"/>
        <v>#REF!</v>
      </c>
    </row>
    <row r="33" spans="1:18" x14ac:dyDescent="0.25">
      <c r="A33" s="125" t="s">
        <v>25</v>
      </c>
      <c r="B33" s="126" t="s">
        <v>55</v>
      </c>
      <c r="C33" s="127" t="s">
        <v>40</v>
      </c>
      <c r="D33" s="1331">
        <f>'Д 2_Т на В'!H34</f>
        <v>509.34726415631161</v>
      </c>
      <c r="E33" s="1331">
        <f>'Д 2_Т на В'!L34</f>
        <v>0</v>
      </c>
      <c r="F33" s="1331">
        <f>'Д 2_Т на В'!P34</f>
        <v>0</v>
      </c>
      <c r="G33" s="1331">
        <f>'Д 2_Т на В'!T34</f>
        <v>0</v>
      </c>
      <c r="H33" s="1331">
        <f>'Д 2_Т на В'!X34</f>
        <v>509.34726415631161</v>
      </c>
      <c r="I33" s="1347" t="e">
        <f>#REF!</f>
        <v>#REF!</v>
      </c>
      <c r="J33" s="1347" t="e">
        <f>#REF!</f>
        <v>#REF!</v>
      </c>
      <c r="K33" s="1347" t="e">
        <f>#REF!</f>
        <v>#REF!</v>
      </c>
      <c r="L33" s="1347" t="e">
        <f>#REF!</f>
        <v>#REF!</v>
      </c>
      <c r="M33" s="1347" t="e">
        <f>#REF!</f>
        <v>#REF!</v>
      </c>
      <c r="N33" s="1331" t="e">
        <f t="shared" si="0"/>
        <v>#REF!</v>
      </c>
      <c r="O33" s="1331" t="e">
        <f t="shared" si="0"/>
        <v>#REF!</v>
      </c>
      <c r="P33" s="1331" t="e">
        <f t="shared" si="0"/>
        <v>#REF!</v>
      </c>
      <c r="Q33" s="1331" t="e">
        <f t="shared" si="0"/>
        <v>#REF!</v>
      </c>
      <c r="R33" s="1331" t="e">
        <f t="shared" si="0"/>
        <v>#REF!</v>
      </c>
    </row>
    <row r="34" spans="1:18" ht="22.5" x14ac:dyDescent="0.25">
      <c r="A34" s="125" t="s">
        <v>26</v>
      </c>
      <c r="B34" s="863" t="s">
        <v>452</v>
      </c>
      <c r="C34" s="127" t="s">
        <v>40</v>
      </c>
      <c r="D34" s="1331">
        <f>'Д 2_Т на В'!H35</f>
        <v>112.05639811438856</v>
      </c>
      <c r="E34" s="1331">
        <f>'Д 2_Т на В'!L35</f>
        <v>0</v>
      </c>
      <c r="F34" s="1331">
        <f>'Д 2_Т на В'!P35</f>
        <v>0</v>
      </c>
      <c r="G34" s="1331">
        <f>'Д 2_Т на В'!T35</f>
        <v>0</v>
      </c>
      <c r="H34" s="1331">
        <f>'Д 2_Т на В'!X35</f>
        <v>112.05639811438856</v>
      </c>
      <c r="I34" s="1347" t="e">
        <f>#REF!</f>
        <v>#REF!</v>
      </c>
      <c r="J34" s="1347" t="e">
        <f>#REF!</f>
        <v>#REF!</v>
      </c>
      <c r="K34" s="1347" t="e">
        <f>#REF!</f>
        <v>#REF!</v>
      </c>
      <c r="L34" s="1347" t="e">
        <f>#REF!</f>
        <v>#REF!</v>
      </c>
      <c r="M34" s="1347" t="e">
        <f>#REF!</f>
        <v>#REF!</v>
      </c>
      <c r="N34" s="1331" t="e">
        <f t="shared" si="0"/>
        <v>#REF!</v>
      </c>
      <c r="O34" s="1331" t="e">
        <f t="shared" si="0"/>
        <v>#REF!</v>
      </c>
      <c r="P34" s="1331" t="e">
        <f t="shared" si="0"/>
        <v>#REF!</v>
      </c>
      <c r="Q34" s="1331" t="e">
        <f t="shared" si="0"/>
        <v>#REF!</v>
      </c>
      <c r="R34" s="1331" t="e">
        <f t="shared" si="0"/>
        <v>#REF!</v>
      </c>
    </row>
    <row r="35" spans="1:18" x14ac:dyDescent="0.25">
      <c r="A35" s="125" t="s">
        <v>59</v>
      </c>
      <c r="B35" s="126" t="s">
        <v>58</v>
      </c>
      <c r="C35" s="127" t="s">
        <v>40</v>
      </c>
      <c r="D35" s="1331">
        <f>'Д 2_Т на В'!H36</f>
        <v>298.9829053684926</v>
      </c>
      <c r="E35" s="1331">
        <f>'Д 2_Т на В'!L36</f>
        <v>0</v>
      </c>
      <c r="F35" s="1331">
        <f>'Д 2_Т на В'!P36</f>
        <v>0</v>
      </c>
      <c r="G35" s="1331">
        <f>'Д 2_Т на В'!T36</f>
        <v>0</v>
      </c>
      <c r="H35" s="1331">
        <f>'Д 2_Т на В'!X36</f>
        <v>298.9829053684926</v>
      </c>
      <c r="I35" s="1347" t="e">
        <f>#REF!</f>
        <v>#REF!</v>
      </c>
      <c r="J35" s="1347" t="e">
        <f>#REF!</f>
        <v>#REF!</v>
      </c>
      <c r="K35" s="1347" t="e">
        <f>#REF!</f>
        <v>#REF!</v>
      </c>
      <c r="L35" s="1347" t="e">
        <f>#REF!</f>
        <v>#REF!</v>
      </c>
      <c r="M35" s="1347" t="e">
        <f>#REF!</f>
        <v>#REF!</v>
      </c>
      <c r="N35" s="1331" t="e">
        <f t="shared" si="0"/>
        <v>#REF!</v>
      </c>
      <c r="O35" s="1331" t="e">
        <f t="shared" si="0"/>
        <v>#REF!</v>
      </c>
      <c r="P35" s="1331" t="e">
        <f t="shared" si="0"/>
        <v>#REF!</v>
      </c>
      <c r="Q35" s="1331" t="e">
        <f t="shared" si="0"/>
        <v>#REF!</v>
      </c>
      <c r="R35" s="1331" t="e">
        <f t="shared" si="0"/>
        <v>#REF!</v>
      </c>
    </row>
    <row r="36" spans="1:18" x14ac:dyDescent="0.25">
      <c r="A36" s="125" t="s">
        <v>181</v>
      </c>
      <c r="B36" s="13" t="s">
        <v>230</v>
      </c>
      <c r="C36" s="127" t="s">
        <v>40</v>
      </c>
      <c r="D36" s="1331">
        <f>'Д 2_Т на В'!H37</f>
        <v>0</v>
      </c>
      <c r="E36" s="1331">
        <f>'Д 2_Т на В'!L37</f>
        <v>0</v>
      </c>
      <c r="F36" s="1331">
        <f>'Д 2_Т на В'!P37</f>
        <v>0</v>
      </c>
      <c r="G36" s="1331">
        <f>'Д 2_Т на В'!T37</f>
        <v>0</v>
      </c>
      <c r="H36" s="1331">
        <f>'Д 2_Т на В'!X37</f>
        <v>0</v>
      </c>
      <c r="I36" s="1347" t="e">
        <f>#REF!</f>
        <v>#REF!</v>
      </c>
      <c r="J36" s="1347" t="e">
        <f>#REF!</f>
        <v>#REF!</v>
      </c>
      <c r="K36" s="1347" t="e">
        <f>#REF!</f>
        <v>#REF!</v>
      </c>
      <c r="L36" s="1347" t="e">
        <f>#REF!</f>
        <v>#REF!</v>
      </c>
      <c r="M36" s="1347" t="e">
        <f>#REF!</f>
        <v>#REF!</v>
      </c>
      <c r="N36" s="1331" t="e">
        <f t="shared" si="0"/>
        <v>#REF!</v>
      </c>
      <c r="O36" s="1331" t="e">
        <f t="shared" si="0"/>
        <v>#REF!</v>
      </c>
      <c r="P36" s="1331" t="e">
        <f t="shared" si="0"/>
        <v>#REF!</v>
      </c>
      <c r="Q36" s="1331" t="e">
        <f t="shared" si="0"/>
        <v>#REF!</v>
      </c>
      <c r="R36" s="1331" t="e">
        <f t="shared" si="0"/>
        <v>#REF!</v>
      </c>
    </row>
    <row r="37" spans="1:18" x14ac:dyDescent="0.25">
      <c r="A37" s="125" t="s">
        <v>60</v>
      </c>
      <c r="B37" s="13" t="s">
        <v>55</v>
      </c>
      <c r="C37" s="127" t="s">
        <v>40</v>
      </c>
      <c r="D37" s="1331">
        <f>'Д 2_Т на В'!H38</f>
        <v>0</v>
      </c>
      <c r="E37" s="1331">
        <f>'Д 2_Т на В'!L38</f>
        <v>0</v>
      </c>
      <c r="F37" s="1331">
        <f>'Д 2_Т на В'!P38</f>
        <v>0</v>
      </c>
      <c r="G37" s="1331">
        <f>'Д 2_Т на В'!T38</f>
        <v>0</v>
      </c>
      <c r="H37" s="1331">
        <f>'Д 2_Т на В'!X38</f>
        <v>0</v>
      </c>
      <c r="I37" s="1347" t="e">
        <f>#REF!</f>
        <v>#REF!</v>
      </c>
      <c r="J37" s="1347" t="e">
        <f>#REF!</f>
        <v>#REF!</v>
      </c>
      <c r="K37" s="1347" t="e">
        <f>#REF!</f>
        <v>#REF!</v>
      </c>
      <c r="L37" s="1347" t="e">
        <f>#REF!</f>
        <v>#REF!</v>
      </c>
      <c r="M37" s="1347" t="e">
        <f>#REF!</f>
        <v>#REF!</v>
      </c>
      <c r="N37" s="1331" t="e">
        <f t="shared" si="0"/>
        <v>#REF!</v>
      </c>
      <c r="O37" s="1331" t="e">
        <f t="shared" si="0"/>
        <v>#REF!</v>
      </c>
      <c r="P37" s="1331" t="e">
        <f t="shared" si="0"/>
        <v>#REF!</v>
      </c>
      <c r="Q37" s="1331" t="e">
        <f t="shared" si="0"/>
        <v>#REF!</v>
      </c>
      <c r="R37" s="1331" t="e">
        <f t="shared" si="0"/>
        <v>#REF!</v>
      </c>
    </row>
    <row r="38" spans="1:18" ht="22.5" x14ac:dyDescent="0.25">
      <c r="A38" s="125" t="s">
        <v>61</v>
      </c>
      <c r="B38" s="863" t="s">
        <v>452</v>
      </c>
      <c r="C38" s="127" t="s">
        <v>40</v>
      </c>
      <c r="D38" s="1331">
        <f>'Д 2_Т на В'!H39</f>
        <v>0</v>
      </c>
      <c r="E38" s="1331">
        <f>'Д 2_Т на В'!L39</f>
        <v>0</v>
      </c>
      <c r="F38" s="1331">
        <f>'Д 2_Т на В'!P39</f>
        <v>0</v>
      </c>
      <c r="G38" s="1331">
        <f>'Д 2_Т на В'!T39</f>
        <v>0</v>
      </c>
      <c r="H38" s="1331">
        <f>'Д 2_Т на В'!X39</f>
        <v>0</v>
      </c>
      <c r="I38" s="1347" t="e">
        <f>#REF!</f>
        <v>#REF!</v>
      </c>
      <c r="J38" s="1347" t="e">
        <f>#REF!</f>
        <v>#REF!</v>
      </c>
      <c r="K38" s="1347" t="e">
        <f>#REF!</f>
        <v>#REF!</v>
      </c>
      <c r="L38" s="1347" t="e">
        <f>#REF!</f>
        <v>#REF!</v>
      </c>
      <c r="M38" s="1347" t="e">
        <f>#REF!</f>
        <v>#REF!</v>
      </c>
      <c r="N38" s="1331" t="e">
        <f t="shared" si="0"/>
        <v>#REF!</v>
      </c>
      <c r="O38" s="1331" t="e">
        <f t="shared" si="0"/>
        <v>#REF!</v>
      </c>
      <c r="P38" s="1331" t="e">
        <f t="shared" si="0"/>
        <v>#REF!</v>
      </c>
      <c r="Q38" s="1331" t="e">
        <f t="shared" si="0"/>
        <v>#REF!</v>
      </c>
      <c r="R38" s="1331" t="e">
        <f t="shared" si="0"/>
        <v>#REF!</v>
      </c>
    </row>
    <row r="39" spans="1:18" x14ac:dyDescent="0.25">
      <c r="A39" s="125" t="s">
        <v>62</v>
      </c>
      <c r="B39" s="13" t="s">
        <v>58</v>
      </c>
      <c r="C39" s="127" t="s">
        <v>40</v>
      </c>
      <c r="D39" s="1331">
        <f>'Д 2_Т на В'!H40</f>
        <v>0</v>
      </c>
      <c r="E39" s="1331">
        <f>'Д 2_Т на В'!L40</f>
        <v>0</v>
      </c>
      <c r="F39" s="1331">
        <f>'Д 2_Т на В'!P40</f>
        <v>0</v>
      </c>
      <c r="G39" s="1331">
        <f>'Д 2_Т на В'!T40</f>
        <v>0</v>
      </c>
      <c r="H39" s="1331">
        <f>'Д 2_Т на В'!X40</f>
        <v>0</v>
      </c>
      <c r="I39" s="1347" t="e">
        <f>#REF!</f>
        <v>#REF!</v>
      </c>
      <c r="J39" s="1347" t="e">
        <f>#REF!</f>
        <v>#REF!</v>
      </c>
      <c r="K39" s="1347" t="e">
        <f>#REF!</f>
        <v>#REF!</v>
      </c>
      <c r="L39" s="1347" t="e">
        <f>#REF!</f>
        <v>#REF!</v>
      </c>
      <c r="M39" s="1347" t="e">
        <f>#REF!</f>
        <v>#REF!</v>
      </c>
      <c r="N39" s="1331" t="e">
        <f t="shared" si="0"/>
        <v>#REF!</v>
      </c>
      <c r="O39" s="1331" t="e">
        <f t="shared" si="0"/>
        <v>#REF!</v>
      </c>
      <c r="P39" s="1331" t="e">
        <f t="shared" si="0"/>
        <v>#REF!</v>
      </c>
      <c r="Q39" s="1331" t="e">
        <f t="shared" si="0"/>
        <v>#REF!</v>
      </c>
      <c r="R39" s="1331" t="e">
        <f t="shared" si="0"/>
        <v>#REF!</v>
      </c>
    </row>
    <row r="40" spans="1:18" x14ac:dyDescent="0.25">
      <c r="A40" s="125" t="s">
        <v>182</v>
      </c>
      <c r="B40" s="126" t="s">
        <v>183</v>
      </c>
      <c r="C40" s="127" t="s">
        <v>40</v>
      </c>
      <c r="D40" s="1331">
        <f>'Д 2_Т на В'!H41</f>
        <v>0</v>
      </c>
      <c r="E40" s="1331">
        <f>'Д 2_Т на В'!L41</f>
        <v>0</v>
      </c>
      <c r="F40" s="1331">
        <f>'Д 2_Т на В'!P41</f>
        <v>0</v>
      </c>
      <c r="G40" s="1331">
        <f>'Д 2_Т на В'!T41</f>
        <v>0</v>
      </c>
      <c r="H40" s="1331">
        <f>'Д 2_Т на В'!X41</f>
        <v>0</v>
      </c>
      <c r="I40" s="1347" t="e">
        <f>#REF!</f>
        <v>#REF!</v>
      </c>
      <c r="J40" s="1347" t="e">
        <f>#REF!</f>
        <v>#REF!</v>
      </c>
      <c r="K40" s="1347" t="e">
        <f>#REF!</f>
        <v>#REF!</v>
      </c>
      <c r="L40" s="1347" t="e">
        <f>#REF!</f>
        <v>#REF!</v>
      </c>
      <c r="M40" s="1347" t="e">
        <f>#REF!</f>
        <v>#REF!</v>
      </c>
      <c r="N40" s="1331" t="e">
        <f t="shared" si="0"/>
        <v>#REF!</v>
      </c>
      <c r="O40" s="1331" t="e">
        <f t="shared" si="0"/>
        <v>#REF!</v>
      </c>
      <c r="P40" s="1331" t="e">
        <f t="shared" si="0"/>
        <v>#REF!</v>
      </c>
      <c r="Q40" s="1331" t="e">
        <f t="shared" si="0"/>
        <v>#REF!</v>
      </c>
      <c r="R40" s="1331" t="e">
        <f t="shared" si="0"/>
        <v>#REF!</v>
      </c>
    </row>
    <row r="41" spans="1:18" x14ac:dyDescent="0.25">
      <c r="A41" s="125" t="s">
        <v>177</v>
      </c>
      <c r="B41" s="126" t="s">
        <v>5</v>
      </c>
      <c r="C41" s="127" t="s">
        <v>40</v>
      </c>
      <c r="D41" s="1331">
        <f>'Д 2_Т на В'!H42</f>
        <v>0</v>
      </c>
      <c r="E41" s="1331">
        <f>'Д 2_Т на В'!L42</f>
        <v>0</v>
      </c>
      <c r="F41" s="1331">
        <f>'Д 2_Т на В'!P42</f>
        <v>0</v>
      </c>
      <c r="G41" s="1331">
        <f>'Д 2_Т на В'!T42</f>
        <v>0</v>
      </c>
      <c r="H41" s="1331">
        <f>'Д 2_Т на В'!X42</f>
        <v>0</v>
      </c>
      <c r="I41" s="1347" t="e">
        <f>#REF!</f>
        <v>#REF!</v>
      </c>
      <c r="J41" s="1347" t="e">
        <f>#REF!</f>
        <v>#REF!</v>
      </c>
      <c r="K41" s="1347" t="e">
        <f>#REF!</f>
        <v>#REF!</v>
      </c>
      <c r="L41" s="1347" t="e">
        <f>#REF!</f>
        <v>#REF!</v>
      </c>
      <c r="M41" s="1347" t="e">
        <f>#REF!</f>
        <v>#REF!</v>
      </c>
      <c r="N41" s="1331" t="e">
        <f t="shared" si="0"/>
        <v>#REF!</v>
      </c>
      <c r="O41" s="1331" t="e">
        <f t="shared" si="0"/>
        <v>#REF!</v>
      </c>
      <c r="P41" s="1331" t="e">
        <f t="shared" si="0"/>
        <v>#REF!</v>
      </c>
      <c r="Q41" s="1331" t="e">
        <f t="shared" si="0"/>
        <v>#REF!</v>
      </c>
      <c r="R41" s="1331" t="e">
        <f t="shared" si="0"/>
        <v>#REF!</v>
      </c>
    </row>
    <row r="42" spans="1:18" x14ac:dyDescent="0.25">
      <c r="A42" s="122" t="s">
        <v>178</v>
      </c>
      <c r="B42" s="128" t="s">
        <v>184</v>
      </c>
      <c r="C42" s="129" t="s">
        <v>40</v>
      </c>
      <c r="D42" s="2197">
        <f>'Д 2_Т на В'!H43</f>
        <v>23857.23572359997</v>
      </c>
      <c r="E42" s="2197">
        <f>'Д 2_Т на В'!L43</f>
        <v>0</v>
      </c>
      <c r="F42" s="2197">
        <f>'Д 2_Т на В'!P43</f>
        <v>0</v>
      </c>
      <c r="G42" s="2197">
        <f>'Д 2_Т на В'!T43</f>
        <v>0</v>
      </c>
      <c r="H42" s="2197">
        <f>'Д 2_Т на В'!X43</f>
        <v>23857.23572359997</v>
      </c>
      <c r="I42" s="1347" t="e">
        <f>#REF!</f>
        <v>#REF!</v>
      </c>
      <c r="J42" s="1347" t="e">
        <f>#REF!</f>
        <v>#REF!</v>
      </c>
      <c r="K42" s="1347" t="e">
        <f>#REF!</f>
        <v>#REF!</v>
      </c>
      <c r="L42" s="1347" t="e">
        <f>#REF!</f>
        <v>#REF!</v>
      </c>
      <c r="M42" s="1347" t="e">
        <f>#REF!</f>
        <v>#REF!</v>
      </c>
      <c r="N42" s="1331" t="e">
        <f t="shared" si="0"/>
        <v>#REF!</v>
      </c>
      <c r="O42" s="1331" t="e">
        <f t="shared" si="0"/>
        <v>#REF!</v>
      </c>
      <c r="P42" s="1331" t="e">
        <f t="shared" si="0"/>
        <v>#REF!</v>
      </c>
      <c r="Q42" s="1331" t="e">
        <f t="shared" si="0"/>
        <v>#REF!</v>
      </c>
      <c r="R42" s="1331" t="e">
        <f t="shared" si="0"/>
        <v>#REF!</v>
      </c>
    </row>
    <row r="43" spans="1:18" x14ac:dyDescent="0.25">
      <c r="A43" s="122" t="s">
        <v>179</v>
      </c>
      <c r="B43" s="128" t="s">
        <v>231</v>
      </c>
      <c r="C43" s="129" t="s">
        <v>40</v>
      </c>
      <c r="D43" s="2197">
        <f>'Д 2_Т на В'!H44</f>
        <v>0</v>
      </c>
      <c r="E43" s="2197">
        <f>'Д 2_Т на В'!L44</f>
        <v>0</v>
      </c>
      <c r="F43" s="2197">
        <f>'Д 2_Т на В'!P44</f>
        <v>0</v>
      </c>
      <c r="G43" s="2197">
        <f>'Д 2_Т на В'!T44</f>
        <v>0</v>
      </c>
      <c r="H43" s="2197">
        <f>'Д 2_Т на В'!X44</f>
        <v>0</v>
      </c>
      <c r="I43" s="1347" t="e">
        <f>#REF!</f>
        <v>#REF!</v>
      </c>
      <c r="J43" s="1347" t="e">
        <f>#REF!</f>
        <v>#REF!</v>
      </c>
      <c r="K43" s="1347" t="e">
        <f>#REF!</f>
        <v>#REF!</v>
      </c>
      <c r="L43" s="1347" t="e">
        <f>#REF!</f>
        <v>#REF!</v>
      </c>
      <c r="M43" s="1347" t="e">
        <f>#REF!</f>
        <v>#REF!</v>
      </c>
      <c r="N43" s="1331" t="e">
        <f t="shared" si="0"/>
        <v>#REF!</v>
      </c>
      <c r="O43" s="1331" t="e">
        <f t="shared" si="0"/>
        <v>#REF!</v>
      </c>
      <c r="P43" s="1331" t="e">
        <f t="shared" si="0"/>
        <v>#REF!</v>
      </c>
      <c r="Q43" s="1331" t="e">
        <f t="shared" si="0"/>
        <v>#REF!</v>
      </c>
      <c r="R43" s="1331" t="e">
        <f t="shared" si="0"/>
        <v>#REF!</v>
      </c>
    </row>
    <row r="44" spans="1:18" x14ac:dyDescent="0.25">
      <c r="A44" s="122" t="s">
        <v>180</v>
      </c>
      <c r="B44" s="2198" t="s">
        <v>232</v>
      </c>
      <c r="C44" s="129" t="s">
        <v>40</v>
      </c>
      <c r="D44" s="2197">
        <f>'Д 2_Т на В'!H45</f>
        <v>1752.0753915411819</v>
      </c>
      <c r="E44" s="2197">
        <f>'Д 2_Т на В'!L45</f>
        <v>0</v>
      </c>
      <c r="F44" s="2197">
        <f>'Д 2_Т на В'!P45</f>
        <v>0</v>
      </c>
      <c r="G44" s="2197">
        <f>'Д 2_Т на В'!T45</f>
        <v>0</v>
      </c>
      <c r="H44" s="2197">
        <f>'Д 2_Т на В'!X45</f>
        <v>1752.0753915411819</v>
      </c>
      <c r="I44" s="1347" t="e">
        <f>#REF!</f>
        <v>#REF!</v>
      </c>
      <c r="J44" s="1347" t="e">
        <f>#REF!</f>
        <v>#REF!</v>
      </c>
      <c r="K44" s="1347" t="e">
        <f>#REF!</f>
        <v>#REF!</v>
      </c>
      <c r="L44" s="1347" t="e">
        <f>#REF!</f>
        <v>#REF!</v>
      </c>
      <c r="M44" s="1347" t="e">
        <f>#REF!</f>
        <v>#REF!</v>
      </c>
      <c r="N44" s="1331" t="e">
        <f t="shared" si="0"/>
        <v>#REF!</v>
      </c>
      <c r="O44" s="1331" t="e">
        <f t="shared" si="0"/>
        <v>#REF!</v>
      </c>
      <c r="P44" s="1331" t="e">
        <f t="shared" si="0"/>
        <v>#REF!</v>
      </c>
      <c r="Q44" s="1331" t="e">
        <f t="shared" si="0"/>
        <v>#REF!</v>
      </c>
      <c r="R44" s="1331" t="e">
        <f t="shared" si="0"/>
        <v>#REF!</v>
      </c>
    </row>
    <row r="45" spans="1:18" x14ac:dyDescent="0.25">
      <c r="A45" s="125" t="s">
        <v>116</v>
      </c>
      <c r="B45" s="126" t="s">
        <v>65</v>
      </c>
      <c r="C45" s="127" t="s">
        <v>40</v>
      </c>
      <c r="D45" s="1331">
        <f>'Д 2_Т на В'!H46</f>
        <v>171.77209720991979</v>
      </c>
      <c r="E45" s="1331">
        <f>'Д 2_Т на В'!L46</f>
        <v>0</v>
      </c>
      <c r="F45" s="1331">
        <f>'Д 2_Т на В'!P46</f>
        <v>0</v>
      </c>
      <c r="G45" s="1331">
        <f>'Д 2_Т на В'!T46</f>
        <v>0</v>
      </c>
      <c r="H45" s="1331">
        <f>'Д 2_Т на В'!X46</f>
        <v>171.77209720991979</v>
      </c>
      <c r="I45" s="1347" t="e">
        <f>#REF!</f>
        <v>#REF!</v>
      </c>
      <c r="J45" s="1347" t="e">
        <f>#REF!</f>
        <v>#REF!</v>
      </c>
      <c r="K45" s="1347" t="e">
        <f>#REF!</f>
        <v>#REF!</v>
      </c>
      <c r="L45" s="1347" t="e">
        <f>#REF!</f>
        <v>#REF!</v>
      </c>
      <c r="M45" s="1347" t="e">
        <f>#REF!</f>
        <v>#REF!</v>
      </c>
      <c r="N45" s="1331" t="e">
        <f t="shared" si="0"/>
        <v>#REF!</v>
      </c>
      <c r="O45" s="1331" t="e">
        <f t="shared" si="0"/>
        <v>#REF!</v>
      </c>
      <c r="P45" s="1331" t="e">
        <f t="shared" si="0"/>
        <v>#REF!</v>
      </c>
      <c r="Q45" s="1331" t="e">
        <f t="shared" si="0"/>
        <v>#REF!</v>
      </c>
      <c r="R45" s="1331" t="e">
        <f t="shared" si="0"/>
        <v>#REF!</v>
      </c>
    </row>
    <row r="46" spans="1:18" x14ac:dyDescent="0.25">
      <c r="A46" s="125" t="s">
        <v>118</v>
      </c>
      <c r="B46" s="126" t="s">
        <v>67</v>
      </c>
      <c r="C46" s="127" t="s">
        <v>40</v>
      </c>
      <c r="D46" s="1331">
        <f>'Д 2_Т на В'!H47</f>
        <v>626.01386538726319</v>
      </c>
      <c r="E46" s="1331">
        <f>'Д 2_Т на В'!L47</f>
        <v>0</v>
      </c>
      <c r="F46" s="1331">
        <f>'Д 2_Т на В'!P47</f>
        <v>0</v>
      </c>
      <c r="G46" s="1331">
        <f>'Д 2_Т на В'!T47</f>
        <v>0</v>
      </c>
      <c r="H46" s="1331">
        <f>'Д 2_Т на В'!X47</f>
        <v>626.01386538726319</v>
      </c>
      <c r="I46" s="1347" t="e">
        <f>#REF!</f>
        <v>#REF!</v>
      </c>
      <c r="J46" s="1347" t="e">
        <f>#REF!</f>
        <v>#REF!</v>
      </c>
      <c r="K46" s="1347" t="e">
        <f>#REF!</f>
        <v>#REF!</v>
      </c>
      <c r="L46" s="1347" t="e">
        <f>#REF!</f>
        <v>#REF!</v>
      </c>
      <c r="M46" s="1347" t="e">
        <f>#REF!</f>
        <v>#REF!</v>
      </c>
      <c r="N46" s="1331" t="e">
        <f t="shared" si="0"/>
        <v>#REF!</v>
      </c>
      <c r="O46" s="1331" t="e">
        <f t="shared" si="0"/>
        <v>#REF!</v>
      </c>
      <c r="P46" s="1331" t="e">
        <f t="shared" si="0"/>
        <v>#REF!</v>
      </c>
      <c r="Q46" s="1331" t="e">
        <f t="shared" si="0"/>
        <v>#REF!</v>
      </c>
      <c r="R46" s="1331" t="e">
        <f t="shared" si="0"/>
        <v>#REF!</v>
      </c>
    </row>
    <row r="47" spans="1:18" x14ac:dyDescent="0.25">
      <c r="A47" s="125" t="s">
        <v>120</v>
      </c>
      <c r="B47" s="126" t="s">
        <v>69</v>
      </c>
      <c r="C47" s="127" t="s">
        <v>40</v>
      </c>
      <c r="D47" s="1331">
        <f>'Д 2_Т на В'!H48</f>
        <v>0</v>
      </c>
      <c r="E47" s="1331">
        <f>'Д 2_Т на В'!L48</f>
        <v>0</v>
      </c>
      <c r="F47" s="1331">
        <f>'Д 2_Т на В'!P48</f>
        <v>0</v>
      </c>
      <c r="G47" s="1331">
        <f>'Д 2_Т на В'!T48</f>
        <v>0</v>
      </c>
      <c r="H47" s="1331">
        <f>'Д 2_Т на В'!X48</f>
        <v>0</v>
      </c>
      <c r="I47" s="1347" t="e">
        <f>#REF!</f>
        <v>#REF!</v>
      </c>
      <c r="J47" s="1347" t="e">
        <f>#REF!</f>
        <v>#REF!</v>
      </c>
      <c r="K47" s="1347" t="e">
        <f>#REF!</f>
        <v>#REF!</v>
      </c>
      <c r="L47" s="1347" t="e">
        <f>#REF!</f>
        <v>#REF!</v>
      </c>
      <c r="M47" s="1347" t="e">
        <f>#REF!</f>
        <v>#REF!</v>
      </c>
      <c r="N47" s="1331" t="e">
        <f t="shared" si="0"/>
        <v>#REF!</v>
      </c>
      <c r="O47" s="1331" t="e">
        <f t="shared" si="0"/>
        <v>#REF!</v>
      </c>
      <c r="P47" s="1331" t="e">
        <f t="shared" si="0"/>
        <v>#REF!</v>
      </c>
      <c r="Q47" s="1331" t="e">
        <f t="shared" si="0"/>
        <v>#REF!</v>
      </c>
      <c r="R47" s="1331" t="e">
        <f t="shared" si="0"/>
        <v>#REF!</v>
      </c>
    </row>
    <row r="48" spans="1:18" x14ac:dyDescent="0.25">
      <c r="A48" s="125" t="s">
        <v>122</v>
      </c>
      <c r="B48" s="126" t="s">
        <v>71</v>
      </c>
      <c r="C48" s="127" t="s">
        <v>40</v>
      </c>
      <c r="D48" s="1331">
        <f>'Д 2_Т на В'!H49</f>
        <v>0</v>
      </c>
      <c r="E48" s="1331">
        <f>'Д 2_Т на В'!L49</f>
        <v>0</v>
      </c>
      <c r="F48" s="1331">
        <f>'Д 2_Т на В'!P49</f>
        <v>0</v>
      </c>
      <c r="G48" s="1331">
        <f>'Д 2_Т на В'!T49</f>
        <v>0</v>
      </c>
      <c r="H48" s="1331">
        <f>'Д 2_Т на В'!X49</f>
        <v>0</v>
      </c>
      <c r="I48" s="1347" t="e">
        <f>#REF!</f>
        <v>#REF!</v>
      </c>
      <c r="J48" s="1347" t="e">
        <f>#REF!</f>
        <v>#REF!</v>
      </c>
      <c r="K48" s="1347" t="e">
        <f>#REF!</f>
        <v>#REF!</v>
      </c>
      <c r="L48" s="1347" t="e">
        <f>#REF!</f>
        <v>#REF!</v>
      </c>
      <c r="M48" s="1347" t="e">
        <f>#REF!</f>
        <v>#REF!</v>
      </c>
      <c r="N48" s="1331" t="e">
        <f t="shared" si="0"/>
        <v>#REF!</v>
      </c>
      <c r="O48" s="1331" t="e">
        <f t="shared" si="0"/>
        <v>#REF!</v>
      </c>
      <c r="P48" s="1331" t="e">
        <f t="shared" si="0"/>
        <v>#REF!</v>
      </c>
      <c r="Q48" s="1331" t="e">
        <f t="shared" si="0"/>
        <v>#REF!</v>
      </c>
      <c r="R48" s="1331" t="e">
        <f t="shared" si="0"/>
        <v>#REF!</v>
      </c>
    </row>
    <row r="49" spans="1:18" x14ac:dyDescent="0.25">
      <c r="A49" s="125" t="s">
        <v>233</v>
      </c>
      <c r="B49" s="126" t="s">
        <v>87</v>
      </c>
      <c r="C49" s="127" t="s">
        <v>40</v>
      </c>
      <c r="D49" s="1331">
        <f>'Д 2_Т на В'!H50</f>
        <v>954.28942894399881</v>
      </c>
      <c r="E49" s="1331">
        <f>'Д 2_Т на В'!L50</f>
        <v>0</v>
      </c>
      <c r="F49" s="1331">
        <f>'Д 2_Т на В'!P50</f>
        <v>0</v>
      </c>
      <c r="G49" s="1331">
        <f>'Д 2_Т на В'!T50</f>
        <v>0</v>
      </c>
      <c r="H49" s="1331">
        <f>'Д 2_Т на В'!X50</f>
        <v>954.28942894399881</v>
      </c>
      <c r="I49" s="1347" t="e">
        <f>#REF!</f>
        <v>#REF!</v>
      </c>
      <c r="J49" s="1347" t="e">
        <f>#REF!</f>
        <v>#REF!</v>
      </c>
      <c r="K49" s="1347" t="e">
        <f>#REF!</f>
        <v>#REF!</v>
      </c>
      <c r="L49" s="1347" t="e">
        <f>#REF!</f>
        <v>#REF!</v>
      </c>
      <c r="M49" s="1347" t="e">
        <f>#REF!</f>
        <v>#REF!</v>
      </c>
      <c r="N49" s="1331" t="e">
        <f t="shared" si="0"/>
        <v>#REF!</v>
      </c>
      <c r="O49" s="1331" t="e">
        <f t="shared" si="0"/>
        <v>#REF!</v>
      </c>
      <c r="P49" s="1331" t="e">
        <f t="shared" si="0"/>
        <v>#REF!</v>
      </c>
      <c r="Q49" s="1331" t="e">
        <f t="shared" si="0"/>
        <v>#REF!</v>
      </c>
      <c r="R49" s="1331" t="e">
        <f t="shared" si="0"/>
        <v>#REF!</v>
      </c>
    </row>
    <row r="50" spans="1:18" ht="21" x14ac:dyDescent="0.25">
      <c r="A50" s="122" t="s">
        <v>195</v>
      </c>
      <c r="B50" s="128" t="s">
        <v>73</v>
      </c>
      <c r="C50" s="129" t="s">
        <v>40</v>
      </c>
      <c r="D50" s="2197">
        <f>'Д 2_Т на В'!H51</f>
        <v>25609.31111514115</v>
      </c>
      <c r="E50" s="2197">
        <f>'Д 2_Т на В'!L51</f>
        <v>0</v>
      </c>
      <c r="F50" s="2197">
        <f>'Д 2_Т на В'!P51</f>
        <v>0</v>
      </c>
      <c r="G50" s="2197">
        <f>'Д 2_Т на В'!T51</f>
        <v>0</v>
      </c>
      <c r="H50" s="2197">
        <f>'Д 2_Т на В'!X51</f>
        <v>25609.31111514115</v>
      </c>
      <c r="I50" s="1347" t="e">
        <f>#REF!</f>
        <v>#REF!</v>
      </c>
      <c r="J50" s="1347" t="e">
        <f>#REF!</f>
        <v>#REF!</v>
      </c>
      <c r="K50" s="1347" t="e">
        <f>#REF!</f>
        <v>#REF!</v>
      </c>
      <c r="L50" s="1347" t="e">
        <f>#REF!</f>
        <v>#REF!</v>
      </c>
      <c r="M50" s="1347" t="e">
        <f>#REF!</f>
        <v>#REF!</v>
      </c>
      <c r="N50" s="1331" t="e">
        <f t="shared" si="0"/>
        <v>#REF!</v>
      </c>
      <c r="O50" s="1331" t="e">
        <f t="shared" si="0"/>
        <v>#REF!</v>
      </c>
      <c r="P50" s="1331" t="e">
        <f t="shared" si="0"/>
        <v>#REF!</v>
      </c>
      <c r="Q50" s="1331" t="e">
        <f t="shared" si="0"/>
        <v>#REF!</v>
      </c>
      <c r="R50" s="1331" t="e">
        <f t="shared" si="0"/>
        <v>#REF!</v>
      </c>
    </row>
    <row r="51" spans="1:18" x14ac:dyDescent="0.25">
      <c r="A51" s="122" t="s">
        <v>196</v>
      </c>
      <c r="B51" s="128" t="s">
        <v>235</v>
      </c>
      <c r="C51" s="129" t="s">
        <v>74</v>
      </c>
      <c r="D51" s="1331">
        <f>'Д 2_Т на В'!H52</f>
        <v>5701.3545558892911</v>
      </c>
      <c r="E51" s="1331">
        <f>'Д 2_Т на В'!L52</f>
        <v>0</v>
      </c>
      <c r="F51" s="1331">
        <f>'Д 2_Т на В'!P52</f>
        <v>0</v>
      </c>
      <c r="G51" s="1331">
        <f>'Д 2_Т на В'!T52</f>
        <v>0</v>
      </c>
      <c r="H51" s="1331">
        <f>'Д 2_Т на В'!X52</f>
        <v>5701.3545558892911</v>
      </c>
      <c r="I51" s="1347" t="e">
        <f>#REF!</f>
        <v>#REF!</v>
      </c>
      <c r="J51" s="1347" t="e">
        <f>#REF!</f>
        <v>#REF!</v>
      </c>
      <c r="K51" s="1347" t="e">
        <f>#REF!</f>
        <v>#REF!</v>
      </c>
      <c r="L51" s="1347" t="e">
        <f>#REF!</f>
        <v>#REF!</v>
      </c>
      <c r="M51" s="1347" t="e">
        <f>#REF!</f>
        <v>#REF!</v>
      </c>
      <c r="N51" s="1331" t="e">
        <f t="shared" si="0"/>
        <v>#REF!</v>
      </c>
      <c r="O51" s="1331" t="e">
        <f t="shared" si="0"/>
        <v>#REF!</v>
      </c>
      <c r="P51" s="1331" t="e">
        <f t="shared" si="0"/>
        <v>#REF!</v>
      </c>
      <c r="Q51" s="1331" t="e">
        <f t="shared" si="0"/>
        <v>#REF!</v>
      </c>
      <c r="R51" s="1331" t="e">
        <f t="shared" si="0"/>
        <v>#REF!</v>
      </c>
    </row>
    <row r="52" spans="1:18" x14ac:dyDescent="0.25">
      <c r="A52" s="125" t="s">
        <v>89</v>
      </c>
      <c r="B52" s="13" t="s">
        <v>236</v>
      </c>
      <c r="C52" s="129" t="s">
        <v>74</v>
      </c>
      <c r="D52" s="1331">
        <f>'Д 2_Т на В'!H53</f>
        <v>2520.9609284603375</v>
      </c>
      <c r="E52" s="1331">
        <f>'Д 2_Т на В'!L53</f>
        <v>0</v>
      </c>
      <c r="F52" s="1331">
        <f>'Д 2_Т на В'!P53</f>
        <v>0</v>
      </c>
      <c r="G52" s="1331">
        <f>'Д 2_Т на В'!T53</f>
        <v>0</v>
      </c>
      <c r="H52" s="1331">
        <f>'Д 2_Т на В'!X53</f>
        <v>2520.9609284603375</v>
      </c>
      <c r="I52" s="1347"/>
      <c r="J52" s="35"/>
      <c r="K52" s="35"/>
      <c r="L52" s="35"/>
      <c r="M52" s="35"/>
      <c r="N52" s="35"/>
      <c r="O52" s="35"/>
      <c r="P52" s="35"/>
      <c r="Q52" s="35"/>
      <c r="R52" s="35"/>
    </row>
    <row r="53" spans="1:18" x14ac:dyDescent="0.25">
      <c r="A53" s="125" t="s">
        <v>91</v>
      </c>
      <c r="B53" s="13" t="s">
        <v>237</v>
      </c>
      <c r="C53" s="129" t="s">
        <v>74</v>
      </c>
      <c r="D53" s="1331">
        <f>'Д 2_Т на В'!H54</f>
        <v>2790.332255964774</v>
      </c>
      <c r="E53" s="1331">
        <f>'Д 2_Т на В'!L54</f>
        <v>0</v>
      </c>
      <c r="F53" s="1331">
        <f>'Д 2_Т на В'!P54</f>
        <v>0</v>
      </c>
      <c r="G53" s="1331">
        <f>'Д 2_Т на В'!T54</f>
        <v>0</v>
      </c>
      <c r="H53" s="1331">
        <f>'Д 2_Т на В'!X54</f>
        <v>2790.332255964774</v>
      </c>
      <c r="I53" s="1347"/>
      <c r="J53" s="35"/>
      <c r="K53" s="35"/>
      <c r="L53" s="35"/>
      <c r="M53" s="35"/>
      <c r="N53" s="35"/>
      <c r="O53" s="35"/>
      <c r="P53" s="35"/>
      <c r="Q53" s="35"/>
      <c r="R53" s="35"/>
    </row>
    <row r="54" spans="1:18" ht="21" x14ac:dyDescent="0.25">
      <c r="A54" s="2191" t="s">
        <v>197</v>
      </c>
      <c r="B54" s="2199" t="s">
        <v>565</v>
      </c>
      <c r="C54" s="129" t="s">
        <v>22</v>
      </c>
      <c r="D54" s="1331">
        <f>'Д 2_Т на В'!H55</f>
        <v>3899.5202521466663</v>
      </c>
      <c r="E54" s="1331">
        <f>'Д 2_Т на В'!L55</f>
        <v>0</v>
      </c>
      <c r="F54" s="1331">
        <f>'Д 2_Т на В'!P55</f>
        <v>0</v>
      </c>
      <c r="G54" s="1331">
        <f>'Д 2_Т на В'!T55</f>
        <v>0</v>
      </c>
      <c r="H54" s="1331">
        <f>'Д 2_Т на В'!X55</f>
        <v>3899.5202521466663</v>
      </c>
      <c r="I54" s="1347"/>
      <c r="J54" s="35"/>
      <c r="K54" s="35"/>
      <c r="L54" s="35"/>
      <c r="M54" s="35"/>
      <c r="N54" s="35"/>
      <c r="O54" s="35"/>
      <c r="P54" s="35"/>
      <c r="Q54" s="35"/>
      <c r="R54" s="35"/>
    </row>
    <row r="55" spans="1:18" x14ac:dyDescent="0.25">
      <c r="A55" s="2191" t="s">
        <v>198</v>
      </c>
      <c r="B55" s="865" t="s">
        <v>76</v>
      </c>
      <c r="C55" s="129" t="s">
        <v>22</v>
      </c>
      <c r="D55" s="1331">
        <f>'Д 2_Т на В'!H56</f>
        <v>0</v>
      </c>
      <c r="E55" s="1331">
        <f>'Д 2_Т на В'!L56</f>
        <v>0</v>
      </c>
      <c r="F55" s="1331">
        <f>'Д 2_Т на В'!P56</f>
        <v>0</v>
      </c>
      <c r="G55" s="1331">
        <f>'Д 2_Т на В'!T56</f>
        <v>0</v>
      </c>
      <c r="H55" s="1331">
        <f>'Д 2_Т на В'!X56</f>
        <v>0</v>
      </c>
      <c r="I55" s="1347"/>
      <c r="J55" s="35"/>
      <c r="K55" s="35"/>
      <c r="L55" s="35"/>
      <c r="M55" s="35"/>
      <c r="N55" s="35"/>
      <c r="O55" s="35"/>
      <c r="P55" s="35"/>
      <c r="Q55" s="35"/>
      <c r="R55" s="35"/>
    </row>
    <row r="56" spans="1:18" x14ac:dyDescent="0.25">
      <c r="A56" s="2191" t="s">
        <v>199</v>
      </c>
      <c r="B56" s="865" t="s">
        <v>77</v>
      </c>
      <c r="C56" s="129" t="s">
        <v>74</v>
      </c>
      <c r="D56" s="1331">
        <f>'Д 2_Т на В'!H57</f>
        <v>0</v>
      </c>
      <c r="E56" s="1331">
        <f>'Д 2_Т на В'!L57</f>
        <v>0</v>
      </c>
      <c r="F56" s="1331">
        <f>'Д 2_Т на В'!P57</f>
        <v>0</v>
      </c>
      <c r="G56" s="1331">
        <f>'Д 2_Т на В'!T57</f>
        <v>0</v>
      </c>
      <c r="H56" s="1331">
        <f>'Д 2_Т на В'!X57</f>
        <v>0</v>
      </c>
      <c r="I56" s="1347"/>
      <c r="J56" s="35"/>
      <c r="K56" s="35"/>
      <c r="L56" s="35"/>
      <c r="M56" s="35"/>
      <c r="N56" s="35"/>
      <c r="O56" s="35"/>
      <c r="P56" s="35"/>
      <c r="Q56" s="35"/>
      <c r="R56" s="35"/>
    </row>
    <row r="57" spans="1:18" ht="21" x14ac:dyDescent="0.25">
      <c r="A57" s="2191" t="s">
        <v>200</v>
      </c>
      <c r="B57" s="866" t="s">
        <v>1984</v>
      </c>
      <c r="C57" s="129" t="s">
        <v>22</v>
      </c>
      <c r="D57" s="1331">
        <f>'Д 2_Т на В'!H58</f>
        <v>4491.7941629656525</v>
      </c>
      <c r="E57" s="1331">
        <f>'Д 2_Т на В'!L58</f>
        <v>0</v>
      </c>
      <c r="F57" s="1331">
        <f>'Д 2_Т на В'!P58</f>
        <v>0</v>
      </c>
      <c r="G57" s="1331">
        <f>'Д 2_Т на В'!T58</f>
        <v>0</v>
      </c>
      <c r="H57" s="1331">
        <f>'Д 2_Т на В'!X58</f>
        <v>4491.7941629656525</v>
      </c>
      <c r="I57" s="1347"/>
      <c r="J57" s="35"/>
      <c r="K57" s="35"/>
      <c r="L57" s="35"/>
      <c r="M57" s="35"/>
      <c r="N57" s="35"/>
      <c r="O57" s="35"/>
      <c r="P57" s="35"/>
      <c r="Q57" s="35"/>
      <c r="R57" s="35"/>
    </row>
    <row r="58" spans="1:18" ht="21.75" thickBot="1" x14ac:dyDescent="0.3">
      <c r="A58" s="131" t="s">
        <v>201</v>
      </c>
      <c r="B58" s="1344" t="s">
        <v>238</v>
      </c>
      <c r="C58" s="129" t="s">
        <v>74</v>
      </c>
      <c r="D58" s="1331">
        <f>'Д 2_Т на В'!H59</f>
        <v>5311.2931844251116</v>
      </c>
      <c r="E58" s="1331">
        <f>'Д 2_Т на В'!L59</f>
        <v>0</v>
      </c>
      <c r="F58" s="1331">
        <f>'Д 2_Т на В'!P59</f>
        <v>0</v>
      </c>
      <c r="G58" s="1331">
        <f>'Д 2_Т на В'!T59</f>
        <v>0</v>
      </c>
      <c r="H58" s="1331">
        <f>'Д 2_Т на В'!X59</f>
        <v>5311.2931844251116</v>
      </c>
      <c r="I58" s="1347"/>
      <c r="J58" s="35"/>
      <c r="K58" s="35"/>
      <c r="L58" s="35"/>
      <c r="M58" s="35"/>
      <c r="N58" s="35"/>
      <c r="O58" s="35"/>
      <c r="P58" s="35"/>
      <c r="Q58" s="35"/>
      <c r="R58" s="35"/>
    </row>
    <row r="59" spans="1:18" x14ac:dyDescent="0.25">
      <c r="A59" s="132"/>
      <c r="B59" s="70"/>
      <c r="C59" s="133"/>
    </row>
    <row r="60" spans="1:18" x14ac:dyDescent="0.25">
      <c r="A60" s="134"/>
      <c r="B60" s="4478" t="s">
        <v>2256</v>
      </c>
      <c r="C60" s="4478"/>
      <c r="D60" s="4478"/>
      <c r="E60" s="4478"/>
      <c r="F60" s="4478"/>
      <c r="G60" s="4478"/>
      <c r="H60" s="4478"/>
      <c r="I60" s="4478"/>
      <c r="J60" s="4478"/>
      <c r="K60" s="4478"/>
      <c r="L60" s="4478"/>
      <c r="M60" s="4478"/>
      <c r="N60" s="4478"/>
      <c r="O60" s="4478"/>
      <c r="P60" s="4478"/>
      <c r="Q60" s="4478"/>
      <c r="R60" s="4478"/>
    </row>
    <row r="61" spans="1:18" x14ac:dyDescent="0.25">
      <c r="B61"/>
      <c r="C61"/>
    </row>
    <row r="62" spans="1:18" x14ac:dyDescent="0.25">
      <c r="B62" s="1319"/>
      <c r="C62" s="1319"/>
    </row>
    <row r="63" spans="1:18" ht="15.75" x14ac:dyDescent="0.25">
      <c r="A63" s="136"/>
      <c r="B63" s="154">
        <f>'Вхідні дані'!A13</f>
        <v>0</v>
      </c>
      <c r="C63" s="137"/>
    </row>
    <row r="64" spans="1:18" ht="15.75" x14ac:dyDescent="0.25">
      <c r="A64" s="136"/>
      <c r="B64" s="1318" t="s">
        <v>242</v>
      </c>
      <c r="C64" s="137"/>
    </row>
    <row r="65" spans="1:3" x14ac:dyDescent="0.25">
      <c r="B65"/>
      <c r="C65"/>
    </row>
    <row r="66" spans="1:3" x14ac:dyDescent="0.25">
      <c r="B66"/>
      <c r="C66"/>
    </row>
    <row r="67" spans="1:3" x14ac:dyDescent="0.25">
      <c r="A67" s="112"/>
      <c r="B67" s="879" t="s">
        <v>1933</v>
      </c>
      <c r="C67" s="879"/>
    </row>
    <row r="68" spans="1:3" x14ac:dyDescent="0.25">
      <c r="B68"/>
      <c r="C68"/>
    </row>
    <row r="69" spans="1:3" x14ac:dyDescent="0.25">
      <c r="B69"/>
      <c r="C69"/>
    </row>
    <row r="70" spans="1:3" x14ac:dyDescent="0.25">
      <c r="B70"/>
      <c r="C70"/>
    </row>
    <row r="71" spans="1:3" x14ac:dyDescent="0.25">
      <c r="B71"/>
      <c r="C71"/>
    </row>
    <row r="72" spans="1:3" x14ac:dyDescent="0.25">
      <c r="B72"/>
      <c r="C72"/>
    </row>
    <row r="73" spans="1:3" x14ac:dyDescent="0.25">
      <c r="B73"/>
      <c r="C73"/>
    </row>
    <row r="74" spans="1:3" x14ac:dyDescent="0.25">
      <c r="B74"/>
      <c r="C74"/>
    </row>
    <row r="75" spans="1:3" x14ac:dyDescent="0.25">
      <c r="B75"/>
      <c r="C75"/>
    </row>
    <row r="76" spans="1:3" x14ac:dyDescent="0.25">
      <c r="B76"/>
      <c r="C76"/>
    </row>
    <row r="77" spans="1:3" x14ac:dyDescent="0.25">
      <c r="B77"/>
      <c r="C77"/>
    </row>
    <row r="78" spans="1:3" x14ac:dyDescent="0.25">
      <c r="B78"/>
      <c r="C78"/>
    </row>
    <row r="79" spans="1:3" x14ac:dyDescent="0.25">
      <c r="B79"/>
      <c r="C79"/>
    </row>
    <row r="80" spans="1:3" x14ac:dyDescent="0.25">
      <c r="B80"/>
      <c r="C80"/>
    </row>
    <row r="81" spans="2:3" x14ac:dyDescent="0.25">
      <c r="B81"/>
      <c r="C81"/>
    </row>
    <row r="82" spans="2:3" x14ac:dyDescent="0.25">
      <c r="B82"/>
      <c r="C82"/>
    </row>
    <row r="83" spans="2:3" x14ac:dyDescent="0.25">
      <c r="B83"/>
      <c r="C83"/>
    </row>
  </sheetData>
  <mergeCells count="14">
    <mergeCell ref="J7:M7"/>
    <mergeCell ref="N7:N8"/>
    <mergeCell ref="O7:R7"/>
    <mergeCell ref="B60:R60"/>
    <mergeCell ref="A3:R3"/>
    <mergeCell ref="A6:A9"/>
    <mergeCell ref="B6:B9"/>
    <mergeCell ref="C6:C9"/>
    <mergeCell ref="D6:H6"/>
    <mergeCell ref="I6:M6"/>
    <mergeCell ref="N6:R6"/>
    <mergeCell ref="D7:D8"/>
    <mergeCell ref="E7:H7"/>
    <mergeCell ref="I7:I8"/>
  </mergeCells>
  <conditionalFormatting sqref="B1:B2">
    <cfRule type="containsText" dxfId="1" priority="1" operator="containsText" text="Для корек">
      <formula>NOT(ISERROR(SEARCH("Для корек",B1)))</formula>
    </cfRule>
  </conditionalFormatting>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K30"/>
  <sheetViews>
    <sheetView topLeftCell="A10" workbookViewId="0">
      <selection activeCell="J18" sqref="J18"/>
    </sheetView>
  </sheetViews>
  <sheetFormatPr defaultColWidth="8.85546875" defaultRowHeight="15" x14ac:dyDescent="0.25"/>
  <cols>
    <col min="1" max="1" width="3.5703125" style="18" customWidth="1"/>
    <col min="2" max="2" width="22.42578125" style="18" customWidth="1"/>
    <col min="3" max="3" width="7.28515625" style="18" customWidth="1"/>
    <col min="4" max="5" width="8.85546875" style="23"/>
    <col min="6" max="6" width="8.85546875" style="18"/>
    <col min="7" max="7" width="6.28515625" style="18" customWidth="1"/>
    <col min="8" max="9" width="8.7109375" style="18" customWidth="1"/>
    <col min="10" max="10" width="8.85546875" style="23"/>
    <col min="11" max="11" width="8.85546875" style="18"/>
    <col min="12" max="12" width="7.28515625" style="18" customWidth="1"/>
    <col min="13" max="13" width="6.28515625" style="18" customWidth="1"/>
    <col min="14" max="14" width="7.140625" style="18" customWidth="1"/>
    <col min="15" max="15" width="6.5703125" style="18" customWidth="1"/>
    <col min="16" max="16" width="8.85546875" style="18"/>
    <col min="17" max="17" width="7.85546875" style="18" customWidth="1"/>
    <col min="18" max="18" width="5.7109375" style="18" customWidth="1"/>
    <col min="19" max="19" width="8" style="18" customWidth="1"/>
    <col min="20" max="20" width="6.7109375" style="18" customWidth="1"/>
    <col min="21" max="21" width="6.28515625" style="23" customWidth="1"/>
    <col min="22" max="22" width="6.7109375" style="18" customWidth="1"/>
    <col min="23" max="23" width="6.28515625" style="18" customWidth="1"/>
    <col min="24" max="24" width="7.85546875" style="18" customWidth="1"/>
    <col min="25" max="25" width="5" style="18" customWidth="1"/>
    <col min="26" max="16384" width="8.85546875" style="18"/>
  </cols>
  <sheetData>
    <row r="1" spans="1:25" x14ac:dyDescent="0.25">
      <c r="A1" s="4489" t="s">
        <v>2257</v>
      </c>
      <c r="B1" s="4489"/>
      <c r="C1" s="4489"/>
      <c r="D1" s="4489"/>
      <c r="E1" s="4489"/>
      <c r="F1" s="4489"/>
      <c r="G1" s="4489"/>
      <c r="H1" s="4489"/>
      <c r="I1" s="4489"/>
      <c r="J1" s="4489"/>
      <c r="K1" s="4489"/>
      <c r="L1" s="4489"/>
      <c r="M1" s="4489"/>
      <c r="N1" s="4489"/>
      <c r="O1" s="4489"/>
      <c r="P1" s="4489"/>
      <c r="Q1" s="4489"/>
      <c r="R1" s="4489"/>
      <c r="S1" s="4489"/>
      <c r="T1" s="4489"/>
      <c r="U1" s="4489"/>
      <c r="V1" s="4489"/>
      <c r="W1" s="4489"/>
      <c r="X1" s="4489"/>
      <c r="Y1" s="4489"/>
    </row>
    <row r="2" spans="1:25" x14ac:dyDescent="0.25">
      <c r="A2" s="1333"/>
      <c r="B2" s="1333"/>
      <c r="C2" s="1334"/>
      <c r="D2" s="4490" t="s">
        <v>2258</v>
      </c>
      <c r="E2" s="4489" t="s">
        <v>1839</v>
      </c>
      <c r="F2" s="4489"/>
      <c r="G2" s="4489"/>
      <c r="H2" s="4489"/>
      <c r="I2" s="4489"/>
      <c r="J2" s="4489" t="s">
        <v>1840</v>
      </c>
      <c r="K2" s="4489"/>
      <c r="L2" s="4489"/>
      <c r="M2" s="4489"/>
      <c r="N2" s="4489"/>
      <c r="O2" s="4489"/>
      <c r="P2" s="4489"/>
      <c r="Q2" s="4489"/>
      <c r="R2" s="4489"/>
      <c r="S2" s="4489"/>
      <c r="T2" s="4489"/>
      <c r="U2" s="4489" t="s">
        <v>2138</v>
      </c>
      <c r="V2" s="4489"/>
      <c r="W2" s="4489"/>
      <c r="X2" s="4489"/>
      <c r="Y2" s="4489"/>
    </row>
    <row r="3" spans="1:25" x14ac:dyDescent="0.25">
      <c r="A3" s="1333"/>
      <c r="B3" s="1333"/>
      <c r="C3" s="1334"/>
      <c r="D3" s="4490"/>
      <c r="E3" s="1322" t="s">
        <v>1381</v>
      </c>
      <c r="F3" s="20" t="s">
        <v>2259</v>
      </c>
      <c r="G3" s="20" t="s">
        <v>2260</v>
      </c>
      <c r="H3" s="20" t="s">
        <v>1099</v>
      </c>
      <c r="I3" s="20" t="s">
        <v>2201</v>
      </c>
      <c r="J3" s="1322" t="s">
        <v>1381</v>
      </c>
      <c r="K3" s="20" t="s">
        <v>632</v>
      </c>
      <c r="L3" s="20" t="s">
        <v>2259</v>
      </c>
      <c r="M3" s="20" t="s">
        <v>2260</v>
      </c>
      <c r="N3" s="20" t="s">
        <v>1099</v>
      </c>
      <c r="O3" s="20" t="s">
        <v>2201</v>
      </c>
      <c r="P3" s="20" t="s">
        <v>631</v>
      </c>
      <c r="Q3" s="20" t="s">
        <v>2259</v>
      </c>
      <c r="R3" s="20" t="s">
        <v>2260</v>
      </c>
      <c r="S3" s="20" t="s">
        <v>1099</v>
      </c>
      <c r="T3" s="20" t="s">
        <v>2201</v>
      </c>
      <c r="U3" s="1322" t="s">
        <v>1381</v>
      </c>
      <c r="V3" s="20" t="s">
        <v>2259</v>
      </c>
      <c r="W3" s="20" t="s">
        <v>2260</v>
      </c>
      <c r="X3" s="20" t="s">
        <v>1099</v>
      </c>
      <c r="Y3" s="20" t="s">
        <v>2201</v>
      </c>
    </row>
    <row r="4" spans="1:25" ht="27" customHeight="1" x14ac:dyDescent="0.25">
      <c r="A4" s="1335" t="s">
        <v>180</v>
      </c>
      <c r="B4" s="1344" t="s">
        <v>232</v>
      </c>
      <c r="C4" s="867" t="s">
        <v>40</v>
      </c>
      <c r="D4" s="1336">
        <f>E4+J4+U4</f>
        <v>2517.3340915180675</v>
      </c>
      <c r="E4" s="1337">
        <f>SUM(F4:I4)</f>
        <v>1752.0753915411819</v>
      </c>
      <c r="F4" s="881">
        <f>'Д 2_Т на В'!L45</f>
        <v>0</v>
      </c>
      <c r="G4" s="881">
        <f>'Д 2_Т на В'!P45</f>
        <v>0</v>
      </c>
      <c r="H4" s="881">
        <f>'Д 2_Т на В'!T45</f>
        <v>0</v>
      </c>
      <c r="I4" s="881">
        <f>'Д 2_Т на В'!X45</f>
        <v>1752.0753915411819</v>
      </c>
      <c r="J4" s="1337">
        <f>K4+P4</f>
        <v>725.49655349771365</v>
      </c>
      <c r="K4" s="1337">
        <f>'Д 3_Т на Т з ЦТП'!G39</f>
        <v>251.19792825746691</v>
      </c>
      <c r="L4" s="881"/>
      <c r="M4" s="881"/>
      <c r="N4" s="881"/>
      <c r="O4" s="881"/>
      <c r="P4" s="1337">
        <f>'Д 3.1_Т на Т без ЦТП'!G39</f>
        <v>474.29862524024679</v>
      </c>
      <c r="Q4" s="881"/>
      <c r="R4" s="881"/>
      <c r="S4" s="881"/>
      <c r="T4" s="881"/>
      <c r="U4" s="1337">
        <f>'Д 4_Т на П'!G39</f>
        <v>39.762146479171761</v>
      </c>
      <c r="V4" s="881"/>
      <c r="W4" s="881"/>
      <c r="X4" s="881"/>
      <c r="Y4" s="881"/>
    </row>
    <row r="5" spans="1:25" ht="15.6" customHeight="1" x14ac:dyDescent="0.25">
      <c r="A5" s="1338" t="s">
        <v>116</v>
      </c>
      <c r="B5" s="126" t="s">
        <v>65</v>
      </c>
      <c r="C5" s="130" t="s">
        <v>40</v>
      </c>
      <c r="D5" s="1336">
        <f t="shared" ref="D5:D9" si="0">E5+J5+U5</f>
        <v>246.79745995275172</v>
      </c>
      <c r="E5" s="1337">
        <f t="shared" ref="E5:E9" si="1">SUM(F5:I5)</f>
        <v>171.77209720991979</v>
      </c>
      <c r="F5" s="881">
        <f>'Д 2_Т на В'!L46</f>
        <v>0</v>
      </c>
      <c r="G5" s="881">
        <f>'Д 2_Т на В'!P46</f>
        <v>0</v>
      </c>
      <c r="H5" s="881">
        <f>'Д 2_Т на В'!T46</f>
        <v>0</v>
      </c>
      <c r="I5" s="881">
        <f>'Д 2_Т на В'!X46</f>
        <v>171.77209720991979</v>
      </c>
      <c r="J5" s="1337">
        <f t="shared" ref="J5:J9" si="2">K5+P5</f>
        <v>71.127113088011143</v>
      </c>
      <c r="K5" s="1337">
        <f>'Д 3_Т на Т з ЦТП'!G40</f>
        <v>24.627247868379108</v>
      </c>
      <c r="L5" s="881"/>
      <c r="M5" s="881"/>
      <c r="N5" s="881"/>
      <c r="O5" s="881"/>
      <c r="P5" s="1337">
        <f>'Д 3.1_Т на Т без ЦТП'!G40</f>
        <v>46.499865219632035</v>
      </c>
      <c r="Q5" s="881"/>
      <c r="R5" s="881"/>
      <c r="S5" s="881"/>
      <c r="T5" s="881"/>
      <c r="U5" s="1337">
        <f>'Д 4_Т на П'!G40</f>
        <v>3.8982496548207606</v>
      </c>
      <c r="V5" s="881"/>
      <c r="W5" s="881"/>
      <c r="X5" s="881"/>
      <c r="Y5" s="881"/>
    </row>
    <row r="6" spans="1:25" ht="15.6" customHeight="1" x14ac:dyDescent="0.25">
      <c r="A6" s="1338" t="s">
        <v>118</v>
      </c>
      <c r="B6" s="126" t="s">
        <v>67</v>
      </c>
      <c r="C6" s="130" t="s">
        <v>40</v>
      </c>
      <c r="D6" s="1336">
        <f t="shared" si="0"/>
        <v>899.43963182780624</v>
      </c>
      <c r="E6" s="1337">
        <f t="shared" si="1"/>
        <v>626.01386538726319</v>
      </c>
      <c r="F6" s="881">
        <f>'Д 2_Т на В'!L47</f>
        <v>0</v>
      </c>
      <c r="G6" s="881">
        <f>'Д 2_Т на В'!P47</f>
        <v>0</v>
      </c>
      <c r="H6" s="881">
        <f>'Д 2_Т на В'!T47</f>
        <v>0</v>
      </c>
      <c r="I6" s="881">
        <f>'Д 2_Т на В'!X47</f>
        <v>626.01386538726319</v>
      </c>
      <c r="J6" s="1337">
        <f t="shared" si="2"/>
        <v>259.21881214297395</v>
      </c>
      <c r="K6" s="1337">
        <f>'Д 3_Т на Т з ЦТП'!G41</f>
        <v>89.752636675870534</v>
      </c>
      <c r="L6" s="881"/>
      <c r="M6" s="881"/>
      <c r="N6" s="881"/>
      <c r="O6" s="881"/>
      <c r="P6" s="1337">
        <f>'Д 3.1_Т на Т без ЦТП'!G41</f>
        <v>169.46617546710343</v>
      </c>
      <c r="Q6" s="881"/>
      <c r="R6" s="881"/>
      <c r="S6" s="881"/>
      <c r="T6" s="881"/>
      <c r="U6" s="1337">
        <f>'Д 4_Т на П'!G41</f>
        <v>14.206954297568997</v>
      </c>
      <c r="V6" s="881"/>
      <c r="W6" s="881"/>
      <c r="X6" s="881"/>
      <c r="Y6" s="881"/>
    </row>
    <row r="7" spans="1:25" ht="15.6" customHeight="1" x14ac:dyDescent="0.25">
      <c r="A7" s="1338" t="s">
        <v>120</v>
      </c>
      <c r="B7" s="126" t="s">
        <v>69</v>
      </c>
      <c r="C7" s="130" t="s">
        <v>40</v>
      </c>
      <c r="D7" s="1336">
        <f t="shared" si="0"/>
        <v>0</v>
      </c>
      <c r="E7" s="1337">
        <f t="shared" si="1"/>
        <v>0</v>
      </c>
      <c r="F7" s="881">
        <f>'Д 2_Т на В'!L48</f>
        <v>0</v>
      </c>
      <c r="G7" s="881">
        <f>'Д 2_Т на В'!P48</f>
        <v>0</v>
      </c>
      <c r="H7" s="881">
        <f>'Д 2_Т на В'!T48</f>
        <v>0</v>
      </c>
      <c r="I7" s="881">
        <f>'Д 2_Т на В'!X48</f>
        <v>0</v>
      </c>
      <c r="J7" s="1337">
        <f t="shared" si="2"/>
        <v>0</v>
      </c>
      <c r="K7" s="1337">
        <f>'Д 3_Т на Т з ЦТП'!G42</f>
        <v>0</v>
      </c>
      <c r="L7" s="881"/>
      <c r="M7" s="881"/>
      <c r="N7" s="881"/>
      <c r="O7" s="881"/>
      <c r="P7" s="1337">
        <f>'Д 3.1_Т на Т без ЦТП'!G42</f>
        <v>0</v>
      </c>
      <c r="Q7" s="881"/>
      <c r="R7" s="881"/>
      <c r="S7" s="881"/>
      <c r="T7" s="881"/>
      <c r="U7" s="1337">
        <f>'Д 4_Т на П'!G42</f>
        <v>0</v>
      </c>
      <c r="V7" s="881"/>
      <c r="W7" s="881"/>
      <c r="X7" s="881"/>
      <c r="Y7" s="881"/>
    </row>
    <row r="8" spans="1:25" ht="21.6" customHeight="1" x14ac:dyDescent="0.25">
      <c r="A8" s="1338" t="s">
        <v>122</v>
      </c>
      <c r="B8" s="126" t="s">
        <v>71</v>
      </c>
      <c r="C8" s="130" t="s">
        <v>40</v>
      </c>
      <c r="D8" s="1336">
        <f t="shared" si="0"/>
        <v>0</v>
      </c>
      <c r="E8" s="1337">
        <f t="shared" si="1"/>
        <v>0</v>
      </c>
      <c r="F8" s="881">
        <f>'Д 2_Т на В'!L49</f>
        <v>0</v>
      </c>
      <c r="G8" s="881">
        <f>'Д 2_Т на В'!P49</f>
        <v>0</v>
      </c>
      <c r="H8" s="881">
        <f>'Д 2_Т на В'!T49</f>
        <v>0</v>
      </c>
      <c r="I8" s="881">
        <f>'Д 2_Т на В'!X49</f>
        <v>0</v>
      </c>
      <c r="J8" s="1337">
        <f t="shared" si="2"/>
        <v>0</v>
      </c>
      <c r="K8" s="1337">
        <f>'Д 3_Т на Т з ЦТП'!G43</f>
        <v>0</v>
      </c>
      <c r="L8" s="881"/>
      <c r="M8" s="881"/>
      <c r="N8" s="881"/>
      <c r="O8" s="881"/>
      <c r="P8" s="1337">
        <f>'Д 3.1_Т на Т без ЦТП'!G43</f>
        <v>0</v>
      </c>
      <c r="Q8" s="881"/>
      <c r="R8" s="881"/>
      <c r="S8" s="881"/>
      <c r="T8" s="881"/>
      <c r="U8" s="1337">
        <f>'Д 4_Т на П'!G43</f>
        <v>0</v>
      </c>
      <c r="V8" s="881"/>
      <c r="W8" s="881"/>
      <c r="X8" s="881"/>
      <c r="Y8" s="881"/>
    </row>
    <row r="9" spans="1:25" ht="15.6" customHeight="1" x14ac:dyDescent="0.25">
      <c r="A9" s="1338" t="s">
        <v>233</v>
      </c>
      <c r="B9" s="126" t="s">
        <v>87</v>
      </c>
      <c r="C9" s="130" t="s">
        <v>40</v>
      </c>
      <c r="D9" s="1336">
        <f t="shared" si="0"/>
        <v>1371.0969997375093</v>
      </c>
      <c r="E9" s="1337">
        <f t="shared" si="1"/>
        <v>954.28942894399881</v>
      </c>
      <c r="F9" s="881">
        <f>'Д 2_Т на В'!L50</f>
        <v>0</v>
      </c>
      <c r="G9" s="881">
        <f>'Д 2_Т на В'!P50</f>
        <v>0</v>
      </c>
      <c r="H9" s="881">
        <f>'Д 2_Т на В'!T50</f>
        <v>0</v>
      </c>
      <c r="I9" s="881">
        <f>'Д 2_Т на В'!X50</f>
        <v>954.28942894399881</v>
      </c>
      <c r="J9" s="1337">
        <f t="shared" si="2"/>
        <v>395.15062826672857</v>
      </c>
      <c r="K9" s="1337">
        <f>'Д 3_Т на Т з ЦТП'!G44</f>
        <v>136.81804371321726</v>
      </c>
      <c r="L9" s="881"/>
      <c r="M9" s="881"/>
      <c r="N9" s="881"/>
      <c r="O9" s="881"/>
      <c r="P9" s="1337">
        <f>'Д 3.1_Т на Т без ЦТП'!G44</f>
        <v>258.33258455351131</v>
      </c>
      <c r="Q9" s="881"/>
      <c r="R9" s="881"/>
      <c r="S9" s="881"/>
      <c r="T9" s="881"/>
      <c r="U9" s="1337">
        <f>'Д 4_Т на П'!G44</f>
        <v>21.656942526782004</v>
      </c>
      <c r="V9" s="881"/>
      <c r="W9" s="881"/>
      <c r="X9" s="881"/>
      <c r="Y9" s="881"/>
    </row>
    <row r="10" spans="1:25" s="1339" customFormat="1" x14ac:dyDescent="0.25">
      <c r="A10" s="4487" t="s">
        <v>2261</v>
      </c>
      <c r="B10" s="4487"/>
      <c r="C10" s="4487"/>
      <c r="D10" s="4487"/>
      <c r="E10" s="4487"/>
      <c r="F10" s="4487"/>
      <c r="G10" s="4487"/>
      <c r="H10" s="4487"/>
      <c r="I10" s="4487"/>
      <c r="J10" s="4487"/>
      <c r="K10" s="4487"/>
      <c r="L10" s="4487"/>
      <c r="M10" s="4487"/>
      <c r="N10" s="4487"/>
      <c r="O10" s="4487"/>
      <c r="P10" s="4487"/>
      <c r="Q10" s="4487"/>
      <c r="R10" s="4487"/>
      <c r="S10" s="4487"/>
      <c r="T10" s="4487"/>
      <c r="U10" s="4487"/>
      <c r="V10" s="4487"/>
      <c r="W10" s="4487"/>
      <c r="X10" s="4487"/>
      <c r="Y10" s="4491"/>
    </row>
    <row r="11" spans="1:25" ht="21" x14ac:dyDescent="0.25">
      <c r="A11" s="1335" t="s">
        <v>180</v>
      </c>
      <c r="B11" s="1344" t="s">
        <v>232</v>
      </c>
      <c r="C11" s="867" t="s">
        <v>40</v>
      </c>
      <c r="D11" s="1336" t="e">
        <f>E11+J11+U11</f>
        <v>#REF!</v>
      </c>
      <c r="E11" s="1337" t="e">
        <f>SUM(F11:I11)</f>
        <v>#REF!</v>
      </c>
      <c r="F11" s="881" t="e">
        <f>#REF!</f>
        <v>#REF!</v>
      </c>
      <c r="G11" s="881" t="e">
        <f>#REF!</f>
        <v>#REF!</v>
      </c>
      <c r="H11" s="881" t="e">
        <f>#REF!</f>
        <v>#REF!</v>
      </c>
      <c r="I11" s="881" t="e">
        <f>#REF!</f>
        <v>#REF!</v>
      </c>
      <c r="J11" s="1337" t="e">
        <f>K11+P11</f>
        <v>#REF!</v>
      </c>
      <c r="K11" s="1337" t="e">
        <f>SUM(L11:O11)</f>
        <v>#REF!</v>
      </c>
      <c r="L11" s="881" t="e">
        <f>#REF!</f>
        <v>#REF!</v>
      </c>
      <c r="M11" s="881" t="e">
        <f>#REF!</f>
        <v>#REF!</v>
      </c>
      <c r="N11" s="881" t="e">
        <f>#REF!</f>
        <v>#REF!</v>
      </c>
      <c r="O11" s="881" t="e">
        <f>#REF!</f>
        <v>#REF!</v>
      </c>
      <c r="P11" s="1337">
        <f>SUM(Q11:T11)</f>
        <v>0</v>
      </c>
      <c r="Q11" s="881"/>
      <c r="R11" s="881"/>
      <c r="S11" s="881"/>
      <c r="T11" s="881"/>
      <c r="U11" s="1337" t="e">
        <f>SUM(V11:Y11)</f>
        <v>#REF!</v>
      </c>
      <c r="V11" s="881" t="e">
        <f>#REF!</f>
        <v>#REF!</v>
      </c>
      <c r="W11" s="881" t="e">
        <f>#REF!</f>
        <v>#REF!</v>
      </c>
      <c r="X11" s="881" t="e">
        <f>#REF!</f>
        <v>#REF!</v>
      </c>
      <c r="Y11" s="881" t="e">
        <f>#REF!</f>
        <v>#REF!</v>
      </c>
    </row>
    <row r="12" spans="1:25" ht="15.6" customHeight="1" x14ac:dyDescent="0.25">
      <c r="A12" s="1338" t="s">
        <v>116</v>
      </c>
      <c r="B12" s="126" t="s">
        <v>65</v>
      </c>
      <c r="C12" s="130" t="s">
        <v>40</v>
      </c>
      <c r="D12" s="1336" t="e">
        <f t="shared" ref="D12:D16" si="3">E12+J12+U12</f>
        <v>#REF!</v>
      </c>
      <c r="E12" s="1337" t="e">
        <f t="shared" ref="E12:E16" si="4">SUM(F12:I12)</f>
        <v>#REF!</v>
      </c>
      <c r="F12" s="881" t="e">
        <f>#REF!</f>
        <v>#REF!</v>
      </c>
      <c r="G12" s="881" t="e">
        <f>#REF!</f>
        <v>#REF!</v>
      </c>
      <c r="H12" s="881" t="e">
        <f>#REF!</f>
        <v>#REF!</v>
      </c>
      <c r="I12" s="881" t="e">
        <f>#REF!</f>
        <v>#REF!</v>
      </c>
      <c r="J12" s="1337" t="e">
        <f t="shared" ref="J12:J16" si="5">K12+P12</f>
        <v>#REF!</v>
      </c>
      <c r="K12" s="1337" t="e">
        <f t="shared" ref="K12:K16" si="6">SUM(L12:O12)</f>
        <v>#REF!</v>
      </c>
      <c r="L12" s="881" t="e">
        <f>#REF!</f>
        <v>#REF!</v>
      </c>
      <c r="M12" s="881" t="e">
        <f>#REF!</f>
        <v>#REF!</v>
      </c>
      <c r="N12" s="881" t="e">
        <f>#REF!</f>
        <v>#REF!</v>
      </c>
      <c r="O12" s="881" t="e">
        <f>#REF!</f>
        <v>#REF!</v>
      </c>
      <c r="P12" s="1337">
        <f t="shared" ref="P12:P16" si="7">SUM(Q12:T12)</f>
        <v>0</v>
      </c>
      <c r="Q12" s="881"/>
      <c r="R12" s="881"/>
      <c r="S12" s="881"/>
      <c r="T12" s="881"/>
      <c r="U12" s="1337" t="e">
        <f t="shared" ref="U12:U16" si="8">SUM(V12:Y12)</f>
        <v>#REF!</v>
      </c>
      <c r="V12" s="881" t="e">
        <f>#REF!</f>
        <v>#REF!</v>
      </c>
      <c r="W12" s="881" t="e">
        <f>#REF!</f>
        <v>#REF!</v>
      </c>
      <c r="X12" s="881" t="e">
        <f>#REF!</f>
        <v>#REF!</v>
      </c>
      <c r="Y12" s="881" t="e">
        <f>#REF!</f>
        <v>#REF!</v>
      </c>
    </row>
    <row r="13" spans="1:25" ht="15.6" customHeight="1" x14ac:dyDescent="0.25">
      <c r="A13" s="1338" t="s">
        <v>118</v>
      </c>
      <c r="B13" s="126" t="s">
        <v>67</v>
      </c>
      <c r="C13" s="130" t="s">
        <v>40</v>
      </c>
      <c r="D13" s="1336" t="e">
        <f t="shared" si="3"/>
        <v>#REF!</v>
      </c>
      <c r="E13" s="1337" t="e">
        <f t="shared" si="4"/>
        <v>#REF!</v>
      </c>
      <c r="F13" s="881" t="e">
        <f>#REF!</f>
        <v>#REF!</v>
      </c>
      <c r="G13" s="881" t="e">
        <f>#REF!</f>
        <v>#REF!</v>
      </c>
      <c r="H13" s="881" t="e">
        <f>#REF!</f>
        <v>#REF!</v>
      </c>
      <c r="I13" s="881" t="e">
        <f>#REF!</f>
        <v>#REF!</v>
      </c>
      <c r="J13" s="1337" t="e">
        <f t="shared" si="5"/>
        <v>#REF!</v>
      </c>
      <c r="K13" s="1337" t="e">
        <f t="shared" si="6"/>
        <v>#REF!</v>
      </c>
      <c r="L13" s="881" t="e">
        <f>#REF!</f>
        <v>#REF!</v>
      </c>
      <c r="M13" s="881" t="e">
        <f>#REF!</f>
        <v>#REF!</v>
      </c>
      <c r="N13" s="881" t="e">
        <f>#REF!</f>
        <v>#REF!</v>
      </c>
      <c r="O13" s="881" t="e">
        <f>#REF!</f>
        <v>#REF!</v>
      </c>
      <c r="P13" s="1337">
        <f t="shared" si="7"/>
        <v>0</v>
      </c>
      <c r="Q13" s="881"/>
      <c r="R13" s="881"/>
      <c r="S13" s="881"/>
      <c r="T13" s="881"/>
      <c r="U13" s="1337" t="e">
        <f t="shared" si="8"/>
        <v>#REF!</v>
      </c>
      <c r="V13" s="881" t="e">
        <f>#REF!</f>
        <v>#REF!</v>
      </c>
      <c r="W13" s="881" t="e">
        <f>#REF!</f>
        <v>#REF!</v>
      </c>
      <c r="X13" s="881" t="e">
        <f>#REF!</f>
        <v>#REF!</v>
      </c>
      <c r="Y13" s="881" t="e">
        <f>#REF!</f>
        <v>#REF!</v>
      </c>
    </row>
    <row r="14" spans="1:25" ht="15.6" customHeight="1" x14ac:dyDescent="0.25">
      <c r="A14" s="1338" t="s">
        <v>120</v>
      </c>
      <c r="B14" s="126" t="s">
        <v>69</v>
      </c>
      <c r="C14" s="130" t="s">
        <v>40</v>
      </c>
      <c r="D14" s="1336" t="e">
        <f t="shared" si="3"/>
        <v>#REF!</v>
      </c>
      <c r="E14" s="1337" t="e">
        <f t="shared" si="4"/>
        <v>#REF!</v>
      </c>
      <c r="F14" s="881" t="e">
        <f>#REF!</f>
        <v>#REF!</v>
      </c>
      <c r="G14" s="881" t="e">
        <f>#REF!</f>
        <v>#REF!</v>
      </c>
      <c r="H14" s="881" t="e">
        <f>#REF!</f>
        <v>#REF!</v>
      </c>
      <c r="I14" s="881" t="e">
        <f>#REF!</f>
        <v>#REF!</v>
      </c>
      <c r="J14" s="1337" t="e">
        <f t="shared" si="5"/>
        <v>#REF!</v>
      </c>
      <c r="K14" s="1337" t="e">
        <f t="shared" si="6"/>
        <v>#REF!</v>
      </c>
      <c r="L14" s="881" t="e">
        <f>#REF!</f>
        <v>#REF!</v>
      </c>
      <c r="M14" s="881" t="e">
        <f>#REF!</f>
        <v>#REF!</v>
      </c>
      <c r="N14" s="881" t="e">
        <f>#REF!</f>
        <v>#REF!</v>
      </c>
      <c r="O14" s="881" t="e">
        <f>#REF!</f>
        <v>#REF!</v>
      </c>
      <c r="P14" s="1337">
        <f t="shared" si="7"/>
        <v>0</v>
      </c>
      <c r="Q14" s="881"/>
      <c r="R14" s="881"/>
      <c r="S14" s="881"/>
      <c r="T14" s="881"/>
      <c r="U14" s="1337" t="e">
        <f t="shared" si="8"/>
        <v>#REF!</v>
      </c>
      <c r="V14" s="881" t="e">
        <f>#REF!</f>
        <v>#REF!</v>
      </c>
      <c r="W14" s="881" t="e">
        <f>#REF!</f>
        <v>#REF!</v>
      </c>
      <c r="X14" s="881" t="e">
        <f>#REF!</f>
        <v>#REF!</v>
      </c>
      <c r="Y14" s="881" t="e">
        <f>#REF!</f>
        <v>#REF!</v>
      </c>
    </row>
    <row r="15" spans="1:25" ht="24.6" customHeight="1" x14ac:dyDescent="0.25">
      <c r="A15" s="1338" t="s">
        <v>122</v>
      </c>
      <c r="B15" s="126" t="s">
        <v>71</v>
      </c>
      <c r="C15" s="130" t="s">
        <v>40</v>
      </c>
      <c r="D15" s="1336" t="e">
        <f t="shared" si="3"/>
        <v>#REF!</v>
      </c>
      <c r="E15" s="1337" t="e">
        <f t="shared" si="4"/>
        <v>#REF!</v>
      </c>
      <c r="F15" s="881" t="e">
        <f>#REF!</f>
        <v>#REF!</v>
      </c>
      <c r="G15" s="881" t="e">
        <f>#REF!</f>
        <v>#REF!</v>
      </c>
      <c r="H15" s="881" t="e">
        <f>#REF!</f>
        <v>#REF!</v>
      </c>
      <c r="I15" s="881" t="e">
        <f>#REF!</f>
        <v>#REF!</v>
      </c>
      <c r="J15" s="1337" t="e">
        <f t="shared" si="5"/>
        <v>#REF!</v>
      </c>
      <c r="K15" s="1337" t="e">
        <f t="shared" si="6"/>
        <v>#REF!</v>
      </c>
      <c r="L15" s="881" t="e">
        <f>#REF!</f>
        <v>#REF!</v>
      </c>
      <c r="M15" s="881" t="e">
        <f>#REF!</f>
        <v>#REF!</v>
      </c>
      <c r="N15" s="881" t="e">
        <f>#REF!</f>
        <v>#REF!</v>
      </c>
      <c r="O15" s="881" t="e">
        <f>#REF!</f>
        <v>#REF!</v>
      </c>
      <c r="P15" s="1337">
        <f t="shared" si="7"/>
        <v>0</v>
      </c>
      <c r="Q15" s="881"/>
      <c r="R15" s="881"/>
      <c r="S15" s="881"/>
      <c r="T15" s="881"/>
      <c r="U15" s="1337" t="e">
        <f t="shared" si="8"/>
        <v>#REF!</v>
      </c>
      <c r="V15" s="881" t="e">
        <f>#REF!</f>
        <v>#REF!</v>
      </c>
      <c r="W15" s="881" t="e">
        <f>#REF!</f>
        <v>#REF!</v>
      </c>
      <c r="X15" s="881" t="e">
        <f>#REF!</f>
        <v>#REF!</v>
      </c>
      <c r="Y15" s="881" t="e">
        <f>#REF!</f>
        <v>#REF!</v>
      </c>
    </row>
    <row r="16" spans="1:25" ht="15.6" customHeight="1" x14ac:dyDescent="0.25">
      <c r="A16" s="1338" t="s">
        <v>233</v>
      </c>
      <c r="B16" s="126" t="s">
        <v>87</v>
      </c>
      <c r="C16" s="130" t="s">
        <v>40</v>
      </c>
      <c r="D16" s="1336" t="e">
        <f t="shared" si="3"/>
        <v>#REF!</v>
      </c>
      <c r="E16" s="1337" t="e">
        <f t="shared" si="4"/>
        <v>#REF!</v>
      </c>
      <c r="F16" s="881" t="e">
        <f>#REF!</f>
        <v>#REF!</v>
      </c>
      <c r="G16" s="881" t="e">
        <f>#REF!</f>
        <v>#REF!</v>
      </c>
      <c r="H16" s="881" t="e">
        <f>#REF!</f>
        <v>#REF!</v>
      </c>
      <c r="I16" s="881" t="e">
        <f>#REF!</f>
        <v>#REF!</v>
      </c>
      <c r="J16" s="1337" t="e">
        <f t="shared" si="5"/>
        <v>#REF!</v>
      </c>
      <c r="K16" s="1337" t="e">
        <f t="shared" si="6"/>
        <v>#REF!</v>
      </c>
      <c r="L16" s="881" t="e">
        <f>#REF!</f>
        <v>#REF!</v>
      </c>
      <c r="M16" s="881" t="e">
        <f>#REF!</f>
        <v>#REF!</v>
      </c>
      <c r="N16" s="881" t="e">
        <f>#REF!</f>
        <v>#REF!</v>
      </c>
      <c r="O16" s="881" t="e">
        <f>#REF!</f>
        <v>#REF!</v>
      </c>
      <c r="P16" s="1337">
        <f t="shared" si="7"/>
        <v>0</v>
      </c>
      <c r="Q16" s="881"/>
      <c r="R16" s="881"/>
      <c r="S16" s="881"/>
      <c r="T16" s="881"/>
      <c r="U16" s="1337" t="e">
        <f t="shared" si="8"/>
        <v>#REF!</v>
      </c>
      <c r="V16" s="881" t="e">
        <f>#REF!</f>
        <v>#REF!</v>
      </c>
      <c r="W16" s="881" t="e">
        <f>#REF!</f>
        <v>#REF!</v>
      </c>
      <c r="X16" s="881" t="e">
        <f>#REF!</f>
        <v>#REF!</v>
      </c>
      <c r="Y16" s="881" t="e">
        <f>#REF!</f>
        <v>#REF!</v>
      </c>
    </row>
    <row r="17" spans="1:37" s="1339" customFormat="1" ht="15.6" customHeight="1" x14ac:dyDescent="0.25">
      <c r="A17" s="4487" t="s">
        <v>2262</v>
      </c>
      <c r="B17" s="4487"/>
      <c r="C17" s="4487"/>
      <c r="D17" s="4487"/>
      <c r="E17" s="4487"/>
      <c r="F17" s="4487"/>
      <c r="G17" s="4487"/>
      <c r="H17" s="4487"/>
      <c r="I17" s="4487"/>
      <c r="J17" s="4487"/>
      <c r="K17" s="4487"/>
      <c r="L17" s="4487"/>
      <c r="M17" s="4487"/>
      <c r="N17" s="4487"/>
      <c r="O17" s="4487"/>
      <c r="P17" s="4487"/>
      <c r="Q17" s="4487"/>
      <c r="R17" s="4487"/>
      <c r="S17" s="4487"/>
      <c r="T17" s="4487"/>
      <c r="U17" s="4487"/>
      <c r="V17" s="4487"/>
      <c r="W17" s="4487"/>
      <c r="X17" s="4487"/>
      <c r="Y17" s="4487"/>
      <c r="Z17" s="1340"/>
      <c r="AA17" s="1340"/>
      <c r="AB17" s="1340"/>
      <c r="AC17" s="1340"/>
      <c r="AD17" s="1340"/>
      <c r="AE17" s="1340"/>
      <c r="AF17" s="1340"/>
      <c r="AG17" s="1340"/>
      <c r="AH17" s="1340"/>
      <c r="AI17" s="1340"/>
      <c r="AJ17" s="1340"/>
      <c r="AK17" s="1341"/>
    </row>
    <row r="18" spans="1:37" ht="21" x14ac:dyDescent="0.25">
      <c r="A18" s="1335" t="s">
        <v>180</v>
      </c>
      <c r="B18" s="1344" t="s">
        <v>232</v>
      </c>
      <c r="C18" s="867" t="s">
        <v>40</v>
      </c>
      <c r="D18" s="1336" t="e">
        <f>E18+J18+U18</f>
        <v>#REF!</v>
      </c>
      <c r="E18" s="1337" t="e">
        <f>SUM(F18:I18)</f>
        <v>#REF!</v>
      </c>
      <c r="F18" s="881" t="e">
        <f>#REF!</f>
        <v>#REF!</v>
      </c>
      <c r="G18" s="881" t="e">
        <f>#REF!</f>
        <v>#REF!</v>
      </c>
      <c r="H18" s="881" t="e">
        <f>#REF!</f>
        <v>#REF!</v>
      </c>
      <c r="I18" s="881" t="e">
        <f>#REF!</f>
        <v>#REF!</v>
      </c>
      <c r="J18" s="1337" t="e">
        <f>K18+P18</f>
        <v>#REF!</v>
      </c>
      <c r="K18" s="1337">
        <f>SUM(L18:O18)</f>
        <v>0</v>
      </c>
      <c r="L18" s="881"/>
      <c r="M18" s="881"/>
      <c r="N18" s="881"/>
      <c r="O18" s="881"/>
      <c r="P18" s="1337" t="e">
        <f>SUM(Q18:T18)</f>
        <v>#REF!</v>
      </c>
      <c r="Q18" s="881" t="e">
        <f>#REF!</f>
        <v>#REF!</v>
      </c>
      <c r="R18" s="881" t="e">
        <f>#REF!</f>
        <v>#REF!</v>
      </c>
      <c r="S18" s="881" t="e">
        <f>#REF!</f>
        <v>#REF!</v>
      </c>
      <c r="T18" s="881" t="e">
        <f>#REF!</f>
        <v>#REF!</v>
      </c>
      <c r="U18" s="1337" t="e">
        <f>SUM(V18:Y18)</f>
        <v>#REF!</v>
      </c>
      <c r="V18" s="881" t="e">
        <f>#REF!</f>
        <v>#REF!</v>
      </c>
      <c r="W18" s="881" t="e">
        <f>#REF!</f>
        <v>#REF!</v>
      </c>
      <c r="X18" s="881" t="e">
        <f>#REF!</f>
        <v>#REF!</v>
      </c>
      <c r="Y18" s="881" t="e">
        <f>#REF!</f>
        <v>#REF!</v>
      </c>
    </row>
    <row r="19" spans="1:37" ht="15.6" customHeight="1" x14ac:dyDescent="0.25">
      <c r="A19" s="1338" t="s">
        <v>116</v>
      </c>
      <c r="B19" s="126" t="s">
        <v>65</v>
      </c>
      <c r="C19" s="130" t="s">
        <v>40</v>
      </c>
      <c r="D19" s="1336" t="e">
        <f t="shared" ref="D19:D23" si="9">E19+J19+U19</f>
        <v>#REF!</v>
      </c>
      <c r="E19" s="1337" t="e">
        <f t="shared" ref="E19:E23" si="10">SUM(F19:I19)</f>
        <v>#REF!</v>
      </c>
      <c r="F19" s="881" t="e">
        <f>#REF!</f>
        <v>#REF!</v>
      </c>
      <c r="G19" s="881" t="e">
        <f>#REF!</f>
        <v>#REF!</v>
      </c>
      <c r="H19" s="881" t="e">
        <f>#REF!</f>
        <v>#REF!</v>
      </c>
      <c r="I19" s="881" t="e">
        <f>#REF!</f>
        <v>#REF!</v>
      </c>
      <c r="J19" s="1337" t="e">
        <f t="shared" ref="J19:J23" si="11">K19+P19</f>
        <v>#REF!</v>
      </c>
      <c r="K19" s="1337">
        <f t="shared" ref="K19:K23" si="12">SUM(L19:O19)</f>
        <v>0</v>
      </c>
      <c r="L19" s="881"/>
      <c r="M19" s="881"/>
      <c r="N19" s="881"/>
      <c r="O19" s="881"/>
      <c r="P19" s="1337" t="e">
        <f t="shared" ref="P19:P23" si="13">SUM(Q19:T19)</f>
        <v>#REF!</v>
      </c>
      <c r="Q19" s="881" t="e">
        <f>#REF!</f>
        <v>#REF!</v>
      </c>
      <c r="R19" s="881" t="e">
        <f>#REF!</f>
        <v>#REF!</v>
      </c>
      <c r="S19" s="881" t="e">
        <f>#REF!</f>
        <v>#REF!</v>
      </c>
      <c r="T19" s="881" t="e">
        <f>#REF!</f>
        <v>#REF!</v>
      </c>
      <c r="U19" s="1337" t="e">
        <f t="shared" ref="U19:U23" si="14">SUM(V19:Y19)</f>
        <v>#REF!</v>
      </c>
      <c r="V19" s="881" t="e">
        <f>#REF!</f>
        <v>#REF!</v>
      </c>
      <c r="W19" s="881" t="e">
        <f>#REF!</f>
        <v>#REF!</v>
      </c>
      <c r="X19" s="881" t="e">
        <f>#REF!</f>
        <v>#REF!</v>
      </c>
      <c r="Y19" s="881" t="e">
        <f>#REF!</f>
        <v>#REF!</v>
      </c>
    </row>
    <row r="20" spans="1:37" ht="15.6" customHeight="1" x14ac:dyDescent="0.25">
      <c r="A20" s="1338" t="s">
        <v>118</v>
      </c>
      <c r="B20" s="126" t="s">
        <v>67</v>
      </c>
      <c r="C20" s="130" t="s">
        <v>40</v>
      </c>
      <c r="D20" s="1336" t="e">
        <f t="shared" si="9"/>
        <v>#REF!</v>
      </c>
      <c r="E20" s="1337" t="e">
        <f t="shared" si="10"/>
        <v>#REF!</v>
      </c>
      <c r="F20" s="881" t="e">
        <f>#REF!</f>
        <v>#REF!</v>
      </c>
      <c r="G20" s="881" t="e">
        <f>#REF!</f>
        <v>#REF!</v>
      </c>
      <c r="H20" s="881" t="e">
        <f>#REF!</f>
        <v>#REF!</v>
      </c>
      <c r="I20" s="881" t="e">
        <f>#REF!</f>
        <v>#REF!</v>
      </c>
      <c r="J20" s="1337" t="e">
        <f t="shared" si="11"/>
        <v>#REF!</v>
      </c>
      <c r="K20" s="1337">
        <f t="shared" si="12"/>
        <v>0</v>
      </c>
      <c r="L20" s="881"/>
      <c r="M20" s="881"/>
      <c r="N20" s="881"/>
      <c r="O20" s="881"/>
      <c r="P20" s="1337" t="e">
        <f t="shared" si="13"/>
        <v>#REF!</v>
      </c>
      <c r="Q20" s="881" t="e">
        <f>#REF!</f>
        <v>#REF!</v>
      </c>
      <c r="R20" s="881" t="e">
        <f>#REF!</f>
        <v>#REF!</v>
      </c>
      <c r="S20" s="881" t="e">
        <f>#REF!</f>
        <v>#REF!</v>
      </c>
      <c r="T20" s="881" t="e">
        <f>#REF!</f>
        <v>#REF!</v>
      </c>
      <c r="U20" s="1337" t="e">
        <f t="shared" si="14"/>
        <v>#REF!</v>
      </c>
      <c r="V20" s="881" t="e">
        <f>#REF!</f>
        <v>#REF!</v>
      </c>
      <c r="W20" s="881" t="e">
        <f>#REF!</f>
        <v>#REF!</v>
      </c>
      <c r="X20" s="881" t="e">
        <f>#REF!</f>
        <v>#REF!</v>
      </c>
      <c r="Y20" s="881" t="e">
        <f>#REF!</f>
        <v>#REF!</v>
      </c>
    </row>
    <row r="21" spans="1:37" ht="15.6" customHeight="1" x14ac:dyDescent="0.25">
      <c r="A21" s="1338" t="s">
        <v>120</v>
      </c>
      <c r="B21" s="126" t="s">
        <v>69</v>
      </c>
      <c r="C21" s="130" t="s">
        <v>40</v>
      </c>
      <c r="D21" s="1336" t="e">
        <f t="shared" si="9"/>
        <v>#REF!</v>
      </c>
      <c r="E21" s="1337" t="e">
        <f t="shared" si="10"/>
        <v>#REF!</v>
      </c>
      <c r="F21" s="881" t="e">
        <f>#REF!</f>
        <v>#REF!</v>
      </c>
      <c r="G21" s="881" t="e">
        <f>#REF!</f>
        <v>#REF!</v>
      </c>
      <c r="H21" s="881" t="e">
        <f>#REF!</f>
        <v>#REF!</v>
      </c>
      <c r="I21" s="881" t="e">
        <f>#REF!</f>
        <v>#REF!</v>
      </c>
      <c r="J21" s="1337" t="e">
        <f t="shared" si="11"/>
        <v>#REF!</v>
      </c>
      <c r="K21" s="1337">
        <f t="shared" si="12"/>
        <v>0</v>
      </c>
      <c r="L21" s="881"/>
      <c r="M21" s="881"/>
      <c r="N21" s="881"/>
      <c r="O21" s="881"/>
      <c r="P21" s="1337" t="e">
        <f t="shared" si="13"/>
        <v>#REF!</v>
      </c>
      <c r="Q21" s="881" t="e">
        <f>#REF!</f>
        <v>#REF!</v>
      </c>
      <c r="R21" s="881" t="e">
        <f>#REF!</f>
        <v>#REF!</v>
      </c>
      <c r="S21" s="881" t="e">
        <f>#REF!</f>
        <v>#REF!</v>
      </c>
      <c r="T21" s="881" t="e">
        <f>#REF!</f>
        <v>#REF!</v>
      </c>
      <c r="U21" s="1337" t="e">
        <f t="shared" si="14"/>
        <v>#REF!</v>
      </c>
      <c r="V21" s="881" t="e">
        <f>#REF!</f>
        <v>#REF!</v>
      </c>
      <c r="W21" s="881" t="e">
        <f>#REF!</f>
        <v>#REF!</v>
      </c>
      <c r="X21" s="881" t="e">
        <f>#REF!</f>
        <v>#REF!</v>
      </c>
      <c r="Y21" s="881" t="e">
        <f>#REF!</f>
        <v>#REF!</v>
      </c>
    </row>
    <row r="22" spans="1:37" ht="24.6" customHeight="1" x14ac:dyDescent="0.25">
      <c r="A22" s="1338" t="s">
        <v>122</v>
      </c>
      <c r="B22" s="126" t="s">
        <v>71</v>
      </c>
      <c r="C22" s="130" t="s">
        <v>40</v>
      </c>
      <c r="D22" s="1336" t="e">
        <f t="shared" si="9"/>
        <v>#REF!</v>
      </c>
      <c r="E22" s="1337" t="e">
        <f t="shared" si="10"/>
        <v>#REF!</v>
      </c>
      <c r="F22" s="881" t="e">
        <f>#REF!</f>
        <v>#REF!</v>
      </c>
      <c r="G22" s="881" t="e">
        <f>#REF!</f>
        <v>#REF!</v>
      </c>
      <c r="H22" s="881" t="e">
        <f>#REF!</f>
        <v>#REF!</v>
      </c>
      <c r="I22" s="881" t="e">
        <f>#REF!</f>
        <v>#REF!</v>
      </c>
      <c r="J22" s="1337" t="e">
        <f t="shared" si="11"/>
        <v>#REF!</v>
      </c>
      <c r="K22" s="1337">
        <f t="shared" si="12"/>
        <v>0</v>
      </c>
      <c r="L22" s="881"/>
      <c r="M22" s="881"/>
      <c r="N22" s="881"/>
      <c r="O22" s="881"/>
      <c r="P22" s="1337" t="e">
        <f t="shared" si="13"/>
        <v>#REF!</v>
      </c>
      <c r="Q22" s="881" t="e">
        <f>#REF!</f>
        <v>#REF!</v>
      </c>
      <c r="R22" s="881" t="e">
        <f>#REF!</f>
        <v>#REF!</v>
      </c>
      <c r="S22" s="881" t="e">
        <f>#REF!</f>
        <v>#REF!</v>
      </c>
      <c r="T22" s="881" t="e">
        <f>#REF!</f>
        <v>#REF!</v>
      </c>
      <c r="U22" s="1337" t="e">
        <f t="shared" si="14"/>
        <v>#REF!</v>
      </c>
      <c r="V22" s="881" t="e">
        <f>#REF!</f>
        <v>#REF!</v>
      </c>
      <c r="W22" s="881" t="e">
        <f>#REF!</f>
        <v>#REF!</v>
      </c>
      <c r="X22" s="881" t="e">
        <f>#REF!</f>
        <v>#REF!</v>
      </c>
      <c r="Y22" s="881" t="e">
        <f>#REF!</f>
        <v>#REF!</v>
      </c>
    </row>
    <row r="23" spans="1:37" ht="15.6" customHeight="1" x14ac:dyDescent="0.25">
      <c r="A23" s="1338" t="s">
        <v>233</v>
      </c>
      <c r="B23" s="126" t="s">
        <v>87</v>
      </c>
      <c r="C23" s="130" t="s">
        <v>40</v>
      </c>
      <c r="D23" s="1336" t="e">
        <f t="shared" si="9"/>
        <v>#REF!</v>
      </c>
      <c r="E23" s="1337" t="e">
        <f t="shared" si="10"/>
        <v>#REF!</v>
      </c>
      <c r="F23" s="881" t="e">
        <f>#REF!</f>
        <v>#REF!</v>
      </c>
      <c r="G23" s="881" t="e">
        <f>#REF!</f>
        <v>#REF!</v>
      </c>
      <c r="H23" s="881" t="e">
        <f>#REF!</f>
        <v>#REF!</v>
      </c>
      <c r="I23" s="881" t="e">
        <f>#REF!</f>
        <v>#REF!</v>
      </c>
      <c r="J23" s="1337" t="e">
        <f t="shared" si="11"/>
        <v>#REF!</v>
      </c>
      <c r="K23" s="1337">
        <f t="shared" si="12"/>
        <v>0</v>
      </c>
      <c r="L23" s="881"/>
      <c r="M23" s="881"/>
      <c r="N23" s="881"/>
      <c r="O23" s="881"/>
      <c r="P23" s="1337" t="e">
        <f t="shared" si="13"/>
        <v>#REF!</v>
      </c>
      <c r="Q23" s="881" t="e">
        <f>#REF!</f>
        <v>#REF!</v>
      </c>
      <c r="R23" s="881" t="e">
        <f>#REF!</f>
        <v>#REF!</v>
      </c>
      <c r="S23" s="881" t="e">
        <f>#REF!</f>
        <v>#REF!</v>
      </c>
      <c r="T23" s="881" t="e">
        <f>#REF!</f>
        <v>#REF!</v>
      </c>
      <c r="U23" s="1337" t="e">
        <f t="shared" si="14"/>
        <v>#REF!</v>
      </c>
      <c r="V23" s="881" t="e">
        <f>#REF!</f>
        <v>#REF!</v>
      </c>
      <c r="W23" s="881" t="e">
        <f>#REF!</f>
        <v>#REF!</v>
      </c>
      <c r="X23" s="881" t="e">
        <f>#REF!</f>
        <v>#REF!</v>
      </c>
      <c r="Y23" s="881" t="e">
        <f>#REF!</f>
        <v>#REF!</v>
      </c>
    </row>
    <row r="24" spans="1:37" x14ac:dyDescent="0.25">
      <c r="A24" s="4488" t="s">
        <v>2263</v>
      </c>
      <c r="B24" s="4488"/>
      <c r="C24" s="4488"/>
      <c r="D24" s="4488"/>
      <c r="E24" s="4488"/>
      <c r="F24" s="4488"/>
      <c r="G24" s="4488"/>
      <c r="H24" s="4488"/>
      <c r="I24" s="4488"/>
      <c r="J24" s="4488"/>
      <c r="K24" s="4488"/>
      <c r="L24" s="4488"/>
      <c r="M24" s="4488"/>
      <c r="N24" s="4488"/>
      <c r="O24" s="4488"/>
      <c r="P24" s="4488"/>
      <c r="Q24" s="4488"/>
      <c r="R24" s="4488"/>
      <c r="S24" s="4488"/>
      <c r="T24" s="4488"/>
      <c r="U24" s="4488"/>
      <c r="V24" s="4488"/>
      <c r="W24" s="4488"/>
      <c r="X24" s="4488"/>
      <c r="Y24" s="4488"/>
    </row>
    <row r="25" spans="1:37" ht="21" x14ac:dyDescent="0.25">
      <c r="A25" s="1335" t="s">
        <v>180</v>
      </c>
      <c r="B25" s="1344" t="s">
        <v>232</v>
      </c>
      <c r="C25" s="867" t="s">
        <v>40</v>
      </c>
      <c r="D25" s="1343" t="e">
        <f>E25+J25+U25</f>
        <v>#REF!</v>
      </c>
      <c r="E25" s="1342" t="e">
        <f>SUM(F25:I25)</f>
        <v>#REF!</v>
      </c>
      <c r="F25" s="881" t="e">
        <f>F4-F11</f>
        <v>#REF!</v>
      </c>
      <c r="G25" s="881" t="e">
        <f t="shared" ref="G25:I25" si="15">G4-G11</f>
        <v>#REF!</v>
      </c>
      <c r="H25" s="881" t="e">
        <f t="shared" si="15"/>
        <v>#REF!</v>
      </c>
      <c r="I25" s="881" t="e">
        <f t="shared" si="15"/>
        <v>#REF!</v>
      </c>
      <c r="J25" s="1342" t="e">
        <f>J4-J11-J18</f>
        <v>#REF!</v>
      </c>
      <c r="K25" s="1342" t="e">
        <f>K4-K11</f>
        <v>#REF!</v>
      </c>
      <c r="L25" s="881"/>
      <c r="M25" s="881"/>
      <c r="N25" s="881"/>
      <c r="O25" s="881"/>
      <c r="P25" s="1342" t="e">
        <f>P4-P18</f>
        <v>#REF!</v>
      </c>
      <c r="Q25" s="881"/>
      <c r="R25" s="881"/>
      <c r="S25" s="881"/>
      <c r="T25" s="881"/>
      <c r="U25" s="1342" t="e">
        <f>SUM(V25:Y25)</f>
        <v>#REF!</v>
      </c>
      <c r="V25" s="881" t="e">
        <f>V11-V18</f>
        <v>#REF!</v>
      </c>
      <c r="W25" s="881" t="e">
        <f t="shared" ref="W25:Y25" si="16">W11-W18</f>
        <v>#REF!</v>
      </c>
      <c r="X25" s="881" t="e">
        <f t="shared" si="16"/>
        <v>#REF!</v>
      </c>
      <c r="Y25" s="881" t="e">
        <f t="shared" si="16"/>
        <v>#REF!</v>
      </c>
    </row>
    <row r="26" spans="1:37" ht="15.6" customHeight="1" x14ac:dyDescent="0.25">
      <c r="A26" s="1338" t="s">
        <v>116</v>
      </c>
      <c r="B26" s="126" t="s">
        <v>65</v>
      </c>
      <c r="C26" s="130" t="s">
        <v>40</v>
      </c>
      <c r="D26" s="1343" t="e">
        <f t="shared" ref="D26:D30" si="17">E26+J26+U26</f>
        <v>#REF!</v>
      </c>
      <c r="E26" s="1342" t="e">
        <f t="shared" ref="E26:E30" si="18">SUM(F26:I26)</f>
        <v>#REF!</v>
      </c>
      <c r="F26" s="881" t="e">
        <f t="shared" ref="F26:I30" si="19">F5-F12</f>
        <v>#REF!</v>
      </c>
      <c r="G26" s="881" t="e">
        <f t="shared" si="19"/>
        <v>#REF!</v>
      </c>
      <c r="H26" s="881" t="e">
        <f t="shared" si="19"/>
        <v>#REF!</v>
      </c>
      <c r="I26" s="881" t="e">
        <f t="shared" si="19"/>
        <v>#REF!</v>
      </c>
      <c r="J26" s="1342" t="e">
        <f t="shared" ref="J26:J30" si="20">J5-J12-J19</f>
        <v>#REF!</v>
      </c>
      <c r="K26" s="1342" t="e">
        <f t="shared" ref="K26:K30" si="21">K5-K12</f>
        <v>#REF!</v>
      </c>
      <c r="L26" s="881"/>
      <c r="M26" s="881"/>
      <c r="N26" s="881"/>
      <c r="O26" s="881"/>
      <c r="P26" s="1342" t="e">
        <f t="shared" ref="P26:P30" si="22">P5-P19</f>
        <v>#REF!</v>
      </c>
      <c r="Q26" s="881"/>
      <c r="R26" s="881"/>
      <c r="S26" s="881"/>
      <c r="T26" s="881"/>
      <c r="U26" s="1342" t="e">
        <f t="shared" ref="U26:U30" si="23">SUM(V26:Y26)</f>
        <v>#REF!</v>
      </c>
      <c r="V26" s="881" t="e">
        <f t="shared" ref="V26:Y30" si="24">V12-V19</f>
        <v>#REF!</v>
      </c>
      <c r="W26" s="881" t="e">
        <f t="shared" si="24"/>
        <v>#REF!</v>
      </c>
      <c r="X26" s="881" t="e">
        <f t="shared" si="24"/>
        <v>#REF!</v>
      </c>
      <c r="Y26" s="881" t="e">
        <f t="shared" si="24"/>
        <v>#REF!</v>
      </c>
    </row>
    <row r="27" spans="1:37" ht="15.6" customHeight="1" x14ac:dyDescent="0.25">
      <c r="A27" s="1338" t="s">
        <v>118</v>
      </c>
      <c r="B27" s="126" t="s">
        <v>67</v>
      </c>
      <c r="C27" s="130" t="s">
        <v>40</v>
      </c>
      <c r="D27" s="1343" t="e">
        <f t="shared" si="17"/>
        <v>#REF!</v>
      </c>
      <c r="E27" s="1342" t="e">
        <f t="shared" si="18"/>
        <v>#REF!</v>
      </c>
      <c r="F27" s="881" t="e">
        <f t="shared" si="19"/>
        <v>#REF!</v>
      </c>
      <c r="G27" s="881" t="e">
        <f t="shared" si="19"/>
        <v>#REF!</v>
      </c>
      <c r="H27" s="881" t="e">
        <f t="shared" si="19"/>
        <v>#REF!</v>
      </c>
      <c r="I27" s="881" t="e">
        <f t="shared" si="19"/>
        <v>#REF!</v>
      </c>
      <c r="J27" s="1342" t="e">
        <f t="shared" si="20"/>
        <v>#REF!</v>
      </c>
      <c r="K27" s="1342" t="e">
        <f t="shared" si="21"/>
        <v>#REF!</v>
      </c>
      <c r="L27" s="881"/>
      <c r="M27" s="881"/>
      <c r="N27" s="881"/>
      <c r="O27" s="881"/>
      <c r="P27" s="1342" t="e">
        <f t="shared" si="22"/>
        <v>#REF!</v>
      </c>
      <c r="Q27" s="881"/>
      <c r="R27" s="881"/>
      <c r="S27" s="881"/>
      <c r="T27" s="881"/>
      <c r="U27" s="1342" t="e">
        <f t="shared" si="23"/>
        <v>#REF!</v>
      </c>
      <c r="V27" s="881" t="e">
        <f t="shared" si="24"/>
        <v>#REF!</v>
      </c>
      <c r="W27" s="881" t="e">
        <f t="shared" si="24"/>
        <v>#REF!</v>
      </c>
      <c r="X27" s="881" t="e">
        <f t="shared" si="24"/>
        <v>#REF!</v>
      </c>
      <c r="Y27" s="881" t="e">
        <f t="shared" si="24"/>
        <v>#REF!</v>
      </c>
    </row>
    <row r="28" spans="1:37" ht="15.6" customHeight="1" x14ac:dyDescent="0.25">
      <c r="A28" s="1338" t="s">
        <v>120</v>
      </c>
      <c r="B28" s="126" t="s">
        <v>69</v>
      </c>
      <c r="C28" s="130" t="s">
        <v>40</v>
      </c>
      <c r="D28" s="1343" t="e">
        <f t="shared" si="17"/>
        <v>#REF!</v>
      </c>
      <c r="E28" s="1342" t="e">
        <f t="shared" si="18"/>
        <v>#REF!</v>
      </c>
      <c r="F28" s="881" t="e">
        <f t="shared" si="19"/>
        <v>#REF!</v>
      </c>
      <c r="G28" s="881" t="e">
        <f t="shared" si="19"/>
        <v>#REF!</v>
      </c>
      <c r="H28" s="881" t="e">
        <f t="shared" si="19"/>
        <v>#REF!</v>
      </c>
      <c r="I28" s="881" t="e">
        <f t="shared" si="19"/>
        <v>#REF!</v>
      </c>
      <c r="J28" s="1342" t="e">
        <f t="shared" si="20"/>
        <v>#REF!</v>
      </c>
      <c r="K28" s="1342" t="e">
        <f t="shared" si="21"/>
        <v>#REF!</v>
      </c>
      <c r="L28" s="881"/>
      <c r="M28" s="881"/>
      <c r="N28" s="881"/>
      <c r="O28" s="881"/>
      <c r="P28" s="1342" t="e">
        <f t="shared" si="22"/>
        <v>#REF!</v>
      </c>
      <c r="Q28" s="881"/>
      <c r="R28" s="881"/>
      <c r="S28" s="881"/>
      <c r="T28" s="881"/>
      <c r="U28" s="1342" t="e">
        <f t="shared" si="23"/>
        <v>#REF!</v>
      </c>
      <c r="V28" s="881" t="e">
        <f t="shared" si="24"/>
        <v>#REF!</v>
      </c>
      <c r="W28" s="881" t="e">
        <f t="shared" si="24"/>
        <v>#REF!</v>
      </c>
      <c r="X28" s="881" t="e">
        <f t="shared" si="24"/>
        <v>#REF!</v>
      </c>
      <c r="Y28" s="881" t="e">
        <f t="shared" si="24"/>
        <v>#REF!</v>
      </c>
    </row>
    <row r="29" spans="1:37" ht="21" customHeight="1" x14ac:dyDescent="0.25">
      <c r="A29" s="1338" t="s">
        <v>122</v>
      </c>
      <c r="B29" s="126" t="s">
        <v>71</v>
      </c>
      <c r="C29" s="130" t="s">
        <v>40</v>
      </c>
      <c r="D29" s="1343" t="e">
        <f t="shared" si="17"/>
        <v>#REF!</v>
      </c>
      <c r="E29" s="1342" t="e">
        <f t="shared" si="18"/>
        <v>#REF!</v>
      </c>
      <c r="F29" s="881" t="e">
        <f t="shared" si="19"/>
        <v>#REF!</v>
      </c>
      <c r="G29" s="881" t="e">
        <f t="shared" si="19"/>
        <v>#REF!</v>
      </c>
      <c r="H29" s="881" t="e">
        <f t="shared" si="19"/>
        <v>#REF!</v>
      </c>
      <c r="I29" s="881" t="e">
        <f t="shared" si="19"/>
        <v>#REF!</v>
      </c>
      <c r="J29" s="1342" t="e">
        <f t="shared" si="20"/>
        <v>#REF!</v>
      </c>
      <c r="K29" s="1342" t="e">
        <f t="shared" si="21"/>
        <v>#REF!</v>
      </c>
      <c r="L29" s="881"/>
      <c r="M29" s="881"/>
      <c r="N29" s="881"/>
      <c r="O29" s="881"/>
      <c r="P29" s="1342" t="e">
        <f t="shared" si="22"/>
        <v>#REF!</v>
      </c>
      <c r="Q29" s="881"/>
      <c r="R29" s="881"/>
      <c r="S29" s="881"/>
      <c r="T29" s="881"/>
      <c r="U29" s="1342" t="e">
        <f t="shared" si="23"/>
        <v>#REF!</v>
      </c>
      <c r="V29" s="881" t="e">
        <f t="shared" si="24"/>
        <v>#REF!</v>
      </c>
      <c r="W29" s="881" t="e">
        <f t="shared" si="24"/>
        <v>#REF!</v>
      </c>
      <c r="X29" s="881" t="e">
        <f t="shared" si="24"/>
        <v>#REF!</v>
      </c>
      <c r="Y29" s="881" t="e">
        <f t="shared" si="24"/>
        <v>#REF!</v>
      </c>
    </row>
    <row r="30" spans="1:37" ht="15.6" customHeight="1" x14ac:dyDescent="0.25">
      <c r="A30" s="1338" t="s">
        <v>233</v>
      </c>
      <c r="B30" s="126" t="s">
        <v>87</v>
      </c>
      <c r="C30" s="130" t="s">
        <v>40</v>
      </c>
      <c r="D30" s="1343" t="e">
        <f t="shared" si="17"/>
        <v>#REF!</v>
      </c>
      <c r="E30" s="1342" t="e">
        <f t="shared" si="18"/>
        <v>#REF!</v>
      </c>
      <c r="F30" s="881" t="e">
        <f t="shared" si="19"/>
        <v>#REF!</v>
      </c>
      <c r="G30" s="881" t="e">
        <f t="shared" si="19"/>
        <v>#REF!</v>
      </c>
      <c r="H30" s="881" t="e">
        <f t="shared" si="19"/>
        <v>#REF!</v>
      </c>
      <c r="I30" s="881" t="e">
        <f t="shared" si="19"/>
        <v>#REF!</v>
      </c>
      <c r="J30" s="1342" t="e">
        <f t="shared" si="20"/>
        <v>#REF!</v>
      </c>
      <c r="K30" s="1342" t="e">
        <f t="shared" si="21"/>
        <v>#REF!</v>
      </c>
      <c r="L30" s="881"/>
      <c r="M30" s="881"/>
      <c r="N30" s="881"/>
      <c r="O30" s="881"/>
      <c r="P30" s="1342" t="e">
        <f t="shared" si="22"/>
        <v>#REF!</v>
      </c>
      <c r="Q30" s="881"/>
      <c r="R30" s="881"/>
      <c r="S30" s="881"/>
      <c r="T30" s="881"/>
      <c r="U30" s="1342" t="e">
        <f t="shared" si="23"/>
        <v>#REF!</v>
      </c>
      <c r="V30" s="881" t="e">
        <f t="shared" si="24"/>
        <v>#REF!</v>
      </c>
      <c r="W30" s="881" t="e">
        <f t="shared" si="24"/>
        <v>#REF!</v>
      </c>
      <c r="X30" s="881" t="e">
        <f t="shared" si="24"/>
        <v>#REF!</v>
      </c>
      <c r="Y30" s="881" t="e">
        <f t="shared" si="24"/>
        <v>#REF!</v>
      </c>
    </row>
  </sheetData>
  <mergeCells count="8">
    <mergeCell ref="A17:Y17"/>
    <mergeCell ref="A24:Y24"/>
    <mergeCell ref="A1:Y1"/>
    <mergeCell ref="D2:D3"/>
    <mergeCell ref="E2:I2"/>
    <mergeCell ref="J2:T2"/>
    <mergeCell ref="U2:Y2"/>
    <mergeCell ref="A10:Y10"/>
  </mergeCells>
  <pageMargins left="0.70866141732283472" right="0.70866141732283472" top="0.52" bottom="0.26" header="0.31496062992125984" footer="0.15"/>
  <pageSetup paperSize="9" orientation="landscape" horizontalDpi="0"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96"/>
  <sheetViews>
    <sheetView topLeftCell="A42" workbookViewId="0">
      <selection activeCell="E9" sqref="E9"/>
    </sheetView>
  </sheetViews>
  <sheetFormatPr defaultColWidth="8.85546875" defaultRowHeight="15" x14ac:dyDescent="0.25"/>
  <cols>
    <col min="1" max="1" width="8.85546875" style="18"/>
    <col min="2" max="2" width="33.7109375" style="18" customWidth="1"/>
    <col min="3" max="3" width="9.42578125" style="18" customWidth="1"/>
    <col min="4" max="4" width="11.140625" style="18" customWidth="1"/>
    <col min="5" max="5" width="14.7109375" style="18" customWidth="1"/>
    <col min="6" max="6" width="12.42578125" style="18" customWidth="1"/>
    <col min="7" max="8" width="10.42578125" style="18" customWidth="1"/>
    <col min="9" max="16384" width="8.85546875" style="18"/>
  </cols>
  <sheetData>
    <row r="1" spans="1:10" ht="15.6" customHeight="1" x14ac:dyDescent="0.25">
      <c r="A1" s="4507" t="s">
        <v>2386</v>
      </c>
      <c r="B1" s="4507"/>
      <c r="C1" s="4507"/>
      <c r="D1" s="4507"/>
      <c r="E1" s="4507"/>
      <c r="F1" s="4507"/>
    </row>
    <row r="2" spans="1:10" ht="16.5" thickBot="1" x14ac:dyDescent="0.3">
      <c r="E2" s="53"/>
      <c r="F2" s="1714" t="s">
        <v>996</v>
      </c>
    </row>
    <row r="3" spans="1:10" ht="14.45" customHeight="1" thickBot="1" x14ac:dyDescent="0.3">
      <c r="A3" s="4361" t="s">
        <v>2163</v>
      </c>
      <c r="B3" s="4508" t="s">
        <v>8</v>
      </c>
      <c r="C3" s="4367" t="s">
        <v>2164</v>
      </c>
      <c r="D3" s="4364" t="s">
        <v>2272</v>
      </c>
      <c r="E3" s="4495" t="s">
        <v>2405</v>
      </c>
      <c r="F3" s="4496"/>
      <c r="G3" s="4495" t="s">
        <v>2406</v>
      </c>
      <c r="H3" s="4496"/>
    </row>
    <row r="4" spans="1:10" ht="14.45" customHeight="1" x14ac:dyDescent="0.25">
      <c r="A4" s="4362"/>
      <c r="B4" s="4509"/>
      <c r="C4" s="4368"/>
      <c r="D4" s="4365"/>
      <c r="E4" s="4376" t="s">
        <v>771</v>
      </c>
      <c r="F4" s="4492" t="s">
        <v>2387</v>
      </c>
      <c r="G4" s="4376" t="s">
        <v>771</v>
      </c>
      <c r="H4" s="4492" t="s">
        <v>2387</v>
      </c>
    </row>
    <row r="5" spans="1:10" ht="14.45" customHeight="1" x14ac:dyDescent="0.25">
      <c r="A5" s="4362"/>
      <c r="B5" s="4509"/>
      <c r="C5" s="4368"/>
      <c r="D5" s="4365"/>
      <c r="E5" s="4377"/>
      <c r="F5" s="4493"/>
      <c r="G5" s="4377"/>
      <c r="H5" s="4493"/>
    </row>
    <row r="6" spans="1:10" ht="15" customHeight="1" thickBot="1" x14ac:dyDescent="0.3">
      <c r="A6" s="4363"/>
      <c r="B6" s="4510"/>
      <c r="C6" s="4369"/>
      <c r="D6" s="4366"/>
      <c r="E6" s="4377"/>
      <c r="F6" s="4494"/>
      <c r="G6" s="4377"/>
      <c r="H6" s="4494"/>
    </row>
    <row r="7" spans="1:10" s="1734" customFormat="1" x14ac:dyDescent="0.25">
      <c r="A7" s="1732">
        <v>1</v>
      </c>
      <c r="B7" s="1733">
        <f>A7+1</f>
        <v>2</v>
      </c>
      <c r="C7" s="1733">
        <f t="shared" ref="C7:H7" si="0">B7+1</f>
        <v>3</v>
      </c>
      <c r="D7" s="1733">
        <f t="shared" si="0"/>
        <v>4</v>
      </c>
      <c r="E7" s="1733">
        <f t="shared" si="0"/>
        <v>5</v>
      </c>
      <c r="F7" s="1733">
        <f t="shared" si="0"/>
        <v>6</v>
      </c>
      <c r="G7" s="1733">
        <f t="shared" si="0"/>
        <v>7</v>
      </c>
      <c r="H7" s="1733">
        <f t="shared" si="0"/>
        <v>8</v>
      </c>
    </row>
    <row r="8" spans="1:10" ht="31.5" x14ac:dyDescent="0.25">
      <c r="A8" s="1217">
        <v>1</v>
      </c>
      <c r="B8" s="1728" t="s">
        <v>2169</v>
      </c>
      <c r="C8" s="1715" t="s">
        <v>2170</v>
      </c>
      <c r="D8" s="1715"/>
      <c r="E8" s="1716">
        <f>E9+E10+E11+E15</f>
        <v>3596.7974592659284</v>
      </c>
      <c r="F8" s="1716">
        <f>F9+F10+F11+F15</f>
        <v>15.89843110409452</v>
      </c>
      <c r="G8" s="1716" t="e">
        <f>G9+G10+G11+G15</f>
        <v>#REF!</v>
      </c>
      <c r="H8" s="20"/>
    </row>
    <row r="9" spans="1:10" ht="15.75" x14ac:dyDescent="0.25">
      <c r="A9" s="1217" t="s">
        <v>23</v>
      </c>
      <c r="B9" s="1728" t="s">
        <v>103</v>
      </c>
      <c r="C9" s="1715" t="s">
        <v>40</v>
      </c>
      <c r="D9" s="1715"/>
      <c r="E9" s="1717">
        <f>[49]Прямі!G15/1000</f>
        <v>78.303202929999998</v>
      </c>
      <c r="F9" s="1717">
        <f>E9/$E$33/12*1000</f>
        <v>0.34611292159514845</v>
      </c>
      <c r="G9" s="1717">
        <f>G50</f>
        <v>89.345619999999997</v>
      </c>
      <c r="H9" s="20"/>
    </row>
    <row r="10" spans="1:10" ht="15.75" x14ac:dyDescent="0.25">
      <c r="A10" s="1217" t="s">
        <v>24</v>
      </c>
      <c r="B10" s="1728" t="s">
        <v>47</v>
      </c>
      <c r="C10" s="1715" t="s">
        <v>40</v>
      </c>
      <c r="D10" s="1715"/>
      <c r="E10" s="1717">
        <f>[49]Прямі!G16/1000</f>
        <v>1860.4795978000002</v>
      </c>
      <c r="F10" s="1717">
        <f>E10/$E$33/12*1000</f>
        <v>8.2236231094962786</v>
      </c>
      <c r="G10" s="1717">
        <f>ФОП!H29/1000</f>
        <v>0</v>
      </c>
      <c r="H10" s="20"/>
    </row>
    <row r="11" spans="1:10" ht="15.75" x14ac:dyDescent="0.25">
      <c r="A11" s="1217" t="s">
        <v>48</v>
      </c>
      <c r="B11" s="1728" t="s">
        <v>2174</v>
      </c>
      <c r="C11" s="1715" t="s">
        <v>40</v>
      </c>
      <c r="D11" s="1715"/>
      <c r="E11" s="1716">
        <f>SUM(E12:E14)</f>
        <v>1265.514658535928</v>
      </c>
      <c r="F11" s="1716">
        <f>SUM(F12:F14)</f>
        <v>5.5937810893753772</v>
      </c>
      <c r="G11" s="1716">
        <f>SUM(G12:G14)</f>
        <v>72.108154900000002</v>
      </c>
      <c r="H11" s="20"/>
    </row>
    <row r="12" spans="1:10" ht="15.75" x14ac:dyDescent="0.25">
      <c r="A12" s="1221" t="s">
        <v>49</v>
      </c>
      <c r="B12" s="1729" t="s">
        <v>2175</v>
      </c>
      <c r="C12" s="1718" t="s">
        <v>40</v>
      </c>
      <c r="D12" s="1718"/>
      <c r="E12" s="1717">
        <f>[49]Прямі!G19/1000</f>
        <v>401.08775403099997</v>
      </c>
      <c r="F12" s="1717">
        <f>E12/$E$33/12*1000</f>
        <v>1.772873256382715</v>
      </c>
      <c r="G12" s="1717">
        <f>ФОП!H31/1000</f>
        <v>0</v>
      </c>
      <c r="H12" s="20"/>
      <c r="J12" s="18">
        <f>G10*22%</f>
        <v>0</v>
      </c>
    </row>
    <row r="13" spans="1:10" ht="15.75" x14ac:dyDescent="0.25">
      <c r="A13" s="1221" t="s">
        <v>50</v>
      </c>
      <c r="B13" s="1729" t="s">
        <v>2176</v>
      </c>
      <c r="C13" s="1718" t="s">
        <v>40</v>
      </c>
      <c r="D13" s="1718"/>
      <c r="E13" s="1717">
        <f>[49]Прямі!G25/1000</f>
        <v>12.589230000000002</v>
      </c>
      <c r="F13" s="1717">
        <f>E13/$E$33/12*1000</f>
        <v>5.5646448841033265E-2</v>
      </c>
      <c r="G13" s="1717">
        <f>G65+G66</f>
        <v>0</v>
      </c>
      <c r="H13" s="20"/>
    </row>
    <row r="14" spans="1:10" ht="15.75" x14ac:dyDescent="0.25">
      <c r="A14" s="1221" t="s">
        <v>51</v>
      </c>
      <c r="B14" s="1729" t="s">
        <v>2388</v>
      </c>
      <c r="C14" s="1718" t="s">
        <v>40</v>
      </c>
      <c r="D14" s="1718"/>
      <c r="E14" s="1717">
        <f>[49]Прямі!G67/1000</f>
        <v>851.83767450492792</v>
      </c>
      <c r="F14" s="1717">
        <f>E14/$E$33/12*1000</f>
        <v>3.7652613841516289</v>
      </c>
      <c r="G14" s="1717">
        <f>G63-G65-G66</f>
        <v>72.108154900000002</v>
      </c>
      <c r="H14" s="20"/>
    </row>
    <row r="15" spans="1:10" ht="31.5" x14ac:dyDescent="0.25">
      <c r="A15" s="1217" t="s">
        <v>53</v>
      </c>
      <c r="B15" s="1728" t="s">
        <v>2177</v>
      </c>
      <c r="C15" s="1715" t="s">
        <v>40</v>
      </c>
      <c r="D15" s="1715"/>
      <c r="E15" s="1716">
        <f>SUM(E16:E18)</f>
        <v>392.5</v>
      </c>
      <c r="F15" s="1716">
        <f>SUM(F16:F18)</f>
        <v>1.7349139836277161</v>
      </c>
      <c r="G15" s="1716" t="e">
        <f>SUM(G16:G18)</f>
        <v>#REF!</v>
      </c>
      <c r="H15" s="20"/>
    </row>
    <row r="16" spans="1:10" ht="15.75" x14ac:dyDescent="0.25">
      <c r="A16" s="1221" t="s">
        <v>54</v>
      </c>
      <c r="B16" s="1729" t="s">
        <v>55</v>
      </c>
      <c r="C16" s="1718" t="s">
        <v>40</v>
      </c>
      <c r="D16" s="1718"/>
      <c r="E16" s="1717">
        <v>319.58999999999997</v>
      </c>
      <c r="F16" s="1717">
        <f>E16/$E$33/12*1000</f>
        <v>1.4126398981594439</v>
      </c>
      <c r="G16" s="1717" t="e">
        <f>#REF!</f>
        <v>#REF!</v>
      </c>
      <c r="H16" s="20"/>
    </row>
    <row r="17" spans="1:8" ht="15.75" x14ac:dyDescent="0.25">
      <c r="A17" s="1221" t="s">
        <v>56</v>
      </c>
      <c r="B17" s="1729" t="s">
        <v>2175</v>
      </c>
      <c r="C17" s="1718" t="s">
        <v>40</v>
      </c>
      <c r="D17" s="1718"/>
      <c r="E17" s="1717">
        <v>67.94</v>
      </c>
      <c r="F17" s="1717">
        <f>E17/$E$33/12*1000</f>
        <v>0.30030587528068037</v>
      </c>
      <c r="G17" s="1717" t="e">
        <f>#REF!</f>
        <v>#REF!</v>
      </c>
      <c r="H17" s="20"/>
    </row>
    <row r="18" spans="1:8" ht="15.75" x14ac:dyDescent="0.25">
      <c r="A18" s="1221" t="s">
        <v>57</v>
      </c>
      <c r="B18" s="1729" t="s">
        <v>58</v>
      </c>
      <c r="C18" s="1718" t="s">
        <v>40</v>
      </c>
      <c r="D18" s="1718"/>
      <c r="E18" s="1717">
        <v>4.97</v>
      </c>
      <c r="F18" s="1717">
        <f>E18/$E$33/12*1000</f>
        <v>2.1968210187591718E-2</v>
      </c>
      <c r="G18" s="1717" t="e">
        <f>#REF!-#REF!</f>
        <v>#REF!</v>
      </c>
      <c r="H18" s="20"/>
    </row>
    <row r="19" spans="1:8" ht="18.600000000000001" customHeight="1" x14ac:dyDescent="0.25">
      <c r="A19" s="1217">
        <v>2</v>
      </c>
      <c r="B19" s="1728" t="s">
        <v>2178</v>
      </c>
      <c r="C19" s="1715" t="s">
        <v>40</v>
      </c>
      <c r="D19" s="1715"/>
      <c r="E19" s="1716">
        <f>E20+E21+E22</f>
        <v>532.71</v>
      </c>
      <c r="F19" s="1716">
        <f>F20+F21+F22</f>
        <v>2.3546650400466769</v>
      </c>
      <c r="G19" s="1716">
        <f>G20+G21+G22</f>
        <v>0</v>
      </c>
      <c r="H19" s="20"/>
    </row>
    <row r="20" spans="1:8" ht="15.75" x14ac:dyDescent="0.25">
      <c r="A20" s="1221" t="s">
        <v>25</v>
      </c>
      <c r="B20" s="1729" t="s">
        <v>55</v>
      </c>
      <c r="C20" s="1718" t="s">
        <v>40</v>
      </c>
      <c r="D20" s="1718"/>
      <c r="E20" s="1717">
        <v>387.09</v>
      </c>
      <c r="F20" s="1717">
        <f>E20/$E$33/12*1000</f>
        <v>1.711000901713255</v>
      </c>
      <c r="G20" s="1717"/>
      <c r="H20" s="20"/>
    </row>
    <row r="21" spans="1:8" ht="15.75" x14ac:dyDescent="0.25">
      <c r="A21" s="1221" t="s">
        <v>26</v>
      </c>
      <c r="B21" s="1729" t="s">
        <v>2175</v>
      </c>
      <c r="C21" s="1718" t="s">
        <v>40</v>
      </c>
      <c r="D21" s="1718"/>
      <c r="E21" s="1717">
        <v>85.16</v>
      </c>
      <c r="F21" s="1717">
        <f>E21/$E$33/12*1000</f>
        <v>0.37642108240951921</v>
      </c>
      <c r="G21" s="1717"/>
      <c r="H21" s="20"/>
    </row>
    <row r="22" spans="1:8" ht="15.75" x14ac:dyDescent="0.25">
      <c r="A22" s="1221" t="s">
        <v>59</v>
      </c>
      <c r="B22" s="1729" t="s">
        <v>58</v>
      </c>
      <c r="C22" s="1718" t="s">
        <v>40</v>
      </c>
      <c r="D22" s="1718"/>
      <c r="E22" s="1717">
        <v>60.46</v>
      </c>
      <c r="F22" s="1717">
        <f>E22/$E$33/12*1000</f>
        <v>0.26724305592390246</v>
      </c>
      <c r="G22" s="1717"/>
      <c r="H22" s="20"/>
    </row>
    <row r="23" spans="1:8" ht="15.75" x14ac:dyDescent="0.25">
      <c r="A23" s="1221" t="s">
        <v>181</v>
      </c>
      <c r="B23" s="1729" t="s">
        <v>2389</v>
      </c>
      <c r="C23" s="1718" t="s">
        <v>40</v>
      </c>
      <c r="D23" s="1718"/>
      <c r="E23" s="1717"/>
      <c r="F23" s="1717"/>
      <c r="G23" s="1717"/>
      <c r="H23" s="20"/>
    </row>
    <row r="24" spans="1:8" ht="15.75" x14ac:dyDescent="0.25">
      <c r="A24" s="1221" t="s">
        <v>182</v>
      </c>
      <c r="B24" s="1729" t="s">
        <v>5</v>
      </c>
      <c r="C24" s="1718" t="s">
        <v>40</v>
      </c>
      <c r="D24" s="1718"/>
      <c r="E24" s="1717">
        <v>9.35</v>
      </c>
      <c r="F24" s="1717">
        <f t="shared" ref="F24" si="1">E24/$E$33/12*1000</f>
        <v>4.1328524195972341E-2</v>
      </c>
      <c r="G24" s="1717"/>
      <c r="H24" s="20"/>
    </row>
    <row r="25" spans="1:8" ht="15.75" x14ac:dyDescent="0.25">
      <c r="A25" s="1217" t="s">
        <v>177</v>
      </c>
      <c r="B25" s="1728" t="s">
        <v>2390</v>
      </c>
      <c r="C25" s="1715" t="s">
        <v>40</v>
      </c>
      <c r="D25" s="1715"/>
      <c r="E25" s="1716">
        <f>E8+E19+E23+E24</f>
        <v>4138.8574592659288</v>
      </c>
      <c r="F25" s="1716">
        <f>F8+F19+F23+F24</f>
        <v>18.294424668337168</v>
      </c>
      <c r="G25" s="1716" t="e">
        <f>G8+G19+G23+G24</f>
        <v>#REF!</v>
      </c>
      <c r="H25" s="20"/>
    </row>
    <row r="26" spans="1:8" ht="31.5" x14ac:dyDescent="0.25">
      <c r="A26" s="1217" t="s">
        <v>178</v>
      </c>
      <c r="B26" s="1728" t="s">
        <v>2391</v>
      </c>
      <c r="C26" s="1715" t="s">
        <v>40</v>
      </c>
      <c r="D26" s="1715"/>
      <c r="E26" s="1716">
        <f>E27+E28+E29+E30+E31</f>
        <v>118.76205048108835</v>
      </c>
      <c r="F26" s="1716">
        <f>F27+F28+F29+F30+F31</f>
        <v>0.52494762319475385</v>
      </c>
      <c r="G26" s="1716" t="e">
        <f>G27+G28+G29+G30+G31</f>
        <v>#REF!</v>
      </c>
      <c r="H26" s="20"/>
    </row>
    <row r="27" spans="1:8" ht="15.75" x14ac:dyDescent="0.25">
      <c r="A27" s="1221" t="s">
        <v>32</v>
      </c>
      <c r="B27" s="1729" t="s">
        <v>65</v>
      </c>
      <c r="C27" s="1718" t="s">
        <v>40</v>
      </c>
      <c r="D27" s="1718"/>
      <c r="E27" s="1717">
        <f>(E31+E30+E29+E28)/82*18</f>
        <v>21.377169086595902</v>
      </c>
      <c r="F27" s="1717">
        <f>E27/$E$33/12*1000</f>
        <v>9.4490572175055687E-2</v>
      </c>
      <c r="G27" s="1717" t="e">
        <f>(G31+G30+G29+G28)/82*18</f>
        <v>#REF!</v>
      </c>
      <c r="H27" s="20"/>
    </row>
    <row r="28" spans="1:8" ht="15.75" x14ac:dyDescent="0.25">
      <c r="A28" s="1221" t="s">
        <v>33</v>
      </c>
      <c r="B28" s="1729" t="s">
        <v>85</v>
      </c>
      <c r="C28" s="1718" t="s">
        <v>40</v>
      </c>
      <c r="D28" s="1718"/>
      <c r="E28" s="1717">
        <f>(E31+E30+E29)/85*15</f>
        <v>14.607732209173866</v>
      </c>
      <c r="F28" s="1717">
        <f t="shared" ref="F28:F31" si="2">E28/$E$33/12*1000</f>
        <v>6.4568557652954731E-2</v>
      </c>
      <c r="G28" s="1717" t="e">
        <f>(G31+G30+G29)/85*15</f>
        <v>#REF!</v>
      </c>
      <c r="H28" s="20"/>
    </row>
    <row r="29" spans="1:8" ht="15.75" x14ac:dyDescent="0.25">
      <c r="A29" s="1221" t="s">
        <v>34</v>
      </c>
      <c r="B29" s="1729" t="s">
        <v>86</v>
      </c>
      <c r="C29" s="1718" t="s">
        <v>40</v>
      </c>
      <c r="D29" s="1718"/>
      <c r="E29" s="1717">
        <v>0</v>
      </c>
      <c r="F29" s="1717">
        <f t="shared" si="2"/>
        <v>0</v>
      </c>
      <c r="G29" s="1717">
        <v>0</v>
      </c>
      <c r="H29" s="20"/>
    </row>
    <row r="30" spans="1:8" ht="31.5" x14ac:dyDescent="0.25">
      <c r="A30" s="1221" t="s">
        <v>2392</v>
      </c>
      <c r="B30" s="1729" t="s">
        <v>71</v>
      </c>
      <c r="C30" s="1718" t="s">
        <v>40</v>
      </c>
      <c r="D30" s="1718"/>
      <c r="E30" s="1717">
        <f>E25*2%</f>
        <v>82.777149185318578</v>
      </c>
      <c r="F30" s="1717">
        <f t="shared" si="2"/>
        <v>0.36588849336674351</v>
      </c>
      <c r="G30" s="1717" t="e">
        <f>G25*2%</f>
        <v>#REF!</v>
      </c>
      <c r="H30" s="20"/>
    </row>
    <row r="31" spans="1:8" ht="15.75" x14ac:dyDescent="0.25">
      <c r="A31" s="1221" t="s">
        <v>2393</v>
      </c>
      <c r="B31" s="1729" t="s">
        <v>2394</v>
      </c>
      <c r="C31" s="1718" t="s">
        <v>40</v>
      </c>
      <c r="D31" s="1718"/>
      <c r="E31" s="1717">
        <v>0</v>
      </c>
      <c r="F31" s="1717">
        <f t="shared" si="2"/>
        <v>0</v>
      </c>
      <c r="G31" s="1717">
        <v>0</v>
      </c>
      <c r="H31" s="20"/>
    </row>
    <row r="32" spans="1:8" ht="31.5" x14ac:dyDescent="0.25">
      <c r="A32" s="1719" t="s">
        <v>179</v>
      </c>
      <c r="B32" s="1728" t="s">
        <v>2183</v>
      </c>
      <c r="C32" s="1219" t="s">
        <v>40</v>
      </c>
      <c r="D32" s="1219"/>
      <c r="E32" s="1716">
        <f>E25+E26</f>
        <v>4257.6195097470172</v>
      </c>
      <c r="F32" s="1716">
        <f>F25+F26</f>
        <v>18.819372291531923</v>
      </c>
      <c r="G32" s="1716" t="e">
        <f>G25+G26</f>
        <v>#REF!</v>
      </c>
      <c r="H32" s="20"/>
    </row>
    <row r="33" spans="1:8" ht="15.75" x14ac:dyDescent="0.25">
      <c r="A33" s="1720" t="s">
        <v>180</v>
      </c>
      <c r="B33" s="1729" t="s">
        <v>2395</v>
      </c>
      <c r="C33" s="1223" t="s">
        <v>895</v>
      </c>
      <c r="D33" s="1223"/>
      <c r="E33" s="1721">
        <v>18853</v>
      </c>
      <c r="F33" s="1481">
        <v>1</v>
      </c>
      <c r="G33" s="1731">
        <v>18853</v>
      </c>
      <c r="H33" s="20">
        <v>1</v>
      </c>
    </row>
    <row r="34" spans="1:8" ht="31.5" x14ac:dyDescent="0.25">
      <c r="A34" s="1217" t="s">
        <v>195</v>
      </c>
      <c r="B34" s="1728" t="s">
        <v>2396</v>
      </c>
      <c r="C34" s="1722" t="s">
        <v>2397</v>
      </c>
      <c r="D34" s="1722"/>
      <c r="E34" s="1717">
        <f>ROUND(E32/E33*1000/12,2)</f>
        <v>18.82</v>
      </c>
      <c r="F34" s="1481"/>
      <c r="G34" s="1717" t="e">
        <f>ROUND(G32/G33*1000/12,2)</f>
        <v>#REF!</v>
      </c>
      <c r="H34" s="20"/>
    </row>
    <row r="35" spans="1:8" ht="31.5" x14ac:dyDescent="0.25">
      <c r="A35" s="1217" t="s">
        <v>196</v>
      </c>
      <c r="B35" s="1728" t="s">
        <v>2398</v>
      </c>
      <c r="C35" s="1219" t="s">
        <v>2397</v>
      </c>
      <c r="D35" s="1219"/>
      <c r="E35" s="1723">
        <f>E34+H34</f>
        <v>18.82</v>
      </c>
      <c r="F35" s="1481"/>
      <c r="G35" s="1723" t="e">
        <f>G34+J34</f>
        <v>#REF!</v>
      </c>
      <c r="H35" s="20"/>
    </row>
    <row r="36" spans="1:8" ht="15.75" x14ac:dyDescent="0.25">
      <c r="A36" s="1217"/>
      <c r="B36" s="1730" t="s">
        <v>2399</v>
      </c>
      <c r="C36" s="1219"/>
      <c r="D36" s="1219"/>
      <c r="E36" s="1723"/>
      <c r="F36" s="1481"/>
      <c r="G36" s="1723"/>
      <c r="H36" s="20"/>
    </row>
    <row r="37" spans="1:8" ht="47.25" x14ac:dyDescent="0.25">
      <c r="A37" s="1724" t="s">
        <v>197</v>
      </c>
      <c r="B37" s="1728" t="s">
        <v>2400</v>
      </c>
      <c r="C37" s="1725" t="s">
        <v>2401</v>
      </c>
      <c r="D37" s="1725"/>
      <c r="E37" s="1716">
        <f>ROUND('[49]Гран розмір'!E4,2)</f>
        <v>31.15</v>
      </c>
      <c r="F37" s="1481"/>
      <c r="G37" s="1716">
        <f>ROUND('[49]Гран розмір'!G4,2)</f>
        <v>0</v>
      </c>
      <c r="H37" s="20"/>
    </row>
    <row r="38" spans="1:8" ht="15.6" customHeight="1" x14ac:dyDescent="0.25">
      <c r="A38" s="1726" t="s">
        <v>2402</v>
      </c>
      <c r="B38" s="4497" t="str">
        <f>CONCATENATE("у тому числі плата банкам за приймання платежів в сумі ",I38,J38," або ",I39," грн. з ПДВ на одного абонента в місяць")</f>
        <v>у тому числі плата банкам за приймання платежів в сумі  або  грн. з ПДВ на одного абонента в місяць</v>
      </c>
      <c r="C38" s="4498"/>
      <c r="D38" s="4498"/>
      <c r="E38" s="4498"/>
      <c r="F38" s="4498"/>
    </row>
    <row r="39" spans="1:8" ht="15.75" x14ac:dyDescent="0.25">
      <c r="B39" s="1727" t="s">
        <v>604</v>
      </c>
      <c r="C39" s="27"/>
      <c r="E39" s="4499" t="s">
        <v>2403</v>
      </c>
      <c r="F39" s="4499"/>
    </row>
    <row r="40" spans="1:8" ht="15.75" x14ac:dyDescent="0.25">
      <c r="E40" s="53"/>
      <c r="F40" s="53"/>
    </row>
    <row r="41" spans="1:8" ht="31.5" x14ac:dyDescent="0.25">
      <c r="A41" s="1727"/>
      <c r="B41" s="1727" t="s">
        <v>933</v>
      </c>
      <c r="C41" s="27"/>
      <c r="E41" s="4368" t="s">
        <v>2404</v>
      </c>
      <c r="F41" s="4368"/>
    </row>
    <row r="42" spans="1:8" ht="15.75" x14ac:dyDescent="0.25">
      <c r="E42" s="53"/>
      <c r="F42" s="53"/>
    </row>
    <row r="45" spans="1:8" s="1735" customFormat="1" ht="14.25" x14ac:dyDescent="0.2">
      <c r="B45" s="1735" t="s">
        <v>2407</v>
      </c>
    </row>
    <row r="46" spans="1:8" ht="15.75" x14ac:dyDescent="0.25">
      <c r="B46" s="4500" t="s">
        <v>8</v>
      </c>
      <c r="C46" s="4504" t="s">
        <v>2164</v>
      </c>
      <c r="D46" s="1756" t="s">
        <v>963</v>
      </c>
      <c r="E46" s="4501" t="s">
        <v>2414</v>
      </c>
      <c r="F46" s="4502"/>
      <c r="G46" s="4502" t="s">
        <v>2415</v>
      </c>
      <c r="H46" s="4502"/>
    </row>
    <row r="47" spans="1:8" ht="15.75" x14ac:dyDescent="0.25">
      <c r="B47" s="4500"/>
      <c r="C47" s="4505"/>
      <c r="D47" s="1757">
        <f>'Вхідні дані'!$F$7</f>
        <v>2022</v>
      </c>
      <c r="E47" s="4503" t="s">
        <v>771</v>
      </c>
      <c r="F47" s="4503" t="s">
        <v>2416</v>
      </c>
      <c r="G47" s="4503" t="s">
        <v>771</v>
      </c>
      <c r="H47" s="4503" t="s">
        <v>2416</v>
      </c>
    </row>
    <row r="48" spans="1:8" ht="31.5" x14ac:dyDescent="0.25">
      <c r="B48" s="4500"/>
      <c r="C48" s="4506"/>
      <c r="D48" s="1736" t="s">
        <v>2413</v>
      </c>
      <c r="E48" s="4503"/>
      <c r="F48" s="4503"/>
      <c r="G48" s="4503"/>
      <c r="H48" s="4503"/>
    </row>
    <row r="49" spans="2:11" ht="31.5" x14ac:dyDescent="0.25">
      <c r="B49" s="1737" t="s">
        <v>1597</v>
      </c>
      <c r="C49" s="1737"/>
      <c r="D49" s="1738">
        <f t="shared" ref="D49:H49" si="3">D50+D61+D63</f>
        <v>2573.6999999999998</v>
      </c>
      <c r="E49" s="1738">
        <f t="shared" si="3"/>
        <v>0</v>
      </c>
      <c r="F49" s="1738">
        <f t="shared" si="3"/>
        <v>0</v>
      </c>
      <c r="G49" s="1738">
        <f t="shared" si="3"/>
        <v>161.45377489999998</v>
      </c>
      <c r="H49" s="1738">
        <f t="shared" si="3"/>
        <v>0</v>
      </c>
    </row>
    <row r="50" spans="2:11" ht="31.5" x14ac:dyDescent="0.25">
      <c r="B50" s="1739" t="s">
        <v>1596</v>
      </c>
      <c r="C50" s="1739"/>
      <c r="D50" s="1740">
        <f>SUM(D51:D60)</f>
        <v>85.43</v>
      </c>
      <c r="E50" s="1740">
        <f t="shared" ref="E50:H50" si="4">SUM(E51:E60)</f>
        <v>0</v>
      </c>
      <c r="F50" s="1740">
        <f t="shared" si="4"/>
        <v>0</v>
      </c>
      <c r="G50" s="1740">
        <f t="shared" si="4"/>
        <v>89.345619999999997</v>
      </c>
      <c r="H50" s="1740">
        <f t="shared" si="4"/>
        <v>0</v>
      </c>
    </row>
    <row r="51" spans="2:11" ht="15.75" x14ac:dyDescent="0.25">
      <c r="B51" s="1741" t="s">
        <v>965</v>
      </c>
      <c r="C51" s="1741"/>
      <c r="D51" s="1742">
        <v>0</v>
      </c>
      <c r="E51" s="878"/>
      <c r="F51" s="878"/>
      <c r="G51" s="878"/>
      <c r="H51" s="878"/>
    </row>
    <row r="52" spans="2:11" ht="15.75" x14ac:dyDescent="0.25">
      <c r="B52" s="1741" t="s">
        <v>966</v>
      </c>
      <c r="C52" s="1741"/>
      <c r="D52" s="1742">
        <v>0</v>
      </c>
      <c r="E52" s="878"/>
      <c r="F52" s="878"/>
      <c r="G52" s="878"/>
      <c r="H52" s="878"/>
    </row>
    <row r="53" spans="2:11" ht="15.75" x14ac:dyDescent="0.25">
      <c r="B53" s="1741" t="s">
        <v>967</v>
      </c>
      <c r="C53" s="1741"/>
      <c r="D53" s="1742">
        <v>9.81</v>
      </c>
      <c r="E53" s="878"/>
      <c r="F53" s="878"/>
      <c r="G53" s="1755">
        <f>D53*'Вхідні дані'!$D$77</f>
        <v>10.36917</v>
      </c>
      <c r="H53" s="878"/>
      <c r="I53" s="458" t="s">
        <v>1613</v>
      </c>
    </row>
    <row r="54" spans="2:11" ht="31.5" x14ac:dyDescent="0.25">
      <c r="B54" s="1741" t="s">
        <v>1514</v>
      </c>
      <c r="C54" s="1741"/>
      <c r="D54" s="1742">
        <v>0.21</v>
      </c>
      <c r="E54" s="878"/>
      <c r="F54" s="878"/>
      <c r="G54" s="1755">
        <f>D54*'Вхідні дані'!$D$77</f>
        <v>0.22196999999999997</v>
      </c>
      <c r="H54" s="878"/>
      <c r="I54" s="458" t="s">
        <v>1613</v>
      </c>
    </row>
    <row r="55" spans="2:11" ht="15.75" x14ac:dyDescent="0.25">
      <c r="B55" s="1741" t="s">
        <v>946</v>
      </c>
      <c r="C55" s="1741"/>
      <c r="D55" s="1742">
        <v>0</v>
      </c>
      <c r="E55" s="878"/>
      <c r="F55" s="878"/>
      <c r="G55" s="1755">
        <f>D55*'Вхідні дані'!$D$77</f>
        <v>0</v>
      </c>
      <c r="H55" s="878"/>
      <c r="I55" s="458" t="s">
        <v>1613</v>
      </c>
    </row>
    <row r="56" spans="2:11" ht="15.75" x14ac:dyDescent="0.25">
      <c r="B56" s="1741" t="s">
        <v>968</v>
      </c>
      <c r="C56" s="1741"/>
      <c r="D56" s="1742">
        <v>17.93</v>
      </c>
      <c r="E56" s="878"/>
      <c r="F56" s="878"/>
      <c r="G56" s="1755">
        <f>D56*'Вхідні дані'!$D$77</f>
        <v>18.952009999999998</v>
      </c>
      <c r="H56" s="878"/>
      <c r="I56" s="458" t="s">
        <v>1613</v>
      </c>
    </row>
    <row r="57" spans="2:11" ht="15.75" x14ac:dyDescent="0.25">
      <c r="B57" s="1741" t="s">
        <v>969</v>
      </c>
      <c r="C57" s="1741"/>
      <c r="D57" s="1742">
        <v>12.39</v>
      </c>
      <c r="E57" s="878"/>
      <c r="F57" s="878"/>
      <c r="G57" s="1755">
        <f>D57*'Вхідні дані'!$D$77</f>
        <v>13.09623</v>
      </c>
      <c r="H57" s="878"/>
      <c r="I57" s="458" t="s">
        <v>1613</v>
      </c>
    </row>
    <row r="58" spans="2:11" ht="15.75" x14ac:dyDescent="0.25">
      <c r="B58" s="1741" t="s">
        <v>970</v>
      </c>
      <c r="C58" s="1741"/>
      <c r="D58" s="1742">
        <v>40.92</v>
      </c>
      <c r="E58" s="878"/>
      <c r="F58" s="878"/>
      <c r="G58" s="1755">
        <f>D58*'Вхідні дані'!$D$77</f>
        <v>43.25244</v>
      </c>
      <c r="H58" s="878"/>
      <c r="I58" s="458" t="s">
        <v>1613</v>
      </c>
    </row>
    <row r="59" spans="2:11" ht="15.75" x14ac:dyDescent="0.25">
      <c r="B59" s="1741" t="s">
        <v>971</v>
      </c>
      <c r="C59" s="1741"/>
      <c r="D59" s="1742">
        <v>3.91</v>
      </c>
      <c r="E59" s="878"/>
      <c r="F59" s="878"/>
      <c r="G59" s="1755">
        <f>ОП!J124/1000</f>
        <v>3.4538000000000002</v>
      </c>
      <c r="H59" s="878"/>
      <c r="I59" s="18" t="s">
        <v>2417</v>
      </c>
      <c r="K59" s="18" t="s">
        <v>2418</v>
      </c>
    </row>
    <row r="60" spans="2:11" ht="15.75" x14ac:dyDescent="0.25">
      <c r="B60" s="1741" t="s">
        <v>972</v>
      </c>
      <c r="C60" s="1741"/>
      <c r="D60" s="1742">
        <v>0.26</v>
      </c>
      <c r="E60" s="878"/>
      <c r="F60" s="878"/>
      <c r="G60" s="1755">
        <f>СПЕЦХАРЧ!J33</f>
        <v>0</v>
      </c>
      <c r="H60" s="878"/>
      <c r="I60" s="18" t="s">
        <v>2417</v>
      </c>
      <c r="K60" s="18" t="s">
        <v>2419</v>
      </c>
    </row>
    <row r="61" spans="2:11" s="1751" customFormat="1" ht="31.5" x14ac:dyDescent="0.25">
      <c r="B61" s="1750" t="s">
        <v>1598</v>
      </c>
      <c r="C61" s="1750"/>
      <c r="D61" s="1752">
        <v>1632.93</v>
      </c>
      <c r="E61" s="1753"/>
      <c r="F61" s="1753"/>
      <c r="G61" s="1754">
        <f>ФОП!H29/1000</f>
        <v>0</v>
      </c>
      <c r="H61" s="1753"/>
    </row>
    <row r="62" spans="2:11" ht="15.75" x14ac:dyDescent="0.25">
      <c r="B62" s="1744" t="s">
        <v>948</v>
      </c>
      <c r="C62" s="1744"/>
      <c r="D62" s="1745"/>
      <c r="E62" s="878"/>
      <c r="F62" s="878"/>
      <c r="G62" s="878"/>
      <c r="H62" s="878"/>
    </row>
    <row r="63" spans="2:11" ht="15.75" x14ac:dyDescent="0.25">
      <c r="B63" s="1743" t="s">
        <v>1599</v>
      </c>
      <c r="C63" s="1743"/>
      <c r="D63" s="1738">
        <f>SUM(D64:D96)</f>
        <v>855.33999999999992</v>
      </c>
      <c r="E63" s="1738">
        <f t="shared" ref="E63:H63" si="5">SUM(E64:E96)</f>
        <v>0</v>
      </c>
      <c r="F63" s="1738">
        <f t="shared" si="5"/>
        <v>0</v>
      </c>
      <c r="G63" s="1738">
        <f t="shared" si="5"/>
        <v>72.108154900000002</v>
      </c>
      <c r="H63" s="1738">
        <f t="shared" si="5"/>
        <v>0</v>
      </c>
    </row>
    <row r="64" spans="2:11" ht="47.25" x14ac:dyDescent="0.25">
      <c r="B64" s="1741" t="s">
        <v>542</v>
      </c>
      <c r="C64" s="1741"/>
      <c r="D64" s="1745">
        <v>331.64</v>
      </c>
      <c r="E64" s="878"/>
      <c r="F64" s="878"/>
      <c r="G64" s="1755">
        <f>ФОП!H31/1000</f>
        <v>0</v>
      </c>
      <c r="H64" s="878"/>
    </row>
    <row r="65" spans="2:11" ht="63" x14ac:dyDescent="0.25">
      <c r="B65" s="1741" t="s">
        <v>2408</v>
      </c>
      <c r="C65" s="1741"/>
      <c r="D65" s="1745">
        <v>20.440000000000001</v>
      </c>
      <c r="E65" s="878"/>
      <c r="F65" s="878"/>
      <c r="G65" s="878"/>
      <c r="H65" s="878"/>
      <c r="I65" s="1758" t="s">
        <v>2417</v>
      </c>
    </row>
    <row r="66" spans="2:11" ht="78.75" x14ac:dyDescent="0.25">
      <c r="B66" s="1741" t="s">
        <v>2409</v>
      </c>
      <c r="C66" s="1741"/>
      <c r="D66" s="1745">
        <v>0</v>
      </c>
      <c r="E66" s="878"/>
      <c r="F66" s="878"/>
      <c r="G66" s="878"/>
      <c r="H66" s="878"/>
      <c r="I66" s="1758" t="s">
        <v>2417</v>
      </c>
    </row>
    <row r="67" spans="2:11" ht="15.75" x14ac:dyDescent="0.25">
      <c r="B67" s="1746" t="s">
        <v>1334</v>
      </c>
      <c r="C67" s="1746"/>
      <c r="D67" s="1745">
        <v>0</v>
      </c>
      <c r="E67" s="878"/>
      <c r="F67" s="878"/>
      <c r="G67" s="878"/>
      <c r="H67" s="878"/>
    </row>
    <row r="68" spans="2:11" ht="15.75" x14ac:dyDescent="0.25">
      <c r="B68" s="1746" t="s">
        <v>2410</v>
      </c>
      <c r="C68" s="1746"/>
      <c r="D68" s="1745">
        <v>0</v>
      </c>
      <c r="E68" s="878"/>
      <c r="F68" s="878"/>
      <c r="G68" s="878"/>
      <c r="H68" s="878"/>
    </row>
    <row r="69" spans="2:11" ht="47.25" x14ac:dyDescent="0.25">
      <c r="B69" s="1746" t="s">
        <v>1338</v>
      </c>
      <c r="C69" s="1746"/>
      <c r="D69" s="1745">
        <v>2.0699999999999998</v>
      </c>
      <c r="E69" s="878"/>
      <c r="F69" s="878"/>
      <c r="G69" s="1482">
        <f>ВОДА!T88+ВОДА!U88</f>
        <v>2.1256748999999995</v>
      </c>
      <c r="H69" s="878"/>
      <c r="I69" s="18" t="s">
        <v>2417</v>
      </c>
      <c r="K69" s="18" t="s">
        <v>2420</v>
      </c>
    </row>
    <row r="70" spans="2:11" ht="31.5" x14ac:dyDescent="0.25">
      <c r="B70" s="1746" t="s">
        <v>951</v>
      </c>
      <c r="C70" s="1746"/>
      <c r="D70" s="1745">
        <v>7.37</v>
      </c>
      <c r="E70" s="878"/>
      <c r="F70" s="878"/>
      <c r="G70" s="1755">
        <f>'Д 9_ЕЕ'!D202</f>
        <v>0</v>
      </c>
      <c r="H70" s="878"/>
      <c r="I70" s="18" t="s">
        <v>2417</v>
      </c>
      <c r="K70" s="18" t="s">
        <v>2421</v>
      </c>
    </row>
    <row r="71" spans="2:11" ht="15.75" x14ac:dyDescent="0.25">
      <c r="B71" s="1746" t="s">
        <v>952</v>
      </c>
      <c r="C71" s="1746"/>
      <c r="D71" s="1745">
        <v>0</v>
      </c>
      <c r="E71" s="878"/>
      <c r="F71" s="878"/>
      <c r="G71" s="878"/>
      <c r="H71" s="878"/>
    </row>
    <row r="72" spans="2:11" ht="15.75" x14ac:dyDescent="0.25">
      <c r="B72" s="1746" t="s">
        <v>1345</v>
      </c>
      <c r="C72" s="1746"/>
      <c r="D72" s="1745">
        <v>0</v>
      </c>
      <c r="E72" s="878"/>
      <c r="F72" s="878"/>
      <c r="G72" s="878"/>
      <c r="H72" s="878"/>
    </row>
    <row r="73" spans="2:11" ht="15.75" x14ac:dyDescent="0.25">
      <c r="B73" s="1746" t="s">
        <v>1346</v>
      </c>
      <c r="C73" s="1746"/>
      <c r="D73" s="1745">
        <v>0</v>
      </c>
      <c r="E73" s="878"/>
      <c r="F73" s="878"/>
      <c r="G73" s="878"/>
      <c r="H73" s="878"/>
    </row>
    <row r="74" spans="2:11" ht="15.75" x14ac:dyDescent="0.25">
      <c r="B74" s="1746" t="s">
        <v>1349</v>
      </c>
      <c r="C74" s="1746"/>
      <c r="D74" s="1745">
        <v>0</v>
      </c>
      <c r="E74" s="878"/>
      <c r="F74" s="878"/>
      <c r="G74" s="878"/>
      <c r="H74" s="878"/>
    </row>
    <row r="75" spans="2:11" ht="15.75" x14ac:dyDescent="0.25">
      <c r="B75" s="1746" t="s">
        <v>1350</v>
      </c>
      <c r="C75" s="1746"/>
      <c r="D75" s="1745">
        <v>0</v>
      </c>
      <c r="E75" s="878"/>
      <c r="F75" s="878"/>
      <c r="G75" s="878"/>
      <c r="H75" s="878"/>
    </row>
    <row r="76" spans="2:11" ht="15.75" x14ac:dyDescent="0.25">
      <c r="B76" s="1747" t="s">
        <v>1351</v>
      </c>
      <c r="C76" s="1747"/>
      <c r="D76" s="1745">
        <v>0.45</v>
      </c>
      <c r="E76" s="878"/>
      <c r="F76" s="878"/>
      <c r="G76" s="1755">
        <f>ОП!J13/1000</f>
        <v>1.47248</v>
      </c>
      <c r="H76" s="878"/>
      <c r="I76" s="1758" t="s">
        <v>2417</v>
      </c>
      <c r="K76" s="18" t="s">
        <v>2418</v>
      </c>
    </row>
    <row r="77" spans="2:11" ht="31.5" x14ac:dyDescent="0.25">
      <c r="B77" s="1747" t="s">
        <v>1353</v>
      </c>
      <c r="C77" s="1747"/>
      <c r="D77" s="1745">
        <v>0.49</v>
      </c>
      <c r="E77" s="878"/>
      <c r="F77" s="878"/>
      <c r="G77" s="878">
        <f>ОП!J41/1000</f>
        <v>0.51</v>
      </c>
      <c r="H77" s="878"/>
      <c r="I77" s="1758" t="s">
        <v>2417</v>
      </c>
      <c r="K77" s="18" t="s">
        <v>2418</v>
      </c>
    </row>
    <row r="78" spans="2:11" ht="15.75" x14ac:dyDescent="0.25">
      <c r="B78" s="1747" t="s">
        <v>1535</v>
      </c>
      <c r="C78" s="1747"/>
      <c r="D78" s="1745">
        <v>0</v>
      </c>
      <c r="E78" s="878"/>
      <c r="F78" s="878"/>
      <c r="G78" s="878"/>
      <c r="H78" s="878"/>
    </row>
    <row r="79" spans="2:11" ht="31.5" x14ac:dyDescent="0.25">
      <c r="B79" s="1747" t="s">
        <v>2411</v>
      </c>
      <c r="C79" s="1747"/>
      <c r="D79" s="1745">
        <v>447.69</v>
      </c>
      <c r="E79" s="878"/>
      <c r="F79" s="878"/>
      <c r="G79" s="878"/>
      <c r="H79" s="878"/>
      <c r="I79" s="1758" t="s">
        <v>2417</v>
      </c>
    </row>
    <row r="80" spans="2:11" ht="31.5" x14ac:dyDescent="0.25">
      <c r="B80" s="1747" t="s">
        <v>1354</v>
      </c>
      <c r="C80" s="1747"/>
      <c r="D80" s="1745">
        <v>0</v>
      </c>
      <c r="E80" s="878"/>
      <c r="F80" s="878"/>
      <c r="G80" s="878"/>
      <c r="H80" s="878"/>
    </row>
    <row r="81" spans="2:9" ht="31.5" x14ac:dyDescent="0.25">
      <c r="B81" s="1747" t="s">
        <v>1534</v>
      </c>
      <c r="C81" s="1747"/>
      <c r="D81" s="1745">
        <v>0</v>
      </c>
      <c r="E81" s="878"/>
      <c r="F81" s="878"/>
      <c r="G81" s="878"/>
      <c r="H81" s="878"/>
    </row>
    <row r="82" spans="2:9" ht="15.75" x14ac:dyDescent="0.25">
      <c r="B82" s="1747" t="s">
        <v>1533</v>
      </c>
      <c r="C82" s="1747"/>
      <c r="D82" s="1745">
        <v>0</v>
      </c>
      <c r="E82" s="878"/>
      <c r="F82" s="878"/>
      <c r="G82" s="878"/>
      <c r="H82" s="878"/>
    </row>
    <row r="83" spans="2:9" ht="15.75" x14ac:dyDescent="0.25">
      <c r="B83" s="1747" t="s">
        <v>1594</v>
      </c>
      <c r="C83" s="1747"/>
      <c r="D83" s="1745">
        <v>0</v>
      </c>
      <c r="E83" s="878"/>
      <c r="F83" s="878"/>
      <c r="G83" s="878"/>
      <c r="H83" s="878"/>
    </row>
    <row r="84" spans="2:9" ht="15.75" x14ac:dyDescent="0.25">
      <c r="B84" s="1747" t="s">
        <v>2412</v>
      </c>
      <c r="C84" s="1747"/>
      <c r="D84" s="1745">
        <v>0</v>
      </c>
      <c r="E84" s="878"/>
      <c r="F84" s="878"/>
      <c r="G84" s="878"/>
      <c r="H84" s="878"/>
    </row>
    <row r="85" spans="2:9" ht="15.75" x14ac:dyDescent="0.25">
      <c r="B85" s="1747" t="s">
        <v>1845</v>
      </c>
      <c r="C85" s="1747"/>
      <c r="D85" s="1745">
        <v>14.81</v>
      </c>
      <c r="E85" s="878"/>
      <c r="F85" s="878"/>
      <c r="G85" s="878"/>
      <c r="H85" s="878"/>
    </row>
    <row r="86" spans="2:9" ht="15.75" x14ac:dyDescent="0.25">
      <c r="B86" s="1747" t="s">
        <v>1485</v>
      </c>
      <c r="C86" s="1747"/>
      <c r="D86" s="1745">
        <v>0</v>
      </c>
      <c r="E86" s="878"/>
      <c r="F86" s="878"/>
      <c r="G86" s="878"/>
      <c r="H86" s="878"/>
    </row>
    <row r="87" spans="2:9" ht="15.75" x14ac:dyDescent="0.25">
      <c r="B87" s="1747" t="s">
        <v>1483</v>
      </c>
      <c r="C87" s="1747"/>
      <c r="D87" s="1745">
        <v>7.0000000000000007E-2</v>
      </c>
      <c r="E87" s="878"/>
      <c r="F87" s="878"/>
      <c r="G87" s="878"/>
      <c r="H87" s="878"/>
    </row>
    <row r="88" spans="2:9" ht="15.75" x14ac:dyDescent="0.25">
      <c r="B88" s="1741" t="s">
        <v>1525</v>
      </c>
      <c r="C88" s="1741"/>
      <c r="D88" s="1745">
        <v>0</v>
      </c>
      <c r="E88" s="878"/>
      <c r="F88" s="878"/>
      <c r="G88" s="878">
        <f>(48000+20000)/1000</f>
        <v>68</v>
      </c>
      <c r="H88" s="878"/>
      <c r="I88" s="1848" t="s">
        <v>2554</v>
      </c>
    </row>
    <row r="89" spans="2:9" ht="31.5" x14ac:dyDescent="0.25">
      <c r="B89" s="1741" t="s">
        <v>1335</v>
      </c>
      <c r="C89" s="1741"/>
      <c r="D89" s="1745">
        <v>0</v>
      </c>
      <c r="E89" s="878"/>
      <c r="F89" s="878"/>
      <c r="G89" s="878"/>
      <c r="H89" s="878"/>
    </row>
    <row r="90" spans="2:9" ht="15.75" x14ac:dyDescent="0.25">
      <c r="B90" s="1748" t="s">
        <v>1336</v>
      </c>
      <c r="C90" s="1748"/>
      <c r="D90" s="1745">
        <v>1.31</v>
      </c>
      <c r="E90" s="878"/>
      <c r="F90" s="878"/>
      <c r="G90" s="878"/>
      <c r="H90" s="878"/>
    </row>
    <row r="91" spans="2:9" ht="15.75" x14ac:dyDescent="0.25">
      <c r="B91" s="1748" t="s">
        <v>1337</v>
      </c>
      <c r="C91" s="1748"/>
      <c r="D91" s="1745">
        <v>0</v>
      </c>
      <c r="E91" s="878"/>
      <c r="F91" s="878"/>
      <c r="G91" s="878"/>
      <c r="H91" s="878"/>
    </row>
    <row r="92" spans="2:9" ht="47.25" x14ac:dyDescent="0.25">
      <c r="B92" s="1749" t="s">
        <v>1524</v>
      </c>
      <c r="C92" s="1749"/>
      <c r="D92" s="1745">
        <v>0</v>
      </c>
      <c r="E92" s="878"/>
      <c r="F92" s="878"/>
      <c r="G92" s="878"/>
      <c r="H92" s="878"/>
    </row>
    <row r="93" spans="2:9" ht="31.5" x14ac:dyDescent="0.25">
      <c r="B93" s="1746" t="s">
        <v>1343</v>
      </c>
      <c r="C93" s="1746"/>
      <c r="D93" s="1745">
        <v>0</v>
      </c>
      <c r="E93" s="878"/>
      <c r="F93" s="878"/>
      <c r="G93" s="878"/>
      <c r="H93" s="878"/>
    </row>
    <row r="94" spans="2:9" ht="31.5" x14ac:dyDescent="0.25">
      <c r="B94" s="1741" t="s">
        <v>1523</v>
      </c>
      <c r="C94" s="1741"/>
      <c r="D94" s="1745">
        <v>0</v>
      </c>
      <c r="E94" s="878"/>
      <c r="F94" s="878"/>
      <c r="G94" s="878"/>
      <c r="H94" s="878"/>
    </row>
    <row r="95" spans="2:9" ht="15.75" x14ac:dyDescent="0.25">
      <c r="B95" s="1741" t="s">
        <v>955</v>
      </c>
      <c r="C95" s="1741"/>
      <c r="D95" s="1745">
        <v>0</v>
      </c>
      <c r="E95" s="878"/>
      <c r="F95" s="878"/>
      <c r="G95" s="878"/>
      <c r="H95" s="878"/>
    </row>
    <row r="96" spans="2:9" ht="15.75" x14ac:dyDescent="0.25">
      <c r="B96" s="1741" t="s">
        <v>58</v>
      </c>
      <c r="C96" s="1741"/>
      <c r="D96" s="1745">
        <v>29</v>
      </c>
      <c r="E96" s="878"/>
      <c r="F96" s="878"/>
      <c r="G96" s="878"/>
      <c r="H96" s="878"/>
    </row>
  </sheetData>
  <mergeCells count="22">
    <mergeCell ref="A1:F1"/>
    <mergeCell ref="A3:A6"/>
    <mergeCell ref="B3:B6"/>
    <mergeCell ref="C3:C6"/>
    <mergeCell ref="D3:D6"/>
    <mergeCell ref="B46:B48"/>
    <mergeCell ref="E46:F46"/>
    <mergeCell ref="G46:H46"/>
    <mergeCell ref="E47:E48"/>
    <mergeCell ref="F47:F48"/>
    <mergeCell ref="G47:G48"/>
    <mergeCell ref="H47:H48"/>
    <mergeCell ref="C46:C48"/>
    <mergeCell ref="E41:F41"/>
    <mergeCell ref="F4:F6"/>
    <mergeCell ref="E4:E6"/>
    <mergeCell ref="E3:F3"/>
    <mergeCell ref="G3:H3"/>
    <mergeCell ref="G4:G6"/>
    <mergeCell ref="H4:H6"/>
    <mergeCell ref="B38:F38"/>
    <mergeCell ref="E39:F39"/>
  </mergeCells>
  <pageMargins left="0.7" right="0.7" top="0.75" bottom="0.75" header="0.3" footer="0.3"/>
  <pageSetup paperSize="9" orientation="portrait" horizontalDpi="0"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
  <sheetViews>
    <sheetView workbookViewId="0"/>
  </sheetViews>
  <sheetFormatPr defaultRowHeight="15" x14ac:dyDescent="0.25"/>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4:D15"/>
  <sheetViews>
    <sheetView workbookViewId="0">
      <selection activeCell="D5" sqref="D5"/>
    </sheetView>
  </sheetViews>
  <sheetFormatPr defaultRowHeight="15" x14ac:dyDescent="0.25"/>
  <cols>
    <col min="1" max="1" width="8.85546875" style="1835"/>
    <col min="2" max="2" width="53.140625" customWidth="1"/>
    <col min="4" max="4" width="43.42578125" customWidth="1"/>
  </cols>
  <sheetData>
    <row r="4" spans="1:4" s="1764" customFormat="1" x14ac:dyDescent="0.25">
      <c r="A4" s="1837">
        <v>1</v>
      </c>
      <c r="B4" s="1764" t="s">
        <v>2524</v>
      </c>
    </row>
    <row r="5" spans="1:4" ht="45" x14ac:dyDescent="0.25">
      <c r="A5" s="1835" t="s">
        <v>1689</v>
      </c>
      <c r="B5" s="1849" t="s">
        <v>2556</v>
      </c>
      <c r="C5">
        <f>1500/1.2</f>
        <v>1250</v>
      </c>
      <c r="D5" s="1849" t="s">
        <v>2557</v>
      </c>
    </row>
    <row r="11" spans="1:4" s="1764" customFormat="1" x14ac:dyDescent="0.25">
      <c r="A11" s="1837">
        <v>6</v>
      </c>
      <c r="B11" s="1764" t="s">
        <v>2547</v>
      </c>
    </row>
    <row r="12" spans="1:4" x14ac:dyDescent="0.25">
      <c r="A12" s="1836" t="s">
        <v>1794</v>
      </c>
      <c r="B12" t="s">
        <v>2508</v>
      </c>
      <c r="C12">
        <v>20880</v>
      </c>
      <c r="D12" t="s">
        <v>2509</v>
      </c>
    </row>
    <row r="13" spans="1:4" x14ac:dyDescent="0.25">
      <c r="A13" s="1835" t="s">
        <v>1796</v>
      </c>
      <c r="B13" t="s">
        <v>2539</v>
      </c>
      <c r="C13">
        <v>4058.52</v>
      </c>
      <c r="D13" t="s">
        <v>2549</v>
      </c>
    </row>
    <row r="14" spans="1:4" x14ac:dyDescent="0.25">
      <c r="C14">
        <v>3564</v>
      </c>
      <c r="D14" t="s">
        <v>2548</v>
      </c>
    </row>
    <row r="15" spans="1:4" x14ac:dyDescent="0.25">
      <c r="A15" s="1835" t="s">
        <v>2550</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2" tint="-0.499984740745262"/>
  </sheetPr>
  <dimension ref="A1:AA33"/>
  <sheetViews>
    <sheetView workbookViewId="0">
      <pane xSplit="1" ySplit="6" topLeftCell="E13" activePane="bottomRight" state="frozen"/>
      <selection pane="topRight" activeCell="B1" sqref="B1"/>
      <selection pane="bottomLeft" activeCell="A7" sqref="A7"/>
      <selection pane="bottomRight" activeCell="P32" sqref="P32"/>
    </sheetView>
  </sheetViews>
  <sheetFormatPr defaultColWidth="9.140625" defaultRowHeight="15" x14ac:dyDescent="0.25"/>
  <cols>
    <col min="1" max="1" width="23" style="803" customWidth="1"/>
    <col min="2" max="2" width="10.140625" style="803" customWidth="1"/>
    <col min="3" max="3" width="5.85546875" style="803" customWidth="1"/>
    <col min="4" max="4" width="10" style="803" customWidth="1"/>
    <col min="5" max="5" width="8.5703125" style="803" customWidth="1"/>
    <col min="6" max="6" width="9.28515625" style="803" customWidth="1"/>
    <col min="7" max="7" width="8" style="803" bestFit="1" customWidth="1"/>
    <col min="8" max="8" width="6.28515625" style="803" customWidth="1"/>
    <col min="9" max="9" width="5.85546875" style="803" customWidth="1"/>
    <col min="10" max="10" width="7.5703125" style="803" customWidth="1"/>
    <col min="11" max="11" width="5.140625" style="803" customWidth="1"/>
    <col min="12" max="12" width="10.7109375" style="803" customWidth="1"/>
    <col min="13" max="13" width="10" style="803" customWidth="1"/>
    <col min="14" max="14" width="8.85546875" style="803" customWidth="1"/>
    <col min="15" max="15" width="8.28515625" style="803" customWidth="1"/>
    <col min="16" max="16" width="9.42578125" style="803" customWidth="1"/>
    <col min="17" max="17" width="5.85546875" style="803" customWidth="1"/>
    <col min="18" max="18" width="10.140625" style="803" customWidth="1"/>
    <col min="19" max="19" width="5.42578125" style="803" customWidth="1"/>
    <col min="20" max="20" width="4.85546875" style="803" customWidth="1"/>
    <col min="21" max="21" width="6.42578125" style="803" customWidth="1"/>
    <col min="22" max="22" width="4.7109375" style="803" customWidth="1"/>
    <col min="23" max="23" width="6.28515625" style="803" customWidth="1"/>
    <col min="24" max="24" width="4.5703125" style="803" customWidth="1"/>
    <col min="25" max="25" width="5.7109375" style="803" customWidth="1"/>
    <col min="26" max="26" width="8.28515625" style="803" customWidth="1"/>
    <col min="27" max="16384" width="9.140625" style="803"/>
  </cols>
  <sheetData>
    <row r="1" spans="1:27" x14ac:dyDescent="0.25">
      <c r="Z1" s="803" t="s">
        <v>1047</v>
      </c>
    </row>
    <row r="3" spans="1:27" x14ac:dyDescent="0.25">
      <c r="A3" s="4518" t="s">
        <v>2276</v>
      </c>
      <c r="B3" s="4518"/>
      <c r="C3" s="4518"/>
      <c r="D3" s="4518"/>
      <c r="E3" s="4518"/>
      <c r="F3" s="4518"/>
      <c r="G3" s="4518"/>
      <c r="H3" s="4518"/>
      <c r="I3" s="4518"/>
      <c r="J3" s="4518"/>
      <c r="K3" s="4518"/>
      <c r="L3" s="4518"/>
      <c r="M3" s="4518"/>
      <c r="N3" s="4518"/>
      <c r="O3" s="4518"/>
      <c r="P3" s="4518"/>
      <c r="Q3" s="4518"/>
      <c r="R3" s="4518"/>
      <c r="S3" s="4518"/>
      <c r="T3" s="4518"/>
      <c r="U3" s="4518"/>
      <c r="V3" s="4518"/>
      <c r="W3" s="4518"/>
      <c r="X3" s="4518"/>
      <c r="Y3" s="4518"/>
      <c r="Z3" s="4518"/>
      <c r="AA3" s="4518"/>
    </row>
    <row r="5" spans="1:27" x14ac:dyDescent="0.25">
      <c r="A5" s="807"/>
      <c r="B5" s="4515" t="s">
        <v>1930</v>
      </c>
      <c r="C5" s="4515"/>
      <c r="D5" s="4515" t="s">
        <v>11</v>
      </c>
      <c r="E5" s="4515"/>
      <c r="F5" s="4515" t="s">
        <v>1942</v>
      </c>
      <c r="G5" s="4515"/>
      <c r="H5" s="4515" t="s">
        <v>11</v>
      </c>
      <c r="I5" s="4515"/>
      <c r="J5" s="4515" t="s">
        <v>140</v>
      </c>
      <c r="K5" s="4515"/>
      <c r="L5" s="4515" t="s">
        <v>15</v>
      </c>
      <c r="M5" s="4515"/>
      <c r="N5" s="4515" t="s">
        <v>16</v>
      </c>
      <c r="O5" s="4515"/>
      <c r="P5" s="4515" t="s">
        <v>17</v>
      </c>
      <c r="Q5" s="4515"/>
      <c r="R5" s="4515" t="s">
        <v>18</v>
      </c>
      <c r="S5" s="4515"/>
      <c r="T5" s="4515" t="s">
        <v>19</v>
      </c>
      <c r="U5" s="4515"/>
      <c r="V5" s="4515" t="s">
        <v>20</v>
      </c>
      <c r="W5" s="4515"/>
      <c r="X5" s="4515" t="s">
        <v>21</v>
      </c>
      <c r="Y5" s="4515"/>
      <c r="Z5" s="4516" t="s">
        <v>1943</v>
      </c>
      <c r="AA5" s="4517"/>
    </row>
    <row r="6" spans="1:27" s="815" customFormat="1" ht="14.25" x14ac:dyDescent="0.2">
      <c r="A6" s="814" t="s">
        <v>2272</v>
      </c>
      <c r="B6" s="816" t="s">
        <v>1899</v>
      </c>
      <c r="C6" s="816" t="s">
        <v>1015</v>
      </c>
      <c r="D6" s="816" t="s">
        <v>1899</v>
      </c>
      <c r="E6" s="816" t="s">
        <v>1015</v>
      </c>
      <c r="F6" s="816" t="s">
        <v>1899</v>
      </c>
      <c r="G6" s="816" t="s">
        <v>1015</v>
      </c>
      <c r="H6" s="816" t="s">
        <v>1899</v>
      </c>
      <c r="I6" s="816" t="s">
        <v>1015</v>
      </c>
      <c r="J6" s="816" t="s">
        <v>1899</v>
      </c>
      <c r="K6" s="816" t="s">
        <v>1015</v>
      </c>
      <c r="L6" s="816" t="s">
        <v>1899</v>
      </c>
      <c r="M6" s="816" t="s">
        <v>1015</v>
      </c>
      <c r="N6" s="816" t="s">
        <v>1899</v>
      </c>
      <c r="O6" s="816" t="s">
        <v>1015</v>
      </c>
      <c r="P6" s="816" t="s">
        <v>1899</v>
      </c>
      <c r="Q6" s="816" t="s">
        <v>1015</v>
      </c>
      <c r="R6" s="816" t="s">
        <v>1899</v>
      </c>
      <c r="S6" s="816" t="s">
        <v>1015</v>
      </c>
      <c r="T6" s="816" t="s">
        <v>1899</v>
      </c>
      <c r="U6" s="816" t="s">
        <v>1015</v>
      </c>
      <c r="V6" s="816" t="s">
        <v>1899</v>
      </c>
      <c r="W6" s="816" t="s">
        <v>1015</v>
      </c>
      <c r="X6" s="816" t="s">
        <v>1899</v>
      </c>
      <c r="Y6" s="816" t="s">
        <v>1015</v>
      </c>
      <c r="Z6" s="816" t="s">
        <v>1899</v>
      </c>
      <c r="AA6" s="816" t="s">
        <v>892</v>
      </c>
    </row>
    <row r="7" spans="1:27" x14ac:dyDescent="0.25">
      <c r="A7" s="1413" t="s">
        <v>885</v>
      </c>
      <c r="B7" s="1414">
        <v>28</v>
      </c>
      <c r="C7" s="1414">
        <v>15.03</v>
      </c>
      <c r="D7" s="1414">
        <v>70</v>
      </c>
      <c r="E7" s="1414">
        <v>15.03</v>
      </c>
      <c r="F7" s="1414">
        <v>58</v>
      </c>
      <c r="G7" s="1414">
        <v>15.03</v>
      </c>
      <c r="H7" s="1414">
        <v>65</v>
      </c>
      <c r="I7" s="1414">
        <v>15.03</v>
      </c>
      <c r="J7" s="1414">
        <v>250</v>
      </c>
      <c r="K7" s="1414">
        <v>15.03</v>
      </c>
      <c r="L7" s="1414">
        <v>204</v>
      </c>
      <c r="M7" s="1414">
        <v>15.27</v>
      </c>
      <c r="N7" s="1414">
        <v>170</v>
      </c>
      <c r="O7" s="1414">
        <v>18.04</v>
      </c>
      <c r="P7" s="1414">
        <v>164</v>
      </c>
      <c r="Q7" s="1414">
        <v>15.03</v>
      </c>
      <c r="R7" s="1414">
        <v>181</v>
      </c>
      <c r="S7" s="1414">
        <v>15.03</v>
      </c>
      <c r="T7" s="1414">
        <v>238</v>
      </c>
      <c r="U7" s="1414">
        <v>15.03</v>
      </c>
      <c r="V7" s="1414">
        <v>108</v>
      </c>
      <c r="W7" s="1414">
        <v>15.84</v>
      </c>
      <c r="X7" s="1414">
        <v>60</v>
      </c>
      <c r="Y7" s="1415">
        <v>14.21</v>
      </c>
      <c r="Z7" s="1416">
        <f>B7+D7+F7+H7+J7+L7+N7+P7+R7+T7+V7+X7</f>
        <v>1596</v>
      </c>
      <c r="AA7" s="1417">
        <f>B7*C7+D7*E7+F7*G7+H7*I7+J7*K7+L7*M7+N7*O7+P7*Q7+R7*S7+T7*U7+V7*W7+X7*Y7</f>
        <v>24586.819999999996</v>
      </c>
    </row>
    <row r="8" spans="1:27" x14ac:dyDescent="0.25">
      <c r="A8" s="1418" t="s">
        <v>2328</v>
      </c>
      <c r="B8" s="1419">
        <v>43</v>
      </c>
      <c r="C8" s="1419">
        <v>15.03</v>
      </c>
      <c r="D8" s="1419">
        <v>90</v>
      </c>
      <c r="E8" s="1419">
        <v>15.03</v>
      </c>
      <c r="F8" s="1419">
        <v>50</v>
      </c>
      <c r="G8" s="1419">
        <v>15.03</v>
      </c>
      <c r="H8" s="1419">
        <v>79</v>
      </c>
      <c r="I8" s="1419">
        <v>15.03</v>
      </c>
      <c r="J8" s="1419">
        <v>116</v>
      </c>
      <c r="K8" s="1419">
        <v>15.03</v>
      </c>
      <c r="L8" s="1419">
        <v>86</v>
      </c>
      <c r="M8" s="1419">
        <v>15.31</v>
      </c>
      <c r="N8" s="1419">
        <v>97</v>
      </c>
      <c r="O8" s="1419">
        <v>18.04</v>
      </c>
      <c r="P8" s="1419">
        <v>127</v>
      </c>
      <c r="Q8" s="1419">
        <v>15.03</v>
      </c>
      <c r="R8" s="1419">
        <v>137</v>
      </c>
      <c r="S8" s="1419">
        <v>15.03</v>
      </c>
      <c r="T8" s="1419">
        <v>66</v>
      </c>
      <c r="U8" s="1419">
        <v>15.03</v>
      </c>
      <c r="V8" s="1419">
        <v>129</v>
      </c>
      <c r="W8" s="1419">
        <v>15.84</v>
      </c>
      <c r="X8" s="1419">
        <v>79</v>
      </c>
      <c r="Y8" s="1420">
        <v>13.81</v>
      </c>
      <c r="Z8" s="1421">
        <f t="shared" ref="Z8:Z14" si="0">B8+D8+F8+H8+J8+L8+N8+P8+R8+T8+V8+X8</f>
        <v>1099</v>
      </c>
      <c r="AA8" s="1422">
        <f>B8*C8+D8*E8+F8*G8+H8*I8+J8*K8+L8*M8+N8*O8+P8*Q8+R8*S8+T8*U8+V8*W8+X8*Y8</f>
        <v>16842.13</v>
      </c>
    </row>
    <row r="9" spans="1:27" x14ac:dyDescent="0.25">
      <c r="A9" s="1418" t="s">
        <v>2329</v>
      </c>
      <c r="B9" s="1419"/>
      <c r="C9" s="1419"/>
      <c r="D9" s="1419"/>
      <c r="E9" s="1419"/>
      <c r="F9" s="1419"/>
      <c r="G9" s="1419"/>
      <c r="H9" s="1419">
        <v>2</v>
      </c>
      <c r="I9" s="1419">
        <v>15.03</v>
      </c>
      <c r="J9" s="1419">
        <v>18</v>
      </c>
      <c r="K9" s="1419">
        <v>15.03</v>
      </c>
      <c r="L9" s="1419">
        <v>12</v>
      </c>
      <c r="M9" s="1419">
        <v>18.04</v>
      </c>
      <c r="N9" s="1419">
        <v>22</v>
      </c>
      <c r="O9" s="1419">
        <v>18.04</v>
      </c>
      <c r="P9" s="1419">
        <v>5</v>
      </c>
      <c r="Q9" s="1419">
        <v>15.03</v>
      </c>
      <c r="R9" s="1419">
        <v>8</v>
      </c>
      <c r="S9" s="1419">
        <v>15.03</v>
      </c>
      <c r="T9" s="1419">
        <v>24</v>
      </c>
      <c r="U9" s="1419">
        <v>15.03</v>
      </c>
      <c r="V9" s="1419">
        <v>4</v>
      </c>
      <c r="W9" s="1419">
        <v>15.84</v>
      </c>
      <c r="X9" s="1419"/>
      <c r="Y9" s="1420"/>
      <c r="Z9" s="1421">
        <f t="shared" si="0"/>
        <v>95</v>
      </c>
      <c r="AA9" s="1422">
        <f t="shared" ref="AA9:AA14" si="1">B9*C9+D9*E9+F9*G9+H9*I9+J9*K9+L9*M9+N9*O9+P9*Q9+R9*S9+T9*U9+V9*W9+X9*Y9</f>
        <v>1533.4299999999998</v>
      </c>
    </row>
    <row r="10" spans="1:27" x14ac:dyDescent="0.25">
      <c r="A10" s="1418" t="s">
        <v>926</v>
      </c>
      <c r="B10" s="1419"/>
      <c r="C10" s="1419"/>
      <c r="D10" s="1419"/>
      <c r="E10" s="1419"/>
      <c r="F10" s="1419"/>
      <c r="G10" s="1419"/>
      <c r="H10" s="1419"/>
      <c r="I10" s="1419"/>
      <c r="J10" s="1419"/>
      <c r="K10" s="1419"/>
      <c r="L10" s="1419"/>
      <c r="M10" s="1419"/>
      <c r="N10" s="1419"/>
      <c r="O10" s="1419"/>
      <c r="P10" s="1419"/>
      <c r="Q10" s="1419"/>
      <c r="R10" s="1419"/>
      <c r="S10" s="1419"/>
      <c r="T10" s="1419"/>
      <c r="U10" s="1419"/>
      <c r="V10" s="1419"/>
      <c r="W10" s="1419"/>
      <c r="X10" s="1419"/>
      <c r="Y10" s="1420"/>
      <c r="Z10" s="1421">
        <f t="shared" si="0"/>
        <v>0</v>
      </c>
      <c r="AA10" s="1422">
        <f t="shared" si="1"/>
        <v>0</v>
      </c>
    </row>
    <row r="11" spans="1:27" x14ac:dyDescent="0.25">
      <c r="A11" s="1418" t="s">
        <v>1370</v>
      </c>
      <c r="B11" s="1419"/>
      <c r="C11" s="1419"/>
      <c r="D11" s="1419"/>
      <c r="E11" s="1419"/>
      <c r="F11" s="1419"/>
      <c r="G11" s="1419"/>
      <c r="H11" s="1419"/>
      <c r="I11" s="1419"/>
      <c r="J11" s="1419"/>
      <c r="K11" s="1419"/>
      <c r="L11" s="1419"/>
      <c r="M11" s="1419"/>
      <c r="N11" s="1419"/>
      <c r="O11" s="1419"/>
      <c r="P11" s="1419"/>
      <c r="Q11" s="1419"/>
      <c r="R11" s="1419"/>
      <c r="S11" s="1419"/>
      <c r="T11" s="1419"/>
      <c r="U11" s="1419"/>
      <c r="V11" s="1419"/>
      <c r="W11" s="1419"/>
      <c r="X11" s="1419"/>
      <c r="Y11" s="1420"/>
      <c r="Z11" s="1421">
        <f t="shared" si="0"/>
        <v>0</v>
      </c>
      <c r="AA11" s="1422">
        <f t="shared" si="1"/>
        <v>0</v>
      </c>
    </row>
    <row r="12" spans="1:27" x14ac:dyDescent="0.25">
      <c r="A12" s="1418" t="s">
        <v>888</v>
      </c>
      <c r="B12" s="1419"/>
      <c r="C12" s="1419"/>
      <c r="D12" s="1419"/>
      <c r="E12" s="1419"/>
      <c r="F12" s="1419"/>
      <c r="G12" s="1419"/>
      <c r="H12" s="1419">
        <v>2</v>
      </c>
      <c r="I12" s="1419">
        <v>15.03</v>
      </c>
      <c r="J12" s="1419"/>
      <c r="K12" s="1419"/>
      <c r="L12" s="1419"/>
      <c r="M12" s="1419"/>
      <c r="N12" s="1419">
        <v>15</v>
      </c>
      <c r="O12" s="1419">
        <v>15.03</v>
      </c>
      <c r="P12" s="1419">
        <v>3</v>
      </c>
      <c r="Q12" s="1419">
        <v>15.03</v>
      </c>
      <c r="R12" s="1419">
        <v>2</v>
      </c>
      <c r="S12" s="1419">
        <v>15.03</v>
      </c>
      <c r="T12" s="1419"/>
      <c r="U12" s="1419"/>
      <c r="V12" s="1419"/>
      <c r="W12" s="1419"/>
      <c r="X12" s="1419"/>
      <c r="Y12" s="1420"/>
      <c r="Z12" s="1421">
        <f t="shared" si="0"/>
        <v>22</v>
      </c>
      <c r="AA12" s="1422">
        <f t="shared" si="1"/>
        <v>330.65999999999997</v>
      </c>
    </row>
    <row r="13" spans="1:27" x14ac:dyDescent="0.25">
      <c r="A13" s="1418" t="s">
        <v>1000</v>
      </c>
      <c r="B13" s="1419"/>
      <c r="C13" s="1419"/>
      <c r="D13" s="1419"/>
      <c r="E13" s="1419"/>
      <c r="F13" s="1419"/>
      <c r="G13" s="1419"/>
      <c r="H13" s="1419"/>
      <c r="I13" s="1419"/>
      <c r="J13" s="1419">
        <v>2</v>
      </c>
      <c r="K13" s="1419">
        <v>15.03</v>
      </c>
      <c r="L13" s="1419"/>
      <c r="M13" s="1419"/>
      <c r="N13" s="1419"/>
      <c r="O13" s="1419"/>
      <c r="P13" s="1419"/>
      <c r="Q13" s="1419"/>
      <c r="R13" s="1419">
        <v>17</v>
      </c>
      <c r="S13" s="1419">
        <v>15.03</v>
      </c>
      <c r="T13" s="1419">
        <v>42</v>
      </c>
      <c r="U13" s="1419">
        <v>15.03</v>
      </c>
      <c r="V13" s="1419">
        <v>31</v>
      </c>
      <c r="W13" s="1419">
        <v>15.84</v>
      </c>
      <c r="X13" s="1419"/>
      <c r="Y13" s="1420"/>
      <c r="Z13" s="1421">
        <f t="shared" si="0"/>
        <v>92</v>
      </c>
      <c r="AA13" s="1422">
        <f t="shared" si="1"/>
        <v>1407.87</v>
      </c>
    </row>
    <row r="14" spans="1:27" x14ac:dyDescent="0.25">
      <c r="A14" s="1423" t="s">
        <v>1895</v>
      </c>
      <c r="B14" s="1424">
        <v>8</v>
      </c>
      <c r="C14" s="1424">
        <v>15.03</v>
      </c>
      <c r="D14" s="1424">
        <v>20</v>
      </c>
      <c r="E14" s="1424">
        <v>15.03</v>
      </c>
      <c r="F14" s="1424">
        <v>22</v>
      </c>
      <c r="G14" s="1424">
        <v>15.03</v>
      </c>
      <c r="H14" s="1424">
        <v>42</v>
      </c>
      <c r="I14" s="1424">
        <v>15.03</v>
      </c>
      <c r="J14" s="1424">
        <v>38</v>
      </c>
      <c r="K14" s="1424">
        <v>15.03</v>
      </c>
      <c r="L14" s="1424">
        <v>40</v>
      </c>
      <c r="M14" s="1424">
        <v>18.04</v>
      </c>
      <c r="N14" s="1424">
        <v>41</v>
      </c>
      <c r="O14" s="1424">
        <v>15.03</v>
      </c>
      <c r="P14" s="1424"/>
      <c r="Q14" s="1424"/>
      <c r="R14" s="1424"/>
      <c r="S14" s="1424"/>
      <c r="T14" s="1424"/>
      <c r="U14" s="1424"/>
      <c r="V14" s="1424"/>
      <c r="W14" s="1424"/>
      <c r="X14" s="1424">
        <v>44</v>
      </c>
      <c r="Y14" s="1425">
        <v>12.97</v>
      </c>
      <c r="Z14" s="1426">
        <f t="shared" si="0"/>
        <v>255</v>
      </c>
      <c r="AA14" s="1427">
        <f t="shared" si="1"/>
        <v>3862.41</v>
      </c>
    </row>
    <row r="15" spans="1:27" x14ac:dyDescent="0.25">
      <c r="A15" s="1005"/>
      <c r="B15" s="807"/>
      <c r="C15" s="807"/>
      <c r="D15" s="807"/>
      <c r="E15" s="807"/>
      <c r="F15" s="807"/>
      <c r="G15" s="807"/>
      <c r="H15" s="807"/>
      <c r="I15" s="807"/>
      <c r="J15" s="807"/>
      <c r="K15" s="807"/>
      <c r="L15" s="807"/>
      <c r="M15" s="807"/>
      <c r="N15" s="807"/>
      <c r="O15" s="807"/>
      <c r="P15" s="807"/>
      <c r="Q15" s="807"/>
      <c r="R15" s="807"/>
      <c r="S15" s="807"/>
      <c r="T15" s="807"/>
      <c r="U15" s="807"/>
      <c r="V15" s="807"/>
      <c r="W15" s="807"/>
      <c r="X15" s="807"/>
      <c r="Y15" s="807"/>
      <c r="Z15" s="807">
        <f t="shared" ref="Z15:Z24" si="2">B15+D15+F15+H15+J15+L15+N15+P15+R15+T15+V15+X15</f>
        <v>0</v>
      </c>
      <c r="AA15" s="811">
        <f t="shared" ref="AA15:AA24" si="3">B15*C15+D15*E15+F15*G15+H15*I15+J15*K15+L15*M15+N15*O15+P15*Q15+R15*S15+T15*U15+V15*W15+X15*Y15</f>
        <v>0</v>
      </c>
    </row>
    <row r="16" spans="1:27" x14ac:dyDescent="0.25">
      <c r="A16" s="807"/>
      <c r="B16" s="807"/>
      <c r="C16" s="807"/>
      <c r="D16" s="807"/>
      <c r="E16" s="807"/>
      <c r="F16" s="807"/>
      <c r="G16" s="807"/>
      <c r="H16" s="807"/>
      <c r="I16" s="807"/>
      <c r="J16" s="807"/>
      <c r="K16" s="807"/>
      <c r="L16" s="807"/>
      <c r="M16" s="807"/>
      <c r="N16" s="807"/>
      <c r="O16" s="807"/>
      <c r="P16" s="807"/>
      <c r="Q16" s="807"/>
      <c r="R16" s="807"/>
      <c r="S16" s="807"/>
      <c r="T16" s="807"/>
      <c r="U16" s="807"/>
      <c r="V16" s="807"/>
      <c r="W16" s="807"/>
      <c r="X16" s="807"/>
      <c r="Y16" s="807"/>
      <c r="Z16" s="807">
        <f t="shared" si="2"/>
        <v>0</v>
      </c>
      <c r="AA16" s="811">
        <f t="shared" si="3"/>
        <v>0</v>
      </c>
    </row>
    <row r="17" spans="1:27" x14ac:dyDescent="0.25">
      <c r="A17" s="807"/>
      <c r="B17" s="807"/>
      <c r="C17" s="807"/>
      <c r="D17" s="807"/>
      <c r="E17" s="807"/>
      <c r="F17" s="807"/>
      <c r="G17" s="807"/>
      <c r="H17" s="807"/>
      <c r="I17" s="807"/>
      <c r="J17" s="807"/>
      <c r="K17" s="807"/>
      <c r="L17" s="807"/>
      <c r="M17" s="807"/>
      <c r="N17" s="807"/>
      <c r="O17" s="807"/>
      <c r="P17" s="807"/>
      <c r="Q17" s="807"/>
      <c r="R17" s="807"/>
      <c r="S17" s="807"/>
      <c r="T17" s="807"/>
      <c r="U17" s="807"/>
      <c r="V17" s="807"/>
      <c r="W17" s="807"/>
      <c r="X17" s="807"/>
      <c r="Y17" s="807"/>
      <c r="Z17" s="807">
        <f t="shared" si="2"/>
        <v>0</v>
      </c>
      <c r="AA17" s="811">
        <f t="shared" si="3"/>
        <v>0</v>
      </c>
    </row>
    <row r="18" spans="1:27" x14ac:dyDescent="0.25">
      <c r="A18" s="807"/>
      <c r="B18" s="807"/>
      <c r="C18" s="807"/>
      <c r="D18" s="807"/>
      <c r="E18" s="807"/>
      <c r="F18" s="807"/>
      <c r="G18" s="807"/>
      <c r="H18" s="807"/>
      <c r="I18" s="807"/>
      <c r="J18" s="807"/>
      <c r="K18" s="807"/>
      <c r="L18" s="807"/>
      <c r="M18" s="807"/>
      <c r="N18" s="807"/>
      <c r="O18" s="807"/>
      <c r="P18" s="807"/>
      <c r="Q18" s="807"/>
      <c r="R18" s="807"/>
      <c r="S18" s="807"/>
      <c r="T18" s="807"/>
      <c r="U18" s="807"/>
      <c r="V18" s="807"/>
      <c r="W18" s="807"/>
      <c r="X18" s="807"/>
      <c r="Y18" s="807"/>
      <c r="Z18" s="807">
        <f t="shared" si="2"/>
        <v>0</v>
      </c>
      <c r="AA18" s="811">
        <f t="shared" si="3"/>
        <v>0</v>
      </c>
    </row>
    <row r="19" spans="1:27" x14ac:dyDescent="0.25">
      <c r="A19" s="807"/>
      <c r="B19" s="807"/>
      <c r="C19" s="807"/>
      <c r="D19" s="807"/>
      <c r="E19" s="807"/>
      <c r="F19" s="807"/>
      <c r="G19" s="807"/>
      <c r="H19" s="807"/>
      <c r="I19" s="807"/>
      <c r="J19" s="807"/>
      <c r="K19" s="807"/>
      <c r="L19" s="807"/>
      <c r="M19" s="807"/>
      <c r="N19" s="807"/>
      <c r="O19" s="807"/>
      <c r="P19" s="807"/>
      <c r="Q19" s="807"/>
      <c r="R19" s="807"/>
      <c r="S19" s="807"/>
      <c r="T19" s="807"/>
      <c r="U19" s="807"/>
      <c r="V19" s="807"/>
      <c r="W19" s="807"/>
      <c r="X19" s="807"/>
      <c r="Y19" s="807"/>
      <c r="Z19" s="807">
        <f t="shared" si="2"/>
        <v>0</v>
      </c>
      <c r="AA19" s="811">
        <f t="shared" si="3"/>
        <v>0</v>
      </c>
    </row>
    <row r="20" spans="1:27" x14ac:dyDescent="0.25">
      <c r="A20" s="807"/>
      <c r="B20" s="807"/>
      <c r="C20" s="807"/>
      <c r="D20" s="807"/>
      <c r="E20" s="807"/>
      <c r="F20" s="807"/>
      <c r="G20" s="807"/>
      <c r="H20" s="807"/>
      <c r="I20" s="807"/>
      <c r="J20" s="807"/>
      <c r="K20" s="807"/>
      <c r="L20" s="807"/>
      <c r="M20" s="807"/>
      <c r="N20" s="807"/>
      <c r="O20" s="807"/>
      <c r="P20" s="807"/>
      <c r="Q20" s="807"/>
      <c r="R20" s="807"/>
      <c r="S20" s="807"/>
      <c r="T20" s="807"/>
      <c r="U20" s="807"/>
      <c r="V20" s="807"/>
      <c r="W20" s="807"/>
      <c r="X20" s="807"/>
      <c r="Y20" s="807"/>
      <c r="Z20" s="807">
        <f t="shared" si="2"/>
        <v>0</v>
      </c>
      <c r="AA20" s="811">
        <f t="shared" si="3"/>
        <v>0</v>
      </c>
    </row>
    <row r="21" spans="1:27" x14ac:dyDescent="0.25">
      <c r="A21" s="807"/>
      <c r="B21" s="807"/>
      <c r="C21" s="807"/>
      <c r="D21" s="807"/>
      <c r="E21" s="807"/>
      <c r="F21" s="807"/>
      <c r="G21" s="807"/>
      <c r="H21" s="807"/>
      <c r="I21" s="807"/>
      <c r="J21" s="807"/>
      <c r="K21" s="807"/>
      <c r="L21" s="807"/>
      <c r="M21" s="807"/>
      <c r="N21" s="807"/>
      <c r="O21" s="807"/>
      <c r="P21" s="807"/>
      <c r="Q21" s="807"/>
      <c r="R21" s="807"/>
      <c r="S21" s="807"/>
      <c r="T21" s="807"/>
      <c r="U21" s="807"/>
      <c r="V21" s="807"/>
      <c r="W21" s="807"/>
      <c r="X21" s="807"/>
      <c r="Y21" s="807"/>
      <c r="Z21" s="807">
        <f t="shared" si="2"/>
        <v>0</v>
      </c>
      <c r="AA21" s="811">
        <f t="shared" si="3"/>
        <v>0</v>
      </c>
    </row>
    <row r="22" spans="1:27" x14ac:dyDescent="0.25">
      <c r="A22" s="807"/>
      <c r="B22" s="807"/>
      <c r="C22" s="807"/>
      <c r="D22" s="807"/>
      <c r="E22" s="807"/>
      <c r="F22" s="807"/>
      <c r="G22" s="807"/>
      <c r="H22" s="807"/>
      <c r="I22" s="807"/>
      <c r="J22" s="807"/>
      <c r="K22" s="807"/>
      <c r="L22" s="807"/>
      <c r="M22" s="807"/>
      <c r="N22" s="807"/>
      <c r="O22" s="807"/>
      <c r="P22" s="807"/>
      <c r="Q22" s="807"/>
      <c r="R22" s="807"/>
      <c r="S22" s="807"/>
      <c r="T22" s="807"/>
      <c r="U22" s="807"/>
      <c r="V22" s="807"/>
      <c r="W22" s="807"/>
      <c r="X22" s="807"/>
      <c r="Y22" s="807"/>
      <c r="Z22" s="807">
        <f t="shared" si="2"/>
        <v>0</v>
      </c>
      <c r="AA22" s="811">
        <f t="shared" si="3"/>
        <v>0</v>
      </c>
    </row>
    <row r="23" spans="1:27" x14ac:dyDescent="0.25">
      <c r="A23" s="807"/>
      <c r="B23" s="807"/>
      <c r="C23" s="807"/>
      <c r="D23" s="807"/>
      <c r="E23" s="807"/>
      <c r="F23" s="807"/>
      <c r="G23" s="807"/>
      <c r="H23" s="807"/>
      <c r="I23" s="807"/>
      <c r="J23" s="807"/>
      <c r="K23" s="807"/>
      <c r="L23" s="807"/>
      <c r="M23" s="807"/>
      <c r="N23" s="807"/>
      <c r="O23" s="807"/>
      <c r="P23" s="807"/>
      <c r="Q23" s="807"/>
      <c r="R23" s="807"/>
      <c r="S23" s="807"/>
      <c r="T23" s="807"/>
      <c r="U23" s="807"/>
      <c r="V23" s="807"/>
      <c r="W23" s="807"/>
      <c r="X23" s="807"/>
      <c r="Y23" s="807"/>
      <c r="Z23" s="807">
        <f t="shared" si="2"/>
        <v>0</v>
      </c>
      <c r="AA23" s="811">
        <f t="shared" si="3"/>
        <v>0</v>
      </c>
    </row>
    <row r="24" spans="1:27" x14ac:dyDescent="0.25">
      <c r="A24" s="807"/>
      <c r="B24" s="807"/>
      <c r="C24" s="807"/>
      <c r="D24" s="807"/>
      <c r="E24" s="807"/>
      <c r="F24" s="807"/>
      <c r="G24" s="807"/>
      <c r="H24" s="807"/>
      <c r="I24" s="807"/>
      <c r="J24" s="807"/>
      <c r="K24" s="807"/>
      <c r="L24" s="807"/>
      <c r="M24" s="807"/>
      <c r="N24" s="807"/>
      <c r="O24" s="807"/>
      <c r="P24" s="807"/>
      <c r="Q24" s="807"/>
      <c r="R24" s="807"/>
      <c r="S24" s="807"/>
      <c r="T24" s="807"/>
      <c r="U24" s="807"/>
      <c r="V24" s="807"/>
      <c r="W24" s="807"/>
      <c r="X24" s="807"/>
      <c r="Y24" s="807"/>
      <c r="Z24" s="807">
        <f t="shared" si="2"/>
        <v>0</v>
      </c>
      <c r="AA24" s="811">
        <f t="shared" si="3"/>
        <v>0</v>
      </c>
    </row>
    <row r="25" spans="1:27" x14ac:dyDescent="0.25">
      <c r="A25" s="807"/>
      <c r="B25" s="807">
        <f>SUM(B7:B24)</f>
        <v>79</v>
      </c>
      <c r="C25" s="807"/>
      <c r="D25" s="807">
        <f>SUM(D7:D24)</f>
        <v>180</v>
      </c>
      <c r="E25" s="807"/>
      <c r="F25" s="807">
        <f>SUM(F7:F24)</f>
        <v>130</v>
      </c>
      <c r="G25" s="807"/>
      <c r="H25" s="807">
        <f>SUM(H7:H24)</f>
        <v>190</v>
      </c>
      <c r="I25" s="807"/>
      <c r="J25" s="807">
        <f>SUM(J7:J24)</f>
        <v>424</v>
      </c>
      <c r="K25" s="807"/>
      <c r="L25" s="807">
        <f>SUM(L7:L24)</f>
        <v>342</v>
      </c>
      <c r="M25" s="807"/>
      <c r="N25" s="807">
        <f>SUM(N7:N24)</f>
        <v>345</v>
      </c>
      <c r="O25" s="807"/>
      <c r="P25" s="807">
        <f>SUM(P7:P24)</f>
        <v>299</v>
      </c>
      <c r="Q25" s="807"/>
      <c r="R25" s="807">
        <f>SUM(R7:R24)</f>
        <v>345</v>
      </c>
      <c r="S25" s="807"/>
      <c r="T25" s="807">
        <f>SUM(T7:T24)</f>
        <v>370</v>
      </c>
      <c r="U25" s="807"/>
      <c r="V25" s="807">
        <f>SUM(V7:V24)</f>
        <v>272</v>
      </c>
      <c r="W25" s="807"/>
      <c r="X25" s="807">
        <f>SUM(X7:X24)</f>
        <v>183</v>
      </c>
      <c r="Y25" s="807"/>
      <c r="Z25" s="807">
        <f>SUM(Z7:Z24)</f>
        <v>3159</v>
      </c>
      <c r="AA25" s="807">
        <f>SUM(AA7:AA24)</f>
        <v>48563.320000000007</v>
      </c>
    </row>
    <row r="26" spans="1:27" x14ac:dyDescent="0.25">
      <c r="Z26" s="812">
        <f>Z25-Z21-Z22+1</f>
        <v>3160</v>
      </c>
    </row>
    <row r="28" spans="1:27" ht="15.75" x14ac:dyDescent="0.25">
      <c r="A28" s="802" t="s">
        <v>1900</v>
      </c>
      <c r="C28" s="981" t="str">
        <f>'Вхідні дані'!F5</f>
        <v>ЧФ ДП "АМПУ"</v>
      </c>
      <c r="D28" s="981"/>
      <c r="E28" s="981"/>
      <c r="F28" s="981"/>
      <c r="G28" s="1014"/>
      <c r="H28" s="802" t="s">
        <v>461</v>
      </c>
      <c r="I28" s="981" t="str">
        <f>'Вхідні дані'!F6</f>
        <v>2023-2024</v>
      </c>
      <c r="J28" s="981"/>
      <c r="K28" s="803" t="s">
        <v>648</v>
      </c>
      <c r="Y28" s="813" t="s">
        <v>2330</v>
      </c>
      <c r="Z28" s="813"/>
      <c r="AA28" s="813">
        <f>AA25/Z25</f>
        <v>15.37300411522634</v>
      </c>
    </row>
    <row r="29" spans="1:27" ht="15.75" thickBot="1" x14ac:dyDescent="0.3"/>
    <row r="30" spans="1:27" ht="15.75" thickBot="1" x14ac:dyDescent="0.3">
      <c r="A30" s="1004" t="s">
        <v>1896</v>
      </c>
      <c r="B30" s="817" t="s">
        <v>885</v>
      </c>
      <c r="C30" s="818"/>
      <c r="D30" s="819" t="s">
        <v>959</v>
      </c>
      <c r="E30" s="817"/>
      <c r="F30" s="1432" t="s">
        <v>1952</v>
      </c>
      <c r="G30" s="1037"/>
      <c r="H30" s="817" t="s">
        <v>926</v>
      </c>
      <c r="I30" s="818"/>
      <c r="J30" s="819" t="s">
        <v>1897</v>
      </c>
      <c r="K30" s="818"/>
      <c r="L30" s="819" t="s">
        <v>888</v>
      </c>
      <c r="M30" s="818"/>
      <c r="N30" s="819" t="s">
        <v>1080</v>
      </c>
      <c r="O30" s="818"/>
      <c r="P30" s="819" t="s">
        <v>1001</v>
      </c>
      <c r="Q30" s="817"/>
      <c r="R30" s="1433" t="s">
        <v>771</v>
      </c>
      <c r="S30" s="1037"/>
    </row>
    <row r="31" spans="1:27" x14ac:dyDescent="0.25">
      <c r="A31" s="820" t="s">
        <v>1898</v>
      </c>
      <c r="B31" s="1428">
        <f>Z7</f>
        <v>1596</v>
      </c>
      <c r="C31" s="1007"/>
      <c r="D31" s="1429">
        <f>Z8+Z9</f>
        <v>1194</v>
      </c>
      <c r="E31" s="1006"/>
      <c r="F31" s="1430">
        <f>Z9</f>
        <v>95</v>
      </c>
      <c r="G31" s="1039"/>
      <c r="H31" s="1428">
        <f>Z10</f>
        <v>0</v>
      </c>
      <c r="I31" s="1007"/>
      <c r="J31" s="1429">
        <f>Z11</f>
        <v>0</v>
      </c>
      <c r="K31" s="1007"/>
      <c r="L31" s="1429">
        <f>Z12</f>
        <v>22</v>
      </c>
      <c r="M31" s="1007"/>
      <c r="N31" s="1429">
        <f>Z13+Z14</f>
        <v>347</v>
      </c>
      <c r="O31" s="1007"/>
      <c r="P31" s="1429">
        <f>Z14-Z14</f>
        <v>0</v>
      </c>
      <c r="Q31" s="1006"/>
      <c r="R31" s="1431">
        <f>B31+D31+H31+J31+L31+N31+P31</f>
        <v>3159</v>
      </c>
      <c r="S31" s="1008"/>
    </row>
    <row r="32" spans="1:27" ht="15.75" thickBot="1" x14ac:dyDescent="0.3">
      <c r="A32" s="1002" t="s">
        <v>1901</v>
      </c>
      <c r="B32" s="1009">
        <f>'Вхідні дані'!D42</f>
        <v>0</v>
      </c>
      <c r="C32" s="1010"/>
      <c r="D32" s="1011">
        <f>B32</f>
        <v>0</v>
      </c>
      <c r="E32" s="1009"/>
      <c r="F32" s="1040">
        <f>D32</f>
        <v>0</v>
      </c>
      <c r="G32" s="1038"/>
      <c r="H32" s="1009">
        <f>B32</f>
        <v>0</v>
      </c>
      <c r="I32" s="1010"/>
      <c r="J32" s="1011">
        <f>B32</f>
        <v>0</v>
      </c>
      <c r="K32" s="1010"/>
      <c r="L32" s="1011">
        <f>B32</f>
        <v>0</v>
      </c>
      <c r="M32" s="1010"/>
      <c r="N32" s="1011">
        <f>B32</f>
        <v>0</v>
      </c>
      <c r="O32" s="1010"/>
      <c r="P32" s="1011">
        <f>B32</f>
        <v>0</v>
      </c>
      <c r="Q32" s="1009"/>
      <c r="R32" s="1012">
        <f>B32</f>
        <v>0</v>
      </c>
      <c r="S32" s="1013"/>
    </row>
    <row r="33" spans="1:19" ht="15.75" thickBot="1" x14ac:dyDescent="0.3">
      <c r="A33" s="1003" t="s">
        <v>1025</v>
      </c>
      <c r="B33" s="4514">
        <f>B31*B32</f>
        <v>0</v>
      </c>
      <c r="C33" s="4512"/>
      <c r="D33" s="4511">
        <f>D31*D32</f>
        <v>0</v>
      </c>
      <c r="E33" s="4512"/>
      <c r="F33" s="4511">
        <f>F31*F32</f>
        <v>0</v>
      </c>
      <c r="G33" s="4513"/>
      <c r="H33" s="4514">
        <f>H31*H32</f>
        <v>0</v>
      </c>
      <c r="I33" s="4512"/>
      <c r="J33" s="4511">
        <f>J31*J32</f>
        <v>0</v>
      </c>
      <c r="K33" s="4512"/>
      <c r="L33" s="4511">
        <f>L31*L32</f>
        <v>0</v>
      </c>
      <c r="M33" s="4512"/>
      <c r="N33" s="4511">
        <f>N31*N32</f>
        <v>0</v>
      </c>
      <c r="O33" s="4512"/>
      <c r="P33" s="4511">
        <f>P31*P32</f>
        <v>0</v>
      </c>
      <c r="Q33" s="4513"/>
      <c r="R33" s="4514">
        <f>R31*R32</f>
        <v>0</v>
      </c>
      <c r="S33" s="4513"/>
    </row>
  </sheetData>
  <mergeCells count="23">
    <mergeCell ref="T5:U5"/>
    <mergeCell ref="V5:W5"/>
    <mergeCell ref="X5:Y5"/>
    <mergeCell ref="Z5:AA5"/>
    <mergeCell ref="A3:AA3"/>
    <mergeCell ref="B5:C5"/>
    <mergeCell ref="D5:E5"/>
    <mergeCell ref="F5:G5"/>
    <mergeCell ref="H5:I5"/>
    <mergeCell ref="J5:K5"/>
    <mergeCell ref="L5:M5"/>
    <mergeCell ref="N5:O5"/>
    <mergeCell ref="P5:Q5"/>
    <mergeCell ref="R5:S5"/>
    <mergeCell ref="L33:M33"/>
    <mergeCell ref="N33:O33"/>
    <mergeCell ref="P33:Q33"/>
    <mergeCell ref="R33:S33"/>
    <mergeCell ref="B33:C33"/>
    <mergeCell ref="D33:E33"/>
    <mergeCell ref="F33:G33"/>
    <mergeCell ref="H33:I33"/>
    <mergeCell ref="J33:K33"/>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2" tint="-0.499984740745262"/>
    <pageSetUpPr fitToPage="1"/>
  </sheetPr>
  <dimension ref="B1:Q28"/>
  <sheetViews>
    <sheetView workbookViewId="0">
      <pane xSplit="1" ySplit="3" topLeftCell="B4" activePane="bottomRight" state="frozen"/>
      <selection pane="topRight" activeCell="B1" sqref="B1"/>
      <selection pane="bottomLeft" activeCell="A4" sqref="A4"/>
      <selection pane="bottomRight" activeCell="E15" sqref="E15:E16"/>
    </sheetView>
  </sheetViews>
  <sheetFormatPr defaultColWidth="8.85546875" defaultRowHeight="15.75" x14ac:dyDescent="0.25"/>
  <cols>
    <col min="1" max="1" width="4.28515625" style="58" customWidth="1"/>
    <col min="2" max="2" width="28.28515625" style="1781" customWidth="1"/>
    <col min="3" max="3" width="11.5703125" style="58" customWidth="1"/>
    <col min="4" max="4" width="22" style="1781" customWidth="1"/>
    <col min="5" max="7" width="12.85546875" style="58" customWidth="1"/>
    <col min="8" max="8" width="8" style="58" customWidth="1"/>
    <col min="9" max="10" width="6.140625" style="58" customWidth="1"/>
    <col min="11" max="11" width="5.7109375" style="58" customWidth="1"/>
    <col min="12" max="12" width="6.140625" style="58" customWidth="1"/>
    <col min="13" max="13" width="5.7109375" style="58" customWidth="1"/>
    <col min="14" max="14" width="10" style="58" customWidth="1"/>
    <col min="15" max="15" width="11.28515625" style="58" customWidth="1"/>
    <col min="16" max="16" width="16.140625" style="58" customWidth="1"/>
    <col min="17" max="17" width="11.85546875" style="58" customWidth="1"/>
    <col min="18" max="16384" width="8.85546875" style="58"/>
  </cols>
  <sheetData>
    <row r="1" spans="2:17" x14ac:dyDescent="0.25">
      <c r="O1" s="58" t="s">
        <v>2563</v>
      </c>
    </row>
    <row r="2" spans="2:17" ht="17.45" customHeight="1" x14ac:dyDescent="0.25">
      <c r="B2" s="4520" t="s">
        <v>2342</v>
      </c>
      <c r="C2" s="4520"/>
      <c r="D2" s="4520"/>
      <c r="E2" s="4520"/>
      <c r="F2" s="1856"/>
      <c r="G2" s="1856"/>
      <c r="H2" s="4519">
        <f>C5+E5+I5+K5+M5+O5+Q5</f>
        <v>2157571.3333333335</v>
      </c>
      <c r="I2" s="4519"/>
      <c r="J2" s="4519"/>
      <c r="O2" s="58" t="s">
        <v>2564</v>
      </c>
    </row>
    <row r="3" spans="2:17" x14ac:dyDescent="0.25">
      <c r="B3" s="4428" t="s">
        <v>885</v>
      </c>
      <c r="C3" s="4428"/>
      <c r="D3" s="4521" t="s">
        <v>959</v>
      </c>
      <c r="E3" s="4522"/>
      <c r="F3" s="4522"/>
      <c r="G3" s="4523"/>
      <c r="H3" s="4428" t="s">
        <v>926</v>
      </c>
      <c r="I3" s="4428"/>
      <c r="J3" s="4428" t="s">
        <v>1370</v>
      </c>
      <c r="K3" s="4428"/>
      <c r="L3" s="4428" t="s">
        <v>888</v>
      </c>
      <c r="M3" s="4428"/>
      <c r="N3" s="4428" t="s">
        <v>1000</v>
      </c>
      <c r="O3" s="4428"/>
      <c r="P3" s="4428" t="s">
        <v>2343</v>
      </c>
      <c r="Q3" s="4428"/>
    </row>
    <row r="4" spans="2:17" ht="28.15" customHeight="1" x14ac:dyDescent="0.25">
      <c r="B4" s="15" t="s">
        <v>2340</v>
      </c>
      <c r="C4" s="808" t="s">
        <v>2341</v>
      </c>
      <c r="D4" s="15" t="s">
        <v>2340</v>
      </c>
      <c r="E4" s="1869" t="s">
        <v>2595</v>
      </c>
      <c r="F4" s="1869" t="s">
        <v>2596</v>
      </c>
      <c r="G4" s="1869" t="s">
        <v>2597</v>
      </c>
      <c r="H4" s="1481" t="s">
        <v>2340</v>
      </c>
      <c r="I4" s="808" t="s">
        <v>2341</v>
      </c>
      <c r="J4" s="1481" t="s">
        <v>2340</v>
      </c>
      <c r="K4" s="808" t="s">
        <v>2341</v>
      </c>
      <c r="L4" s="1481" t="s">
        <v>2340</v>
      </c>
      <c r="M4" s="808" t="s">
        <v>2341</v>
      </c>
      <c r="N4" s="1481" t="s">
        <v>2340</v>
      </c>
      <c r="O4" s="808" t="s">
        <v>2341</v>
      </c>
      <c r="P4" s="1481" t="s">
        <v>2340</v>
      </c>
      <c r="Q4" s="808" t="s">
        <v>2341</v>
      </c>
    </row>
    <row r="5" spans="2:17" s="57" customFormat="1" x14ac:dyDescent="0.25">
      <c r="B5" s="1793" t="s">
        <v>1890</v>
      </c>
      <c r="C5" s="1500">
        <f>SUM(C6:C28)</f>
        <v>823657.33333333337</v>
      </c>
      <c r="D5" s="1793"/>
      <c r="E5" s="1500">
        <f>SUM(E6:E28)</f>
        <v>1103314</v>
      </c>
      <c r="F5" s="1500">
        <f>SUM(F6:F28)</f>
        <v>385323.43952802359</v>
      </c>
      <c r="G5" s="1500">
        <f>SUM(G6:G28)</f>
        <v>37527.116666666669</v>
      </c>
      <c r="H5" s="1248"/>
      <c r="I5" s="1500">
        <f>SUM(I6:I28)</f>
        <v>0</v>
      </c>
      <c r="J5" s="1248"/>
      <c r="K5" s="1500">
        <f>SUM(K6:K28)</f>
        <v>0</v>
      </c>
      <c r="L5" s="1248"/>
      <c r="M5" s="1500">
        <f>SUM(M6:M28)</f>
        <v>0</v>
      </c>
      <c r="N5" s="1248"/>
      <c r="O5" s="1500">
        <f>SUM(O6:O28)</f>
        <v>168100</v>
      </c>
      <c r="P5" s="1248"/>
      <c r="Q5" s="1500">
        <f>SUM(Q6:Q28)</f>
        <v>62500</v>
      </c>
    </row>
    <row r="6" spans="2:17" ht="30.6" customHeight="1" x14ac:dyDescent="0.25">
      <c r="B6" s="1797" t="s">
        <v>2344</v>
      </c>
      <c r="C6" s="1854"/>
      <c r="D6" s="808" t="s">
        <v>2439</v>
      </c>
      <c r="E6" s="878"/>
      <c r="F6" s="878"/>
      <c r="G6" s="878">
        <f>720/1.2+12000+9000+10000</f>
        <v>31600</v>
      </c>
      <c r="H6" s="878"/>
      <c r="I6" s="878"/>
      <c r="J6" s="878"/>
      <c r="K6" s="878"/>
      <c r="L6" s="878"/>
      <c r="M6" s="878"/>
      <c r="N6" s="1797" t="s">
        <v>2344</v>
      </c>
      <c r="O6" s="1853">
        <f>'Д 9_ЕЕ'!D168*1000</f>
        <v>0</v>
      </c>
      <c r="P6" s="1850" t="s">
        <v>2562</v>
      </c>
      <c r="Q6" s="1785">
        <f>75000/1.2</f>
        <v>62500</v>
      </c>
    </row>
    <row r="7" spans="2:17" ht="31.5" x14ac:dyDescent="0.25">
      <c r="B7" s="808"/>
      <c r="C7" s="878"/>
      <c r="D7" s="808" t="s">
        <v>2465</v>
      </c>
      <c r="E7" s="878"/>
      <c r="F7" s="1755"/>
      <c r="G7" s="1755">
        <f>7112.54/1.2</f>
        <v>5927.1166666666668</v>
      </c>
      <c r="H7" s="878"/>
      <c r="I7" s="878"/>
      <c r="J7" s="878"/>
      <c r="K7" s="878"/>
      <c r="L7" s="878"/>
      <c r="M7" s="878"/>
      <c r="N7" s="808" t="s">
        <v>2465</v>
      </c>
      <c r="O7" s="1755">
        <f>168100-O20</f>
        <v>148942.77286135693</v>
      </c>
      <c r="P7" s="878"/>
      <c r="Q7" s="878"/>
    </row>
    <row r="8" spans="2:17" hidden="1" x14ac:dyDescent="0.25">
      <c r="B8" s="808"/>
      <c r="C8" s="878"/>
      <c r="D8" s="808"/>
      <c r="E8" s="878"/>
      <c r="F8" s="878"/>
      <c r="G8" s="878"/>
      <c r="H8" s="878"/>
      <c r="I8" s="878"/>
      <c r="J8" s="878"/>
      <c r="K8" s="878"/>
      <c r="L8" s="878"/>
      <c r="M8" s="878"/>
      <c r="N8" s="878"/>
      <c r="O8" s="878"/>
      <c r="P8" s="878"/>
      <c r="Q8" s="878"/>
    </row>
    <row r="9" spans="2:17" hidden="1" x14ac:dyDescent="0.25">
      <c r="B9" s="808"/>
      <c r="C9" s="878"/>
      <c r="D9" s="808"/>
      <c r="E9" s="878"/>
      <c r="F9" s="878"/>
      <c r="G9" s="878"/>
      <c r="H9" s="878"/>
      <c r="I9" s="878"/>
      <c r="J9" s="878"/>
      <c r="K9" s="878"/>
      <c r="L9" s="878"/>
      <c r="M9" s="878"/>
      <c r="N9" s="878"/>
      <c r="O9" s="878"/>
      <c r="P9" s="878"/>
      <c r="Q9" s="878"/>
    </row>
    <row r="10" spans="2:17" hidden="1" x14ac:dyDescent="0.25">
      <c r="B10" s="808"/>
      <c r="C10" s="878"/>
      <c r="D10" s="808"/>
      <c r="E10" s="878"/>
      <c r="F10" s="878"/>
      <c r="G10" s="878"/>
      <c r="H10" s="878"/>
      <c r="I10" s="878"/>
      <c r="J10" s="878"/>
      <c r="K10" s="878"/>
      <c r="L10" s="878"/>
      <c r="M10" s="878"/>
      <c r="N10" s="878"/>
      <c r="O10" s="878"/>
      <c r="P10" s="878"/>
      <c r="Q10" s="878"/>
    </row>
    <row r="11" spans="2:17" hidden="1" x14ac:dyDescent="0.25">
      <c r="B11" s="808"/>
      <c r="C11" s="878"/>
      <c r="D11" s="808"/>
      <c r="E11" s="878"/>
      <c r="F11" s="878"/>
      <c r="G11" s="878"/>
      <c r="H11" s="878"/>
      <c r="I11" s="878"/>
      <c r="J11" s="878"/>
      <c r="K11" s="878"/>
      <c r="L11" s="878"/>
      <c r="M11" s="878"/>
      <c r="N11" s="878"/>
      <c r="O11" s="878"/>
      <c r="P11" s="878"/>
      <c r="Q11" s="878"/>
    </row>
    <row r="12" spans="2:17" hidden="1" x14ac:dyDescent="0.25">
      <c r="B12" s="808"/>
      <c r="C12" s="878"/>
      <c r="D12" s="808"/>
      <c r="E12" s="1755"/>
      <c r="F12" s="1755"/>
      <c r="G12" s="1755"/>
      <c r="H12" s="878"/>
      <c r="I12" s="878"/>
      <c r="J12" s="878"/>
      <c r="K12" s="878"/>
      <c r="L12" s="878"/>
      <c r="M12" s="878"/>
      <c r="N12" s="878"/>
      <c r="O12" s="878"/>
      <c r="P12" s="878"/>
      <c r="Q12" s="878"/>
    </row>
    <row r="13" spans="2:17" s="57" customFormat="1" ht="33.6" customHeight="1" x14ac:dyDescent="0.25">
      <c r="B13" s="1793" t="s">
        <v>2473</v>
      </c>
      <c r="C13" s="1248"/>
      <c r="D13" s="1793"/>
      <c r="E13" s="1248"/>
      <c r="F13" s="1248"/>
      <c r="G13" s="1248"/>
      <c r="H13" s="1248"/>
      <c r="I13" s="1248"/>
      <c r="J13" s="1248"/>
      <c r="K13" s="1248"/>
      <c r="L13" s="1248"/>
      <c r="M13" s="1248"/>
      <c r="N13" s="1248"/>
      <c r="O13" s="1248"/>
      <c r="P13" s="1248"/>
      <c r="Q13" s="1248"/>
    </row>
    <row r="14" spans="2:17" ht="63" x14ac:dyDescent="0.25">
      <c r="B14" s="808" t="s">
        <v>2467</v>
      </c>
      <c r="C14" s="878">
        <v>502824</v>
      </c>
      <c r="D14" s="808" t="s">
        <v>2468</v>
      </c>
      <c r="E14" s="878"/>
      <c r="F14" s="878">
        <v>297314</v>
      </c>
      <c r="G14" s="878"/>
      <c r="H14" s="878"/>
      <c r="I14" s="878"/>
      <c r="J14" s="878"/>
      <c r="K14" s="878"/>
      <c r="L14" s="878"/>
      <c r="M14" s="878"/>
      <c r="N14" s="878"/>
      <c r="O14" s="878"/>
      <c r="P14" s="878"/>
      <c r="Q14" s="878"/>
    </row>
    <row r="15" spans="2:17" ht="94.5" x14ac:dyDescent="0.25">
      <c r="B15" s="1850" t="s">
        <v>2560</v>
      </c>
      <c r="C15" s="1785">
        <f>285000/1.2</f>
        <v>237500</v>
      </c>
      <c r="D15" s="808" t="s">
        <v>2469</v>
      </c>
      <c r="E15" s="878">
        <v>306215</v>
      </c>
      <c r="F15" s="878"/>
      <c r="G15" s="878"/>
      <c r="H15" s="878"/>
      <c r="I15" s="878"/>
      <c r="J15" s="878"/>
      <c r="K15" s="878"/>
      <c r="L15" s="878"/>
      <c r="M15" s="878"/>
      <c r="N15" s="878"/>
      <c r="O15" s="878"/>
      <c r="P15" s="878"/>
      <c r="Q15" s="878"/>
    </row>
    <row r="16" spans="2:17" ht="31.5" x14ac:dyDescent="0.25">
      <c r="B16" s="1850" t="s">
        <v>2561</v>
      </c>
      <c r="C16" s="1851">
        <f>100000/1.2</f>
        <v>83333.333333333343</v>
      </c>
      <c r="D16" s="808" t="s">
        <v>2470</v>
      </c>
      <c r="E16" s="878">
        <v>240032</v>
      </c>
      <c r="F16" s="878"/>
      <c r="G16" s="878"/>
      <c r="H16" s="878"/>
      <c r="I16" s="878"/>
      <c r="J16" s="878"/>
      <c r="K16" s="878"/>
      <c r="L16" s="878"/>
      <c r="M16" s="878"/>
      <c r="N16" s="878"/>
      <c r="O16" s="878"/>
      <c r="P16" s="878"/>
      <c r="Q16" s="878"/>
    </row>
    <row r="17" spans="2:17" ht="31.5" x14ac:dyDescent="0.25">
      <c r="B17" s="808"/>
      <c r="C17" s="878"/>
      <c r="D17" s="808" t="s">
        <v>2471</v>
      </c>
      <c r="E17" s="878">
        <v>77026</v>
      </c>
      <c r="F17" s="878"/>
      <c r="G17" s="878"/>
      <c r="H17" s="878"/>
      <c r="I17" s="878"/>
      <c r="J17" s="878"/>
      <c r="K17" s="878"/>
      <c r="L17" s="878"/>
      <c r="M17" s="878"/>
      <c r="N17" s="878"/>
      <c r="O17" s="878"/>
      <c r="P17" s="878"/>
      <c r="Q17" s="878"/>
    </row>
    <row r="18" spans="2:17" ht="47.25" x14ac:dyDescent="0.25">
      <c r="B18" s="808"/>
      <c r="C18" s="878"/>
      <c r="D18" s="808" t="s">
        <v>2472</v>
      </c>
      <c r="E18" s="878">
        <v>181041</v>
      </c>
      <c r="F18" s="878"/>
      <c r="G18" s="878"/>
      <c r="H18" s="878"/>
      <c r="I18" s="878"/>
      <c r="J18" s="878"/>
      <c r="K18" s="878"/>
      <c r="L18" s="878"/>
      <c r="M18" s="878"/>
      <c r="N18" s="878"/>
      <c r="O18" s="878"/>
      <c r="P18" s="878"/>
      <c r="Q18" s="878"/>
    </row>
    <row r="19" spans="2:17" ht="47.25" x14ac:dyDescent="0.25">
      <c r="B19" s="808"/>
      <c r="C19" s="878"/>
      <c r="D19" s="808" t="s">
        <v>2440</v>
      </c>
      <c r="E19" s="878">
        <v>299000</v>
      </c>
      <c r="F19" s="878"/>
      <c r="G19" s="878"/>
      <c r="H19" s="878"/>
      <c r="I19" s="878"/>
      <c r="J19" s="878"/>
      <c r="K19" s="878"/>
      <c r="L19" s="878"/>
      <c r="M19" s="878"/>
      <c r="N19" s="878"/>
      <c r="O19" s="878"/>
      <c r="P19" s="878"/>
      <c r="Q19" s="878"/>
    </row>
    <row r="20" spans="2:17" ht="53.45" customHeight="1" x14ac:dyDescent="0.25">
      <c r="B20" s="808"/>
      <c r="C20" s="878"/>
      <c r="D20" s="1850" t="s">
        <v>2558</v>
      </c>
      <c r="E20" s="1851"/>
      <c r="F20" s="1851">
        <f>128.6/169.5*139.2/1.2*1000</f>
        <v>88009.439528023606</v>
      </c>
      <c r="G20" s="1851"/>
      <c r="H20" s="1785"/>
      <c r="I20" s="1785"/>
      <c r="J20" s="1785"/>
      <c r="K20" s="1785"/>
      <c r="L20" s="1785"/>
      <c r="M20" s="1785"/>
      <c r="N20" s="1852" t="s">
        <v>2559</v>
      </c>
      <c r="O20" s="1851">
        <f>128.6/169.5*30.3/1.2*1000</f>
        <v>19157.227138643069</v>
      </c>
      <c r="P20" s="878"/>
      <c r="Q20" s="878"/>
    </row>
    <row r="21" spans="2:17" x14ac:dyDescent="0.25">
      <c r="B21" s="808"/>
      <c r="C21" s="878"/>
      <c r="D21" s="808"/>
      <c r="E21" s="878"/>
      <c r="F21" s="878"/>
      <c r="G21" s="878"/>
      <c r="H21" s="878"/>
      <c r="I21" s="878"/>
      <c r="J21" s="878"/>
      <c r="K21" s="878"/>
      <c r="L21" s="878"/>
      <c r="M21" s="878"/>
      <c r="N21" s="878"/>
      <c r="O21" s="878"/>
      <c r="P21" s="878"/>
      <c r="Q21" s="878"/>
    </row>
    <row r="22" spans="2:17" x14ac:dyDescent="0.25">
      <c r="B22" s="808"/>
      <c r="C22" s="878"/>
      <c r="D22" s="808"/>
      <c r="E22" s="878"/>
      <c r="F22" s="878"/>
      <c r="G22" s="878"/>
      <c r="H22" s="878"/>
      <c r="I22" s="878"/>
      <c r="J22" s="878"/>
      <c r="K22" s="878"/>
      <c r="L22" s="878"/>
      <c r="M22" s="878"/>
      <c r="N22" s="878"/>
      <c r="O22" s="878"/>
      <c r="P22" s="878"/>
      <c r="Q22" s="878"/>
    </row>
    <row r="23" spans="2:17" x14ac:dyDescent="0.25">
      <c r="B23" s="808"/>
      <c r="C23" s="878"/>
      <c r="D23" s="808"/>
      <c r="E23" s="878"/>
      <c r="F23" s="878"/>
      <c r="G23" s="878"/>
      <c r="H23" s="878"/>
      <c r="I23" s="878"/>
      <c r="J23" s="878"/>
      <c r="K23" s="878"/>
      <c r="L23" s="878"/>
      <c r="M23" s="878"/>
      <c r="N23" s="878"/>
      <c r="O23" s="878"/>
      <c r="P23" s="878"/>
      <c r="Q23" s="878"/>
    </row>
    <row r="24" spans="2:17" x14ac:dyDescent="0.25">
      <c r="B24" s="808"/>
      <c r="C24" s="878"/>
      <c r="D24" s="808"/>
      <c r="E24" s="878"/>
      <c r="F24" s="878"/>
      <c r="G24" s="878"/>
      <c r="H24" s="878"/>
      <c r="I24" s="878"/>
      <c r="J24" s="878"/>
      <c r="K24" s="878"/>
      <c r="L24" s="878"/>
      <c r="M24" s="878"/>
      <c r="N24" s="878"/>
      <c r="O24" s="878"/>
      <c r="P24" s="878"/>
      <c r="Q24" s="878"/>
    </row>
    <row r="25" spans="2:17" x14ac:dyDescent="0.25">
      <c r="B25" s="808"/>
      <c r="C25" s="878"/>
      <c r="D25" s="808"/>
      <c r="E25" s="878"/>
      <c r="F25" s="878"/>
      <c r="G25" s="878"/>
      <c r="H25" s="878"/>
      <c r="I25" s="878"/>
      <c r="J25" s="878"/>
      <c r="K25" s="878"/>
      <c r="L25" s="878"/>
      <c r="M25" s="878"/>
      <c r="N25" s="878"/>
      <c r="O25" s="878"/>
      <c r="P25" s="878"/>
      <c r="Q25" s="878"/>
    </row>
    <row r="26" spans="2:17" x14ac:dyDescent="0.25">
      <c r="B26" s="808"/>
      <c r="C26" s="878"/>
      <c r="D26" s="808"/>
      <c r="E26" s="878"/>
      <c r="F26" s="878"/>
      <c r="G26" s="878"/>
      <c r="H26" s="878"/>
      <c r="I26" s="878"/>
      <c r="J26" s="878"/>
      <c r="K26" s="878"/>
      <c r="L26" s="878"/>
      <c r="M26" s="878"/>
      <c r="N26" s="878"/>
      <c r="O26" s="878"/>
      <c r="P26" s="878"/>
      <c r="Q26" s="878"/>
    </row>
    <row r="27" spans="2:17" x14ac:dyDescent="0.25">
      <c r="B27" s="808"/>
      <c r="C27" s="878"/>
      <c r="D27" s="808"/>
      <c r="E27" s="878"/>
      <c r="F27" s="878"/>
      <c r="G27" s="878"/>
      <c r="H27" s="878"/>
      <c r="I27" s="878"/>
      <c r="J27" s="878"/>
      <c r="K27" s="878"/>
      <c r="L27" s="878"/>
      <c r="M27" s="878"/>
      <c r="N27" s="878"/>
      <c r="O27" s="878"/>
      <c r="P27" s="878"/>
      <c r="Q27" s="878"/>
    </row>
    <row r="28" spans="2:17" x14ac:dyDescent="0.25">
      <c r="B28" s="808"/>
      <c r="C28" s="878"/>
      <c r="D28" s="808"/>
      <c r="E28" s="878"/>
      <c r="F28" s="878"/>
      <c r="G28" s="878"/>
      <c r="H28" s="878"/>
      <c r="I28" s="878"/>
      <c r="J28" s="878"/>
      <c r="K28" s="878"/>
      <c r="L28" s="878"/>
      <c r="M28" s="878"/>
      <c r="N28" s="878"/>
      <c r="O28" s="878"/>
      <c r="P28" s="878"/>
      <c r="Q28" s="878"/>
    </row>
  </sheetData>
  <mergeCells count="9">
    <mergeCell ref="P3:Q3"/>
    <mergeCell ref="H2:J2"/>
    <mergeCell ref="B3:C3"/>
    <mergeCell ref="H3:I3"/>
    <mergeCell ref="J3:K3"/>
    <mergeCell ref="L3:M3"/>
    <mergeCell ref="N3:O3"/>
    <mergeCell ref="B2:E2"/>
    <mergeCell ref="D3:G3"/>
  </mergeCells>
  <pageMargins left="0.18" right="0.16" top="0.53" bottom="0.19" header="0.31496062992125984" footer="0.21"/>
  <pageSetup paperSize="9" scale="89" orientation="landscape" horizontalDpi="0"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2" tint="-0.499984740745262"/>
  </sheetPr>
  <dimension ref="B1:M60"/>
  <sheetViews>
    <sheetView topLeftCell="C13" workbookViewId="0">
      <selection activeCell="F28" sqref="C27:F28"/>
    </sheetView>
  </sheetViews>
  <sheetFormatPr defaultColWidth="8.85546875" defaultRowHeight="15.75" x14ac:dyDescent="0.25"/>
  <cols>
    <col min="1" max="1" width="4.28515625" style="508" customWidth="1"/>
    <col min="2" max="2" width="4.42578125" style="508" customWidth="1"/>
    <col min="3" max="3" width="39.28515625" style="508" customWidth="1"/>
    <col min="4" max="4" width="40.42578125" style="508" customWidth="1"/>
    <col min="5" max="5" width="11.42578125" style="508" customWidth="1"/>
    <col min="6" max="8" width="11.85546875" style="508" customWidth="1"/>
    <col min="9" max="9" width="3.28515625" style="508" customWidth="1"/>
    <col min="10" max="10" width="11" style="508" customWidth="1"/>
    <col min="11" max="11" width="11.140625" style="508" customWidth="1"/>
    <col min="12" max="12" width="13.7109375" style="508" customWidth="1"/>
    <col min="13" max="13" width="11.28515625" style="508" customWidth="1"/>
    <col min="14" max="16384" width="8.85546875" style="508"/>
  </cols>
  <sheetData>
    <row r="1" spans="2:13" x14ac:dyDescent="0.25">
      <c r="H1" s="508" t="s">
        <v>956</v>
      </c>
    </row>
    <row r="3" spans="2:13" x14ac:dyDescent="0.25">
      <c r="B3" s="4283" t="s">
        <v>1825</v>
      </c>
      <c r="C3" s="4283"/>
      <c r="D3" s="4283"/>
      <c r="E3" s="4283"/>
      <c r="F3" s="4525" t="str">
        <f>'Вхідні дані'!F5</f>
        <v>ЧФ ДП "АМПУ"</v>
      </c>
      <c r="G3" s="4525"/>
      <c r="H3" s="4525"/>
    </row>
    <row r="4" spans="2:13" x14ac:dyDescent="0.25">
      <c r="B4" s="730"/>
      <c r="C4" s="989" t="s">
        <v>461</v>
      </c>
      <c r="D4" s="990" t="str">
        <f>'Вхідні дані'!F6</f>
        <v>2023-2024</v>
      </c>
      <c r="E4" s="730" t="s">
        <v>648</v>
      </c>
      <c r="G4" s="730"/>
      <c r="H4" s="730"/>
    </row>
    <row r="5" spans="2:13" ht="16.5" thickBot="1" x14ac:dyDescent="0.3"/>
    <row r="6" spans="2:13" x14ac:dyDescent="0.25">
      <c r="B6" s="4526" t="s">
        <v>1013</v>
      </c>
      <c r="C6" s="4528" t="s">
        <v>1486</v>
      </c>
      <c r="D6" s="4528" t="s">
        <v>1487</v>
      </c>
      <c r="E6" s="4530" t="s">
        <v>2270</v>
      </c>
      <c r="F6" s="952" t="s">
        <v>964</v>
      </c>
      <c r="G6" s="731" t="s">
        <v>461</v>
      </c>
      <c r="H6" s="732" t="str">
        <f>'Вхідні дані'!F6</f>
        <v>2023-2024</v>
      </c>
      <c r="J6" s="4524" t="s">
        <v>2282</v>
      </c>
      <c r="K6" s="1379" t="s">
        <v>964</v>
      </c>
      <c r="L6" s="1379" t="s">
        <v>461</v>
      </c>
      <c r="M6" s="1379" t="s">
        <v>674</v>
      </c>
    </row>
    <row r="7" spans="2:13" ht="32.25" thickBot="1" x14ac:dyDescent="0.3">
      <c r="B7" s="4527"/>
      <c r="C7" s="4529"/>
      <c r="D7" s="4529"/>
      <c r="E7" s="4531"/>
      <c r="F7" s="953" t="s">
        <v>1080</v>
      </c>
      <c r="G7" s="742" t="s">
        <v>1001</v>
      </c>
      <c r="H7" s="743" t="s">
        <v>1002</v>
      </c>
      <c r="J7" s="4524"/>
      <c r="K7" s="1376" t="s">
        <v>1080</v>
      </c>
      <c r="L7" s="1376" t="s">
        <v>1001</v>
      </c>
      <c r="M7" s="1377" t="s">
        <v>1002</v>
      </c>
    </row>
    <row r="8" spans="2:13" x14ac:dyDescent="0.25">
      <c r="B8" s="738">
        <v>1</v>
      </c>
      <c r="C8" s="739" t="s">
        <v>2484</v>
      </c>
      <c r="D8" s="739" t="s">
        <v>1488</v>
      </c>
      <c r="E8" s="950">
        <v>2290</v>
      </c>
      <c r="F8" s="954"/>
      <c r="G8" s="740">
        <v>2190</v>
      </c>
      <c r="H8" s="741">
        <f t="shared" ref="H8:H32" si="0">SUM(F8:G8)</f>
        <v>2190</v>
      </c>
      <c r="J8" s="510">
        <v>7900</v>
      </c>
      <c r="K8" s="510"/>
      <c r="L8" s="510"/>
      <c r="M8" s="510">
        <v>0</v>
      </c>
    </row>
    <row r="9" spans="2:13" x14ac:dyDescent="0.25">
      <c r="B9" s="733">
        <f>B8+1</f>
        <v>2</v>
      </c>
      <c r="C9" s="739" t="s">
        <v>2484</v>
      </c>
      <c r="D9" s="533" t="s">
        <v>1489</v>
      </c>
      <c r="E9" s="951">
        <v>45000</v>
      </c>
      <c r="F9" s="955"/>
      <c r="G9" s="534">
        <f>850</f>
        <v>850</v>
      </c>
      <c r="H9" s="741">
        <f t="shared" si="0"/>
        <v>850</v>
      </c>
      <c r="J9" s="510">
        <v>4500</v>
      </c>
      <c r="K9" s="510"/>
      <c r="L9" s="510">
        <v>1575</v>
      </c>
      <c r="M9" s="510">
        <v>1575</v>
      </c>
    </row>
    <row r="10" spans="2:13" ht="31.5" x14ac:dyDescent="0.25">
      <c r="B10" s="733">
        <f>B9+1</f>
        <v>3</v>
      </c>
      <c r="C10" s="535" t="s">
        <v>1490</v>
      </c>
      <c r="D10" s="535" t="s">
        <v>1491</v>
      </c>
      <c r="E10" s="951"/>
      <c r="F10" s="955"/>
      <c r="G10" s="534">
        <f>4000/1.2</f>
        <v>3333.3333333333335</v>
      </c>
      <c r="H10" s="741">
        <f t="shared" si="0"/>
        <v>3333.3333333333335</v>
      </c>
      <c r="J10" s="510">
        <v>3333.33</v>
      </c>
      <c r="K10" s="510"/>
      <c r="L10" s="510"/>
      <c r="M10" s="510">
        <v>0</v>
      </c>
    </row>
    <row r="11" spans="2:13" x14ac:dyDescent="0.25">
      <c r="B11" s="733">
        <f t="shared" ref="B11:B30" si="1">B10+1</f>
        <v>4</v>
      </c>
      <c r="C11" s="533" t="s">
        <v>1492</v>
      </c>
      <c r="D11" s="535" t="s">
        <v>1493</v>
      </c>
      <c r="E11" s="951">
        <v>81950</v>
      </c>
      <c r="F11" s="955"/>
      <c r="G11" s="534">
        <v>79900</v>
      </c>
      <c r="H11" s="741">
        <f t="shared" si="0"/>
        <v>79900</v>
      </c>
      <c r="I11" s="508" t="s">
        <v>1893</v>
      </c>
      <c r="J11" s="510">
        <v>107265</v>
      </c>
      <c r="K11" s="510"/>
      <c r="L11" s="510">
        <v>81950</v>
      </c>
      <c r="M11" s="510">
        <v>81950</v>
      </c>
    </row>
    <row r="12" spans="2:13" x14ac:dyDescent="0.25">
      <c r="B12" s="733"/>
      <c r="C12" s="1382" t="s">
        <v>2284</v>
      </c>
      <c r="D12" s="1382" t="s">
        <v>2283</v>
      </c>
      <c r="E12" s="951">
        <f>4590</f>
        <v>4590</v>
      </c>
      <c r="F12" s="955"/>
      <c r="G12" s="534"/>
      <c r="H12" s="741">
        <f t="shared" si="0"/>
        <v>0</v>
      </c>
      <c r="J12" s="510"/>
      <c r="K12" s="510"/>
      <c r="L12" s="510"/>
      <c r="M12" s="510"/>
    </row>
    <row r="13" spans="2:13" ht="18.75" customHeight="1" x14ac:dyDescent="0.25">
      <c r="B13" s="733">
        <f>B11+1</f>
        <v>5</v>
      </c>
      <c r="C13" s="535" t="s">
        <v>1494</v>
      </c>
      <c r="D13" s="1380" t="s">
        <v>2523</v>
      </c>
      <c r="E13" s="951">
        <v>5200</v>
      </c>
      <c r="F13" s="534">
        <f>4500/3*1</f>
        <v>1500</v>
      </c>
      <c r="G13" s="534">
        <f>4500/3*2</f>
        <v>3000</v>
      </c>
      <c r="H13" s="741">
        <f t="shared" si="0"/>
        <v>4500</v>
      </c>
      <c r="J13" s="510">
        <v>1200</v>
      </c>
      <c r="K13" s="510">
        <v>1300</v>
      </c>
      <c r="L13" s="510">
        <v>3900</v>
      </c>
      <c r="M13" s="510">
        <v>5200</v>
      </c>
    </row>
    <row r="14" spans="2:13" x14ac:dyDescent="0.25">
      <c r="B14" s="733">
        <f t="shared" si="1"/>
        <v>6</v>
      </c>
      <c r="C14" s="533" t="s">
        <v>1495</v>
      </c>
      <c r="D14" s="533" t="s">
        <v>1496</v>
      </c>
      <c r="E14" s="951">
        <v>1840</v>
      </c>
      <c r="F14" s="955">
        <v>2120</v>
      </c>
      <c r="G14" s="734"/>
      <c r="H14" s="741">
        <f t="shared" si="0"/>
        <v>2120</v>
      </c>
      <c r="J14" s="510">
        <v>1680</v>
      </c>
      <c r="K14" s="510">
        <v>1840</v>
      </c>
      <c r="L14" s="510"/>
      <c r="M14" s="510">
        <v>1840</v>
      </c>
    </row>
    <row r="15" spans="2:13" x14ac:dyDescent="0.25">
      <c r="B15" s="733">
        <f t="shared" si="1"/>
        <v>7</v>
      </c>
      <c r="C15" s="535" t="s">
        <v>1497</v>
      </c>
      <c r="D15" s="533" t="s">
        <v>1496</v>
      </c>
      <c r="E15" s="951">
        <v>1760</v>
      </c>
      <c r="F15" s="955">
        <f t="shared" ref="F15:F16" si="2">E15</f>
        <v>1760</v>
      </c>
      <c r="G15" s="534"/>
      <c r="H15" s="741">
        <f t="shared" si="0"/>
        <v>1760</v>
      </c>
      <c r="J15" s="510">
        <v>1470</v>
      </c>
      <c r="K15" s="510">
        <v>1470</v>
      </c>
      <c r="L15" s="510"/>
      <c r="M15" s="510">
        <v>1470</v>
      </c>
    </row>
    <row r="16" spans="2:13" x14ac:dyDescent="0.25">
      <c r="B16" s="733">
        <f t="shared" si="1"/>
        <v>8</v>
      </c>
      <c r="C16" s="535" t="s">
        <v>1498</v>
      </c>
      <c r="D16" s="533" t="s">
        <v>1496</v>
      </c>
      <c r="E16" s="951">
        <v>3532</v>
      </c>
      <c r="F16" s="955">
        <f t="shared" si="2"/>
        <v>3532</v>
      </c>
      <c r="G16" s="534"/>
      <c r="H16" s="741">
        <f t="shared" si="0"/>
        <v>3532</v>
      </c>
      <c r="J16" s="510">
        <v>2825</v>
      </c>
      <c r="K16" s="510">
        <v>2825</v>
      </c>
      <c r="L16" s="510"/>
      <c r="M16" s="510">
        <v>2825</v>
      </c>
    </row>
    <row r="17" spans="2:13" x14ac:dyDescent="0.25">
      <c r="B17" s="733">
        <f t="shared" si="1"/>
        <v>9</v>
      </c>
      <c r="C17" s="533" t="s">
        <v>2446</v>
      </c>
      <c r="D17" s="535" t="s">
        <v>1493</v>
      </c>
      <c r="E17" s="951">
        <v>61000</v>
      </c>
      <c r="F17" s="955"/>
      <c r="G17" s="534"/>
      <c r="H17" s="741">
        <f t="shared" si="0"/>
        <v>0</v>
      </c>
      <c r="J17" s="510"/>
      <c r="K17" s="510"/>
      <c r="L17" s="510">
        <v>61000</v>
      </c>
      <c r="M17" s="510">
        <v>61000</v>
      </c>
    </row>
    <row r="18" spans="2:13" x14ac:dyDescent="0.25">
      <c r="B18" s="733">
        <f>B17+1</f>
        <v>10</v>
      </c>
      <c r="C18" s="533" t="s">
        <v>2447</v>
      </c>
      <c r="D18" s="533" t="s">
        <v>2448</v>
      </c>
      <c r="E18" s="951">
        <v>0</v>
      </c>
      <c r="F18" s="955"/>
      <c r="G18" s="534">
        <f>2800</f>
        <v>2800</v>
      </c>
      <c r="H18" s="741">
        <f t="shared" si="0"/>
        <v>2800</v>
      </c>
      <c r="J18" s="510"/>
      <c r="K18" s="510"/>
      <c r="L18" s="510">
        <v>45000</v>
      </c>
      <c r="M18" s="510">
        <v>45000</v>
      </c>
    </row>
    <row r="19" spans="2:13" x14ac:dyDescent="0.25">
      <c r="B19" s="733">
        <f t="shared" si="1"/>
        <v>11</v>
      </c>
      <c r="C19" s="533" t="s">
        <v>1499</v>
      </c>
      <c r="D19" s="533" t="s">
        <v>1489</v>
      </c>
      <c r="E19" s="951">
        <f>350+175</f>
        <v>525</v>
      </c>
      <c r="F19" s="955"/>
      <c r="G19" s="534"/>
      <c r="H19" s="741">
        <f t="shared" si="0"/>
        <v>0</v>
      </c>
      <c r="J19" s="510">
        <v>4500</v>
      </c>
      <c r="K19" s="510"/>
      <c r="L19" s="510"/>
      <c r="M19" s="510">
        <v>0</v>
      </c>
    </row>
    <row r="20" spans="2:13" ht="18.600000000000001" customHeight="1" x14ac:dyDescent="0.25">
      <c r="B20" s="733">
        <f t="shared" si="1"/>
        <v>12</v>
      </c>
      <c r="C20" s="535" t="s">
        <v>2553</v>
      </c>
      <c r="D20" s="533" t="s">
        <v>1500</v>
      </c>
      <c r="E20" s="1381">
        <v>112100</v>
      </c>
      <c r="F20" s="955"/>
      <c r="G20" s="534">
        <f>70000-G21-G25</f>
        <v>55900</v>
      </c>
      <c r="H20" s="741">
        <f t="shared" si="0"/>
        <v>55900</v>
      </c>
      <c r="J20" s="510">
        <v>33300</v>
      </c>
      <c r="K20" s="510"/>
      <c r="L20" s="510">
        <v>48000</v>
      </c>
      <c r="M20" s="510">
        <v>48000</v>
      </c>
    </row>
    <row r="21" spans="2:13" ht="18.600000000000001" customHeight="1" x14ac:dyDescent="0.25">
      <c r="B21" s="733"/>
      <c r="C21" s="535" t="s">
        <v>2289</v>
      </c>
      <c r="D21" s="1389" t="s">
        <v>2290</v>
      </c>
      <c r="E21" s="1383">
        <v>5400</v>
      </c>
      <c r="F21" s="955"/>
      <c r="G21" s="534">
        <f>E21</f>
        <v>5400</v>
      </c>
      <c r="H21" s="741">
        <f t="shared" si="0"/>
        <v>5400</v>
      </c>
      <c r="J21" s="510"/>
      <c r="K21" s="510"/>
      <c r="L21" s="510"/>
      <c r="M21" s="510"/>
    </row>
    <row r="22" spans="2:13" s="1387" customFormat="1" ht="32.450000000000003" customHeight="1" x14ac:dyDescent="0.25">
      <c r="B22" s="733"/>
      <c r="C22" s="1384" t="s">
        <v>2286</v>
      </c>
      <c r="D22" s="1385" t="s">
        <v>2285</v>
      </c>
      <c r="E22" s="1386">
        <v>117</v>
      </c>
      <c r="F22" s="955"/>
      <c r="G22" s="534"/>
      <c r="H22" s="741">
        <f t="shared" si="0"/>
        <v>0</v>
      </c>
      <c r="J22" s="1388"/>
      <c r="K22" s="1388"/>
      <c r="L22" s="1388"/>
      <c r="M22" s="1388"/>
    </row>
    <row r="23" spans="2:13" s="1387" customFormat="1" ht="16.899999999999999" customHeight="1" x14ac:dyDescent="0.25">
      <c r="B23" s="733"/>
      <c r="C23" s="1384" t="s">
        <v>2291</v>
      </c>
      <c r="D23" s="1385" t="s">
        <v>2292</v>
      </c>
      <c r="E23" s="1386">
        <v>3420</v>
      </c>
      <c r="F23" s="955"/>
      <c r="G23" s="534"/>
      <c r="H23" s="741">
        <f t="shared" si="0"/>
        <v>0</v>
      </c>
      <c r="J23" s="1388"/>
      <c r="K23" s="1388"/>
      <c r="L23" s="1388"/>
      <c r="M23" s="1388"/>
    </row>
    <row r="24" spans="2:13" s="1387" customFormat="1" ht="33" customHeight="1" x14ac:dyDescent="0.25">
      <c r="B24" s="733"/>
      <c r="C24" s="1384" t="s">
        <v>2288</v>
      </c>
      <c r="D24" s="1385" t="s">
        <v>2287</v>
      </c>
      <c r="E24" s="1386">
        <v>1380</v>
      </c>
      <c r="F24" s="955"/>
      <c r="G24" s="534"/>
      <c r="H24" s="741">
        <f t="shared" si="0"/>
        <v>0</v>
      </c>
      <c r="J24" s="1388"/>
      <c r="K24" s="1388"/>
      <c r="L24" s="1388"/>
      <c r="M24" s="1388"/>
    </row>
    <row r="25" spans="2:13" ht="31.5" x14ac:dyDescent="0.25">
      <c r="B25" s="733">
        <f>B20+1</f>
        <v>13</v>
      </c>
      <c r="C25" s="535" t="s">
        <v>1826</v>
      </c>
      <c r="D25" s="533" t="s">
        <v>1501</v>
      </c>
      <c r="E25" s="951"/>
      <c r="F25" s="955"/>
      <c r="G25" s="534">
        <v>8700</v>
      </c>
      <c r="H25" s="741">
        <f t="shared" si="0"/>
        <v>8700</v>
      </c>
      <c r="J25" s="510">
        <v>7062</v>
      </c>
      <c r="K25" s="510"/>
      <c r="L25" s="510">
        <v>7062</v>
      </c>
      <c r="M25" s="510">
        <v>7062</v>
      </c>
    </row>
    <row r="26" spans="2:13" x14ac:dyDescent="0.25">
      <c r="B26" s="733"/>
      <c r="C26" s="535" t="s">
        <v>2293</v>
      </c>
      <c r="D26" s="533" t="s">
        <v>2294</v>
      </c>
      <c r="E26" s="951">
        <v>1005</v>
      </c>
      <c r="F26" s="955"/>
      <c r="G26" s="534"/>
      <c r="H26" s="741">
        <f t="shared" si="0"/>
        <v>0</v>
      </c>
      <c r="J26" s="510"/>
      <c r="K26" s="510"/>
      <c r="L26" s="510"/>
      <c r="M26" s="510"/>
    </row>
    <row r="27" spans="2:13" x14ac:dyDescent="0.25">
      <c r="B27" s="733">
        <f>B25+1</f>
        <v>14</v>
      </c>
      <c r="C27" s="1980" t="s">
        <v>1502</v>
      </c>
      <c r="D27" s="1981" t="s">
        <v>1503</v>
      </c>
      <c r="E27" s="1982">
        <v>22320</v>
      </c>
      <c r="F27" s="1983"/>
      <c r="G27" s="534">
        <f>E27</f>
        <v>22320</v>
      </c>
      <c r="H27" s="741">
        <f t="shared" si="0"/>
        <v>22320</v>
      </c>
      <c r="J27" s="510">
        <v>19790</v>
      </c>
      <c r="K27" s="510"/>
      <c r="L27" s="510">
        <v>22320</v>
      </c>
      <c r="M27" s="510">
        <v>22320</v>
      </c>
    </row>
    <row r="28" spans="2:13" x14ac:dyDescent="0.25">
      <c r="B28" s="733">
        <f t="shared" si="1"/>
        <v>15</v>
      </c>
      <c r="C28" s="1729" t="s">
        <v>2435</v>
      </c>
      <c r="D28" s="1729" t="s">
        <v>2435</v>
      </c>
      <c r="E28" s="1982"/>
      <c r="F28" s="1808">
        <v>2564</v>
      </c>
      <c r="G28" s="534"/>
      <c r="H28" s="741">
        <f t="shared" si="0"/>
        <v>2564</v>
      </c>
      <c r="I28" s="508" t="s">
        <v>2443</v>
      </c>
      <c r="J28" s="510">
        <v>615.02</v>
      </c>
      <c r="K28" s="510"/>
      <c r="L28" s="510"/>
      <c r="M28" s="510">
        <v>0</v>
      </c>
    </row>
    <row r="29" spans="2:13" x14ac:dyDescent="0.25">
      <c r="B29" s="733">
        <f t="shared" si="1"/>
        <v>16</v>
      </c>
      <c r="C29" s="535" t="s">
        <v>1504</v>
      </c>
      <c r="D29" s="535" t="s">
        <v>1505</v>
      </c>
      <c r="E29" s="951"/>
      <c r="F29" s="955"/>
      <c r="G29" s="534"/>
      <c r="H29" s="741">
        <f t="shared" si="0"/>
        <v>0</v>
      </c>
      <c r="J29" s="510">
        <v>2488</v>
      </c>
      <c r="K29" s="510"/>
      <c r="L29" s="510">
        <v>2488</v>
      </c>
      <c r="M29" s="510">
        <v>2488</v>
      </c>
    </row>
    <row r="30" spans="2:13" x14ac:dyDescent="0.25">
      <c r="B30" s="733">
        <f t="shared" si="1"/>
        <v>17</v>
      </c>
      <c r="C30" s="535" t="s">
        <v>1506</v>
      </c>
      <c r="D30" s="535" t="s">
        <v>1507</v>
      </c>
      <c r="E30" s="951"/>
      <c r="F30" s="955"/>
      <c r="G30" s="534"/>
      <c r="H30" s="741">
        <f t="shared" si="0"/>
        <v>0</v>
      </c>
      <c r="J30" s="510">
        <v>13121.48</v>
      </c>
      <c r="K30" s="510">
        <v>10000</v>
      </c>
      <c r="L30" s="510"/>
      <c r="M30" s="510">
        <v>10000</v>
      </c>
    </row>
    <row r="31" spans="2:13" x14ac:dyDescent="0.25">
      <c r="B31" s="733"/>
      <c r="C31" s="535" t="s">
        <v>2616</v>
      </c>
      <c r="D31" s="535" t="s">
        <v>2617</v>
      </c>
      <c r="E31" s="951">
        <v>750</v>
      </c>
      <c r="F31" s="955"/>
      <c r="G31" s="534">
        <v>750</v>
      </c>
      <c r="H31" s="741">
        <f t="shared" si="0"/>
        <v>750</v>
      </c>
      <c r="J31" s="510"/>
      <c r="K31" s="510"/>
      <c r="L31" s="510"/>
      <c r="M31" s="510"/>
    </row>
    <row r="32" spans="2:13" x14ac:dyDescent="0.25">
      <c r="B32" s="733">
        <f>B30+1</f>
        <v>18</v>
      </c>
      <c r="C32" s="535" t="s">
        <v>1508</v>
      </c>
      <c r="D32" s="535" t="s">
        <v>1509</v>
      </c>
      <c r="E32" s="951"/>
      <c r="F32" s="955"/>
      <c r="G32" s="534"/>
      <c r="H32" s="741">
        <f t="shared" si="0"/>
        <v>0</v>
      </c>
      <c r="J32" s="510">
        <v>1234</v>
      </c>
      <c r="K32" s="510"/>
      <c r="L32" s="510"/>
      <c r="M32" s="510">
        <v>0</v>
      </c>
    </row>
    <row r="33" spans="2:13" ht="16.5" thickBot="1" x14ac:dyDescent="0.3">
      <c r="B33" s="735"/>
      <c r="C33" s="736" t="s">
        <v>1480</v>
      </c>
      <c r="D33" s="736"/>
      <c r="E33" s="737">
        <f>SUM(E8:E32)</f>
        <v>354179</v>
      </c>
      <c r="F33" s="737">
        <f>SUM(F8:F32)</f>
        <v>11476</v>
      </c>
      <c r="G33" s="737">
        <f>SUM(G8:G32)</f>
        <v>185143.33333333331</v>
      </c>
      <c r="H33" s="737">
        <f>SUM(H8:H32)</f>
        <v>196619.33333333331</v>
      </c>
      <c r="J33" s="1378">
        <v>212283.83</v>
      </c>
      <c r="K33" s="1378">
        <v>17435</v>
      </c>
      <c r="L33" s="1378">
        <v>273295</v>
      </c>
      <c r="M33" s="1378">
        <v>290730</v>
      </c>
    </row>
    <row r="60" spans="3:3" x14ac:dyDescent="0.25">
      <c r="C60" s="508">
        <v>4.68</v>
      </c>
    </row>
  </sheetData>
  <mergeCells count="7">
    <mergeCell ref="J6:J7"/>
    <mergeCell ref="F3:H3"/>
    <mergeCell ref="B6:B7"/>
    <mergeCell ref="C6:C7"/>
    <mergeCell ref="D6:D7"/>
    <mergeCell ref="E6:E7"/>
    <mergeCell ref="B3:E3"/>
  </mergeCells>
  <pageMargins left="0.7" right="0.2" top="0.33" bottom="0.15" header="0.3" footer="0.15"/>
  <pageSetup paperSize="9" orientation="landscape" horizontalDpi="0"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2" tint="-0.499984740745262"/>
  </sheetPr>
  <dimension ref="A2:K67"/>
  <sheetViews>
    <sheetView topLeftCell="A49" workbookViewId="0">
      <selection activeCell="D67" sqref="D67"/>
    </sheetView>
  </sheetViews>
  <sheetFormatPr defaultColWidth="9.140625" defaultRowHeight="13.9" customHeight="1" x14ac:dyDescent="0.25"/>
  <cols>
    <col min="1" max="1" width="6.28515625" style="527" customWidth="1"/>
    <col min="2" max="2" width="26.140625" style="527" customWidth="1"/>
    <col min="3" max="3" width="19.7109375" style="527" customWidth="1"/>
    <col min="4" max="4" width="21.140625" style="527" customWidth="1"/>
    <col min="5" max="5" width="20.42578125" style="527" customWidth="1"/>
    <col min="6" max="6" width="21.85546875" style="527" customWidth="1"/>
    <col min="7" max="7" width="9.140625" style="527" customWidth="1"/>
    <col min="8" max="8" width="16" style="527" customWidth="1"/>
    <col min="9" max="16384" width="9.140625" style="527"/>
  </cols>
  <sheetData>
    <row r="2" spans="1:11" ht="14.25" customHeight="1" thickBot="1" x14ac:dyDescent="0.3">
      <c r="A2" s="4532"/>
      <c r="B2" s="4532"/>
      <c r="C2" s="4532"/>
      <c r="D2" s="4532"/>
      <c r="E2" s="4532"/>
      <c r="F2" s="4532"/>
      <c r="G2" s="4532"/>
      <c r="H2" s="4532"/>
    </row>
    <row r="3" spans="1:11" ht="13.9" customHeight="1" x14ac:dyDescent="0.25">
      <c r="A3" s="530" t="s">
        <v>1384</v>
      </c>
      <c r="B3" s="531" t="s">
        <v>1385</v>
      </c>
      <c r="C3" s="531" t="s">
        <v>1365</v>
      </c>
      <c r="D3" s="531" t="s">
        <v>1386</v>
      </c>
      <c r="E3" s="531" t="s">
        <v>1387</v>
      </c>
      <c r="F3" s="531" t="s">
        <v>1359</v>
      </c>
      <c r="G3" s="531" t="s">
        <v>1388</v>
      </c>
      <c r="H3" s="532" t="s">
        <v>1389</v>
      </c>
    </row>
    <row r="4" spans="1:11" ht="13.9" customHeight="1" x14ac:dyDescent="0.25">
      <c r="A4" s="684">
        <v>1</v>
      </c>
      <c r="B4" s="685" t="s">
        <v>605</v>
      </c>
      <c r="C4" s="686"/>
      <c r="D4" s="686"/>
      <c r="E4" s="686"/>
      <c r="F4" s="687"/>
      <c r="G4" s="685"/>
      <c r="H4" s="688">
        <v>192</v>
      </c>
    </row>
    <row r="5" spans="1:11" ht="13.9" customHeight="1" x14ac:dyDescent="0.25">
      <c r="A5" s="689">
        <v>2</v>
      </c>
      <c r="B5" s="690" t="s">
        <v>1390</v>
      </c>
      <c r="C5" s="691">
        <v>3403</v>
      </c>
      <c r="D5" s="692" t="s">
        <v>1391</v>
      </c>
      <c r="E5" s="691">
        <v>3399</v>
      </c>
      <c r="F5" s="693"/>
      <c r="G5" s="690">
        <v>93</v>
      </c>
      <c r="H5" s="694"/>
      <c r="J5" s="529" t="s">
        <v>1392</v>
      </c>
      <c r="K5" s="529"/>
    </row>
    <row r="6" spans="1:11" ht="13.9" customHeight="1" x14ac:dyDescent="0.25">
      <c r="A6" s="684">
        <v>3</v>
      </c>
      <c r="B6" s="685" t="s">
        <v>1393</v>
      </c>
      <c r="C6" s="686">
        <v>3125</v>
      </c>
      <c r="D6" s="686" t="s">
        <v>1394</v>
      </c>
      <c r="E6" s="686"/>
      <c r="F6" s="687" t="s">
        <v>1395</v>
      </c>
      <c r="G6" s="685"/>
      <c r="H6" s="688"/>
    </row>
    <row r="7" spans="1:11" ht="13.9" customHeight="1" x14ac:dyDescent="0.25">
      <c r="A7" s="689">
        <v>4</v>
      </c>
      <c r="B7" s="695" t="s">
        <v>1396</v>
      </c>
      <c r="C7" s="691" t="s">
        <v>1397</v>
      </c>
      <c r="D7" s="691" t="s">
        <v>1398</v>
      </c>
      <c r="E7" s="691" t="s">
        <v>1399</v>
      </c>
      <c r="F7" s="693"/>
      <c r="G7" s="690"/>
      <c r="H7" s="694"/>
      <c r="J7" s="528" t="s">
        <v>1392</v>
      </c>
      <c r="K7" s="716" t="s">
        <v>1380</v>
      </c>
    </row>
    <row r="8" spans="1:11" ht="13.9" customHeight="1" x14ac:dyDescent="0.25">
      <c r="A8" s="684">
        <v>5</v>
      </c>
      <c r="B8" s="685" t="s">
        <v>1400</v>
      </c>
      <c r="C8" s="686">
        <v>3366</v>
      </c>
      <c r="D8" s="686" t="s">
        <v>1401</v>
      </c>
      <c r="E8" s="686"/>
      <c r="F8" s="687" t="s">
        <v>1402</v>
      </c>
      <c r="G8" s="685"/>
      <c r="H8" s="688"/>
    </row>
    <row r="9" spans="1:11" ht="13.9" customHeight="1" x14ac:dyDescent="0.25">
      <c r="A9" s="689">
        <v>6</v>
      </c>
      <c r="B9" s="690" t="s">
        <v>1403</v>
      </c>
      <c r="C9" s="691">
        <v>3130</v>
      </c>
      <c r="D9" s="691" t="s">
        <v>1404</v>
      </c>
      <c r="E9" s="691"/>
      <c r="F9" s="693" t="s">
        <v>1405</v>
      </c>
      <c r="G9" s="690"/>
      <c r="H9" s="694"/>
    </row>
    <row r="10" spans="1:11" ht="13.9" customHeight="1" x14ac:dyDescent="0.25">
      <c r="A10" s="684">
        <v>7</v>
      </c>
      <c r="B10" s="685" t="s">
        <v>1406</v>
      </c>
      <c r="C10" s="686">
        <v>3431</v>
      </c>
      <c r="D10" s="686">
        <v>3007</v>
      </c>
      <c r="E10" s="686" t="s">
        <v>1407</v>
      </c>
      <c r="F10" s="687"/>
      <c r="G10" s="685"/>
      <c r="H10" s="688"/>
      <c r="J10" s="529" t="s">
        <v>1392</v>
      </c>
      <c r="K10" s="529"/>
    </row>
    <row r="11" spans="1:11" ht="13.9" customHeight="1" x14ac:dyDescent="0.25">
      <c r="A11" s="689">
        <v>8</v>
      </c>
      <c r="B11" s="690" t="s">
        <v>1408</v>
      </c>
      <c r="C11" s="691" t="s">
        <v>1409</v>
      </c>
      <c r="D11" s="691">
        <v>191</v>
      </c>
      <c r="E11" s="691"/>
      <c r="F11" s="693"/>
      <c r="G11" s="690"/>
      <c r="H11" s="694"/>
    </row>
    <row r="12" spans="1:11" ht="13.9" customHeight="1" x14ac:dyDescent="0.25">
      <c r="A12" s="684">
        <v>9</v>
      </c>
      <c r="B12" s="695" t="s">
        <v>1410</v>
      </c>
      <c r="C12" s="686">
        <v>200</v>
      </c>
      <c r="D12" s="686" t="s">
        <v>1411</v>
      </c>
      <c r="E12" s="686" t="s">
        <v>1412</v>
      </c>
      <c r="F12" s="687"/>
      <c r="G12" s="685"/>
      <c r="H12" s="688"/>
      <c r="J12" s="528" t="s">
        <v>1392</v>
      </c>
      <c r="K12" s="716" t="s">
        <v>1380</v>
      </c>
    </row>
    <row r="13" spans="1:11" ht="13.9" customHeight="1" x14ac:dyDescent="0.25">
      <c r="A13" s="689">
        <v>10</v>
      </c>
      <c r="B13" s="690" t="s">
        <v>1413</v>
      </c>
      <c r="C13" s="691">
        <v>207</v>
      </c>
      <c r="D13" s="691">
        <v>201</v>
      </c>
      <c r="E13" s="693" t="s">
        <v>1414</v>
      </c>
      <c r="F13" s="693" t="s">
        <v>1415</v>
      </c>
      <c r="G13" s="690"/>
      <c r="H13" s="694"/>
      <c r="J13" s="529" t="s">
        <v>1392</v>
      </c>
      <c r="K13" s="529"/>
    </row>
    <row r="14" spans="1:11" ht="13.9" customHeight="1" x14ac:dyDescent="0.25">
      <c r="A14" s="684">
        <v>11</v>
      </c>
      <c r="B14" s="695" t="s">
        <v>1416</v>
      </c>
      <c r="C14" s="686">
        <v>3074</v>
      </c>
      <c r="D14" s="686" t="s">
        <v>1417</v>
      </c>
      <c r="E14" s="686">
        <v>3352</v>
      </c>
      <c r="F14" s="687"/>
      <c r="G14" s="685"/>
      <c r="H14" s="688" t="s">
        <v>1418</v>
      </c>
      <c r="J14" s="528" t="s">
        <v>1392</v>
      </c>
      <c r="K14" s="528" t="s">
        <v>1380</v>
      </c>
    </row>
    <row r="15" spans="1:11" ht="13.9" customHeight="1" x14ac:dyDescent="0.25">
      <c r="A15" s="689">
        <v>12</v>
      </c>
      <c r="B15" s="690" t="s">
        <v>1419</v>
      </c>
      <c r="C15" s="691">
        <v>3442</v>
      </c>
      <c r="D15" s="691" t="s">
        <v>1420</v>
      </c>
      <c r="E15" s="691"/>
      <c r="F15" s="693"/>
      <c r="G15" s="690"/>
      <c r="H15" s="694"/>
    </row>
    <row r="16" spans="1:11" ht="13.9" customHeight="1" x14ac:dyDescent="0.25">
      <c r="A16" s="684">
        <v>13</v>
      </c>
      <c r="B16" s="695" t="s">
        <v>1421</v>
      </c>
      <c r="C16" s="686">
        <v>3176</v>
      </c>
      <c r="D16" s="686">
        <v>3171</v>
      </c>
      <c r="E16" s="686" t="s">
        <v>1422</v>
      </c>
      <c r="F16" s="687"/>
      <c r="G16" s="685"/>
      <c r="H16" s="688"/>
      <c r="J16" s="528" t="s">
        <v>1392</v>
      </c>
      <c r="K16" s="716" t="s">
        <v>1380</v>
      </c>
    </row>
    <row r="17" spans="1:11" ht="13.9" customHeight="1" x14ac:dyDescent="0.25">
      <c r="A17" s="689">
        <v>14</v>
      </c>
      <c r="B17" s="695" t="s">
        <v>1423</v>
      </c>
      <c r="C17" s="691">
        <v>215</v>
      </c>
      <c r="D17" s="691">
        <v>189</v>
      </c>
      <c r="E17" s="691" t="s">
        <v>1424</v>
      </c>
      <c r="F17" s="693"/>
      <c r="G17" s="690"/>
      <c r="H17" s="694"/>
      <c r="J17" s="528" t="s">
        <v>1392</v>
      </c>
      <c r="K17" s="528" t="s">
        <v>1380</v>
      </c>
    </row>
    <row r="18" spans="1:11" ht="13.9" customHeight="1" x14ac:dyDescent="0.25">
      <c r="A18" s="684">
        <v>15</v>
      </c>
      <c r="B18" s="685" t="s">
        <v>1425</v>
      </c>
      <c r="C18" s="686"/>
      <c r="D18" s="686" t="s">
        <v>1426</v>
      </c>
      <c r="E18" s="686" t="s">
        <v>1427</v>
      </c>
      <c r="F18" s="686" t="s">
        <v>1428</v>
      </c>
      <c r="G18" s="685"/>
      <c r="H18" s="688">
        <v>3400</v>
      </c>
      <c r="J18" s="529" t="s">
        <v>1392</v>
      </c>
      <c r="K18" s="529"/>
    </row>
    <row r="19" spans="1:11" ht="13.9" customHeight="1" x14ac:dyDescent="0.25">
      <c r="A19" s="689">
        <v>16</v>
      </c>
      <c r="B19" s="690" t="s">
        <v>1429</v>
      </c>
      <c r="C19" s="691">
        <v>3379</v>
      </c>
      <c r="D19" s="691" t="s">
        <v>1430</v>
      </c>
      <c r="E19" s="691"/>
      <c r="F19" s="693"/>
      <c r="G19" s="690"/>
      <c r="H19" s="694"/>
    </row>
    <row r="20" spans="1:11" ht="13.9" customHeight="1" x14ac:dyDescent="0.25">
      <c r="A20" s="684">
        <v>17</v>
      </c>
      <c r="B20" s="695" t="s">
        <v>1431</v>
      </c>
      <c r="C20" s="686">
        <v>3129</v>
      </c>
      <c r="D20" s="685"/>
      <c r="E20" s="685">
        <v>3144</v>
      </c>
      <c r="F20" s="685">
        <v>3131</v>
      </c>
      <c r="G20" s="685"/>
      <c r="H20" s="688"/>
      <c r="J20" s="528" t="s">
        <v>1392</v>
      </c>
      <c r="K20" s="716" t="s">
        <v>1380</v>
      </c>
    </row>
    <row r="21" spans="1:11" ht="13.9" customHeight="1" x14ac:dyDescent="0.25">
      <c r="A21" s="689">
        <v>18</v>
      </c>
      <c r="B21" s="695" t="s">
        <v>1432</v>
      </c>
      <c r="C21" s="691">
        <v>3065</v>
      </c>
      <c r="D21" s="691">
        <v>3067</v>
      </c>
      <c r="E21" s="691" t="s">
        <v>1433</v>
      </c>
      <c r="F21" s="693"/>
      <c r="G21" s="690"/>
      <c r="H21" s="694"/>
      <c r="J21" s="528" t="s">
        <v>1380</v>
      </c>
      <c r="K21" s="528" t="s">
        <v>1380</v>
      </c>
    </row>
    <row r="22" spans="1:11" ht="13.9" customHeight="1" x14ac:dyDescent="0.25">
      <c r="A22" s="684">
        <v>19</v>
      </c>
      <c r="B22" s="685" t="s">
        <v>1434</v>
      </c>
      <c r="C22" s="686">
        <v>3184</v>
      </c>
      <c r="D22" s="686">
        <v>3175</v>
      </c>
      <c r="E22" s="686"/>
      <c r="F22" s="687"/>
      <c r="G22" s="685"/>
      <c r="H22" s="688"/>
    </row>
    <row r="23" spans="1:11" ht="13.9" customHeight="1" x14ac:dyDescent="0.25">
      <c r="A23" s="689">
        <v>20</v>
      </c>
      <c r="B23" s="690" t="s">
        <v>1435</v>
      </c>
      <c r="C23" s="691">
        <v>3006</v>
      </c>
      <c r="D23" s="691">
        <v>206</v>
      </c>
      <c r="E23" s="691"/>
      <c r="F23" s="693"/>
      <c r="G23" s="690"/>
      <c r="H23" s="694"/>
    </row>
    <row r="24" spans="1:11" ht="13.9" customHeight="1" x14ac:dyDescent="0.25">
      <c r="A24" s="684">
        <v>21</v>
      </c>
      <c r="B24" s="685" t="s">
        <v>1436</v>
      </c>
      <c r="C24" s="686">
        <v>3017</v>
      </c>
      <c r="D24" s="686" t="s">
        <v>1437</v>
      </c>
      <c r="E24" s="686"/>
      <c r="F24" s="687"/>
      <c r="G24" s="685"/>
      <c r="H24" s="688"/>
    </row>
    <row r="25" spans="1:11" ht="13.9" customHeight="1" x14ac:dyDescent="0.25">
      <c r="A25" s="689">
        <v>22</v>
      </c>
      <c r="B25" s="695" t="s">
        <v>1438</v>
      </c>
      <c r="C25" s="691">
        <f>SUM(C26:C36)</f>
        <v>36142</v>
      </c>
      <c r="D25" s="691">
        <v>991</v>
      </c>
      <c r="E25" s="691">
        <v>3204</v>
      </c>
      <c r="F25" s="696"/>
      <c r="G25" s="690"/>
      <c r="H25" s="694"/>
      <c r="J25" s="528" t="s">
        <v>1380</v>
      </c>
      <c r="K25" s="716" t="s">
        <v>1380</v>
      </c>
    </row>
    <row r="26" spans="1:11" ht="13.9" customHeight="1" x14ac:dyDescent="0.25">
      <c r="A26" s="684">
        <v>23</v>
      </c>
      <c r="B26" s="685" t="s">
        <v>1439</v>
      </c>
      <c r="C26" s="686">
        <v>3356</v>
      </c>
      <c r="D26" s="686" t="s">
        <v>1440</v>
      </c>
      <c r="E26" s="686"/>
      <c r="F26" s="687" t="s">
        <v>1441</v>
      </c>
      <c r="G26" s="685"/>
      <c r="H26" s="688"/>
    </row>
    <row r="27" spans="1:11" ht="13.9" customHeight="1" x14ac:dyDescent="0.25">
      <c r="A27" s="689">
        <v>24</v>
      </c>
      <c r="B27" s="690" t="s">
        <v>1442</v>
      </c>
      <c r="C27" s="691">
        <v>3096</v>
      </c>
      <c r="D27" s="693" t="s">
        <v>1443</v>
      </c>
      <c r="E27" s="691"/>
      <c r="F27" s="693" t="s">
        <v>1444</v>
      </c>
      <c r="G27" s="690"/>
      <c r="H27" s="694"/>
    </row>
    <row r="28" spans="1:11" ht="13.9" customHeight="1" x14ac:dyDescent="0.25">
      <c r="A28" s="684">
        <v>25</v>
      </c>
      <c r="B28" s="685" t="s">
        <v>1445</v>
      </c>
      <c r="C28" s="686">
        <v>3109</v>
      </c>
      <c r="D28" s="686">
        <v>196</v>
      </c>
      <c r="E28" s="686"/>
      <c r="F28" s="687"/>
      <c r="G28" s="685"/>
      <c r="H28" s="688"/>
    </row>
    <row r="29" spans="1:11" ht="13.9" customHeight="1" x14ac:dyDescent="0.25">
      <c r="A29" s="689">
        <v>26</v>
      </c>
      <c r="B29" s="690" t="s">
        <v>1446</v>
      </c>
      <c r="C29" s="691">
        <v>3439</v>
      </c>
      <c r="D29" s="691" t="s">
        <v>1447</v>
      </c>
      <c r="E29" s="691" t="s">
        <v>1424</v>
      </c>
      <c r="F29" s="693"/>
      <c r="G29" s="690"/>
      <c r="H29" s="694"/>
      <c r="J29" s="527" t="s">
        <v>1448</v>
      </c>
    </row>
    <row r="30" spans="1:11" ht="13.9" customHeight="1" x14ac:dyDescent="0.25">
      <c r="A30" s="684">
        <v>27</v>
      </c>
      <c r="B30" s="685" t="s">
        <v>1449</v>
      </c>
      <c r="C30" s="686">
        <v>3418</v>
      </c>
      <c r="D30" s="686">
        <v>992</v>
      </c>
      <c r="E30" s="686"/>
      <c r="F30" s="687"/>
      <c r="G30" s="685"/>
      <c r="H30" s="688"/>
    </row>
    <row r="31" spans="1:11" ht="13.9" customHeight="1" x14ac:dyDescent="0.25">
      <c r="A31" s="689">
        <v>28</v>
      </c>
      <c r="B31" s="690" t="s">
        <v>1450</v>
      </c>
      <c r="C31" s="691">
        <v>3367</v>
      </c>
      <c r="D31" s="691" t="s">
        <v>1451</v>
      </c>
      <c r="E31" s="691"/>
      <c r="F31" s="693"/>
      <c r="G31" s="690"/>
      <c r="H31" s="694"/>
    </row>
    <row r="32" spans="1:11" ht="13.9" customHeight="1" x14ac:dyDescent="0.25">
      <c r="A32" s="684">
        <v>29</v>
      </c>
      <c r="B32" s="685" t="s">
        <v>1452</v>
      </c>
      <c r="C32" s="686">
        <v>3426</v>
      </c>
      <c r="D32" s="686" t="s">
        <v>1453</v>
      </c>
      <c r="E32" s="686">
        <v>3420</v>
      </c>
      <c r="F32" s="687"/>
      <c r="G32" s="685"/>
      <c r="H32" s="688"/>
      <c r="J32" s="527" t="s">
        <v>1379</v>
      </c>
    </row>
    <row r="33" spans="1:10" ht="13.9" customHeight="1" x14ac:dyDescent="0.25">
      <c r="A33" s="689">
        <v>30</v>
      </c>
      <c r="B33" s="690" t="s">
        <v>1454</v>
      </c>
      <c r="C33" s="691">
        <v>3425</v>
      </c>
      <c r="D33" s="691" t="s">
        <v>1455</v>
      </c>
      <c r="E33" s="691"/>
      <c r="F33" s="693"/>
      <c r="G33" s="690"/>
      <c r="H33" s="694"/>
    </row>
    <row r="34" spans="1:10" ht="13.9" customHeight="1" x14ac:dyDescent="0.25">
      <c r="A34" s="684">
        <v>31</v>
      </c>
      <c r="B34" s="685" t="s">
        <v>1456</v>
      </c>
      <c r="C34" s="686">
        <v>3016</v>
      </c>
      <c r="D34" s="686" t="s">
        <v>1457</v>
      </c>
      <c r="E34" s="686"/>
      <c r="F34" s="687"/>
      <c r="G34" s="685"/>
      <c r="H34" s="688"/>
    </row>
    <row r="35" spans="1:10" ht="13.9" customHeight="1" x14ac:dyDescent="0.25">
      <c r="A35" s="689">
        <v>32</v>
      </c>
      <c r="B35" s="690" t="s">
        <v>1458</v>
      </c>
      <c r="C35" s="691">
        <v>3380</v>
      </c>
      <c r="D35" s="691" t="s">
        <v>1459</v>
      </c>
      <c r="E35" s="693" t="s">
        <v>1460</v>
      </c>
      <c r="F35" s="693" t="s">
        <v>1461</v>
      </c>
      <c r="G35" s="690"/>
      <c r="H35" s="694"/>
      <c r="J35" s="527" t="s">
        <v>1378</v>
      </c>
    </row>
    <row r="36" spans="1:10" ht="13.9" customHeight="1" x14ac:dyDescent="0.25">
      <c r="A36" s="684">
        <v>33</v>
      </c>
      <c r="B36" s="685" t="s">
        <v>1462</v>
      </c>
      <c r="C36" s="686">
        <v>3110</v>
      </c>
      <c r="D36" s="686" t="s">
        <v>1463</v>
      </c>
      <c r="E36" s="686">
        <v>3419</v>
      </c>
      <c r="F36" s="687"/>
      <c r="G36" s="685"/>
      <c r="H36" s="688"/>
      <c r="J36" s="527" t="s">
        <v>1378</v>
      </c>
    </row>
    <row r="37" spans="1:10" ht="13.9" customHeight="1" x14ac:dyDescent="0.25">
      <c r="A37" s="689">
        <v>34</v>
      </c>
      <c r="B37" s="690" t="s">
        <v>1464</v>
      </c>
      <c r="C37" s="691">
        <v>3111</v>
      </c>
      <c r="D37" s="691">
        <v>984</v>
      </c>
      <c r="E37" s="691"/>
      <c r="F37" s="693"/>
      <c r="G37" s="690"/>
      <c r="H37" s="694"/>
    </row>
    <row r="38" spans="1:10" ht="13.9" customHeight="1" x14ac:dyDescent="0.25">
      <c r="A38" s="684">
        <v>35</v>
      </c>
      <c r="B38" s="685" t="s">
        <v>1465</v>
      </c>
      <c r="C38" s="686">
        <v>3257</v>
      </c>
      <c r="D38" s="686" t="s">
        <v>1466</v>
      </c>
      <c r="E38" s="686"/>
      <c r="F38" s="687"/>
      <c r="G38" s="685"/>
      <c r="H38" s="688"/>
    </row>
    <row r="39" spans="1:10" ht="13.9" customHeight="1" x14ac:dyDescent="0.25">
      <c r="A39" s="689">
        <v>36</v>
      </c>
      <c r="B39" s="690" t="s">
        <v>1467</v>
      </c>
      <c r="C39" s="691">
        <v>3064</v>
      </c>
      <c r="D39" s="691"/>
      <c r="E39" s="691"/>
      <c r="F39" s="693"/>
      <c r="G39" s="690"/>
      <c r="H39" s="694"/>
    </row>
    <row r="40" spans="1:10" ht="13.9" customHeight="1" x14ac:dyDescent="0.25">
      <c r="A40" s="684">
        <v>37</v>
      </c>
      <c r="B40" s="685" t="s">
        <v>1468</v>
      </c>
      <c r="C40" s="686" t="s">
        <v>1469</v>
      </c>
      <c r="D40" s="686">
        <v>208</v>
      </c>
      <c r="E40" s="686">
        <v>3126</v>
      </c>
      <c r="F40" s="687"/>
      <c r="G40" s="685"/>
      <c r="H40" s="688"/>
      <c r="J40" s="527" t="s">
        <v>1376</v>
      </c>
    </row>
    <row r="41" spans="1:10" ht="13.9" customHeight="1" x14ac:dyDescent="0.25">
      <c r="A41" s="689">
        <v>38</v>
      </c>
      <c r="B41" s="690" t="s">
        <v>1470</v>
      </c>
      <c r="C41" s="691">
        <v>213</v>
      </c>
      <c r="D41" s="691"/>
      <c r="E41" s="691"/>
      <c r="F41" s="693"/>
      <c r="G41" s="690"/>
      <c r="H41" s="694"/>
    </row>
    <row r="42" spans="1:10" ht="13.9" customHeight="1" x14ac:dyDescent="0.25">
      <c r="A42" s="684">
        <v>39</v>
      </c>
      <c r="B42" s="685" t="s">
        <v>1471</v>
      </c>
      <c r="C42" s="686">
        <v>185</v>
      </c>
      <c r="D42" s="686" t="s">
        <v>1472</v>
      </c>
      <c r="E42" s="686"/>
      <c r="F42" s="687"/>
      <c r="G42" s="685"/>
      <c r="H42" s="688"/>
    </row>
    <row r="43" spans="1:10" ht="13.9" customHeight="1" x14ac:dyDescent="0.25">
      <c r="A43" s="689">
        <v>40</v>
      </c>
      <c r="B43" s="690" t="s">
        <v>1473</v>
      </c>
      <c r="C43" s="691">
        <v>3099</v>
      </c>
      <c r="D43" s="691"/>
      <c r="E43" s="691" t="s">
        <v>1474</v>
      </c>
      <c r="F43" s="693"/>
      <c r="G43" s="690"/>
      <c r="H43" s="694"/>
      <c r="J43" s="527" t="s">
        <v>1377</v>
      </c>
    </row>
    <row r="44" spans="1:10" ht="13.9" customHeight="1" x14ac:dyDescent="0.25">
      <c r="A44" s="684">
        <v>41</v>
      </c>
      <c r="B44" s="685" t="s">
        <v>1475</v>
      </c>
      <c r="C44" s="686">
        <v>212</v>
      </c>
      <c r="D44" s="686"/>
      <c r="E44" s="686"/>
      <c r="F44" s="687"/>
      <c r="G44" s="685"/>
      <c r="H44" s="688"/>
    </row>
    <row r="45" spans="1:10" ht="13.9" customHeight="1" x14ac:dyDescent="0.25">
      <c r="A45" s="689">
        <v>42</v>
      </c>
      <c r="B45" s="690" t="s">
        <v>1476</v>
      </c>
      <c r="C45" s="685">
        <v>3018</v>
      </c>
      <c r="D45" s="690"/>
      <c r="E45" s="690"/>
      <c r="F45" s="690"/>
      <c r="G45" s="690"/>
      <c r="H45" s="694"/>
    </row>
    <row r="46" spans="1:10" ht="13.9" customHeight="1" x14ac:dyDescent="0.25">
      <c r="A46" s="684">
        <v>43</v>
      </c>
      <c r="B46" s="685" t="s">
        <v>1477</v>
      </c>
      <c r="C46" s="685">
        <v>3438</v>
      </c>
      <c r="D46" s="686" t="s">
        <v>1447</v>
      </c>
      <c r="E46" s="685"/>
      <c r="F46" s="685"/>
      <c r="G46" s="685"/>
      <c r="H46" s="688"/>
    </row>
    <row r="47" spans="1:10" ht="13.9" customHeight="1" thickBot="1" x14ac:dyDescent="0.3">
      <c r="A47" s="697"/>
      <c r="B47" s="698" t="s">
        <v>1480</v>
      </c>
      <c r="C47" s="698"/>
      <c r="D47" s="698"/>
      <c r="E47" s="699" t="s">
        <v>1478</v>
      </c>
      <c r="F47" s="698"/>
      <c r="G47" s="698"/>
      <c r="H47" s="700"/>
    </row>
    <row r="48" spans="1:10" ht="13.9" customHeight="1" x14ac:dyDescent="0.25">
      <c r="E48" s="701"/>
    </row>
    <row r="49" spans="2:8" ht="13.9" customHeight="1" x14ac:dyDescent="0.25">
      <c r="E49" s="701"/>
    </row>
    <row r="50" spans="2:8" ht="13.9" customHeight="1" x14ac:dyDescent="0.25">
      <c r="E50" s="956" t="s">
        <v>1083</v>
      </c>
    </row>
    <row r="51" spans="2:8" s="705" customFormat="1" ht="13.9" customHeight="1" x14ac:dyDescent="0.25">
      <c r="E51" s="956"/>
    </row>
    <row r="52" spans="2:8" ht="13.9" customHeight="1" x14ac:dyDescent="0.25">
      <c r="B52" s="4533" t="s">
        <v>1939</v>
      </c>
      <c r="C52" s="4533"/>
      <c r="D52" s="4533"/>
      <c r="E52" s="4533"/>
    </row>
    <row r="53" spans="2:8" s="705" customFormat="1" ht="13.9" customHeight="1" x14ac:dyDescent="0.25">
      <c r="B53" s="991" t="str">
        <f>'Вхідні дані'!F5</f>
        <v>ЧФ ДП "АМПУ"</v>
      </c>
      <c r="C53" s="992"/>
      <c r="D53" s="956" t="s">
        <v>461</v>
      </c>
      <c r="E53" s="993" t="str">
        <f>'Вхідні дані'!F6</f>
        <v>2023-2024</v>
      </c>
      <c r="F53" s="705" t="s">
        <v>648</v>
      </c>
    </row>
    <row r="54" spans="2:8" ht="13.9" customHeight="1" thickBot="1" x14ac:dyDescent="0.3">
      <c r="E54" s="701"/>
    </row>
    <row r="55" spans="2:8" ht="44.25" thickBot="1" x14ac:dyDescent="0.3">
      <c r="B55" s="702" t="s">
        <v>1821</v>
      </c>
      <c r="C55" s="703" t="s">
        <v>1822</v>
      </c>
      <c r="D55" s="704" t="s">
        <v>1823</v>
      </c>
      <c r="E55" s="703" t="s">
        <v>1824</v>
      </c>
      <c r="F55" s="705"/>
      <c r="G55" s="705"/>
    </row>
    <row r="56" spans="2:8" ht="13.9" customHeight="1" x14ac:dyDescent="0.25">
      <c r="B56" s="706"/>
      <c r="C56" s="707"/>
      <c r="D56" s="707"/>
      <c r="E56" s="708"/>
      <c r="F56" s="705"/>
      <c r="G56" s="705"/>
    </row>
    <row r="57" spans="2:8" ht="15" x14ac:dyDescent="0.25">
      <c r="B57" s="709" t="s">
        <v>885</v>
      </c>
      <c r="C57" s="712">
        <v>2</v>
      </c>
      <c r="D57" s="710">
        <v>300</v>
      </c>
      <c r="E57" s="710">
        <f>C57*D57</f>
        <v>600</v>
      </c>
      <c r="F57" s="705"/>
      <c r="G57" s="705"/>
    </row>
    <row r="58" spans="2:8" ht="15" x14ac:dyDescent="0.25">
      <c r="B58" s="709" t="s">
        <v>959</v>
      </c>
      <c r="C58" s="712">
        <v>6</v>
      </c>
      <c r="D58" s="710">
        <v>300</v>
      </c>
      <c r="E58" s="710">
        <f t="shared" ref="E58:E63" si="0">C58*D58</f>
        <v>1800</v>
      </c>
      <c r="F58" s="705"/>
      <c r="G58" s="705"/>
    </row>
    <row r="59" spans="2:8" ht="15" x14ac:dyDescent="0.25">
      <c r="B59" s="709" t="s">
        <v>926</v>
      </c>
      <c r="C59" s="712">
        <v>22</v>
      </c>
      <c r="D59" s="710">
        <v>300</v>
      </c>
      <c r="E59" s="710">
        <f t="shared" si="0"/>
        <v>6600</v>
      </c>
      <c r="F59" s="705"/>
      <c r="G59" s="705"/>
    </row>
    <row r="60" spans="2:8" ht="15" x14ac:dyDescent="0.25">
      <c r="B60" s="709" t="s">
        <v>1820</v>
      </c>
      <c r="C60" s="712">
        <v>45</v>
      </c>
      <c r="D60" s="710">
        <v>300</v>
      </c>
      <c r="E60" s="710">
        <f t="shared" si="0"/>
        <v>13500</v>
      </c>
      <c r="F60" s="705"/>
      <c r="G60" s="705"/>
    </row>
    <row r="61" spans="2:8" ht="15" x14ac:dyDescent="0.25">
      <c r="B61" s="709" t="s">
        <v>1368</v>
      </c>
      <c r="C61" s="712">
        <v>6</v>
      </c>
      <c r="D61" s="710">
        <v>300</v>
      </c>
      <c r="E61" s="710">
        <f t="shared" si="0"/>
        <v>1800</v>
      </c>
      <c r="F61" s="705"/>
      <c r="G61" s="705"/>
    </row>
    <row r="62" spans="2:8" ht="15" x14ac:dyDescent="0.25">
      <c r="B62" s="709" t="s">
        <v>1511</v>
      </c>
      <c r="C62" s="712">
        <v>26</v>
      </c>
      <c r="D62" s="710">
        <v>300</v>
      </c>
      <c r="E62" s="710">
        <f t="shared" si="0"/>
        <v>7800</v>
      </c>
      <c r="F62" s="705"/>
      <c r="G62" s="705"/>
    </row>
    <row r="63" spans="2:8" ht="15.75" thickBot="1" x14ac:dyDescent="0.3">
      <c r="B63" s="711" t="s">
        <v>960</v>
      </c>
      <c r="C63" s="713">
        <v>6</v>
      </c>
      <c r="D63" s="1986">
        <v>300</v>
      </c>
      <c r="E63" s="1986">
        <f t="shared" si="0"/>
        <v>1800</v>
      </c>
      <c r="F63" s="705"/>
      <c r="G63" s="705"/>
    </row>
    <row r="64" spans="2:8" ht="15.75" thickBot="1" x14ac:dyDescent="0.3">
      <c r="B64" s="714" t="s">
        <v>1480</v>
      </c>
      <c r="C64" s="715">
        <f>SUM(C57:C63)</f>
        <v>113</v>
      </c>
      <c r="D64" s="1987"/>
      <c r="E64" s="1987">
        <f>SUM(E57:E63)</f>
        <v>33900</v>
      </c>
      <c r="G64" s="705"/>
      <c r="H64" s="705"/>
    </row>
    <row r="65" spans="2:7" ht="13.9" customHeight="1" x14ac:dyDescent="0.25">
      <c r="B65" s="705"/>
      <c r="C65" s="705"/>
      <c r="D65" s="705"/>
      <c r="E65" s="705"/>
      <c r="F65" s="705"/>
      <c r="G65" s="705"/>
    </row>
    <row r="66" spans="2:7" ht="13.9" customHeight="1" x14ac:dyDescent="0.25">
      <c r="B66" s="705"/>
      <c r="C66" s="705"/>
      <c r="D66" s="705"/>
      <c r="E66" s="705"/>
      <c r="F66" s="705"/>
      <c r="G66" s="705"/>
    </row>
    <row r="67" spans="2:7" s="508" customFormat="1" ht="13.9" customHeight="1" x14ac:dyDescent="0.25">
      <c r="B67" s="508" t="s">
        <v>933</v>
      </c>
      <c r="E67" s="508" t="s">
        <v>2265</v>
      </c>
    </row>
  </sheetData>
  <mergeCells count="2">
    <mergeCell ref="A2:H2"/>
    <mergeCell ref="B52:E52"/>
  </mergeCells>
  <pageMargins left="0.7" right="0.7" top="0.75" bottom="0.75" header="0.3" footer="0.3"/>
  <pageSetup paperSize="9" orientation="portrait" horizontalDpi="0"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1"/>
    <pageSetUpPr fitToPage="1"/>
  </sheetPr>
  <dimension ref="A2:I30"/>
  <sheetViews>
    <sheetView zoomScaleNormal="100" workbookViewId="0">
      <selection activeCell="A6" sqref="A6"/>
    </sheetView>
  </sheetViews>
  <sheetFormatPr defaultRowHeight="15" x14ac:dyDescent="0.25"/>
  <cols>
    <col min="1" max="1" width="5.7109375" customWidth="1"/>
    <col min="2" max="2" width="16.7109375" customWidth="1"/>
    <col min="3" max="3" width="19.85546875" customWidth="1"/>
    <col min="4" max="4" width="16.28515625" customWidth="1"/>
    <col min="5" max="7" width="16.7109375" customWidth="1"/>
    <col min="9" max="9" width="9.140625" bestFit="1" customWidth="1"/>
  </cols>
  <sheetData>
    <row r="2" spans="1:9" x14ac:dyDescent="0.25">
      <c r="I2" s="1877"/>
    </row>
    <row r="3" spans="1:9" s="173" customFormat="1" ht="36" customHeight="1" x14ac:dyDescent="0.25">
      <c r="A3" s="4507" t="s">
        <v>3371</v>
      </c>
      <c r="B3" s="4507"/>
      <c r="C3" s="4507"/>
      <c r="D3" s="4507"/>
      <c r="E3" s="4507"/>
      <c r="F3" s="4507"/>
      <c r="G3" s="4507"/>
    </row>
    <row r="4" spans="1:9" ht="15.75" x14ac:dyDescent="0.25">
      <c r="A4" s="58"/>
      <c r="B4" s="58"/>
      <c r="C4" s="58"/>
      <c r="D4" s="58"/>
      <c r="E4" s="58"/>
      <c r="F4" s="58"/>
    </row>
    <row r="5" spans="1:9" ht="15.75" x14ac:dyDescent="0.25">
      <c r="A5" s="58" t="s">
        <v>3431</v>
      </c>
      <c r="B5" s="58"/>
      <c r="C5" s="58"/>
      <c r="D5" s="4534"/>
      <c r="E5" s="4534"/>
      <c r="F5" s="4534"/>
      <c r="G5" s="2349" t="s">
        <v>2357</v>
      </c>
      <c r="H5" s="2350"/>
    </row>
    <row r="6" spans="1:9" ht="110.45" customHeight="1" x14ac:dyDescent="0.25">
      <c r="A6" s="1492" t="s">
        <v>1013</v>
      </c>
      <c r="B6" s="1492" t="s">
        <v>2358</v>
      </c>
      <c r="C6" s="1492" t="s">
        <v>2359</v>
      </c>
      <c r="D6" s="1493" t="s">
        <v>2360</v>
      </c>
      <c r="E6" s="1493" t="s">
        <v>2361</v>
      </c>
      <c r="F6" s="1493" t="s">
        <v>2362</v>
      </c>
      <c r="G6" s="1492" t="s">
        <v>2363</v>
      </c>
    </row>
    <row r="7" spans="1:9" s="2348" customFormat="1" ht="12.75" x14ac:dyDescent="0.25">
      <c r="A7" s="2345">
        <v>1</v>
      </c>
      <c r="B7" s="2346">
        <v>2</v>
      </c>
      <c r="C7" s="2346">
        <v>3</v>
      </c>
      <c r="D7" s="2346">
        <v>4</v>
      </c>
      <c r="E7" s="2347">
        <v>5</v>
      </c>
      <c r="F7" s="2347">
        <v>6</v>
      </c>
      <c r="G7" s="2345">
        <v>7</v>
      </c>
    </row>
    <row r="8" spans="1:9" ht="15.75" x14ac:dyDescent="0.25">
      <c r="A8" s="1480">
        <v>1</v>
      </c>
      <c r="B8" s="1494" t="s">
        <v>3376</v>
      </c>
      <c r="C8" s="2452">
        <v>4.4556399999999998</v>
      </c>
      <c r="D8" s="3605">
        <v>1.13656</v>
      </c>
      <c r="E8" s="2453">
        <v>0.10627</v>
      </c>
      <c r="F8" s="2453" t="s">
        <v>3154</v>
      </c>
      <c r="G8" s="2454">
        <f>C8+D8</f>
        <v>5.5922000000000001</v>
      </c>
    </row>
    <row r="9" spans="1:9" ht="15.75" x14ac:dyDescent="0.25">
      <c r="A9" s="1480">
        <v>2</v>
      </c>
      <c r="B9" s="1494" t="s">
        <v>3375</v>
      </c>
      <c r="C9" s="2452">
        <v>4.4556399999999998</v>
      </c>
      <c r="D9" s="3605">
        <v>1.13656</v>
      </c>
      <c r="E9" s="2453">
        <v>0.16234999999999999</v>
      </c>
      <c r="F9" s="2453" t="s">
        <v>3154</v>
      </c>
      <c r="G9" s="2454">
        <f t="shared" ref="G9:G12" si="0">C9+D9</f>
        <v>5.5922000000000001</v>
      </c>
      <c r="H9" s="180"/>
    </row>
    <row r="10" spans="1:9" ht="15.75" x14ac:dyDescent="0.25">
      <c r="A10" s="1480">
        <v>3</v>
      </c>
      <c r="B10" s="1494" t="s">
        <v>3409</v>
      </c>
      <c r="C10" s="2452">
        <v>3.27</v>
      </c>
      <c r="D10" s="3605">
        <v>1.13656</v>
      </c>
      <c r="E10" s="2453">
        <v>0.24571000000000001</v>
      </c>
      <c r="F10" s="2453" t="s">
        <v>3154</v>
      </c>
      <c r="G10" s="2454">
        <f t="shared" si="0"/>
        <v>4.4065599999999998</v>
      </c>
      <c r="I10" s="180"/>
    </row>
    <row r="11" spans="1:9" ht="15.75" x14ac:dyDescent="0.25">
      <c r="A11" s="1480">
        <v>4</v>
      </c>
      <c r="B11" s="1494" t="s">
        <v>3410</v>
      </c>
      <c r="C11" s="2452">
        <v>3.27</v>
      </c>
      <c r="D11" s="3605">
        <v>1.13656</v>
      </c>
      <c r="E11" s="2453">
        <v>0.19184999999999999</v>
      </c>
      <c r="F11" s="2453" t="s">
        <v>3154</v>
      </c>
      <c r="G11" s="2454">
        <f t="shared" si="0"/>
        <v>4.4065599999999998</v>
      </c>
    </row>
    <row r="12" spans="1:9" ht="15.75" x14ac:dyDescent="0.25">
      <c r="A12" s="1480">
        <v>5</v>
      </c>
      <c r="B12" s="3608" t="s">
        <v>3411</v>
      </c>
      <c r="C12" s="2452">
        <v>3.27</v>
      </c>
      <c r="D12" s="3605">
        <v>1.3479399999999999</v>
      </c>
      <c r="E12" s="2453">
        <v>0.19184999999999999</v>
      </c>
      <c r="F12" s="2453" t="s">
        <v>3154</v>
      </c>
      <c r="G12" s="2454">
        <f t="shared" si="0"/>
        <v>4.6179399999999999</v>
      </c>
    </row>
    <row r="13" spans="1:9" ht="15.75" x14ac:dyDescent="0.25">
      <c r="A13" s="1480">
        <v>6</v>
      </c>
      <c r="B13" s="3608" t="s">
        <v>3435</v>
      </c>
      <c r="C13" s="2452">
        <v>3.3151000000000002</v>
      </c>
      <c r="D13" s="3605">
        <v>1.6650100000000001</v>
      </c>
      <c r="E13" s="2453">
        <v>0.19184999999999999</v>
      </c>
      <c r="F13" s="2453" t="s">
        <v>3154</v>
      </c>
      <c r="G13" s="2454">
        <f t="shared" ref="G13" si="1">C13+D13</f>
        <v>4.9801099999999998</v>
      </c>
      <c r="I13" s="180"/>
    </row>
    <row r="14" spans="1:9" ht="15.75" x14ac:dyDescent="0.25">
      <c r="A14" s="878"/>
      <c r="B14" s="878" t="s">
        <v>2369</v>
      </c>
      <c r="C14" s="2455">
        <f>AVERAGE(C13,C8,C9,C10,C11,C12)</f>
        <v>3.6727299999999996</v>
      </c>
      <c r="D14" s="2456">
        <f>D13</f>
        <v>1.6650100000000001</v>
      </c>
      <c r="E14" s="2457">
        <f>AVERAGE(E13,E8,E9,E10,E11,E12)</f>
        <v>0.18164666666666665</v>
      </c>
      <c r="F14" s="2453" t="s">
        <v>3154</v>
      </c>
      <c r="G14" s="2454">
        <f>AVERAGE(G13,G8,G9,G10,G11,G12)</f>
        <v>4.9325950000000001</v>
      </c>
      <c r="I14" s="2382">
        <f>G14/2.2-1</f>
        <v>1.2420886363636363</v>
      </c>
    </row>
    <row r="17" spans="2:7" s="508" customFormat="1" ht="13.9" customHeight="1" x14ac:dyDescent="0.25">
      <c r="B17" s="508" t="s">
        <v>3433</v>
      </c>
      <c r="F17" s="4535" t="s">
        <v>3434</v>
      </c>
      <c r="G17" s="4535"/>
    </row>
    <row r="22" spans="2:7" x14ac:dyDescent="0.25">
      <c r="B22" s="158" t="s">
        <v>3420</v>
      </c>
      <c r="C22" s="18"/>
      <c r="D22" s="18"/>
      <c r="E22" s="18"/>
      <c r="F22" s="18"/>
      <c r="G22" s="18"/>
    </row>
    <row r="30" spans="2:7" x14ac:dyDescent="0.25">
      <c r="D30" s="170"/>
    </row>
  </sheetData>
  <mergeCells count="3">
    <mergeCell ref="D5:F5"/>
    <mergeCell ref="A3:G3"/>
    <mergeCell ref="F17:G17"/>
  </mergeCells>
  <pageMargins left="1.2204724409448819" right="0.5118110236220472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4:AF67"/>
  <sheetViews>
    <sheetView view="pageBreakPreview" topLeftCell="A40" zoomScaleNormal="100" zoomScaleSheetLayoutView="100" workbookViewId="0">
      <selection activeCell="D50" sqref="D50"/>
    </sheetView>
  </sheetViews>
  <sheetFormatPr defaultColWidth="9.140625" defaultRowHeight="15" x14ac:dyDescent="0.25"/>
  <cols>
    <col min="1" max="1" width="5.42578125" style="118" customWidth="1"/>
    <col min="2" max="2" width="51.28515625" style="118" customWidth="1"/>
    <col min="3" max="3" width="7.5703125" style="118" customWidth="1"/>
    <col min="4" max="4" width="12.7109375" style="118" customWidth="1"/>
    <col min="5" max="5" width="10.140625" style="118" customWidth="1"/>
    <col min="6" max="6" width="14.7109375" style="118" customWidth="1"/>
    <col min="7" max="7" width="15.5703125" style="118" customWidth="1"/>
    <col min="8" max="8" width="8.85546875" style="118" hidden="1" customWidth="1"/>
    <col min="9" max="11" width="7.140625" style="118" hidden="1" customWidth="1"/>
    <col min="12" max="12" width="9.140625" style="118" hidden="1" customWidth="1"/>
    <col min="13" max="15" width="7.140625" style="118" hidden="1" customWidth="1"/>
    <col min="16" max="16" width="9.85546875" style="118" hidden="1" customWidth="1"/>
    <col min="17" max="19" width="7.140625" style="118" hidden="1" customWidth="1"/>
    <col min="20" max="20" width="9.28515625" style="118" hidden="1" customWidth="1"/>
    <col min="21" max="21" width="14.28515625" style="118" hidden="1" customWidth="1"/>
    <col min="22" max="22" width="9.5703125" style="118" hidden="1" customWidth="1"/>
    <col min="23" max="23" width="12.140625" style="118" hidden="1" customWidth="1"/>
    <col min="24" max="24" width="11.7109375" style="156" bestFit="1" customWidth="1"/>
    <col min="25" max="16384" width="9.140625" style="118"/>
  </cols>
  <sheetData>
    <row r="4" spans="1:32" ht="12.75" customHeight="1" x14ac:dyDescent="0.25">
      <c r="A4" s="2766"/>
      <c r="B4" s="2767"/>
      <c r="C4" s="2764"/>
      <c r="D4" s="2943"/>
      <c r="E4" s="3761" t="s">
        <v>3249</v>
      </c>
      <c r="F4" s="3761"/>
      <c r="G4" s="3761"/>
      <c r="H4" s="2943"/>
      <c r="I4" s="2734"/>
      <c r="J4" s="2734"/>
      <c r="K4" s="2734"/>
    </row>
    <row r="5" spans="1:32" ht="15" customHeight="1" x14ac:dyDescent="0.25">
      <c r="A5" s="2766"/>
      <c r="B5" s="2767"/>
      <c r="C5" s="2764"/>
      <c r="E5" s="3718" t="s">
        <v>3248</v>
      </c>
      <c r="F5" s="3718"/>
      <c r="G5" s="3718"/>
      <c r="H5" s="2801"/>
      <c r="I5" s="2734"/>
      <c r="J5" s="2734"/>
      <c r="K5" s="2734"/>
    </row>
    <row r="6" spans="1:32" ht="15" customHeight="1" x14ac:dyDescent="0.25">
      <c r="A6" s="2766"/>
      <c r="B6" s="2767"/>
      <c r="C6" s="2764"/>
      <c r="D6" s="2924"/>
      <c r="E6" s="3762" t="str">
        <f>'Вхідні дані'!F1</f>
        <v>станом на 01.08.2023 року</v>
      </c>
      <c r="F6" s="3762"/>
      <c r="G6" s="2875"/>
      <c r="H6" s="2801"/>
      <c r="I6" s="2734"/>
      <c r="J6" s="2734"/>
      <c r="K6" s="2734"/>
    </row>
    <row r="7" spans="1:32" ht="15" customHeight="1" x14ac:dyDescent="0.25">
      <c r="A7" s="2766"/>
      <c r="B7" s="2767"/>
      <c r="C7" s="2764"/>
      <c r="D7" s="2924"/>
      <c r="E7" s="2875"/>
      <c r="F7" s="2875"/>
      <c r="G7" s="2875"/>
      <c r="H7" s="2801"/>
      <c r="I7" s="2734"/>
      <c r="J7" s="2734"/>
      <c r="K7" s="2734"/>
    </row>
    <row r="8" spans="1:32" ht="15.75" customHeight="1" x14ac:dyDescent="0.25">
      <c r="A8" s="3719" t="s">
        <v>451</v>
      </c>
      <c r="B8" s="3719"/>
      <c r="C8" s="3719"/>
      <c r="D8" s="3719"/>
      <c r="E8" s="3719"/>
      <c r="F8" s="3719"/>
      <c r="G8" s="3719"/>
      <c r="H8" s="2801"/>
      <c r="I8" s="2734"/>
      <c r="J8" s="2734"/>
      <c r="K8" s="2734"/>
    </row>
    <row r="9" spans="1:32" x14ac:dyDescent="0.25">
      <c r="A9" s="3766" t="s">
        <v>1606</v>
      </c>
      <c r="B9" s="3766"/>
      <c r="C9" s="3766"/>
      <c r="D9" s="3766"/>
      <c r="E9" s="3766"/>
      <c r="F9" s="3766"/>
      <c r="G9" s="3766"/>
      <c r="H9" s="2734"/>
      <c r="I9" s="2734"/>
      <c r="J9" s="2734"/>
      <c r="K9" s="2734"/>
    </row>
    <row r="10" spans="1:32" x14ac:dyDescent="0.25">
      <c r="A10" s="3763"/>
      <c r="B10" s="3763"/>
      <c r="C10" s="3763"/>
      <c r="D10" s="3763"/>
      <c r="E10" s="3763"/>
      <c r="F10" s="3763"/>
      <c r="G10" s="3763"/>
      <c r="H10" s="2734"/>
      <c r="I10" s="2734"/>
      <c r="J10" s="2734"/>
      <c r="K10" s="2734"/>
    </row>
    <row r="11" spans="1:32" x14ac:dyDescent="0.25">
      <c r="A11" s="3757" t="s">
        <v>221</v>
      </c>
      <c r="B11" s="3767"/>
      <c r="C11" s="3767"/>
      <c r="D11" s="3767"/>
      <c r="E11" s="3767"/>
      <c r="F11" s="3767"/>
      <c r="G11" s="3767"/>
      <c r="H11" s="2734"/>
      <c r="I11" s="2734"/>
      <c r="J11" s="2734"/>
      <c r="K11" s="2734"/>
    </row>
    <row r="12" spans="1:32" ht="15" customHeight="1" x14ac:dyDescent="0.25">
      <c r="A12" s="3744" t="s">
        <v>7</v>
      </c>
      <c r="B12" s="3747" t="s">
        <v>8</v>
      </c>
      <c r="C12" s="3750" t="s">
        <v>35</v>
      </c>
      <c r="D12" s="3768" t="s">
        <v>80</v>
      </c>
      <c r="E12" s="3768"/>
      <c r="F12" s="3768"/>
      <c r="G12" s="3768"/>
      <c r="H12" s="3768" t="s">
        <v>126</v>
      </c>
      <c r="I12" s="3768"/>
      <c r="J12" s="3768"/>
      <c r="K12" s="3768"/>
      <c r="L12" s="3764" t="s">
        <v>172</v>
      </c>
      <c r="M12" s="3764"/>
      <c r="N12" s="3764"/>
      <c r="O12" s="3764"/>
      <c r="P12" s="3764" t="s">
        <v>127</v>
      </c>
      <c r="Q12" s="3764"/>
      <c r="R12" s="3764"/>
      <c r="S12" s="3764"/>
      <c r="T12" s="3764" t="s">
        <v>128</v>
      </c>
      <c r="U12" s="3764"/>
      <c r="V12" s="3764"/>
      <c r="W12" s="3764"/>
    </row>
    <row r="13" spans="1:32" ht="35.25" customHeight="1" x14ac:dyDescent="0.25">
      <c r="A13" s="3745"/>
      <c r="B13" s="3748"/>
      <c r="C13" s="3751"/>
      <c r="D13" s="2192" t="s">
        <v>251</v>
      </c>
      <c r="E13" s="2192" t="s">
        <v>223</v>
      </c>
      <c r="F13" s="2192" t="s">
        <v>224</v>
      </c>
      <c r="G13" s="2192" t="s">
        <v>459</v>
      </c>
      <c r="H13" s="2192" t="s">
        <v>207</v>
      </c>
      <c r="I13" s="2192" t="s">
        <v>204</v>
      </c>
      <c r="J13" s="2192" t="s">
        <v>81</v>
      </c>
      <c r="K13" s="2192" t="s">
        <v>208</v>
      </c>
      <c r="L13" s="127" t="s">
        <v>207</v>
      </c>
      <c r="M13" s="127" t="s">
        <v>204</v>
      </c>
      <c r="N13" s="127" t="s">
        <v>81</v>
      </c>
      <c r="O13" s="127" t="s">
        <v>208</v>
      </c>
      <c r="P13" s="127" t="s">
        <v>207</v>
      </c>
      <c r="Q13" s="127" t="s">
        <v>204</v>
      </c>
      <c r="R13" s="127" t="s">
        <v>81</v>
      </c>
      <c r="S13" s="127" t="s">
        <v>208</v>
      </c>
      <c r="T13" s="127" t="s">
        <v>207</v>
      </c>
      <c r="U13" s="127" t="s">
        <v>204</v>
      </c>
      <c r="V13" s="127" t="s">
        <v>81</v>
      </c>
      <c r="W13" s="127" t="s">
        <v>208</v>
      </c>
    </row>
    <row r="14" spans="1:32" ht="22.5" x14ac:dyDescent="0.25">
      <c r="A14" s="3746"/>
      <c r="B14" s="3749"/>
      <c r="C14" s="3752"/>
      <c r="D14" s="2192">
        <f>'Вхідні дані'!$F$8</f>
        <v>2021</v>
      </c>
      <c r="E14" s="2192">
        <f>'Вхідні дані'!$F$7</f>
        <v>2022</v>
      </c>
      <c r="F14" s="2192" t="str">
        <f>'Вхідні дані'!$F$9</f>
        <v xml:space="preserve">Ріш. № 297 від 25.10.2022 </v>
      </c>
      <c r="G14" s="2192" t="str">
        <f>'Вхідні дані'!$F$6</f>
        <v>2023-2024</v>
      </c>
      <c r="H14" s="2192"/>
      <c r="I14" s="2192"/>
      <c r="J14" s="2192"/>
      <c r="K14" s="2192"/>
      <c r="L14" s="127"/>
      <c r="M14" s="127"/>
      <c r="N14" s="127"/>
      <c r="O14" s="127"/>
      <c r="P14" s="127"/>
      <c r="Q14" s="127"/>
      <c r="R14" s="127"/>
      <c r="S14" s="127"/>
      <c r="T14" s="127"/>
      <c r="U14" s="127"/>
      <c r="V14" s="127"/>
      <c r="W14" s="127"/>
    </row>
    <row r="15" spans="1:32" x14ac:dyDescent="0.25">
      <c r="A15" s="1328">
        <v>1</v>
      </c>
      <c r="B15" s="1328">
        <v>2</v>
      </c>
      <c r="C15" s="1328">
        <v>3</v>
      </c>
      <c r="D15" s="1328">
        <v>4</v>
      </c>
      <c r="E15" s="1328">
        <v>5</v>
      </c>
      <c r="F15" s="1328">
        <v>6</v>
      </c>
      <c r="G15" s="1328">
        <v>7</v>
      </c>
      <c r="H15" s="1328">
        <v>8</v>
      </c>
      <c r="I15" s="1328">
        <v>9</v>
      </c>
      <c r="J15" s="1328">
        <v>10</v>
      </c>
      <c r="K15" s="1328">
        <v>11</v>
      </c>
      <c r="L15" s="148">
        <v>12</v>
      </c>
      <c r="M15" s="148">
        <v>13</v>
      </c>
      <c r="N15" s="148">
        <v>14</v>
      </c>
      <c r="O15" s="148">
        <v>15</v>
      </c>
      <c r="P15" s="148">
        <v>16</v>
      </c>
      <c r="Q15" s="148">
        <v>17</v>
      </c>
      <c r="R15" s="148">
        <v>18</v>
      </c>
      <c r="S15" s="148">
        <v>19</v>
      </c>
      <c r="T15" s="148">
        <v>20</v>
      </c>
      <c r="U15" s="148">
        <v>21</v>
      </c>
      <c r="V15" s="148">
        <v>22</v>
      </c>
      <c r="W15" s="148">
        <v>23</v>
      </c>
    </row>
    <row r="16" spans="1:32" s="123" customFormat="1" x14ac:dyDescent="0.25">
      <c r="A16" s="2802">
        <v>1</v>
      </c>
      <c r="B16" s="2803" t="s">
        <v>225</v>
      </c>
      <c r="C16" s="2783" t="s">
        <v>40</v>
      </c>
      <c r="D16" s="2758">
        <f>D17+D18+D19+D23</f>
        <v>936.54552000000012</v>
      </c>
      <c r="E16" s="2758">
        <f t="shared" ref="E16:W16" si="0">E17+E18+E19+E23</f>
        <v>965.77</v>
      </c>
      <c r="F16" s="2758">
        <f t="shared" si="0"/>
        <v>960.53</v>
      </c>
      <c r="G16" s="2758">
        <f t="shared" si="0"/>
        <v>520.53602277225002</v>
      </c>
      <c r="H16" s="2758">
        <f t="shared" si="0"/>
        <v>0</v>
      </c>
      <c r="I16" s="2758">
        <f t="shared" si="0"/>
        <v>0</v>
      </c>
      <c r="J16" s="2758">
        <f t="shared" si="0"/>
        <v>0</v>
      </c>
      <c r="K16" s="2758">
        <f t="shared" si="0"/>
        <v>0</v>
      </c>
      <c r="L16" s="139">
        <f t="shared" si="0"/>
        <v>0</v>
      </c>
      <c r="M16" s="139">
        <f t="shared" si="0"/>
        <v>0</v>
      </c>
      <c r="N16" s="139">
        <f t="shared" si="0"/>
        <v>0</v>
      </c>
      <c r="O16" s="139">
        <f t="shared" si="0"/>
        <v>0</v>
      </c>
      <c r="P16" s="139">
        <f t="shared" si="0"/>
        <v>0</v>
      </c>
      <c r="Q16" s="139">
        <f t="shared" si="0"/>
        <v>0</v>
      </c>
      <c r="R16" s="139">
        <f t="shared" si="0"/>
        <v>0</v>
      </c>
      <c r="S16" s="139">
        <f t="shared" si="0"/>
        <v>0</v>
      </c>
      <c r="T16" s="139">
        <f t="shared" si="0"/>
        <v>0</v>
      </c>
      <c r="U16" s="139">
        <f t="shared" si="0"/>
        <v>0</v>
      </c>
      <c r="V16" s="139">
        <f t="shared" si="0"/>
        <v>0</v>
      </c>
      <c r="W16" s="139">
        <f t="shared" si="0"/>
        <v>0</v>
      </c>
      <c r="X16" s="853"/>
      <c r="AF16" s="876">
        <f>G16/$AF$47</f>
        <v>133.48719563276984</v>
      </c>
    </row>
    <row r="17" spans="1:32" x14ac:dyDescent="0.25">
      <c r="A17" s="2804" t="s">
        <v>23</v>
      </c>
      <c r="B17" s="2805" t="s">
        <v>103</v>
      </c>
      <c r="C17" s="2192" t="s">
        <v>40</v>
      </c>
      <c r="D17" s="2759">
        <f>Постачання_1ст!C10</f>
        <v>9.15</v>
      </c>
      <c r="E17" s="2759">
        <f>Постачання_1ст!D10</f>
        <v>1.4200000000000002</v>
      </c>
      <c r="F17" s="2759">
        <f>Постачання_1ст!E10</f>
        <v>9.7100000000000009</v>
      </c>
      <c r="G17" s="2759">
        <f>Постачання_1ст!F10</f>
        <v>1.5009399999999997</v>
      </c>
      <c r="H17" s="2759"/>
      <c r="I17" s="2759"/>
      <c r="J17" s="2760"/>
      <c r="K17" s="2759"/>
      <c r="L17" s="141"/>
      <c r="M17" s="141"/>
      <c r="N17" s="142"/>
      <c r="O17" s="141"/>
      <c r="P17" s="141"/>
      <c r="Q17" s="141"/>
      <c r="R17" s="142"/>
      <c r="S17" s="141"/>
      <c r="T17" s="141"/>
      <c r="U17" s="141"/>
      <c r="V17" s="142"/>
      <c r="W17" s="141"/>
      <c r="AF17" s="876">
        <f t="shared" ref="AF17:AF46" si="1">G17/$AF$47</f>
        <v>0.38490375814146366</v>
      </c>
    </row>
    <row r="18" spans="1:32" x14ac:dyDescent="0.25">
      <c r="A18" s="2804" t="s">
        <v>24</v>
      </c>
      <c r="B18" s="2805" t="s">
        <v>104</v>
      </c>
      <c r="C18" s="2192" t="s">
        <v>40</v>
      </c>
      <c r="D18" s="2759">
        <f>Постачання_1ст!C21</f>
        <v>553.53552000000002</v>
      </c>
      <c r="E18" s="2759">
        <f>Постачання_1ст!D21</f>
        <v>627.33000000000004</v>
      </c>
      <c r="F18" s="2759">
        <f>Постачання_1ст!E21</f>
        <v>612.30999999999995</v>
      </c>
      <c r="G18" s="2759">
        <f>Постачання_1ст!F21</f>
        <v>297.08970999999997</v>
      </c>
      <c r="H18" s="2759"/>
      <c r="I18" s="2759"/>
      <c r="J18" s="2760"/>
      <c r="K18" s="2759"/>
      <c r="L18" s="141"/>
      <c r="M18" s="141"/>
      <c r="N18" s="142"/>
      <c r="O18" s="141"/>
      <c r="P18" s="141"/>
      <c r="Q18" s="141"/>
      <c r="R18" s="142"/>
      <c r="S18" s="141"/>
      <c r="T18" s="141"/>
      <c r="U18" s="141"/>
      <c r="V18" s="142"/>
      <c r="W18" s="141"/>
      <c r="AF18" s="876">
        <f t="shared" si="1"/>
        <v>76.186220557888774</v>
      </c>
    </row>
    <row r="19" spans="1:32" x14ac:dyDescent="0.25">
      <c r="A19" s="2804" t="s">
        <v>48</v>
      </c>
      <c r="B19" s="2805" t="s">
        <v>227</v>
      </c>
      <c r="C19" s="2192" t="s">
        <v>40</v>
      </c>
      <c r="D19" s="2759">
        <f>Постачання_1ст!C23</f>
        <v>283.0800000000001</v>
      </c>
      <c r="E19" s="2759">
        <f>Постачання_1ст!D23</f>
        <v>236.76999999999998</v>
      </c>
      <c r="F19" s="2759">
        <f>Постачання_1ст!E23</f>
        <v>292.10000000000002</v>
      </c>
      <c r="G19" s="2759">
        <f>Постачання_1ст!F23</f>
        <v>153.80650326115997</v>
      </c>
      <c r="H19" s="2759"/>
      <c r="I19" s="2759"/>
      <c r="J19" s="2759"/>
      <c r="K19" s="2759"/>
      <c r="L19" s="141"/>
      <c r="M19" s="141"/>
      <c r="N19" s="141"/>
      <c r="O19" s="141"/>
      <c r="P19" s="141"/>
      <c r="Q19" s="141"/>
      <c r="R19" s="141"/>
      <c r="S19" s="141"/>
      <c r="T19" s="141"/>
      <c r="U19" s="141"/>
      <c r="V19" s="141"/>
      <c r="W19" s="141"/>
      <c r="AF19" s="876">
        <f t="shared" si="1"/>
        <v>39.44241683999212</v>
      </c>
    </row>
    <row r="20" spans="1:32" ht="25.5" x14ac:dyDescent="0.25">
      <c r="A20" s="2804" t="s">
        <v>49</v>
      </c>
      <c r="B20" s="2805" t="s">
        <v>452</v>
      </c>
      <c r="C20" s="2192" t="s">
        <v>40</v>
      </c>
      <c r="D20" s="2759">
        <f>Постачання_1ст!C24</f>
        <v>125.51</v>
      </c>
      <c r="E20" s="2759">
        <f>Постачання_1ст!D24</f>
        <v>127.56</v>
      </c>
      <c r="F20" s="2759">
        <f>Постачання_1ст!E24</f>
        <v>134.71</v>
      </c>
      <c r="G20" s="2759">
        <f>Постачання_1ст!F24</f>
        <v>65.3597362</v>
      </c>
      <c r="H20" s="2759"/>
      <c r="I20" s="2759"/>
      <c r="J20" s="2760"/>
      <c r="K20" s="2759"/>
      <c r="L20" s="141"/>
      <c r="M20" s="141"/>
      <c r="N20" s="142"/>
      <c r="O20" s="141"/>
      <c r="P20" s="141"/>
      <c r="Q20" s="141"/>
      <c r="R20" s="142"/>
      <c r="S20" s="141"/>
      <c r="T20" s="141"/>
      <c r="U20" s="141"/>
      <c r="V20" s="142"/>
      <c r="W20" s="141"/>
      <c r="Y20" s="156"/>
      <c r="Z20" s="156"/>
      <c r="AA20" s="156"/>
      <c r="AB20" s="156"/>
      <c r="AC20" s="156"/>
      <c r="AF20" s="876">
        <f t="shared" si="1"/>
        <v>16.760968522735535</v>
      </c>
    </row>
    <row r="21" spans="1:32" x14ac:dyDescent="0.25">
      <c r="A21" s="2804" t="s">
        <v>50</v>
      </c>
      <c r="B21" s="2805" t="s">
        <v>460</v>
      </c>
      <c r="C21" s="2192" t="s">
        <v>40</v>
      </c>
      <c r="D21" s="2759">
        <f>Постачання_1ст!C25+Постачання_1ст!C26</f>
        <v>7.51</v>
      </c>
      <c r="E21" s="2759">
        <f>Постачання_1ст!D25+Постачання_1ст!D26</f>
        <v>0</v>
      </c>
      <c r="F21" s="2759">
        <f>Постачання_1ст!E25+Постачання_1ст!E26</f>
        <v>0</v>
      </c>
      <c r="G21" s="2759">
        <f>Постачання_1ст!F25+Постачання_1ст!F26</f>
        <v>0</v>
      </c>
      <c r="H21" s="2759"/>
      <c r="I21" s="2759"/>
      <c r="J21" s="2760"/>
      <c r="K21" s="2759"/>
      <c r="L21" s="141"/>
      <c r="M21" s="141"/>
      <c r="N21" s="142"/>
      <c r="O21" s="141"/>
      <c r="P21" s="141"/>
      <c r="Q21" s="141"/>
      <c r="R21" s="142"/>
      <c r="S21" s="141"/>
      <c r="T21" s="141"/>
      <c r="U21" s="141"/>
      <c r="V21" s="142"/>
      <c r="W21" s="141"/>
      <c r="Y21" s="156"/>
      <c r="Z21" s="156"/>
      <c r="AA21" s="156"/>
      <c r="AB21" s="156"/>
      <c r="AC21" s="156"/>
      <c r="AF21" s="876">
        <f t="shared" si="1"/>
        <v>0</v>
      </c>
    </row>
    <row r="22" spans="1:32" x14ac:dyDescent="0.25">
      <c r="A22" s="2804" t="s">
        <v>51</v>
      </c>
      <c r="B22" s="2805" t="s">
        <v>52</v>
      </c>
      <c r="C22" s="2192" t="s">
        <v>40</v>
      </c>
      <c r="D22" s="2759">
        <f>D19-D20-D21</f>
        <v>150.06000000000012</v>
      </c>
      <c r="E22" s="2759">
        <f>E19-E20-E21</f>
        <v>109.20999999999998</v>
      </c>
      <c r="F22" s="2759">
        <f>F19-F20-F21</f>
        <v>157.39000000000001</v>
      </c>
      <c r="G22" s="2759">
        <f>G19-G20-G21</f>
        <v>88.446767061159974</v>
      </c>
      <c r="H22" s="2759"/>
      <c r="I22" s="2759"/>
      <c r="J22" s="2760"/>
      <c r="K22" s="2759"/>
      <c r="L22" s="141"/>
      <c r="M22" s="141"/>
      <c r="N22" s="142"/>
      <c r="O22" s="141"/>
      <c r="P22" s="141"/>
      <c r="Q22" s="141"/>
      <c r="R22" s="142"/>
      <c r="S22" s="141"/>
      <c r="T22" s="141"/>
      <c r="U22" s="141"/>
      <c r="V22" s="142"/>
      <c r="W22" s="141"/>
      <c r="AF22" s="876">
        <f t="shared" si="1"/>
        <v>22.681448317256585</v>
      </c>
    </row>
    <row r="23" spans="1:32" x14ac:dyDescent="0.25">
      <c r="A23" s="2804" t="s">
        <v>53</v>
      </c>
      <c r="B23" s="2803" t="s">
        <v>3388</v>
      </c>
      <c r="C23" s="2192" t="s">
        <v>40</v>
      </c>
      <c r="D23" s="2759">
        <f>D24+D25+D26</f>
        <v>90.78</v>
      </c>
      <c r="E23" s="2759">
        <f>E24+E25+E26</f>
        <v>100.25</v>
      </c>
      <c r="F23" s="2759">
        <f>F24+F25+F26</f>
        <v>46.41</v>
      </c>
      <c r="G23" s="2759">
        <f>ЗВВ_1ст!K8</f>
        <v>68.138869511090107</v>
      </c>
      <c r="H23" s="2759"/>
      <c r="I23" s="2759"/>
      <c r="J23" s="2759"/>
      <c r="K23" s="2759"/>
      <c r="L23" s="141"/>
      <c r="M23" s="141"/>
      <c r="N23" s="141"/>
      <c r="O23" s="141"/>
      <c r="P23" s="141"/>
      <c r="Q23" s="141"/>
      <c r="R23" s="141"/>
      <c r="S23" s="141"/>
      <c r="T23" s="141"/>
      <c r="U23" s="141"/>
      <c r="V23" s="141"/>
      <c r="W23" s="141"/>
      <c r="AF23" s="876">
        <f t="shared" si="1"/>
        <v>17.473654476747495</v>
      </c>
    </row>
    <row r="24" spans="1:32" x14ac:dyDescent="0.25">
      <c r="A24" s="2804" t="s">
        <v>54</v>
      </c>
      <c r="B24" s="2805" t="s">
        <v>105</v>
      </c>
      <c r="C24" s="2192" t="s">
        <v>40</v>
      </c>
      <c r="D24" s="2759">
        <v>56.56</v>
      </c>
      <c r="E24" s="2759">
        <v>59.36</v>
      </c>
      <c r="F24" s="2760">
        <v>30.91</v>
      </c>
      <c r="G24" s="2759">
        <f>ЗВВ_1ст!K21</f>
        <v>49.346094111364039</v>
      </c>
      <c r="H24" s="2759"/>
      <c r="I24" s="2759"/>
      <c r="J24" s="2760"/>
      <c r="K24" s="2759"/>
      <c r="L24" s="141"/>
      <c r="M24" s="141"/>
      <c r="N24" s="142"/>
      <c r="O24" s="141"/>
      <c r="P24" s="141"/>
      <c r="Q24" s="141"/>
      <c r="R24" s="142"/>
      <c r="S24" s="141"/>
      <c r="T24" s="141"/>
      <c r="U24" s="141"/>
      <c r="V24" s="142"/>
      <c r="W24" s="141"/>
      <c r="AF24" s="876">
        <f t="shared" si="1"/>
        <v>12.654401290568824</v>
      </c>
    </row>
    <row r="25" spans="1:32" ht="25.5" x14ac:dyDescent="0.25">
      <c r="A25" s="2804" t="s">
        <v>56</v>
      </c>
      <c r="B25" s="2805" t="s">
        <v>452</v>
      </c>
      <c r="C25" s="2192" t="s">
        <v>40</v>
      </c>
      <c r="D25" s="2759">
        <v>11.43</v>
      </c>
      <c r="E25" s="2759">
        <v>12.51</v>
      </c>
      <c r="F25" s="2760">
        <v>6.8</v>
      </c>
      <c r="G25" s="2759">
        <f>ЗВВ_1ст!K23</f>
        <v>10.856140704500088</v>
      </c>
      <c r="H25" s="2759"/>
      <c r="I25" s="2759"/>
      <c r="J25" s="2760"/>
      <c r="K25" s="2759"/>
      <c r="L25" s="141"/>
      <c r="M25" s="141"/>
      <c r="N25" s="142"/>
      <c r="O25" s="141"/>
      <c r="P25" s="141"/>
      <c r="Q25" s="141"/>
      <c r="R25" s="142"/>
      <c r="S25" s="141"/>
      <c r="T25" s="141"/>
      <c r="U25" s="141"/>
      <c r="V25" s="142"/>
      <c r="W25" s="141"/>
      <c r="AF25" s="876">
        <f t="shared" si="1"/>
        <v>2.7839682839251414</v>
      </c>
    </row>
    <row r="26" spans="1:32" x14ac:dyDescent="0.25">
      <c r="A26" s="2804" t="s">
        <v>57</v>
      </c>
      <c r="B26" s="2805" t="s">
        <v>58</v>
      </c>
      <c r="C26" s="2192" t="s">
        <v>40</v>
      </c>
      <c r="D26" s="2759">
        <v>22.79</v>
      </c>
      <c r="E26" s="2759">
        <v>28.38</v>
      </c>
      <c r="F26" s="2760">
        <f>0.42+8.28</f>
        <v>8.6999999999999993</v>
      </c>
      <c r="G26" s="2758">
        <f>G23-G24-G25</f>
        <v>7.9366346952259796</v>
      </c>
      <c r="H26" s="2759"/>
      <c r="I26" s="2759"/>
      <c r="J26" s="2760"/>
      <c r="K26" s="2759"/>
      <c r="L26" s="141"/>
      <c r="M26" s="141"/>
      <c r="N26" s="142"/>
      <c r="O26" s="141"/>
      <c r="P26" s="141"/>
      <c r="Q26" s="141"/>
      <c r="R26" s="142"/>
      <c r="S26" s="141"/>
      <c r="T26" s="141"/>
      <c r="U26" s="141"/>
      <c r="V26" s="142"/>
      <c r="W26" s="141"/>
      <c r="AF26" s="876">
        <f t="shared" si="1"/>
        <v>2.0352849022535278</v>
      </c>
    </row>
    <row r="27" spans="1:32" s="123" customFormat="1" x14ac:dyDescent="0.25">
      <c r="A27" s="2802">
        <v>2</v>
      </c>
      <c r="B27" s="2803" t="s">
        <v>229</v>
      </c>
      <c r="C27" s="2783" t="s">
        <v>40</v>
      </c>
      <c r="D27" s="2758">
        <f>D28+D29+D30</f>
        <v>92.99</v>
      </c>
      <c r="E27" s="2758">
        <f>E28+E29+E30</f>
        <v>106.54</v>
      </c>
      <c r="F27" s="2758">
        <f>F28+F29+F30</f>
        <v>18.509999999999998</v>
      </c>
      <c r="G27" s="2758">
        <f>Адміністративні_1ст!K8</f>
        <v>20.887540397300036</v>
      </c>
      <c r="H27" s="2758"/>
      <c r="I27" s="2758"/>
      <c r="J27" s="2758"/>
      <c r="K27" s="2758"/>
      <c r="L27" s="139"/>
      <c r="M27" s="139"/>
      <c r="N27" s="139"/>
      <c r="O27" s="139"/>
      <c r="P27" s="139"/>
      <c r="Q27" s="139"/>
      <c r="R27" s="139"/>
      <c r="S27" s="139"/>
      <c r="T27" s="139"/>
      <c r="U27" s="139"/>
      <c r="V27" s="139"/>
      <c r="W27" s="139"/>
      <c r="X27" s="853"/>
      <c r="AF27" s="876">
        <f t="shared" si="1"/>
        <v>5.3564384967103456</v>
      </c>
    </row>
    <row r="28" spans="1:32" x14ac:dyDescent="0.25">
      <c r="A28" s="2804" t="s">
        <v>25</v>
      </c>
      <c r="B28" s="2805" t="s">
        <v>55</v>
      </c>
      <c r="C28" s="2192" t="s">
        <v>40</v>
      </c>
      <c r="D28" s="2759">
        <v>59.95</v>
      </c>
      <c r="E28" s="2759">
        <v>64.34</v>
      </c>
      <c r="F28" s="2760">
        <v>11.52</v>
      </c>
      <c r="G28" s="2759">
        <f>Адміністративні_1ст!K21</f>
        <v>11.559285989590718</v>
      </c>
      <c r="H28" s="2759"/>
      <c r="I28" s="2759"/>
      <c r="J28" s="2760"/>
      <c r="K28" s="2759"/>
      <c r="L28" s="141"/>
      <c r="M28" s="141"/>
      <c r="N28" s="142"/>
      <c r="O28" s="141"/>
      <c r="P28" s="141"/>
      <c r="Q28" s="141"/>
      <c r="R28" s="142"/>
      <c r="S28" s="141"/>
      <c r="T28" s="141"/>
      <c r="U28" s="141"/>
      <c r="V28" s="142"/>
      <c r="W28" s="141"/>
      <c r="AF28" s="876">
        <f t="shared" si="1"/>
        <v>2.9642841278301835</v>
      </c>
    </row>
    <row r="29" spans="1:32" ht="25.5" x14ac:dyDescent="0.25">
      <c r="A29" s="2804" t="s">
        <v>26</v>
      </c>
      <c r="B29" s="2805" t="s">
        <v>452</v>
      </c>
      <c r="C29" s="2192" t="s">
        <v>40</v>
      </c>
      <c r="D29" s="2759">
        <v>12.96</v>
      </c>
      <c r="E29" s="2759">
        <v>14.39</v>
      </c>
      <c r="F29" s="2760">
        <v>2.54</v>
      </c>
      <c r="G29" s="2759">
        <f>Адміністративні_1ст!K23</f>
        <v>2.5430429177099581</v>
      </c>
      <c r="H29" s="2759"/>
      <c r="I29" s="2759"/>
      <c r="J29" s="2760"/>
      <c r="K29" s="2759"/>
      <c r="L29" s="141"/>
      <c r="M29" s="141"/>
      <c r="N29" s="142"/>
      <c r="O29" s="141"/>
      <c r="P29" s="141"/>
      <c r="Q29" s="141"/>
      <c r="R29" s="142"/>
      <c r="S29" s="141"/>
      <c r="T29" s="141"/>
      <c r="U29" s="141"/>
      <c r="V29" s="142"/>
      <c r="W29" s="141"/>
      <c r="AF29" s="876">
        <f t="shared" si="1"/>
        <v>0.65214250812264041</v>
      </c>
    </row>
    <row r="30" spans="1:32" x14ac:dyDescent="0.25">
      <c r="A30" s="2804" t="s">
        <v>59</v>
      </c>
      <c r="B30" s="2805" t="s">
        <v>58</v>
      </c>
      <c r="C30" s="2192" t="s">
        <v>40</v>
      </c>
      <c r="D30" s="2759">
        <v>20.079999999999998</v>
      </c>
      <c r="E30" s="2759">
        <v>27.81</v>
      </c>
      <c r="F30" s="2760">
        <f>0.29+4.16</f>
        <v>4.45</v>
      </c>
      <c r="G30" s="2759">
        <f>G27-G28-G29</f>
        <v>6.7852114899993605</v>
      </c>
      <c r="H30" s="2759"/>
      <c r="I30" s="2759"/>
      <c r="J30" s="2760"/>
      <c r="K30" s="2759"/>
      <c r="L30" s="141"/>
      <c r="M30" s="141"/>
      <c r="N30" s="142"/>
      <c r="O30" s="141"/>
      <c r="P30" s="141"/>
      <c r="Q30" s="141"/>
      <c r="R30" s="142"/>
      <c r="S30" s="141"/>
      <c r="T30" s="141"/>
      <c r="U30" s="141"/>
      <c r="V30" s="142"/>
      <c r="W30" s="141"/>
      <c r="AF30" s="876">
        <f t="shared" si="1"/>
        <v>1.7400118607575217</v>
      </c>
    </row>
    <row r="31" spans="1:32" s="123" customFormat="1" x14ac:dyDescent="0.25">
      <c r="A31" s="2772" t="s">
        <v>181</v>
      </c>
      <c r="B31" s="2806" t="s">
        <v>230</v>
      </c>
      <c r="C31" s="2783" t="s">
        <v>40</v>
      </c>
      <c r="D31" s="2758">
        <f>D32+D33+D34</f>
        <v>0</v>
      </c>
      <c r="E31" s="2758">
        <f>E32+E33+E34</f>
        <v>0</v>
      </c>
      <c r="F31" s="2758">
        <f>F32+F33+F34</f>
        <v>0</v>
      </c>
      <c r="G31" s="2758">
        <f>G32+G33+G34</f>
        <v>0</v>
      </c>
      <c r="H31" s="2758"/>
      <c r="I31" s="2758"/>
      <c r="J31" s="2761"/>
      <c r="K31" s="2758"/>
      <c r="L31" s="139"/>
      <c r="M31" s="139"/>
      <c r="N31" s="143"/>
      <c r="O31" s="139"/>
      <c r="P31" s="139"/>
      <c r="Q31" s="139"/>
      <c r="R31" s="143"/>
      <c r="S31" s="139"/>
      <c r="T31" s="139"/>
      <c r="U31" s="139"/>
      <c r="V31" s="143"/>
      <c r="W31" s="139"/>
      <c r="X31" s="853"/>
      <c r="AF31" s="876">
        <f t="shared" si="1"/>
        <v>0</v>
      </c>
    </row>
    <row r="32" spans="1:32" x14ac:dyDescent="0.25">
      <c r="A32" s="2776" t="s">
        <v>60</v>
      </c>
      <c r="B32" s="2552" t="s">
        <v>55</v>
      </c>
      <c r="C32" s="2192" t="s">
        <v>40</v>
      </c>
      <c r="D32" s="2759">
        <v>0</v>
      </c>
      <c r="E32" s="2759">
        <v>0</v>
      </c>
      <c r="F32" s="2759">
        <v>0</v>
      </c>
      <c r="G32" s="2759">
        <v>0</v>
      </c>
      <c r="H32" s="2759"/>
      <c r="I32" s="2759"/>
      <c r="J32" s="2760"/>
      <c r="K32" s="2759"/>
      <c r="L32" s="141"/>
      <c r="M32" s="141"/>
      <c r="N32" s="142"/>
      <c r="O32" s="141"/>
      <c r="P32" s="141"/>
      <c r="Q32" s="141"/>
      <c r="R32" s="142"/>
      <c r="S32" s="141"/>
      <c r="T32" s="141"/>
      <c r="U32" s="141"/>
      <c r="V32" s="142"/>
      <c r="W32" s="141"/>
      <c r="AF32" s="876">
        <f t="shared" si="1"/>
        <v>0</v>
      </c>
    </row>
    <row r="33" spans="1:32" ht="24" x14ac:dyDescent="0.25">
      <c r="A33" s="2776" t="s">
        <v>61</v>
      </c>
      <c r="B33" s="2552" t="s">
        <v>452</v>
      </c>
      <c r="C33" s="2192" t="s">
        <v>40</v>
      </c>
      <c r="D33" s="2759">
        <v>0</v>
      </c>
      <c r="E33" s="2759">
        <v>0</v>
      </c>
      <c r="F33" s="2759">
        <v>0</v>
      </c>
      <c r="G33" s="2759">
        <v>0</v>
      </c>
      <c r="H33" s="2759"/>
      <c r="I33" s="2759"/>
      <c r="J33" s="2760"/>
      <c r="K33" s="2759"/>
      <c r="L33" s="141"/>
      <c r="M33" s="141"/>
      <c r="N33" s="142"/>
      <c r="O33" s="141"/>
      <c r="P33" s="141"/>
      <c r="Q33" s="141"/>
      <c r="R33" s="142"/>
      <c r="S33" s="141"/>
      <c r="T33" s="141"/>
      <c r="U33" s="141"/>
      <c r="V33" s="142"/>
      <c r="W33" s="141"/>
      <c r="AF33" s="876">
        <f t="shared" si="1"/>
        <v>0</v>
      </c>
    </row>
    <row r="34" spans="1:32" x14ac:dyDescent="0.25">
      <c r="A34" s="2784" t="s">
        <v>62</v>
      </c>
      <c r="B34" s="2807" t="s">
        <v>243</v>
      </c>
      <c r="C34" s="2192" t="s">
        <v>40</v>
      </c>
      <c r="D34" s="2759">
        <v>0</v>
      </c>
      <c r="E34" s="2759">
        <v>0</v>
      </c>
      <c r="F34" s="2759">
        <v>0</v>
      </c>
      <c r="G34" s="2759">
        <v>0</v>
      </c>
      <c r="H34" s="2759"/>
      <c r="I34" s="2759"/>
      <c r="J34" s="2760"/>
      <c r="K34" s="2759"/>
      <c r="L34" s="141"/>
      <c r="M34" s="141"/>
      <c r="N34" s="142"/>
      <c r="O34" s="141"/>
      <c r="P34" s="141"/>
      <c r="Q34" s="141"/>
      <c r="R34" s="142"/>
      <c r="S34" s="141"/>
      <c r="T34" s="141"/>
      <c r="U34" s="141"/>
      <c r="V34" s="142"/>
      <c r="W34" s="141"/>
      <c r="AF34" s="876">
        <f t="shared" si="1"/>
        <v>0</v>
      </c>
    </row>
    <row r="35" spans="1:32" s="123" customFormat="1" x14ac:dyDescent="0.25">
      <c r="A35" s="2802" t="s">
        <v>182</v>
      </c>
      <c r="B35" s="2803" t="s">
        <v>106</v>
      </c>
      <c r="C35" s="2783" t="s">
        <v>40</v>
      </c>
      <c r="D35" s="2759">
        <v>0</v>
      </c>
      <c r="E35" s="2759">
        <v>0</v>
      </c>
      <c r="F35" s="2759">
        <v>0</v>
      </c>
      <c r="G35" s="2759">
        <v>0</v>
      </c>
      <c r="H35" s="2761"/>
      <c r="I35" s="2761"/>
      <c r="J35" s="2761"/>
      <c r="K35" s="2758"/>
      <c r="L35" s="143"/>
      <c r="M35" s="143"/>
      <c r="N35" s="143"/>
      <c r="O35" s="139"/>
      <c r="P35" s="143"/>
      <c r="Q35" s="143"/>
      <c r="R35" s="143"/>
      <c r="S35" s="139"/>
      <c r="T35" s="143"/>
      <c r="U35" s="143"/>
      <c r="V35" s="143"/>
      <c r="W35" s="139"/>
      <c r="X35" s="853"/>
      <c r="AF35" s="876">
        <f t="shared" si="1"/>
        <v>0</v>
      </c>
    </row>
    <row r="36" spans="1:32" s="123" customFormat="1" x14ac:dyDescent="0.25">
      <c r="A36" s="2802" t="s">
        <v>177</v>
      </c>
      <c r="B36" s="2803" t="s">
        <v>5</v>
      </c>
      <c r="C36" s="2783" t="s">
        <v>40</v>
      </c>
      <c r="D36" s="2759">
        <v>0</v>
      </c>
      <c r="E36" s="2759">
        <v>0</v>
      </c>
      <c r="F36" s="2759">
        <v>0</v>
      </c>
      <c r="G36" s="2759">
        <v>0</v>
      </c>
      <c r="H36" s="2761"/>
      <c r="I36" s="2761"/>
      <c r="J36" s="2761"/>
      <c r="K36" s="2758"/>
      <c r="L36" s="143"/>
      <c r="M36" s="143"/>
      <c r="N36" s="143"/>
      <c r="O36" s="139"/>
      <c r="P36" s="143"/>
      <c r="Q36" s="143"/>
      <c r="R36" s="143"/>
      <c r="S36" s="139"/>
      <c r="T36" s="143"/>
      <c r="U36" s="143"/>
      <c r="V36" s="143"/>
      <c r="W36" s="139"/>
      <c r="X36" s="853">
        <f>G37/G47*1000</f>
        <v>138.84363412948019</v>
      </c>
      <c r="AF36" s="876">
        <f t="shared" si="1"/>
        <v>0</v>
      </c>
    </row>
    <row r="37" spans="1:32" s="123" customFormat="1" x14ac:dyDescent="0.25">
      <c r="A37" s="2802" t="s">
        <v>178</v>
      </c>
      <c r="B37" s="2803" t="s">
        <v>63</v>
      </c>
      <c r="C37" s="2783" t="s">
        <v>40</v>
      </c>
      <c r="D37" s="2758">
        <f>D36+D35+D31+D27+D16</f>
        <v>1029.5355200000001</v>
      </c>
      <c r="E37" s="2758">
        <f>E36+E35+E31+E27+E16</f>
        <v>1072.31</v>
      </c>
      <c r="F37" s="2758">
        <f>F36+F35+F31+F27+F16</f>
        <v>979.04</v>
      </c>
      <c r="G37" s="2758">
        <f>G36+G35+G31+G27+G16</f>
        <v>541.42356316955011</v>
      </c>
      <c r="H37" s="2758"/>
      <c r="I37" s="2758"/>
      <c r="J37" s="2758"/>
      <c r="K37" s="2758"/>
      <c r="L37" s="139"/>
      <c r="M37" s="139"/>
      <c r="N37" s="139"/>
      <c r="O37" s="139"/>
      <c r="P37" s="139"/>
      <c r="Q37" s="139"/>
      <c r="R37" s="139"/>
      <c r="S37" s="139"/>
      <c r="T37" s="139"/>
      <c r="U37" s="139"/>
      <c r="V37" s="139"/>
      <c r="W37" s="139"/>
      <c r="X37" s="874">
        <f>Постачання_1ст!F9+ЗВВ_1ст!K8+Адміністративні_1ст!K8</f>
        <v>541.42356316955011</v>
      </c>
      <c r="Y37" s="875">
        <f>G37-X37</f>
        <v>0</v>
      </c>
      <c r="AF37" s="876">
        <f t="shared" si="1"/>
        <v>138.84363412948019</v>
      </c>
    </row>
    <row r="38" spans="1:32" s="123" customFormat="1" x14ac:dyDescent="0.25">
      <c r="A38" s="2802" t="s">
        <v>179</v>
      </c>
      <c r="B38" s="2803" t="s">
        <v>231</v>
      </c>
      <c r="C38" s="2783" t="s">
        <v>40</v>
      </c>
      <c r="D38" s="2758">
        <v>0</v>
      </c>
      <c r="E38" s="2758">
        <v>0</v>
      </c>
      <c r="F38" s="2758">
        <v>0</v>
      </c>
      <c r="G38" s="2759">
        <v>0</v>
      </c>
      <c r="H38" s="2758"/>
      <c r="I38" s="2758"/>
      <c r="J38" s="2758"/>
      <c r="K38" s="2758"/>
      <c r="L38" s="139"/>
      <c r="M38" s="139"/>
      <c r="N38" s="139"/>
      <c r="O38" s="139"/>
      <c r="P38" s="139"/>
      <c r="Q38" s="139"/>
      <c r="R38" s="139"/>
      <c r="S38" s="139"/>
      <c r="T38" s="139"/>
      <c r="U38" s="139"/>
      <c r="V38" s="139"/>
      <c r="W38" s="139"/>
      <c r="X38" s="853"/>
      <c r="AF38" s="876">
        <f t="shared" si="1"/>
        <v>0</v>
      </c>
    </row>
    <row r="39" spans="1:32" s="123" customFormat="1" x14ac:dyDescent="0.25">
      <c r="A39" s="2802" t="s">
        <v>180</v>
      </c>
      <c r="B39" s="2803" t="s">
        <v>252</v>
      </c>
      <c r="C39" s="2783" t="s">
        <v>40</v>
      </c>
      <c r="D39" s="2761">
        <f>D40+D41+D42+D43+D44</f>
        <v>0</v>
      </c>
      <c r="E39" s="2761">
        <f>E40+E41+E42+E43+E44</f>
        <v>0</v>
      </c>
      <c r="F39" s="2761">
        <f>F40+F41+F42+F43+F44</f>
        <v>55.839999999999996</v>
      </c>
      <c r="G39" s="2808">
        <f>SUM(G40:G44)</f>
        <v>39.762146479171761</v>
      </c>
      <c r="H39" s="2809"/>
      <c r="I39" s="2809"/>
      <c r="J39" s="2809"/>
      <c r="K39" s="2810"/>
      <c r="L39" s="840"/>
      <c r="M39" s="840"/>
      <c r="N39" s="840"/>
      <c r="O39" s="841"/>
      <c r="P39" s="840"/>
      <c r="Q39" s="840"/>
      <c r="R39" s="840"/>
      <c r="S39" s="841"/>
      <c r="T39" s="840"/>
      <c r="U39" s="840"/>
      <c r="V39" s="840"/>
      <c r="W39" s="841"/>
      <c r="X39" s="856">
        <f>G39/G47*1000</f>
        <v>10.196676490469027</v>
      </c>
      <c r="AF39" s="876">
        <f t="shared" si="1"/>
        <v>10.196676490469027</v>
      </c>
    </row>
    <row r="40" spans="1:32" x14ac:dyDescent="0.25">
      <c r="A40" s="2804" t="s">
        <v>116</v>
      </c>
      <c r="B40" s="2805" t="s">
        <v>65</v>
      </c>
      <c r="C40" s="2192" t="s">
        <v>84</v>
      </c>
      <c r="D40" s="2759">
        <v>0</v>
      </c>
      <c r="E40" s="2759">
        <v>0</v>
      </c>
      <c r="F40" s="2760">
        <v>7.05</v>
      </c>
      <c r="G40" s="2762">
        <f>G44*'Вхідні дані'!D47</f>
        <v>3.8982496548207606</v>
      </c>
      <c r="H40" s="2811"/>
      <c r="I40" s="2811"/>
      <c r="J40" s="2812"/>
      <c r="K40" s="2811"/>
      <c r="L40" s="842"/>
      <c r="M40" s="842"/>
      <c r="N40" s="843"/>
      <c r="O40" s="842"/>
      <c r="P40" s="842"/>
      <c r="Q40" s="842"/>
      <c r="R40" s="843"/>
      <c r="S40" s="842"/>
      <c r="T40" s="842"/>
      <c r="U40" s="842"/>
      <c r="V40" s="843"/>
      <c r="W40" s="842"/>
      <c r="X40" s="857">
        <f>G46-X39</f>
        <v>138.84363412948019</v>
      </c>
      <c r="Y40" s="123"/>
      <c r="AF40" s="876">
        <f t="shared" si="1"/>
        <v>0.99967416573225742</v>
      </c>
    </row>
    <row r="41" spans="1:32" x14ac:dyDescent="0.25">
      <c r="A41" s="2804" t="s">
        <v>118</v>
      </c>
      <c r="B41" s="2805" t="s">
        <v>85</v>
      </c>
      <c r="C41" s="2192" t="s">
        <v>40</v>
      </c>
      <c r="D41" s="2759">
        <v>0</v>
      </c>
      <c r="E41" s="2759">
        <v>0</v>
      </c>
      <c r="F41" s="2760">
        <v>9.6300000000000008</v>
      </c>
      <c r="G41" s="2762">
        <f>(G44-G40)*'Вхідні дані'!D48</f>
        <v>14.206954297568997</v>
      </c>
      <c r="H41" s="2811"/>
      <c r="I41" s="2811"/>
      <c r="J41" s="2812"/>
      <c r="K41" s="2812"/>
      <c r="L41" s="842"/>
      <c r="M41" s="842"/>
      <c r="N41" s="843"/>
      <c r="O41" s="843"/>
      <c r="P41" s="842"/>
      <c r="Q41" s="842"/>
      <c r="R41" s="843"/>
      <c r="S41" s="843"/>
      <c r="T41" s="842"/>
      <c r="U41" s="842"/>
      <c r="V41" s="843"/>
      <c r="W41" s="843"/>
      <c r="X41" s="857"/>
      <c r="AF41" s="876">
        <f t="shared" si="1"/>
        <v>3.643256959557561</v>
      </c>
    </row>
    <row r="42" spans="1:32" x14ac:dyDescent="0.25">
      <c r="A42" s="2804" t="s">
        <v>120</v>
      </c>
      <c r="B42" s="2805" t="s">
        <v>86</v>
      </c>
      <c r="C42" s="2192" t="s">
        <v>40</v>
      </c>
      <c r="D42" s="2759">
        <v>0</v>
      </c>
      <c r="E42" s="2759">
        <v>0</v>
      </c>
      <c r="F42" s="2760">
        <v>0</v>
      </c>
      <c r="G42" s="2762">
        <v>0</v>
      </c>
      <c r="H42" s="2811"/>
      <c r="I42" s="2811"/>
      <c r="J42" s="2812"/>
      <c r="K42" s="2812"/>
      <c r="L42" s="842"/>
      <c r="M42" s="842"/>
      <c r="N42" s="843"/>
      <c r="O42" s="843"/>
      <c r="P42" s="842"/>
      <c r="Q42" s="842"/>
      <c r="R42" s="843"/>
      <c r="S42" s="843"/>
      <c r="T42" s="842"/>
      <c r="U42" s="842"/>
      <c r="V42" s="843"/>
      <c r="W42" s="843"/>
      <c r="X42" s="857"/>
      <c r="AF42" s="876">
        <f t="shared" si="1"/>
        <v>0</v>
      </c>
    </row>
    <row r="43" spans="1:32" x14ac:dyDescent="0.25">
      <c r="A43" s="2804" t="s">
        <v>122</v>
      </c>
      <c r="B43" s="2805" t="s">
        <v>71</v>
      </c>
      <c r="C43" s="2192" t="s">
        <v>40</v>
      </c>
      <c r="D43" s="2759">
        <v>0</v>
      </c>
      <c r="E43" s="2759">
        <v>0</v>
      </c>
      <c r="F43" s="2760">
        <v>0</v>
      </c>
      <c r="G43" s="2762">
        <v>0</v>
      </c>
      <c r="H43" s="2811"/>
      <c r="I43" s="2811"/>
      <c r="J43" s="2812"/>
      <c r="K43" s="2811"/>
      <c r="L43" s="842"/>
      <c r="M43" s="842"/>
      <c r="N43" s="843"/>
      <c r="O43" s="842"/>
      <c r="P43" s="842"/>
      <c r="Q43" s="842"/>
      <c r="R43" s="843"/>
      <c r="S43" s="842"/>
      <c r="T43" s="842"/>
      <c r="U43" s="842"/>
      <c r="V43" s="843"/>
      <c r="W43" s="842"/>
      <c r="X43" s="857"/>
      <c r="AF43" s="876">
        <f t="shared" si="1"/>
        <v>0</v>
      </c>
    </row>
    <row r="44" spans="1:32" x14ac:dyDescent="0.25">
      <c r="A44" s="2804" t="s">
        <v>233</v>
      </c>
      <c r="B44" s="2805" t="s">
        <v>87</v>
      </c>
      <c r="C44" s="2192" t="s">
        <v>40</v>
      </c>
      <c r="D44" s="2759">
        <v>0</v>
      </c>
      <c r="E44" s="2759">
        <v>0</v>
      </c>
      <c r="F44" s="2760">
        <v>39.159999999999997</v>
      </c>
      <c r="G44" s="2762">
        <f>G37*'Вхідні дані'!D46</f>
        <v>21.656942526782004</v>
      </c>
      <c r="H44" s="2811"/>
      <c r="I44" s="2811"/>
      <c r="J44" s="2812"/>
      <c r="K44" s="2812"/>
      <c r="L44" s="842"/>
      <c r="M44" s="842"/>
      <c r="N44" s="843"/>
      <c r="O44" s="843"/>
      <c r="P44" s="842"/>
      <c r="Q44" s="842"/>
      <c r="R44" s="843"/>
      <c r="S44" s="843"/>
      <c r="T44" s="842"/>
      <c r="U44" s="842"/>
      <c r="V44" s="843"/>
      <c r="W44" s="843"/>
      <c r="X44" s="857"/>
      <c r="AF44" s="876">
        <f t="shared" si="1"/>
        <v>5.5537453651792079</v>
      </c>
    </row>
    <row r="45" spans="1:32" s="123" customFormat="1" ht="25.5" customHeight="1" x14ac:dyDescent="0.25">
      <c r="A45" s="2802" t="s">
        <v>195</v>
      </c>
      <c r="B45" s="2803" t="s">
        <v>107</v>
      </c>
      <c r="C45" s="2783" t="s">
        <v>40</v>
      </c>
      <c r="D45" s="2758">
        <f>D37+D38+D39</f>
        <v>1029.5355200000001</v>
      </c>
      <c r="E45" s="2758">
        <f>E37+E38+E39</f>
        <v>1072.31</v>
      </c>
      <c r="F45" s="2758">
        <f>F37+F38+F39</f>
        <v>1034.8799999999999</v>
      </c>
      <c r="G45" s="2758">
        <f>G37+G38+G39</f>
        <v>581.18570964872185</v>
      </c>
      <c r="H45" s="2758"/>
      <c r="I45" s="2758"/>
      <c r="J45" s="2758"/>
      <c r="K45" s="2758"/>
      <c r="L45" s="139"/>
      <c r="M45" s="139"/>
      <c r="N45" s="139"/>
      <c r="O45" s="139"/>
      <c r="P45" s="139"/>
      <c r="Q45" s="139"/>
      <c r="R45" s="139"/>
      <c r="S45" s="139"/>
      <c r="T45" s="139"/>
      <c r="U45" s="139"/>
      <c r="V45" s="139"/>
      <c r="W45" s="139"/>
      <c r="X45" s="2507"/>
      <c r="Y45" s="2508"/>
      <c r="AF45" s="876">
        <f t="shared" si="1"/>
        <v>149.04031061994922</v>
      </c>
    </row>
    <row r="46" spans="1:32" s="123" customFormat="1" ht="29.25" customHeight="1" x14ac:dyDescent="0.25">
      <c r="A46" s="2802" t="s">
        <v>196</v>
      </c>
      <c r="B46" s="2803" t="s">
        <v>108</v>
      </c>
      <c r="C46" s="2783" t="s">
        <v>74</v>
      </c>
      <c r="D46" s="2758">
        <f>D45/D47*1000</f>
        <v>116.28820407282701</v>
      </c>
      <c r="E46" s="2758">
        <f>E45/E47*1000</f>
        <v>1277.8830455352568</v>
      </c>
      <c r="F46" s="2758">
        <v>109.41</v>
      </c>
      <c r="G46" s="2758">
        <f>G45/G47*1000</f>
        <v>149.04031061994922</v>
      </c>
      <c r="H46" s="2758"/>
      <c r="I46" s="2758"/>
      <c r="J46" s="2758"/>
      <c r="K46" s="2758"/>
      <c r="L46" s="139"/>
      <c r="M46" s="139"/>
      <c r="N46" s="139"/>
      <c r="O46" s="139"/>
      <c r="P46" s="139"/>
      <c r="Q46" s="139"/>
      <c r="R46" s="139"/>
      <c r="S46" s="139"/>
      <c r="T46" s="139"/>
      <c r="U46" s="139"/>
      <c r="V46" s="139"/>
      <c r="W46" s="139"/>
      <c r="X46" s="858">
        <f>(G46-F46)/F46</f>
        <v>0.36221835865048196</v>
      </c>
      <c r="AF46" s="876">
        <f t="shared" si="1"/>
        <v>38.220165810884886</v>
      </c>
    </row>
    <row r="47" spans="1:32" s="123" customFormat="1" ht="25.5" x14ac:dyDescent="0.25">
      <c r="A47" s="2802" t="s">
        <v>197</v>
      </c>
      <c r="B47" s="2803" t="s">
        <v>579</v>
      </c>
      <c r="C47" s="2783" t="s">
        <v>22</v>
      </c>
      <c r="D47" s="2813">
        <f>D48+D49+D50+D51</f>
        <v>8853.31</v>
      </c>
      <c r="E47" s="2813">
        <f>E48+E49+E50+E51</f>
        <v>839.13</v>
      </c>
      <c r="F47" s="2813">
        <f>F48+F49+F50+F51</f>
        <v>9459.3799999999992</v>
      </c>
      <c r="G47" s="2813">
        <f>G48+G49+G50+G51</f>
        <v>3899.5202521466663</v>
      </c>
      <c r="H47" s="2783"/>
      <c r="I47" s="2783"/>
      <c r="J47" s="2814"/>
      <c r="K47" s="2783"/>
      <c r="L47" s="129"/>
      <c r="M47" s="129"/>
      <c r="N47" s="149"/>
      <c r="O47" s="129"/>
      <c r="P47" s="129"/>
      <c r="Q47" s="129"/>
      <c r="R47" s="149"/>
      <c r="S47" s="150"/>
      <c r="T47" s="129"/>
      <c r="U47" s="129"/>
      <c r="V47" s="149"/>
      <c r="W47" s="129"/>
      <c r="X47" s="156"/>
      <c r="AF47" s="123">
        <f>G47/1000</f>
        <v>3.8995202521466661</v>
      </c>
    </row>
    <row r="48" spans="1:32" x14ac:dyDescent="0.25">
      <c r="A48" s="2804" t="s">
        <v>92</v>
      </c>
      <c r="B48" s="2805" t="s">
        <v>3</v>
      </c>
      <c r="C48" s="2192" t="s">
        <v>22</v>
      </c>
      <c r="D48" s="2762">
        <f>'Д 7_РП'!$E$75</f>
        <v>0</v>
      </c>
      <c r="E48" s="2762">
        <f>'Д 7_РП'!$F$75</f>
        <v>0</v>
      </c>
      <c r="F48" s="2762">
        <v>0</v>
      </c>
      <c r="G48" s="2762">
        <f>'Д 7_РП'!$G$75</f>
        <v>0</v>
      </c>
      <c r="H48" s="2792"/>
      <c r="I48" s="2792"/>
      <c r="J48" s="2792"/>
      <c r="K48" s="2792"/>
      <c r="L48" s="144"/>
      <c r="M48" s="144"/>
      <c r="N48" s="144"/>
      <c r="O48" s="144"/>
      <c r="P48" s="144"/>
      <c r="Q48" s="144"/>
      <c r="R48" s="144"/>
      <c r="S48" s="144"/>
      <c r="T48" s="144"/>
      <c r="U48" s="144"/>
      <c r="V48" s="144"/>
      <c r="W48" s="144"/>
    </row>
    <row r="49" spans="1:24" x14ac:dyDescent="0.25">
      <c r="A49" s="2804" t="s">
        <v>93</v>
      </c>
      <c r="B49" s="2805" t="s">
        <v>174</v>
      </c>
      <c r="C49" s="2192" t="s">
        <v>22</v>
      </c>
      <c r="D49" s="2762">
        <f>'Д 7_РП'!$E$83</f>
        <v>0</v>
      </c>
      <c r="E49" s="2762">
        <f>'Д 7_РП'!$F$83</f>
        <v>0</v>
      </c>
      <c r="F49" s="2762">
        <v>0</v>
      </c>
      <c r="G49" s="2762">
        <f>'Д 7_РП'!$G$83</f>
        <v>0</v>
      </c>
      <c r="H49" s="2792"/>
      <c r="I49" s="2792"/>
      <c r="J49" s="2792"/>
      <c r="K49" s="2792"/>
      <c r="L49" s="144"/>
      <c r="M49" s="144"/>
      <c r="N49" s="144"/>
      <c r="O49" s="144"/>
      <c r="P49" s="144"/>
      <c r="Q49" s="144"/>
      <c r="R49" s="144"/>
      <c r="S49" s="144"/>
      <c r="T49" s="144"/>
      <c r="U49" s="144"/>
      <c r="V49" s="144"/>
      <c r="W49" s="144"/>
    </row>
    <row r="50" spans="1:24" x14ac:dyDescent="0.25">
      <c r="A50" s="2804" t="s">
        <v>253</v>
      </c>
      <c r="B50" s="2805" t="s">
        <v>98</v>
      </c>
      <c r="C50" s="2192" t="s">
        <v>22</v>
      </c>
      <c r="D50" s="2762">
        <f>'Д 7_РП'!$E$87</f>
        <v>198.47</v>
      </c>
      <c r="E50" s="2762">
        <f>'Д 7_РП'!$F$87</f>
        <v>86</v>
      </c>
      <c r="F50" s="2762">
        <v>0</v>
      </c>
      <c r="G50" s="2762">
        <f>'Д 7_РП'!$G$87</f>
        <v>0</v>
      </c>
      <c r="H50" s="2792"/>
      <c r="I50" s="2792"/>
      <c r="J50" s="2792"/>
      <c r="K50" s="2792"/>
      <c r="L50" s="144"/>
      <c r="M50" s="144"/>
      <c r="N50" s="144"/>
      <c r="O50" s="144"/>
      <c r="P50" s="144"/>
      <c r="Q50" s="144"/>
      <c r="R50" s="144"/>
      <c r="S50" s="144"/>
      <c r="T50" s="144"/>
      <c r="U50" s="144"/>
      <c r="V50" s="144"/>
      <c r="W50" s="144"/>
    </row>
    <row r="51" spans="1:24" x14ac:dyDescent="0.25">
      <c r="A51" s="2804" t="s">
        <v>254</v>
      </c>
      <c r="B51" s="2805" t="s">
        <v>110</v>
      </c>
      <c r="C51" s="2192" t="s">
        <v>22</v>
      </c>
      <c r="D51" s="2762">
        <f>'Д 7_РП'!$E$91</f>
        <v>8654.84</v>
      </c>
      <c r="E51" s="2762">
        <f>'Д 7_РП'!$F$91</f>
        <v>753.13</v>
      </c>
      <c r="F51" s="2762">
        <v>9459.3799999999992</v>
      </c>
      <c r="G51" s="2762">
        <f>'Д 7_РП'!$G$91</f>
        <v>3899.5202521466663</v>
      </c>
      <c r="H51" s="2792"/>
      <c r="I51" s="2792"/>
      <c r="J51" s="2792"/>
      <c r="K51" s="2792"/>
      <c r="L51" s="144"/>
      <c r="M51" s="144"/>
      <c r="N51" s="144"/>
      <c r="O51" s="144"/>
      <c r="P51" s="144"/>
      <c r="Q51" s="144"/>
      <c r="R51" s="144"/>
      <c r="S51" s="144"/>
      <c r="T51" s="144"/>
      <c r="U51" s="144"/>
      <c r="V51" s="144"/>
      <c r="W51" s="144"/>
    </row>
    <row r="52" spans="1:24" x14ac:dyDescent="0.25">
      <c r="A52" s="2815"/>
      <c r="B52" s="2770"/>
      <c r="C52" s="2796"/>
      <c r="D52" s="2796"/>
      <c r="E52" s="2796"/>
      <c r="F52" s="2816"/>
      <c r="G52" s="2796"/>
      <c r="H52" s="2816"/>
      <c r="I52" s="2816"/>
      <c r="J52" s="2816"/>
      <c r="K52" s="2816"/>
      <c r="L52" s="151"/>
      <c r="M52" s="151"/>
      <c r="N52" s="151"/>
      <c r="O52" s="151"/>
      <c r="P52" s="151"/>
      <c r="Q52" s="151"/>
      <c r="R52" s="151"/>
      <c r="S52" s="151"/>
      <c r="T52" s="151"/>
      <c r="U52" s="151"/>
      <c r="V52" s="151"/>
      <c r="W52" s="151"/>
    </row>
    <row r="53" spans="1:24" s="145" customFormat="1" ht="12" x14ac:dyDescent="0.2">
      <c r="A53" s="2798" t="s">
        <v>79</v>
      </c>
      <c r="B53" s="2768"/>
      <c r="C53" s="2768"/>
      <c r="D53" s="2768"/>
      <c r="E53" s="2768"/>
      <c r="F53" s="2768"/>
      <c r="G53" s="2768"/>
      <c r="H53" s="2768"/>
      <c r="I53" s="2768"/>
      <c r="J53" s="2768"/>
      <c r="K53" s="2768"/>
      <c r="X53" s="859"/>
    </row>
    <row r="54" spans="1:24" s="145" customFormat="1" ht="12" x14ac:dyDescent="0.2">
      <c r="A54" s="2798"/>
      <c r="B54" s="2768"/>
      <c r="C54" s="2768"/>
      <c r="D54" s="2768"/>
      <c r="E54" s="2768"/>
      <c r="F54" s="2768"/>
      <c r="G54" s="2768"/>
      <c r="H54" s="2768"/>
      <c r="I54" s="2768"/>
      <c r="J54" s="2768"/>
      <c r="K54" s="2768"/>
      <c r="X54" s="859"/>
    </row>
    <row r="55" spans="1:24" s="145" customFormat="1" ht="12" x14ac:dyDescent="0.2">
      <c r="A55" s="2798"/>
      <c r="B55" s="2768"/>
      <c r="C55" s="2768"/>
      <c r="D55" s="2768"/>
      <c r="E55" s="2768"/>
      <c r="F55" s="2768"/>
      <c r="G55" s="2768"/>
      <c r="H55" s="2768"/>
      <c r="I55" s="2768"/>
      <c r="J55" s="2768"/>
      <c r="K55" s="2768"/>
      <c r="X55" s="859"/>
    </row>
    <row r="56" spans="1:24" s="145" customFormat="1" ht="12" x14ac:dyDescent="0.2">
      <c r="A56" s="2798"/>
      <c r="B56" s="2768"/>
      <c r="C56" s="2768"/>
      <c r="D56" s="2768"/>
      <c r="E56" s="2768"/>
      <c r="F56" s="2768"/>
      <c r="G56" s="2768"/>
      <c r="H56" s="2768"/>
      <c r="I56" s="2768"/>
      <c r="J56" s="2768"/>
      <c r="K56" s="2768"/>
      <c r="X56" s="859"/>
    </row>
    <row r="57" spans="1:24" s="145" customFormat="1" ht="12" x14ac:dyDescent="0.2">
      <c r="A57" s="2798"/>
      <c r="B57" s="2768"/>
      <c r="C57" s="2768"/>
      <c r="D57" s="2768"/>
      <c r="E57" s="2768"/>
      <c r="F57" s="2768"/>
      <c r="G57" s="2768"/>
      <c r="H57" s="2768"/>
      <c r="I57" s="2768"/>
      <c r="J57" s="2768"/>
      <c r="K57" s="2768"/>
      <c r="X57" s="859"/>
    </row>
    <row r="58" spans="1:24" s="145" customFormat="1" ht="12" x14ac:dyDescent="0.2">
      <c r="A58" s="2798"/>
      <c r="B58" s="2768"/>
      <c r="C58" s="2768"/>
      <c r="D58" s="2768"/>
      <c r="E58" s="2768"/>
      <c r="F58" s="2768"/>
      <c r="G58" s="2768"/>
      <c r="H58" s="2768"/>
      <c r="I58" s="2768"/>
      <c r="J58" s="2768"/>
      <c r="K58" s="2768"/>
      <c r="X58" s="859"/>
    </row>
    <row r="59" spans="1:24" s="145" customFormat="1" ht="12" x14ac:dyDescent="0.2">
      <c r="A59" s="2798"/>
      <c r="B59" s="2768"/>
      <c r="C59" s="2768"/>
      <c r="D59" s="2768"/>
      <c r="E59" s="2768"/>
      <c r="F59" s="2768"/>
      <c r="G59" s="2768"/>
      <c r="H59" s="2768"/>
      <c r="I59" s="2768"/>
      <c r="J59" s="2768"/>
      <c r="K59" s="2768"/>
      <c r="X59" s="859"/>
    </row>
    <row r="60" spans="1:24" s="145" customFormat="1" ht="12" x14ac:dyDescent="0.2">
      <c r="A60" s="2817"/>
      <c r="B60" s="2768"/>
      <c r="C60" s="2768"/>
      <c r="D60" s="2768"/>
      <c r="E60" s="2768"/>
      <c r="F60" s="2768"/>
      <c r="G60" s="2768"/>
      <c r="H60" s="2768"/>
      <c r="I60" s="2768"/>
      <c r="J60" s="2768"/>
      <c r="K60" s="2768"/>
      <c r="X60" s="859"/>
    </row>
    <row r="61" spans="1:24" s="145" customFormat="1" ht="30.75" customHeight="1" x14ac:dyDescent="0.25">
      <c r="A61" s="2817"/>
      <c r="B61" s="3653" t="str">
        <f>'Вхідні дані'!B14</f>
        <v>Заступник начальника Адміністрації морського порту Чорноморськ з технічних питань та розвитку</v>
      </c>
      <c r="C61" s="3765" t="s">
        <v>100</v>
      </c>
      <c r="D61" s="3765"/>
      <c r="E61" s="3765"/>
      <c r="F61" s="3737" t="str">
        <f>'Вхідні дані'!F14</f>
        <v>Віталій ЛІПСКИЙ</v>
      </c>
      <c r="G61" s="3737"/>
      <c r="H61" s="2768"/>
      <c r="I61" s="2768"/>
      <c r="J61" s="2768"/>
      <c r="K61" s="2768"/>
      <c r="X61" s="859"/>
    </row>
    <row r="62" spans="1:24" s="145" customFormat="1" ht="12" x14ac:dyDescent="0.2">
      <c r="A62" s="2817"/>
      <c r="B62" s="2818" t="s">
        <v>242</v>
      </c>
      <c r="C62" s="3760" t="s">
        <v>101</v>
      </c>
      <c r="D62" s="3760"/>
      <c r="E62" s="3760"/>
      <c r="F62" s="3760" t="s">
        <v>102</v>
      </c>
      <c r="G62" s="3760"/>
      <c r="H62" s="2768"/>
      <c r="I62" s="2768"/>
      <c r="J62" s="2768"/>
      <c r="K62" s="2768"/>
      <c r="X62" s="859"/>
    </row>
    <row r="64" spans="1:24" x14ac:dyDescent="0.25">
      <c r="F64" s="844"/>
    </row>
    <row r="65" spans="2:7" x14ac:dyDescent="0.25">
      <c r="B65" s="1091" t="s">
        <v>1976</v>
      </c>
      <c r="D65" s="845">
        <f>D46*1.2</f>
        <v>139.54584488739241</v>
      </c>
      <c r="E65" s="845">
        <f>E46*1.2</f>
        <v>1533.4596546423081</v>
      </c>
      <c r="F65" s="845">
        <f>F46*1.2</f>
        <v>131.292</v>
      </c>
      <c r="G65" s="845">
        <f>G46*1.2</f>
        <v>178.84837274393905</v>
      </c>
    </row>
    <row r="67" spans="2:7" x14ac:dyDescent="0.25">
      <c r="D67" s="844"/>
      <c r="E67" s="844"/>
      <c r="F67" s="844"/>
      <c r="G67" s="844"/>
    </row>
  </sheetData>
  <mergeCells count="19">
    <mergeCell ref="T12:W12"/>
    <mergeCell ref="C61:E61"/>
    <mergeCell ref="F61:G61"/>
    <mergeCell ref="A8:G8"/>
    <mergeCell ref="A9:G9"/>
    <mergeCell ref="A11:G11"/>
    <mergeCell ref="A12:A14"/>
    <mergeCell ref="B12:B14"/>
    <mergeCell ref="C12:C14"/>
    <mergeCell ref="D12:G12"/>
    <mergeCell ref="H12:K12"/>
    <mergeCell ref="L12:O12"/>
    <mergeCell ref="P12:S12"/>
    <mergeCell ref="E4:G4"/>
    <mergeCell ref="E5:G5"/>
    <mergeCell ref="E6:F6"/>
    <mergeCell ref="C62:E62"/>
    <mergeCell ref="F62:G62"/>
    <mergeCell ref="A10:G10"/>
  </mergeCells>
  <conditionalFormatting sqref="B4:B7">
    <cfRule type="containsText" dxfId="47" priority="1" operator="containsText" text="Для корек">
      <formula>NOT(ISERROR(SEARCH("Для корек",B4)))</formula>
    </cfRule>
  </conditionalFormatting>
  <pageMargins left="0.78740157480314965" right="0.27559055118110237" top="0.59055118110236227" bottom="0.23622047244094491" header="0.47244094488188981" footer="0.31496062992125984"/>
  <pageSetup paperSize="9" scale="78"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2" tint="-0.499984740745262"/>
  </sheetPr>
  <dimension ref="A2:E15"/>
  <sheetViews>
    <sheetView workbookViewId="0">
      <selection activeCell="D12" sqref="D12"/>
    </sheetView>
  </sheetViews>
  <sheetFormatPr defaultRowHeight="15" x14ac:dyDescent="0.25"/>
  <cols>
    <col min="2" max="5" width="17.85546875" customWidth="1"/>
  </cols>
  <sheetData>
    <row r="2" spans="1:5" ht="30" customHeight="1" x14ac:dyDescent="0.25">
      <c r="A2" s="4507" t="s">
        <v>2374</v>
      </c>
      <c r="B2" s="4507"/>
      <c r="C2" s="4507"/>
      <c r="D2" s="4507"/>
      <c r="E2" s="4507"/>
    </row>
    <row r="3" spans="1:5" x14ac:dyDescent="0.25">
      <c r="E3" s="170" t="s">
        <v>2357</v>
      </c>
    </row>
    <row r="4" spans="1:5" ht="63" x14ac:dyDescent="0.25">
      <c r="A4" s="1492" t="s">
        <v>1013</v>
      </c>
      <c r="B4" s="1492" t="s">
        <v>2358</v>
      </c>
      <c r="C4" s="1492" t="s">
        <v>2371</v>
      </c>
      <c r="D4" s="1492" t="s">
        <v>2372</v>
      </c>
      <c r="E4" s="1492" t="s">
        <v>2373</v>
      </c>
    </row>
    <row r="5" spans="1:5" ht="15.75" x14ac:dyDescent="0.25">
      <c r="A5" s="1480"/>
      <c r="B5" s="1494"/>
      <c r="C5" s="1494"/>
      <c r="D5" s="1494"/>
      <c r="E5" s="1495"/>
    </row>
    <row r="6" spans="1:5" ht="15.75" x14ac:dyDescent="0.25">
      <c r="A6" s="1480">
        <v>1</v>
      </c>
      <c r="B6" s="1494" t="s">
        <v>2370</v>
      </c>
      <c r="C6" s="1482">
        <v>5375.37</v>
      </c>
      <c r="D6" s="1482">
        <v>124.16</v>
      </c>
      <c r="E6" s="1482">
        <v>790</v>
      </c>
    </row>
    <row r="7" spans="1:5" ht="15.75" x14ac:dyDescent="0.25">
      <c r="A7" s="1480">
        <f>A6+1</f>
        <v>2</v>
      </c>
      <c r="B7" s="1494" t="s">
        <v>2364</v>
      </c>
      <c r="C7" s="1498">
        <v>6103.1</v>
      </c>
      <c r="D7" s="1498">
        <v>124.16</v>
      </c>
      <c r="E7" s="1499">
        <v>790</v>
      </c>
    </row>
    <row r="8" spans="1:5" ht="15.75" x14ac:dyDescent="0.25">
      <c r="A8" s="1480">
        <f t="shared" ref="A8:A11" si="0">A7+1</f>
        <v>3</v>
      </c>
      <c r="B8" s="1494" t="s">
        <v>2365</v>
      </c>
      <c r="C8" s="1498">
        <v>7331.45</v>
      </c>
      <c r="D8" s="1498">
        <v>124.16</v>
      </c>
      <c r="E8" s="1499">
        <v>840</v>
      </c>
    </row>
    <row r="9" spans="1:5" ht="15.75" x14ac:dyDescent="0.25">
      <c r="A9" s="1480">
        <f t="shared" si="0"/>
        <v>4</v>
      </c>
      <c r="B9" s="1494" t="s">
        <v>2366</v>
      </c>
      <c r="C9" s="1498">
        <v>6841.15</v>
      </c>
      <c r="D9" s="1498">
        <v>124.16</v>
      </c>
      <c r="E9" s="1499">
        <v>840</v>
      </c>
    </row>
    <row r="10" spans="1:5" ht="15.75" x14ac:dyDescent="0.25">
      <c r="A10" s="1480">
        <f t="shared" si="0"/>
        <v>5</v>
      </c>
      <c r="B10" s="1494" t="s">
        <v>2367</v>
      </c>
      <c r="C10" s="1498">
        <v>6279.77</v>
      </c>
      <c r="D10" s="1498">
        <v>124.16</v>
      </c>
      <c r="E10" s="1499">
        <v>840</v>
      </c>
    </row>
    <row r="11" spans="1:5" ht="15.75" x14ac:dyDescent="0.25">
      <c r="A11" s="1480">
        <f t="shared" si="0"/>
        <v>6</v>
      </c>
      <c r="B11" s="1494" t="s">
        <v>2368</v>
      </c>
      <c r="C11" s="1498">
        <v>6522.86</v>
      </c>
      <c r="D11" s="1498">
        <v>124.16</v>
      </c>
      <c r="E11" s="1499">
        <v>840</v>
      </c>
    </row>
    <row r="12" spans="1:5" ht="15.75" x14ac:dyDescent="0.25">
      <c r="A12" s="878"/>
      <c r="B12" s="878" t="s">
        <v>2369</v>
      </c>
      <c r="C12" s="1500">
        <f>AVERAGE(C6,C7,C8,C9,C10,C11)</f>
        <v>6408.95</v>
      </c>
      <c r="D12" s="1500">
        <f t="shared" ref="D12:E12" si="1">AVERAGE(D6,D7,D8,D9,D10,D11)</f>
        <v>124.15999999999998</v>
      </c>
      <c r="E12" s="1500">
        <f t="shared" si="1"/>
        <v>823.33333333333337</v>
      </c>
    </row>
    <row r="15" spans="1:5" s="508" customFormat="1" ht="13.9" customHeight="1" x14ac:dyDescent="0.25">
      <c r="B15" s="508" t="s">
        <v>933</v>
      </c>
      <c r="E15" s="508" t="s">
        <v>2265</v>
      </c>
    </row>
  </sheetData>
  <mergeCells count="1">
    <mergeCell ref="A2:E2"/>
  </mergeCells>
  <pageMargins left="0.7" right="0.7" top="0.75" bottom="0.75" header="0.3" footer="0.3"/>
  <pageSetup paperSize="9" orientation="portrait" horizontalDpi="0"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2" tint="-0.499984740745262"/>
  </sheetPr>
  <dimension ref="A1:H16"/>
  <sheetViews>
    <sheetView workbookViewId="0">
      <selection activeCell="E16" sqref="E16"/>
    </sheetView>
  </sheetViews>
  <sheetFormatPr defaultRowHeight="15" x14ac:dyDescent="0.25"/>
  <cols>
    <col min="2" max="2" width="10.28515625" customWidth="1"/>
    <col min="3" max="3" width="11.140625" customWidth="1"/>
    <col min="4" max="4" width="10.28515625" customWidth="1"/>
    <col min="5" max="5" width="15.5703125" customWidth="1"/>
  </cols>
  <sheetData>
    <row r="1" spans="1:8" x14ac:dyDescent="0.25">
      <c r="A1" s="18" t="s">
        <v>3117</v>
      </c>
      <c r="B1" s="18"/>
      <c r="C1" s="18"/>
      <c r="D1" s="18"/>
      <c r="E1" s="18" t="s">
        <v>996</v>
      </c>
    </row>
    <row r="2" spans="1:8" ht="60" x14ac:dyDescent="0.25">
      <c r="A2" s="17" t="s">
        <v>3118</v>
      </c>
      <c r="B2" s="17" t="s">
        <v>3119</v>
      </c>
      <c r="C2" s="2323" t="s">
        <v>3120</v>
      </c>
      <c r="D2" s="17" t="s">
        <v>3121</v>
      </c>
      <c r="E2" s="17" t="s">
        <v>3122</v>
      </c>
    </row>
    <row r="3" spans="1:8" x14ac:dyDescent="0.25">
      <c r="A3" s="1825">
        <v>1</v>
      </c>
      <c r="B3" s="1825">
        <v>2</v>
      </c>
      <c r="C3" s="1325">
        <v>3</v>
      </c>
      <c r="D3" s="1825">
        <v>4</v>
      </c>
      <c r="E3" s="1825">
        <v>5</v>
      </c>
    </row>
    <row r="4" spans="1:8" x14ac:dyDescent="0.25">
      <c r="A4" s="20" t="s">
        <v>10</v>
      </c>
      <c r="B4" s="20">
        <v>179.32900000000001</v>
      </c>
      <c r="C4" s="1473">
        <f>B4*7331.45/1000</f>
        <v>1314.7415970499999</v>
      </c>
      <c r="D4" s="1324">
        <f>B4*4011.12/1000</f>
        <v>719.31013847999998</v>
      </c>
      <c r="E4" s="1324">
        <f>C4-D4</f>
        <v>595.4314585699999</v>
      </c>
    </row>
    <row r="5" spans="1:8" x14ac:dyDescent="0.25">
      <c r="A5" s="20" t="s">
        <v>11</v>
      </c>
      <c r="B5" s="20">
        <v>172.30599999999899</v>
      </c>
      <c r="C5" s="1473">
        <f>B5*6841.15/1000</f>
        <v>1178.771191899993</v>
      </c>
      <c r="D5" s="1324">
        <f t="shared" ref="D5:D7" si="0">B5*4011.12/1000</f>
        <v>691.1400427199959</v>
      </c>
      <c r="E5" s="1324">
        <f t="shared" ref="E5:E7" si="1">C5-D5</f>
        <v>487.63114917999712</v>
      </c>
    </row>
    <row r="6" spans="1:8" x14ac:dyDescent="0.25">
      <c r="A6" s="20" t="s">
        <v>12</v>
      </c>
      <c r="B6" s="20">
        <v>152.255</v>
      </c>
      <c r="C6" s="1473">
        <f>B6*6279.77/1000</f>
        <v>956.12638135000009</v>
      </c>
      <c r="D6" s="1324">
        <f t="shared" si="0"/>
        <v>610.71307560000002</v>
      </c>
      <c r="E6" s="1324">
        <f t="shared" si="1"/>
        <v>345.41330575000006</v>
      </c>
    </row>
    <row r="7" spans="1:8" x14ac:dyDescent="0.25">
      <c r="A7" s="20" t="s">
        <v>13</v>
      </c>
      <c r="B7" s="20">
        <v>49.244999999999997</v>
      </c>
      <c r="C7" s="1473">
        <f>B7*6279.77/1000</f>
        <v>309.24727365000001</v>
      </c>
      <c r="D7" s="1324">
        <f t="shared" si="0"/>
        <v>197.52760439999997</v>
      </c>
      <c r="E7" s="1324">
        <f t="shared" si="1"/>
        <v>111.71966925000004</v>
      </c>
    </row>
    <row r="8" spans="1:8" x14ac:dyDescent="0.25">
      <c r="A8" s="1322" t="s">
        <v>1002</v>
      </c>
      <c r="B8" s="1473">
        <f>SUM(B4:B7)</f>
        <v>553.13499999999897</v>
      </c>
      <c r="C8" s="1473">
        <f>SUM(C4:C7)</f>
        <v>3758.8864439499926</v>
      </c>
      <c r="D8" s="1473">
        <f>SUM(D4:D7)</f>
        <v>2218.6908611999961</v>
      </c>
      <c r="E8" s="1473">
        <f>SUM(E4:E7)</f>
        <v>1540.1955827499969</v>
      </c>
    </row>
    <row r="9" spans="1:8" x14ac:dyDescent="0.25">
      <c r="A9" s="23" t="s">
        <v>1976</v>
      </c>
      <c r="B9" s="2096"/>
      <c r="C9" s="2096">
        <f>C8*1.2</f>
        <v>4510.6637327399912</v>
      </c>
      <c r="D9" s="2096">
        <f t="shared" ref="D9:E9" si="2">D8*1.2</f>
        <v>2662.4290334399952</v>
      </c>
      <c r="E9" s="2096">
        <f t="shared" si="2"/>
        <v>1848.2346992999962</v>
      </c>
    </row>
    <row r="11" spans="1:8" ht="41.45" customHeight="1" x14ac:dyDescent="0.25">
      <c r="A11" s="4536" t="s">
        <v>3123</v>
      </c>
      <c r="B11" s="4536"/>
      <c r="C11" s="4536"/>
      <c r="D11" s="4536"/>
      <c r="E11" s="4536"/>
    </row>
    <row r="12" spans="1:8" x14ac:dyDescent="0.25">
      <c r="A12" s="35" t="s">
        <v>1376</v>
      </c>
      <c r="B12" s="35">
        <v>171.41</v>
      </c>
      <c r="C12" s="35"/>
      <c r="D12" s="35"/>
      <c r="E12" s="35"/>
    </row>
    <row r="13" spans="1:8" x14ac:dyDescent="0.25">
      <c r="A13" s="35" t="s">
        <v>3124</v>
      </c>
      <c r="B13" s="35">
        <v>10.5</v>
      </c>
      <c r="C13" s="35"/>
      <c r="D13" s="35"/>
      <c r="E13" s="35"/>
    </row>
    <row r="14" spans="1:8" x14ac:dyDescent="0.25">
      <c r="A14" s="35" t="s">
        <v>3125</v>
      </c>
      <c r="B14" s="35">
        <v>46.34</v>
      </c>
      <c r="C14" s="35"/>
      <c r="D14" s="35"/>
      <c r="E14" s="35"/>
    </row>
    <row r="15" spans="1:8" x14ac:dyDescent="0.25">
      <c r="A15" s="35" t="s">
        <v>3126</v>
      </c>
      <c r="B15" s="35">
        <v>1.08</v>
      </c>
      <c r="C15" s="35"/>
      <c r="D15" s="35"/>
      <c r="E15" s="35"/>
      <c r="F15" t="s">
        <v>3127</v>
      </c>
    </row>
    <row r="16" spans="1:8" x14ac:dyDescent="0.25">
      <c r="A16" s="35" t="s">
        <v>1381</v>
      </c>
      <c r="B16" s="35">
        <f>SUM(B12:B15)</f>
        <v>229.33</v>
      </c>
      <c r="C16" s="35">
        <f>B16/12</f>
        <v>19.110833333333336</v>
      </c>
      <c r="D16" s="35">
        <f>C16*10</f>
        <v>191.10833333333335</v>
      </c>
      <c r="E16" s="1331">
        <f>(E8-D16)/2.57142</f>
        <v>524.64679026244789</v>
      </c>
      <c r="G16">
        <v>524.65</v>
      </c>
      <c r="H16">
        <f>E16/G16</f>
        <v>0.99999388213561025</v>
      </c>
    </row>
  </sheetData>
  <mergeCells count="1">
    <mergeCell ref="A11:E11"/>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2" tint="-0.499984740745262"/>
    <pageSetUpPr fitToPage="1"/>
  </sheetPr>
  <dimension ref="A1:IV110"/>
  <sheetViews>
    <sheetView topLeftCell="A3" zoomScale="85" zoomScaleNormal="85" zoomScaleSheetLayoutView="80" workbookViewId="0">
      <pane ySplit="11" topLeftCell="A20" activePane="bottomLeft" state="frozen"/>
      <selection activeCell="G8" sqref="G8"/>
      <selection pane="bottomLeft" activeCell="H33" sqref="H33:I33"/>
    </sheetView>
  </sheetViews>
  <sheetFormatPr defaultColWidth="8.85546875" defaultRowHeight="12.75" outlineLevelRow="1" x14ac:dyDescent="0.2"/>
  <cols>
    <col min="1" max="1" width="5.140625" style="1692" customWidth="1"/>
    <col min="2" max="2" width="31.28515625" style="1596" customWidth="1"/>
    <col min="3" max="3" width="7.42578125" style="1597" customWidth="1"/>
    <col min="4" max="4" width="9.85546875" style="1596" customWidth="1"/>
    <col min="5" max="5" width="10" style="1596" customWidth="1"/>
    <col min="6" max="6" width="9.28515625" style="1596" customWidth="1"/>
    <col min="7" max="7" width="8.7109375" style="1596" customWidth="1"/>
    <col min="8" max="8" width="10.28515625" style="1596" customWidth="1"/>
    <col min="9" max="10" width="8.7109375" style="1596" customWidth="1"/>
    <col min="11" max="11" width="8.28515625" style="1596" customWidth="1"/>
    <col min="12" max="13" width="8.7109375" style="1596" customWidth="1"/>
    <col min="14" max="19" width="9.140625" style="1596" customWidth="1"/>
    <col min="20" max="20" width="9" style="1596" customWidth="1"/>
    <col min="21" max="26" width="9.140625" style="1596" customWidth="1"/>
    <col min="27" max="27" width="11" style="1596" customWidth="1"/>
    <col min="28" max="28" width="17.140625" style="1596" customWidth="1"/>
    <col min="29" max="29" width="9.140625" style="1596" customWidth="1"/>
    <col min="30" max="30" width="10.7109375" style="1596" customWidth="1"/>
    <col min="31" max="31" width="9.140625" style="1596" customWidth="1"/>
    <col min="32" max="32" width="10.7109375" style="1596" customWidth="1"/>
    <col min="33" max="33" width="9.140625" style="1596" customWidth="1"/>
    <col min="34" max="34" width="10.42578125" style="1596" customWidth="1"/>
    <col min="35" max="252" width="9.140625" style="1596" customWidth="1"/>
    <col min="253" max="253" width="5.140625" style="1596" customWidth="1"/>
    <col min="254" max="254" width="29.42578125" style="1596" customWidth="1"/>
    <col min="255" max="255" width="6" style="1596" customWidth="1"/>
    <col min="256" max="16384" width="8.85546875" style="1596"/>
  </cols>
  <sheetData>
    <row r="1" spans="1:41" ht="12.75" hidden="1" customHeight="1" x14ac:dyDescent="0.2">
      <c r="J1" s="1598"/>
    </row>
    <row r="2" spans="1:41" ht="12.75" hidden="1" customHeight="1" x14ac:dyDescent="0.2">
      <c r="J2" s="1598"/>
    </row>
    <row r="3" spans="1:41" ht="12.75" hidden="1" customHeight="1" x14ac:dyDescent="0.2">
      <c r="J3" s="1598"/>
      <c r="U3" s="4586" t="s">
        <v>1663</v>
      </c>
      <c r="V3" s="4586"/>
      <c r="W3" s="4586"/>
    </row>
    <row r="4" spans="1:41" ht="12.75" hidden="1" customHeight="1" x14ac:dyDescent="0.2">
      <c r="J4" s="1599"/>
      <c r="U4" s="4541" t="s">
        <v>604</v>
      </c>
      <c r="V4" s="4541"/>
      <c r="W4" s="4541"/>
    </row>
    <row r="5" spans="1:41" ht="12.75" customHeight="1" x14ac:dyDescent="0.2">
      <c r="B5" s="1600"/>
      <c r="F5" s="4587"/>
      <c r="G5" s="4587"/>
      <c r="H5" s="1601"/>
      <c r="J5" s="1602"/>
      <c r="M5" s="4587"/>
      <c r="N5" s="4587"/>
      <c r="U5" s="4541"/>
      <c r="V5" s="4541"/>
      <c r="W5" s="4541"/>
    </row>
    <row r="6" spans="1:41" ht="12.75" hidden="1" customHeight="1" x14ac:dyDescent="0.2">
      <c r="H6" s="1603"/>
      <c r="J6" s="1604"/>
      <c r="U6" s="4541" t="s">
        <v>1664</v>
      </c>
      <c r="V6" s="4541"/>
      <c r="W6" s="4541"/>
    </row>
    <row r="7" spans="1:41" ht="12.75" hidden="1" customHeight="1" thickBot="1" x14ac:dyDescent="0.25">
      <c r="J7" s="1598"/>
    </row>
    <row r="8" spans="1:41" hidden="1" x14ac:dyDescent="0.2">
      <c r="B8" s="1603"/>
      <c r="J8" s="1598"/>
      <c r="Y8" s="1605" t="str">
        <f>D11</f>
        <v>Факт 2019 року</v>
      </c>
      <c r="Z8" s="1606"/>
      <c r="AA8" s="1606" t="str">
        <f>F11</f>
        <v>Факт 2020 року</v>
      </c>
      <c r="AB8" s="1607" t="str">
        <f>H11</f>
        <v>План</v>
      </c>
      <c r="AC8" s="1606"/>
      <c r="AD8" s="1606"/>
      <c r="AE8" s="1606"/>
      <c r="AF8" s="1608"/>
    </row>
    <row r="9" spans="1:41" x14ac:dyDescent="0.2">
      <c r="A9" s="1693" t="s">
        <v>1817</v>
      </c>
      <c r="B9" s="1598"/>
      <c r="C9" s="1598"/>
      <c r="D9" s="1598"/>
      <c r="E9" s="1598"/>
      <c r="F9" s="1598"/>
      <c r="G9" s="1598"/>
      <c r="H9" s="1598"/>
      <c r="I9" s="1598"/>
      <c r="J9" s="1598"/>
      <c r="K9" s="1598"/>
      <c r="L9" s="1598"/>
      <c r="M9" s="1609" t="str">
        <f>'Вхідні дані'!F5</f>
        <v>ЧФ ДП "АМПУ"</v>
      </c>
      <c r="N9" s="1609"/>
      <c r="O9" s="1609"/>
      <c r="P9" s="1609"/>
      <c r="Q9" s="1598" t="s">
        <v>461</v>
      </c>
      <c r="R9" s="1609" t="str">
        <f>'Вхідні дані'!F6</f>
        <v>2023-2024</v>
      </c>
      <c r="S9" s="1598"/>
      <c r="T9" s="1598"/>
      <c r="U9" s="1598"/>
      <c r="V9" s="1598"/>
      <c r="W9" s="1598"/>
      <c r="Y9" s="1610"/>
      <c r="AF9" s="1611"/>
    </row>
    <row r="10" spans="1:41" ht="13.5" thickBot="1" x14ac:dyDescent="0.25">
      <c r="N10" s="1612" t="s">
        <v>1665</v>
      </c>
      <c r="W10" s="1612" t="s">
        <v>1666</v>
      </c>
      <c r="Y10" s="1613">
        <f>D18/D29</f>
        <v>5.8116923848952451E-2</v>
      </c>
      <c r="AA10" s="1614">
        <f>F18/F29</f>
        <v>4.3567748879478015E-2</v>
      </c>
      <c r="AB10" s="1614">
        <f>H18/H29</f>
        <v>4.7363832473854353E-2</v>
      </c>
      <c r="AC10" s="1596" t="s">
        <v>1667</v>
      </c>
      <c r="AF10" s="1611"/>
    </row>
    <row r="11" spans="1:41" ht="20.25" customHeight="1" thickBot="1" x14ac:dyDescent="0.25">
      <c r="A11" s="4566" t="s">
        <v>1668</v>
      </c>
      <c r="B11" s="4569" t="s">
        <v>356</v>
      </c>
      <c r="C11" s="4572" t="s">
        <v>1669</v>
      </c>
      <c r="D11" s="4575" t="s">
        <v>1670</v>
      </c>
      <c r="E11" s="4576"/>
      <c r="F11" s="4575" t="s">
        <v>2272</v>
      </c>
      <c r="G11" s="4576"/>
      <c r="H11" s="4577" t="s">
        <v>964</v>
      </c>
      <c r="I11" s="4578"/>
      <c r="J11" s="4578"/>
      <c r="K11" s="4578"/>
      <c r="L11" s="4578"/>
      <c r="M11" s="4578"/>
      <c r="N11" s="4578"/>
      <c r="O11" s="4578"/>
      <c r="P11" s="4578"/>
      <c r="Q11" s="4578"/>
      <c r="R11" s="4578"/>
      <c r="S11" s="4578"/>
      <c r="T11" s="4578"/>
      <c r="U11" s="4578"/>
      <c r="V11" s="4578"/>
      <c r="W11" s="4579"/>
      <c r="Y11" s="1615">
        <f>E16/D16</f>
        <v>0.30536372827182118</v>
      </c>
      <c r="Z11" s="1616"/>
      <c r="AA11" s="1617">
        <f>G16/F16</f>
        <v>0.30783364870201857</v>
      </c>
      <c r="AB11" s="1617">
        <f>I16/H16</f>
        <v>0.30357624602851252</v>
      </c>
      <c r="AC11" s="1616" t="s">
        <v>1671</v>
      </c>
      <c r="AD11" s="1616"/>
      <c r="AE11" s="1616"/>
      <c r="AF11" s="1618"/>
    </row>
    <row r="12" spans="1:41" ht="63" customHeight="1" x14ac:dyDescent="0.2">
      <c r="A12" s="4567"/>
      <c r="B12" s="4570"/>
      <c r="C12" s="4573"/>
      <c r="D12" s="4580" t="s">
        <v>1672</v>
      </c>
      <c r="E12" s="4581"/>
      <c r="F12" s="4580" t="s">
        <v>1672</v>
      </c>
      <c r="G12" s="4581"/>
      <c r="H12" s="4582" t="s">
        <v>771</v>
      </c>
      <c r="I12" s="4583"/>
      <c r="J12" s="4564" t="s">
        <v>1673</v>
      </c>
      <c r="K12" s="4565"/>
      <c r="L12" s="4564" t="s">
        <v>1674</v>
      </c>
      <c r="M12" s="4565"/>
      <c r="N12" s="4562" t="s">
        <v>2</v>
      </c>
      <c r="O12" s="4563"/>
      <c r="P12" s="4562" t="s">
        <v>1080</v>
      </c>
      <c r="Q12" s="4563"/>
      <c r="R12" s="4562" t="s">
        <v>1001</v>
      </c>
      <c r="S12" s="4563"/>
      <c r="T12" s="4562" t="s">
        <v>1675</v>
      </c>
      <c r="U12" s="4563"/>
      <c r="V12" s="4562" t="s">
        <v>1676</v>
      </c>
      <c r="W12" s="4563"/>
      <c r="X12" s="1651" t="s">
        <v>1677</v>
      </c>
      <c r="Y12" s="1619" t="s">
        <v>1678</v>
      </c>
      <c r="Z12" s="1619" t="s">
        <v>1679</v>
      </c>
      <c r="AA12" s="1619" t="s">
        <v>1680</v>
      </c>
      <c r="AC12" s="4554" t="s">
        <v>1681</v>
      </c>
      <c r="AD12" s="4555"/>
      <c r="AE12" s="4555"/>
      <c r="AF12" s="4555"/>
      <c r="AG12" s="4556"/>
      <c r="AH12" s="4557"/>
      <c r="AJ12" s="4558" t="s">
        <v>1681</v>
      </c>
      <c r="AK12" s="4556"/>
      <c r="AL12" s="4556"/>
      <c r="AM12" s="4556"/>
      <c r="AN12" s="4556"/>
      <c r="AO12" s="4557"/>
    </row>
    <row r="13" spans="1:41" ht="24.75" thickBot="1" x14ac:dyDescent="0.25">
      <c r="A13" s="4568"/>
      <c r="B13" s="4571"/>
      <c r="C13" s="4574"/>
      <c r="D13" s="1654" t="s">
        <v>1682</v>
      </c>
      <c r="E13" s="1655" t="s">
        <v>1683</v>
      </c>
      <c r="F13" s="1654" t="s">
        <v>1682</v>
      </c>
      <c r="G13" s="1655" t="s">
        <v>1683</v>
      </c>
      <c r="H13" s="1654" t="s">
        <v>1682</v>
      </c>
      <c r="I13" s="1655" t="s">
        <v>1683</v>
      </c>
      <c r="J13" s="1654" t="s">
        <v>1682</v>
      </c>
      <c r="K13" s="1655" t="s">
        <v>1683</v>
      </c>
      <c r="L13" s="1654" t="s">
        <v>1682</v>
      </c>
      <c r="M13" s="1655" t="s">
        <v>1683</v>
      </c>
      <c r="N13" s="1654" t="s">
        <v>1682</v>
      </c>
      <c r="O13" s="1655" t="s">
        <v>1683</v>
      </c>
      <c r="P13" s="1654" t="s">
        <v>1682</v>
      </c>
      <c r="Q13" s="1655" t="s">
        <v>1683</v>
      </c>
      <c r="R13" s="1654" t="s">
        <v>1682</v>
      </c>
      <c r="S13" s="1655" t="s">
        <v>1683</v>
      </c>
      <c r="T13" s="1654" t="s">
        <v>1682</v>
      </c>
      <c r="U13" s="1655" t="s">
        <v>1683</v>
      </c>
      <c r="V13" s="1654" t="s">
        <v>1682</v>
      </c>
      <c r="W13" s="1655" t="s">
        <v>1683</v>
      </c>
      <c r="X13" s="1652" t="s">
        <v>1682</v>
      </c>
      <c r="Y13" s="654" t="s">
        <v>1683</v>
      </c>
      <c r="Z13" s="654" t="s">
        <v>1682</v>
      </c>
      <c r="AA13" s="654" t="s">
        <v>1683</v>
      </c>
      <c r="AC13" s="654" t="s">
        <v>1682</v>
      </c>
      <c r="AD13" s="1620"/>
      <c r="AE13" s="654" t="s">
        <v>1682</v>
      </c>
      <c r="AF13" s="1620"/>
      <c r="AG13" s="654" t="s">
        <v>1682</v>
      </c>
      <c r="AH13" s="1620"/>
      <c r="AJ13" s="654" t="s">
        <v>1683</v>
      </c>
      <c r="AK13" s="1620"/>
      <c r="AL13" s="654" t="s">
        <v>1683</v>
      </c>
      <c r="AM13" s="1620"/>
      <c r="AN13" s="654" t="s">
        <v>1683</v>
      </c>
      <c r="AO13" s="1620"/>
    </row>
    <row r="14" spans="1:41" ht="12" customHeight="1" thickBot="1" x14ac:dyDescent="0.25">
      <c r="A14" s="1891">
        <v>1</v>
      </c>
      <c r="B14" s="1892">
        <v>2</v>
      </c>
      <c r="C14" s="1893">
        <v>3</v>
      </c>
      <c r="D14" s="1658">
        <v>4</v>
      </c>
      <c r="E14" s="1657">
        <v>5</v>
      </c>
      <c r="F14" s="1658">
        <v>6</v>
      </c>
      <c r="G14" s="1657">
        <v>7</v>
      </c>
      <c r="H14" s="1658">
        <v>8</v>
      </c>
      <c r="I14" s="1657">
        <v>9</v>
      </c>
      <c r="J14" s="1658">
        <v>10</v>
      </c>
      <c r="K14" s="1657">
        <v>11</v>
      </c>
      <c r="L14" s="1658">
        <v>12</v>
      </c>
      <c r="M14" s="1657">
        <v>13</v>
      </c>
      <c r="N14" s="1658">
        <v>14</v>
      </c>
      <c r="O14" s="1657">
        <v>15</v>
      </c>
      <c r="P14" s="1658">
        <v>16</v>
      </c>
      <c r="Q14" s="1657">
        <v>17</v>
      </c>
      <c r="R14" s="1658">
        <v>18</v>
      </c>
      <c r="S14" s="1657">
        <v>19</v>
      </c>
      <c r="T14" s="1656">
        <v>20</v>
      </c>
      <c r="U14" s="1657">
        <v>21</v>
      </c>
      <c r="V14" s="1656">
        <v>22</v>
      </c>
      <c r="W14" s="1657">
        <v>23</v>
      </c>
      <c r="X14" s="1653"/>
      <c r="Y14" s="1620"/>
      <c r="Z14" s="1620"/>
      <c r="AA14" s="1620"/>
      <c r="AC14" s="1620"/>
      <c r="AD14" s="1620"/>
      <c r="AE14" s="1620"/>
      <c r="AF14" s="1620"/>
      <c r="AG14" s="1620"/>
      <c r="AH14" s="1620"/>
      <c r="AJ14" s="1620"/>
      <c r="AK14" s="1620"/>
      <c r="AL14" s="1620"/>
      <c r="AM14" s="1620"/>
      <c r="AN14" s="1620"/>
      <c r="AO14" s="1620"/>
    </row>
    <row r="15" spans="1:41" ht="15.75" customHeight="1" thickBot="1" x14ac:dyDescent="0.25">
      <c r="A15" s="4559" t="s">
        <v>1684</v>
      </c>
      <c r="B15" s="4560"/>
      <c r="C15" s="4560"/>
      <c r="D15" s="4561"/>
      <c r="E15" s="4561"/>
      <c r="F15" s="4561"/>
      <c r="G15" s="4561"/>
      <c r="H15" s="4561"/>
      <c r="I15" s="4561"/>
      <c r="J15" s="4561"/>
      <c r="K15" s="4561"/>
      <c r="L15" s="4561"/>
      <c r="M15" s="4561"/>
      <c r="N15" s="4561"/>
      <c r="O15" s="4561"/>
      <c r="P15" s="4561"/>
      <c r="Q15" s="4561"/>
      <c r="R15" s="4561"/>
      <c r="S15" s="4561"/>
      <c r="T15" s="4561"/>
      <c r="U15" s="4561"/>
      <c r="V15" s="4561"/>
      <c r="W15" s="4561"/>
      <c r="X15" s="1620"/>
      <c r="Y15" s="1620"/>
      <c r="Z15" s="1620"/>
      <c r="AA15" s="1620"/>
      <c r="AC15" s="1620"/>
      <c r="AD15" s="1620"/>
      <c r="AE15" s="1620"/>
      <c r="AF15" s="1620"/>
      <c r="AG15" s="1620"/>
      <c r="AH15" s="1620"/>
      <c r="AJ15" s="1620"/>
      <c r="AK15" s="1620"/>
      <c r="AL15" s="1620"/>
      <c r="AM15" s="1620"/>
      <c r="AN15" s="1620"/>
      <c r="AO15" s="1620"/>
    </row>
    <row r="16" spans="1:41" ht="24.75" thickBot="1" x14ac:dyDescent="0.25">
      <c r="A16" s="1694"/>
      <c r="B16" s="1676" t="s">
        <v>1685</v>
      </c>
      <c r="C16" s="1562" t="s">
        <v>1686</v>
      </c>
      <c r="D16" s="1563">
        <f t="shared" ref="D16:W16" si="0">D17+D28</f>
        <v>34847.03</v>
      </c>
      <c r="E16" s="1886">
        <f t="shared" si="0"/>
        <v>10641.019</v>
      </c>
      <c r="F16" s="1883">
        <f t="shared" si="0"/>
        <v>31523.95</v>
      </c>
      <c r="G16" s="1659">
        <f t="shared" si="0"/>
        <v>9704.1325499999984</v>
      </c>
      <c r="H16" s="1528">
        <f t="shared" si="0"/>
        <v>37013.180160809519</v>
      </c>
      <c r="I16" s="1569">
        <f t="shared" si="0"/>
        <v>11236.32228679557</v>
      </c>
      <c r="J16" s="1540">
        <f t="shared" si="0"/>
        <v>2187.2316408691477</v>
      </c>
      <c r="K16" s="1569">
        <f t="shared" si="0"/>
        <v>636.48440749292195</v>
      </c>
      <c r="L16" s="1540">
        <f t="shared" si="0"/>
        <v>34579.323519940379</v>
      </c>
      <c r="M16" s="1569">
        <f t="shared" si="0"/>
        <v>10353.21287930265</v>
      </c>
      <c r="N16" s="1540">
        <f t="shared" si="0"/>
        <v>6.8100000000000005</v>
      </c>
      <c r="O16" s="1569">
        <f t="shared" si="0"/>
        <v>6.8100000000000005</v>
      </c>
      <c r="P16" s="1540">
        <f t="shared" si="0"/>
        <v>86.1</v>
      </c>
      <c r="Q16" s="1569">
        <f t="shared" si="0"/>
        <v>86.1</v>
      </c>
      <c r="R16" s="1542">
        <f t="shared" si="0"/>
        <v>51.075000000000003</v>
      </c>
      <c r="S16" s="1529">
        <f t="shared" si="0"/>
        <v>51.075000000000003</v>
      </c>
      <c r="T16" s="1529">
        <f t="shared" si="0"/>
        <v>61.029999999999994</v>
      </c>
      <c r="U16" s="1529">
        <f t="shared" si="0"/>
        <v>61.029999999999994</v>
      </c>
      <c r="V16" s="1529">
        <f t="shared" si="0"/>
        <v>41.61</v>
      </c>
      <c r="W16" s="1569">
        <f t="shared" si="0"/>
        <v>41.61</v>
      </c>
      <c r="X16" s="1542">
        <f>H16-D16</f>
        <v>2166.1501608095205</v>
      </c>
      <c r="Y16" s="1529">
        <f>I16-E16</f>
        <v>595.30328679556987</v>
      </c>
      <c r="Z16" s="1621">
        <f>H16-F16</f>
        <v>5489.2301608095186</v>
      </c>
      <c r="AA16" s="1621">
        <f>I16-G16</f>
        <v>1532.1897367955717</v>
      </c>
      <c r="AC16" s="1620"/>
      <c r="AD16" s="1620"/>
      <c r="AE16" s="1620"/>
      <c r="AF16" s="1620"/>
      <c r="AG16" s="1620"/>
      <c r="AH16" s="1620"/>
      <c r="AJ16" s="1622">
        <f>IF(D16=0,,E16/D16)</f>
        <v>0.30536372827182118</v>
      </c>
      <c r="AK16" s="1620"/>
      <c r="AL16" s="1622">
        <f>IF(F16=0,,G16/F16)</f>
        <v>0.30783364870201857</v>
      </c>
      <c r="AM16" s="1620"/>
      <c r="AN16" s="1622">
        <f>IF(H16=0,,I16/H16)</f>
        <v>0.30357624602851252</v>
      </c>
      <c r="AO16" s="1620"/>
    </row>
    <row r="17" spans="1:256" ht="36" x14ac:dyDescent="0.2">
      <c r="A17" s="1695" t="s">
        <v>1687</v>
      </c>
      <c r="B17" s="1677" t="s">
        <v>1688</v>
      </c>
      <c r="C17" s="1564" t="s">
        <v>1686</v>
      </c>
      <c r="D17" s="1559">
        <f t="shared" ref="D17:J17" si="1">D18+D19+D20+D22+D23+D24</f>
        <v>33859</v>
      </c>
      <c r="E17" s="1887">
        <f t="shared" si="1"/>
        <v>9850.9889999999996</v>
      </c>
      <c r="F17" s="1560">
        <f t="shared" si="1"/>
        <v>30518.05</v>
      </c>
      <c r="G17" s="1660">
        <f t="shared" si="1"/>
        <v>8880.7525499999992</v>
      </c>
      <c r="H17" s="1661">
        <f t="shared" si="1"/>
        <v>35909.902660809523</v>
      </c>
      <c r="I17" s="1662">
        <f t="shared" si="1"/>
        <v>10449.781674295571</v>
      </c>
      <c r="J17" s="1661">
        <f t="shared" si="1"/>
        <v>1740.4941408691475</v>
      </c>
      <c r="K17" s="1894">
        <f>K18+K19+K20+K22+K23+K24+K21</f>
        <v>506.4837949929219</v>
      </c>
      <c r="L17" s="1661">
        <f>L18+L19+L20+L21+L22+L23+L24</f>
        <v>34169.408519940378</v>
      </c>
      <c r="M17" s="1894">
        <f>M18+M19+M20+M22+M23+M24+M21</f>
        <v>9943.2978793026487</v>
      </c>
      <c r="N17" s="1661"/>
      <c r="O17" s="1894"/>
      <c r="P17" s="1661"/>
      <c r="Q17" s="1894"/>
      <c r="R17" s="1530"/>
      <c r="S17" s="1531"/>
      <c r="T17" s="1531"/>
      <c r="U17" s="1531"/>
      <c r="V17" s="1531"/>
      <c r="W17" s="1532"/>
      <c r="X17" s="1644">
        <f t="shared" ref="X17:X28" si="2">H17-D17</f>
        <v>2050.9026608095228</v>
      </c>
      <c r="Y17" s="1644">
        <f t="shared" ref="Y17:Y28" si="3">I17-E17</f>
        <v>598.79267429557149</v>
      </c>
      <c r="Z17" s="1645">
        <f t="shared" ref="Z17:Z28" si="4">H17-F17</f>
        <v>5391.8526608095235</v>
      </c>
      <c r="AA17" s="1645">
        <f t="shared" ref="AA17:AA27" si="5">I17-G17</f>
        <v>1569.0291242955718</v>
      </c>
      <c r="AC17" s="1620"/>
      <c r="AD17" s="1620"/>
      <c r="AE17" s="1620"/>
      <c r="AF17" s="1620"/>
      <c r="AG17" s="1620"/>
      <c r="AH17" s="1620"/>
      <c r="AJ17" s="1622">
        <f t="shared" ref="AJ17:AJ29" si="6">IF(D17=0,,E17/D17)</f>
        <v>0.29094152219498509</v>
      </c>
      <c r="AK17" s="1620"/>
      <c r="AL17" s="1622">
        <f t="shared" ref="AL17:AL29" si="7">IF(F17=0,,G17/F17)</f>
        <v>0.29099999999999998</v>
      </c>
      <c r="AM17" s="1620"/>
      <c r="AN17" s="1622">
        <f t="shared" ref="AN17:AN29" si="8">IF(H17=0,,I17/H17)</f>
        <v>0.29099999999999998</v>
      </c>
      <c r="AO17" s="1620"/>
    </row>
    <row r="18" spans="1:256" x14ac:dyDescent="0.2">
      <c r="A18" s="1696" t="s">
        <v>1689</v>
      </c>
      <c r="B18" s="1678" t="s">
        <v>1690</v>
      </c>
      <c r="C18" s="1565" t="s">
        <v>1686</v>
      </c>
      <c r="D18" s="1589">
        <f>1487+366</f>
        <v>1853</v>
      </c>
      <c r="E18" s="1888">
        <f>D18*0.291-0.67</f>
        <v>538.553</v>
      </c>
      <c r="F18" s="1884">
        <v>1269</v>
      </c>
      <c r="G18" s="1561">
        <f>F18*0.291</f>
        <v>369.279</v>
      </c>
      <c r="H18" s="1663">
        <f t="shared" ref="H18:I27" si="9">J18+L18</f>
        <v>1618.3941408691476</v>
      </c>
      <c r="I18" s="664">
        <f t="shared" si="9"/>
        <v>470.95269499292192</v>
      </c>
      <c r="J18" s="1663">
        <f>'[50]7. Вода та сіль Свод'!AR9</f>
        <v>1618.3941408691476</v>
      </c>
      <c r="K18" s="664">
        <f>J18*0.291</f>
        <v>470.95269499292192</v>
      </c>
      <c r="L18" s="1663"/>
      <c r="M18" s="664"/>
      <c r="N18" s="1897" t="s">
        <v>327</v>
      </c>
      <c r="O18" s="1898" t="s">
        <v>327</v>
      </c>
      <c r="P18" s="1897" t="s">
        <v>327</v>
      </c>
      <c r="Q18" s="1898" t="s">
        <v>327</v>
      </c>
      <c r="R18" s="1890" t="s">
        <v>327</v>
      </c>
      <c r="S18" s="656" t="s">
        <v>327</v>
      </c>
      <c r="T18" s="656" t="s">
        <v>327</v>
      </c>
      <c r="U18" s="656" t="s">
        <v>327</v>
      </c>
      <c r="V18" s="656" t="s">
        <v>327</v>
      </c>
      <c r="W18" s="1535" t="s">
        <v>327</v>
      </c>
      <c r="X18" s="655">
        <f t="shared" si="2"/>
        <v>-234.60585913085242</v>
      </c>
      <c r="Y18" s="655">
        <f t="shared" si="3"/>
        <v>-67.600305007078077</v>
      </c>
      <c r="Z18" s="1621">
        <f t="shared" si="4"/>
        <v>349.39414086914758</v>
      </c>
      <c r="AA18" s="1621">
        <f t="shared" si="5"/>
        <v>101.67369499292192</v>
      </c>
      <c r="AC18" s="1620"/>
      <c r="AD18" s="1620"/>
      <c r="AE18" s="1620"/>
      <c r="AF18" s="1620"/>
      <c r="AG18" s="1620"/>
      <c r="AH18" s="1620"/>
      <c r="AJ18" s="1622">
        <f t="shared" si="6"/>
        <v>0.29063842417701025</v>
      </c>
      <c r="AK18" s="1620"/>
      <c r="AL18" s="1622">
        <f t="shared" si="7"/>
        <v>0.29099999999999998</v>
      </c>
      <c r="AM18" s="1620"/>
      <c r="AN18" s="1622">
        <f t="shared" si="8"/>
        <v>0.29099999999999998</v>
      </c>
      <c r="AO18" s="1620"/>
    </row>
    <row r="19" spans="1:256" x14ac:dyDescent="0.2">
      <c r="A19" s="1696" t="s">
        <v>1691</v>
      </c>
      <c r="B19" s="1678" t="s">
        <v>1692</v>
      </c>
      <c r="C19" s="1565" t="s">
        <v>1686</v>
      </c>
      <c r="D19" s="1589">
        <f>4194</f>
        <v>4194</v>
      </c>
      <c r="E19" s="1888">
        <f>D19*0.291</f>
        <v>1220.454</v>
      </c>
      <c r="F19" s="1885">
        <f>2720.29+1466.36</f>
        <v>4186.6499999999996</v>
      </c>
      <c r="G19" s="1561">
        <f>F19*0.291</f>
        <v>1218.3151499999999</v>
      </c>
      <c r="H19" s="1663">
        <f t="shared" si="9"/>
        <v>4185.2331299999996</v>
      </c>
      <c r="I19" s="664">
        <f t="shared" si="9"/>
        <v>1217.9028408299998</v>
      </c>
      <c r="J19" s="1663"/>
      <c r="K19" s="664"/>
      <c r="L19" s="1663">
        <f>'[50]7. Вода та сіль Свод'!Q9+'[50]7. Вода та сіль Свод'!Q10</f>
        <v>4185.2331299999996</v>
      </c>
      <c r="M19" s="664">
        <f>L19*0.291</f>
        <v>1217.9028408299998</v>
      </c>
      <c r="N19" s="1897" t="s">
        <v>327</v>
      </c>
      <c r="O19" s="1898" t="s">
        <v>327</v>
      </c>
      <c r="P19" s="1897" t="s">
        <v>327</v>
      </c>
      <c r="Q19" s="1898" t="s">
        <v>327</v>
      </c>
      <c r="R19" s="1890" t="s">
        <v>327</v>
      </c>
      <c r="S19" s="656" t="s">
        <v>327</v>
      </c>
      <c r="T19" s="656" t="s">
        <v>327</v>
      </c>
      <c r="U19" s="656" t="s">
        <v>327</v>
      </c>
      <c r="V19" s="656" t="s">
        <v>327</v>
      </c>
      <c r="W19" s="1535" t="s">
        <v>327</v>
      </c>
      <c r="X19" s="655">
        <f t="shared" si="2"/>
        <v>-8.766870000000381</v>
      </c>
      <c r="Y19" s="655">
        <f t="shared" si="3"/>
        <v>-2.551159170000119</v>
      </c>
      <c r="Z19" s="1621">
        <f t="shared" si="4"/>
        <v>-1.4168700000000172</v>
      </c>
      <c r="AA19" s="1621">
        <f t="shared" si="5"/>
        <v>-0.41230917000007139</v>
      </c>
      <c r="AB19" s="1596" t="s">
        <v>1693</v>
      </c>
      <c r="AC19" s="1624"/>
      <c r="AD19" s="1625">
        <f>D19+D22-AC19</f>
        <v>4878</v>
      </c>
      <c r="AE19" s="1624"/>
      <c r="AF19" s="1625">
        <f>F19+F22-AE19</f>
        <v>4335.8499999999995</v>
      </c>
      <c r="AG19" s="1620"/>
      <c r="AH19" s="1620"/>
      <c r="AJ19" s="1622">
        <f t="shared" si="6"/>
        <v>0.29099999999999998</v>
      </c>
      <c r="AK19" s="1620"/>
      <c r="AL19" s="1622">
        <f t="shared" si="7"/>
        <v>0.29099999999999998</v>
      </c>
      <c r="AM19" s="1620"/>
      <c r="AN19" s="1622">
        <f t="shared" si="8"/>
        <v>0.29099999999999998</v>
      </c>
      <c r="AO19" s="1620"/>
    </row>
    <row r="20" spans="1:256" s="1626" customFormat="1" ht="13.5" customHeight="1" x14ac:dyDescent="0.2">
      <c r="A20" s="1696" t="s">
        <v>1694</v>
      </c>
      <c r="B20" s="1678" t="s">
        <v>1695</v>
      </c>
      <c r="C20" s="1565" t="s">
        <v>1686</v>
      </c>
      <c r="D20" s="1589">
        <f>9472.1+17531.9+2</f>
        <v>27006</v>
      </c>
      <c r="E20" s="1888">
        <f>D20*0.291-1.31</f>
        <v>7857.4359999999988</v>
      </c>
      <c r="F20" s="1884">
        <f>8390.4+16399.8+1</f>
        <v>24791.199999999997</v>
      </c>
      <c r="G20" s="1561">
        <f>F20*0.291</f>
        <v>7214.2391999999991</v>
      </c>
      <c r="H20" s="1663">
        <f t="shared" si="9"/>
        <v>27885.165389940375</v>
      </c>
      <c r="I20" s="664">
        <f t="shared" si="9"/>
        <v>8114.5831284726492</v>
      </c>
      <c r="J20" s="1663"/>
      <c r="K20" s="664">
        <f>J20*0.291</f>
        <v>0</v>
      </c>
      <c r="L20" s="1663">
        <f>'[50]7. Вода та сіль Свод'!N9+'[50]7. Вода та сіль Свод'!N10</f>
        <v>27885.165389940375</v>
      </c>
      <c r="M20" s="664">
        <f>L20*0.291</f>
        <v>8114.5831284726492</v>
      </c>
      <c r="N20" s="1897" t="s">
        <v>327</v>
      </c>
      <c r="O20" s="1898" t="s">
        <v>327</v>
      </c>
      <c r="P20" s="1897" t="s">
        <v>327</v>
      </c>
      <c r="Q20" s="1898" t="s">
        <v>327</v>
      </c>
      <c r="R20" s="1890" t="s">
        <v>327</v>
      </c>
      <c r="S20" s="656" t="s">
        <v>327</v>
      </c>
      <c r="T20" s="656" t="s">
        <v>327</v>
      </c>
      <c r="U20" s="656" t="s">
        <v>327</v>
      </c>
      <c r="V20" s="656" t="s">
        <v>327</v>
      </c>
      <c r="W20" s="1535" t="s">
        <v>327</v>
      </c>
      <c r="X20" s="655">
        <f t="shared" si="2"/>
        <v>879.16538994037546</v>
      </c>
      <c r="Y20" s="655">
        <f t="shared" si="3"/>
        <v>257.14712847265037</v>
      </c>
      <c r="Z20" s="1621">
        <f t="shared" si="4"/>
        <v>3093.9653899403784</v>
      </c>
      <c r="AA20" s="1621">
        <f t="shared" si="5"/>
        <v>900.34392847265008</v>
      </c>
      <c r="AB20" s="1596"/>
      <c r="AC20" s="1624"/>
      <c r="AD20" s="1625">
        <f>D20-AC20</f>
        <v>27006</v>
      </c>
      <c r="AE20" s="1624"/>
      <c r="AF20" s="1625">
        <f>F20-AE20</f>
        <v>24791.199999999997</v>
      </c>
      <c r="AG20" s="1620"/>
      <c r="AH20" s="1620"/>
      <c r="AI20" s="1596"/>
      <c r="AJ20" s="1622">
        <f t="shared" si="6"/>
        <v>0.29095149226097899</v>
      </c>
      <c r="AK20" s="1620"/>
      <c r="AL20" s="1622">
        <f t="shared" si="7"/>
        <v>0.29099999999999998</v>
      </c>
      <c r="AM20" s="1620"/>
      <c r="AN20" s="1622">
        <f t="shared" si="8"/>
        <v>0.29099999999999998</v>
      </c>
      <c r="AO20" s="1620"/>
      <c r="AP20" s="1596"/>
      <c r="AQ20" s="1596"/>
      <c r="AR20" s="1596"/>
      <c r="AS20" s="1596"/>
      <c r="AT20" s="1596"/>
      <c r="AU20" s="1596"/>
      <c r="AV20" s="1596"/>
      <c r="AW20" s="1596"/>
      <c r="AX20" s="1596"/>
      <c r="AY20" s="1596"/>
      <c r="AZ20" s="1596"/>
      <c r="BA20" s="1596"/>
      <c r="BB20" s="1596"/>
      <c r="BC20" s="1596"/>
      <c r="BD20" s="1596"/>
      <c r="BE20" s="1596"/>
      <c r="BF20" s="1596"/>
      <c r="BG20" s="1596"/>
      <c r="BH20" s="1596"/>
      <c r="BI20" s="1596"/>
      <c r="BJ20" s="1596"/>
      <c r="BK20" s="1596"/>
      <c r="BL20" s="1596"/>
      <c r="BM20" s="1596"/>
      <c r="BN20" s="1596"/>
      <c r="BO20" s="1596"/>
      <c r="BP20" s="1596"/>
      <c r="BQ20" s="1596"/>
      <c r="BR20" s="1596"/>
      <c r="BS20" s="1596"/>
      <c r="BT20" s="1596"/>
      <c r="BU20" s="1596"/>
      <c r="BV20" s="1596"/>
      <c r="BW20" s="1596"/>
      <c r="BX20" s="1596"/>
      <c r="BY20" s="1596"/>
      <c r="BZ20" s="1596"/>
      <c r="CA20" s="1596"/>
      <c r="CB20" s="1596"/>
      <c r="CC20" s="1596"/>
      <c r="CD20" s="1596"/>
      <c r="CE20" s="1596"/>
      <c r="CF20" s="1596"/>
      <c r="CG20" s="1596"/>
      <c r="CH20" s="1596"/>
      <c r="CI20" s="1596"/>
      <c r="CJ20" s="1596"/>
      <c r="CK20" s="1596"/>
      <c r="CL20" s="1596"/>
      <c r="CM20" s="1596"/>
      <c r="CN20" s="1596"/>
      <c r="CO20" s="1596"/>
      <c r="CP20" s="1596"/>
      <c r="CQ20" s="1596"/>
      <c r="CR20" s="1596"/>
      <c r="CS20" s="1596"/>
      <c r="CT20" s="1596"/>
      <c r="CU20" s="1596"/>
      <c r="CV20" s="1596"/>
      <c r="CW20" s="1596"/>
      <c r="CX20" s="1596"/>
      <c r="CY20" s="1596"/>
      <c r="CZ20" s="1596"/>
      <c r="DA20" s="1596"/>
      <c r="DB20" s="1596"/>
      <c r="DC20" s="1596"/>
      <c r="DD20" s="1596"/>
      <c r="DE20" s="1596"/>
      <c r="DF20" s="1596"/>
      <c r="DG20" s="1596"/>
      <c r="DH20" s="1596"/>
      <c r="DI20" s="1596"/>
      <c r="DJ20" s="1596"/>
      <c r="DK20" s="1596"/>
      <c r="DL20" s="1596"/>
      <c r="DM20" s="1596"/>
      <c r="DN20" s="1596"/>
      <c r="DO20" s="1596"/>
      <c r="DP20" s="1596"/>
      <c r="DQ20" s="1596"/>
      <c r="DR20" s="1596"/>
      <c r="DS20" s="1596"/>
      <c r="DT20" s="1596"/>
      <c r="DU20" s="1596"/>
      <c r="DV20" s="1596"/>
      <c r="DW20" s="1596"/>
      <c r="DX20" s="1596"/>
      <c r="DY20" s="1596"/>
      <c r="DZ20" s="1596"/>
      <c r="EA20" s="1596"/>
      <c r="EB20" s="1596"/>
      <c r="EC20" s="1596"/>
      <c r="ED20" s="1596"/>
      <c r="EE20" s="1596"/>
      <c r="EF20" s="1596"/>
      <c r="EG20" s="1596"/>
      <c r="EH20" s="1596"/>
      <c r="EI20" s="1596"/>
      <c r="EJ20" s="1596"/>
      <c r="EK20" s="1596"/>
      <c r="EL20" s="1596"/>
      <c r="EM20" s="1596"/>
      <c r="EN20" s="1596"/>
      <c r="EO20" s="1596"/>
      <c r="EP20" s="1596"/>
      <c r="EQ20" s="1596"/>
      <c r="ER20" s="1596"/>
      <c r="ES20" s="1596"/>
      <c r="ET20" s="1596"/>
      <c r="EU20" s="1596"/>
      <c r="EV20" s="1596"/>
      <c r="EW20" s="1596"/>
      <c r="EX20" s="1596"/>
      <c r="EY20" s="1596"/>
      <c r="EZ20" s="1596"/>
      <c r="FA20" s="1596"/>
      <c r="FB20" s="1596"/>
      <c r="FC20" s="1596"/>
      <c r="FD20" s="1596"/>
      <c r="FE20" s="1596"/>
      <c r="FF20" s="1596"/>
      <c r="FG20" s="1596"/>
      <c r="FH20" s="1596"/>
      <c r="FI20" s="1596"/>
      <c r="FJ20" s="1596"/>
      <c r="FK20" s="1596"/>
      <c r="FL20" s="1596"/>
      <c r="FM20" s="1596"/>
      <c r="FN20" s="1596"/>
      <c r="FO20" s="1596"/>
      <c r="FP20" s="1596"/>
      <c r="FQ20" s="1596"/>
      <c r="FR20" s="1596"/>
      <c r="FS20" s="1596"/>
      <c r="FT20" s="1596"/>
      <c r="FU20" s="1596"/>
      <c r="FV20" s="1596"/>
      <c r="FW20" s="1596"/>
      <c r="FX20" s="1596"/>
      <c r="FY20" s="1596"/>
      <c r="FZ20" s="1596"/>
      <c r="GA20" s="1596"/>
      <c r="GB20" s="1596"/>
      <c r="GC20" s="1596"/>
      <c r="GD20" s="1596"/>
      <c r="GE20" s="1596"/>
      <c r="GF20" s="1596"/>
      <c r="GG20" s="1596"/>
      <c r="GH20" s="1596"/>
      <c r="GI20" s="1596"/>
      <c r="GJ20" s="1596"/>
      <c r="GK20" s="1596"/>
      <c r="GL20" s="1596"/>
      <c r="GM20" s="1596"/>
      <c r="GN20" s="1596"/>
      <c r="GO20" s="1596"/>
      <c r="GP20" s="1596"/>
      <c r="GQ20" s="1596"/>
      <c r="GR20" s="1596"/>
      <c r="GS20" s="1596"/>
      <c r="GT20" s="1596"/>
      <c r="GU20" s="1596"/>
      <c r="GV20" s="1596"/>
      <c r="GW20" s="1596"/>
      <c r="GX20" s="1596"/>
      <c r="GY20" s="1596"/>
      <c r="GZ20" s="1596"/>
      <c r="HA20" s="1596"/>
      <c r="HB20" s="1596"/>
      <c r="HC20" s="1596"/>
      <c r="HD20" s="1596"/>
      <c r="HE20" s="1596"/>
      <c r="HF20" s="1596"/>
      <c r="HG20" s="1596"/>
      <c r="HH20" s="1596"/>
      <c r="HI20" s="1596"/>
      <c r="HJ20" s="1596"/>
      <c r="HK20" s="1596"/>
      <c r="HL20" s="1596"/>
      <c r="HM20" s="1596"/>
      <c r="HN20" s="1596"/>
      <c r="HO20" s="1596"/>
      <c r="HP20" s="1596"/>
      <c r="HQ20" s="1596"/>
      <c r="HR20" s="1596"/>
      <c r="HS20" s="1596"/>
      <c r="HT20" s="1596"/>
      <c r="HU20" s="1596"/>
      <c r="HV20" s="1596"/>
      <c r="HW20" s="1596"/>
      <c r="HX20" s="1596"/>
      <c r="HY20" s="1596"/>
      <c r="HZ20" s="1596"/>
      <c r="IA20" s="1596"/>
      <c r="IB20" s="1596"/>
      <c r="IC20" s="1596"/>
      <c r="ID20" s="1596"/>
      <c r="IE20" s="1596"/>
      <c r="IF20" s="1596"/>
      <c r="IG20" s="1596"/>
      <c r="IH20" s="1596"/>
      <c r="II20" s="1596"/>
      <c r="IJ20" s="1596"/>
      <c r="IK20" s="1596"/>
      <c r="IL20" s="1596"/>
      <c r="IM20" s="1596"/>
      <c r="IN20" s="1596"/>
      <c r="IO20" s="1596"/>
      <c r="IP20" s="1596"/>
      <c r="IQ20" s="1596"/>
      <c r="IR20" s="1596"/>
      <c r="IS20" s="1596"/>
      <c r="IT20" s="1596"/>
      <c r="IU20" s="1596"/>
      <c r="IV20" s="1596"/>
    </row>
    <row r="21" spans="1:256" ht="36" x14ac:dyDescent="0.2">
      <c r="A21" s="1696" t="s">
        <v>1696</v>
      </c>
      <c r="B21" s="1678" t="s">
        <v>2381</v>
      </c>
      <c r="C21" s="1565" t="s">
        <v>1686</v>
      </c>
      <c r="D21" s="1589">
        <f>D92*0.0025*D93*24</f>
        <v>37492.929600000003</v>
      </c>
      <c r="E21" s="1888">
        <f>D21*0.291</f>
        <v>10910.442513600001</v>
      </c>
      <c r="F21" s="1884">
        <f>F92*0.0025*F93*24</f>
        <v>39259.799279999999</v>
      </c>
      <c r="G21" s="1561">
        <f>F21*0.291</f>
        <v>11424.601590479999</v>
      </c>
      <c r="H21" s="1533">
        <f>H92*0.0025*H93*24</f>
        <v>0</v>
      </c>
      <c r="I21" s="1664">
        <f>H21*0.291</f>
        <v>0</v>
      </c>
      <c r="J21" s="1663"/>
      <c r="K21" s="664"/>
      <c r="L21" s="1663"/>
      <c r="M21" s="664">
        <f>L21*0.291</f>
        <v>0</v>
      </c>
      <c r="N21" s="1897" t="s">
        <v>327</v>
      </c>
      <c r="O21" s="1898" t="s">
        <v>327</v>
      </c>
      <c r="P21" s="1897" t="s">
        <v>327</v>
      </c>
      <c r="Q21" s="1898" t="s">
        <v>327</v>
      </c>
      <c r="R21" s="1890" t="s">
        <v>327</v>
      </c>
      <c r="S21" s="656" t="s">
        <v>327</v>
      </c>
      <c r="T21" s="656" t="s">
        <v>327</v>
      </c>
      <c r="U21" s="656" t="s">
        <v>327</v>
      </c>
      <c r="V21" s="656" t="s">
        <v>327</v>
      </c>
      <c r="W21" s="1535" t="s">
        <v>327</v>
      </c>
      <c r="X21" s="655">
        <f t="shared" si="2"/>
        <v>-37492.929600000003</v>
      </c>
      <c r="Y21" s="655">
        <f t="shared" si="3"/>
        <v>-10910.442513600001</v>
      </c>
      <c r="Z21" s="1621">
        <f t="shared" si="4"/>
        <v>-39259.799279999999</v>
      </c>
      <c r="AA21" s="1621">
        <f t="shared" si="5"/>
        <v>-11424.601590479999</v>
      </c>
      <c r="AC21" s="1624"/>
      <c r="AD21" s="1625">
        <f>D21-AC21</f>
        <v>37492.929600000003</v>
      </c>
      <c r="AE21" s="1624"/>
      <c r="AF21" s="1625">
        <f>F21-AE21</f>
        <v>39259.799279999999</v>
      </c>
      <c r="AG21" s="1624"/>
      <c r="AH21" s="1625">
        <f>H21-AG21</f>
        <v>0</v>
      </c>
      <c r="AJ21" s="1622">
        <f t="shared" si="6"/>
        <v>0.29099999999999998</v>
      </c>
      <c r="AK21" s="1620"/>
      <c r="AL21" s="1622">
        <f t="shared" si="7"/>
        <v>0.29099999999999998</v>
      </c>
      <c r="AM21" s="1620"/>
      <c r="AN21" s="1622">
        <f t="shared" si="8"/>
        <v>0</v>
      </c>
      <c r="AO21" s="1620"/>
    </row>
    <row r="22" spans="1:256" ht="24" x14ac:dyDescent="0.2">
      <c r="A22" s="1696" t="s">
        <v>1697</v>
      </c>
      <c r="B22" s="1678" t="s">
        <v>1698</v>
      </c>
      <c r="C22" s="1565" t="s">
        <v>1686</v>
      </c>
      <c r="D22" s="1589">
        <v>684</v>
      </c>
      <c r="E22" s="1888">
        <f>D22*0.291</f>
        <v>199.04399999999998</v>
      </c>
      <c r="F22" s="1884">
        <f>149.2</f>
        <v>149.19999999999999</v>
      </c>
      <c r="G22" s="1561">
        <f>F22*0.291</f>
        <v>43.417199999999994</v>
      </c>
      <c r="H22" s="1663">
        <f t="shared" si="9"/>
        <v>2099.0099999999998</v>
      </c>
      <c r="I22" s="664">
        <f t="shared" si="9"/>
        <v>610.8119099999999</v>
      </c>
      <c r="J22" s="1663"/>
      <c r="K22" s="664"/>
      <c r="L22" s="1663">
        <f>'[50]7. Вода та сіль Свод'!AY9</f>
        <v>2099.0099999999998</v>
      </c>
      <c r="M22" s="664">
        <f>L22*0.291</f>
        <v>610.8119099999999</v>
      </c>
      <c r="N22" s="1897" t="s">
        <v>327</v>
      </c>
      <c r="O22" s="1898" t="s">
        <v>327</v>
      </c>
      <c r="P22" s="1897" t="s">
        <v>327</v>
      </c>
      <c r="Q22" s="1898" t="s">
        <v>327</v>
      </c>
      <c r="R22" s="1890" t="s">
        <v>327</v>
      </c>
      <c r="S22" s="656" t="s">
        <v>327</v>
      </c>
      <c r="T22" s="656" t="s">
        <v>327</v>
      </c>
      <c r="U22" s="656" t="s">
        <v>327</v>
      </c>
      <c r="V22" s="656" t="s">
        <v>327</v>
      </c>
      <c r="W22" s="1535" t="s">
        <v>327</v>
      </c>
      <c r="X22" s="655">
        <f t="shared" si="2"/>
        <v>1415.0099999999998</v>
      </c>
      <c r="Y22" s="655">
        <f t="shared" si="3"/>
        <v>411.76790999999992</v>
      </c>
      <c r="Z22" s="1621">
        <f t="shared" si="4"/>
        <v>1949.8099999999997</v>
      </c>
      <c r="AA22" s="1621">
        <f t="shared" si="5"/>
        <v>567.39470999999992</v>
      </c>
      <c r="AC22" s="1620"/>
      <c r="AD22" s="1620"/>
      <c r="AE22" s="1620"/>
      <c r="AF22" s="1620"/>
      <c r="AG22" s="1620"/>
      <c r="AH22" s="1620"/>
      <c r="AJ22" s="1622">
        <f t="shared" si="6"/>
        <v>0.29099999999999998</v>
      </c>
      <c r="AK22" s="1620"/>
      <c r="AL22" s="1622">
        <f t="shared" si="7"/>
        <v>0.29099999999999998</v>
      </c>
      <c r="AM22" s="1620"/>
      <c r="AN22" s="1622">
        <f t="shared" si="8"/>
        <v>0.29099999999999998</v>
      </c>
      <c r="AO22" s="1620"/>
    </row>
    <row r="23" spans="1:256" ht="15.6" customHeight="1" x14ac:dyDescent="0.2">
      <c r="A23" s="1696" t="s">
        <v>1699</v>
      </c>
      <c r="B23" s="1678" t="s">
        <v>1700</v>
      </c>
      <c r="C23" s="1565" t="s">
        <v>1686</v>
      </c>
      <c r="D23" s="1589"/>
      <c r="E23" s="1888"/>
      <c r="F23" s="1884"/>
      <c r="G23" s="1561"/>
      <c r="H23" s="1663">
        <f t="shared" si="9"/>
        <v>0</v>
      </c>
      <c r="I23" s="664">
        <f t="shared" si="9"/>
        <v>0</v>
      </c>
      <c r="J23" s="1663"/>
      <c r="K23" s="664"/>
      <c r="L23" s="1663"/>
      <c r="M23" s="664"/>
      <c r="N23" s="1897" t="s">
        <v>327</v>
      </c>
      <c r="O23" s="1898" t="s">
        <v>327</v>
      </c>
      <c r="P23" s="1897" t="s">
        <v>327</v>
      </c>
      <c r="Q23" s="1898" t="s">
        <v>327</v>
      </c>
      <c r="R23" s="1890" t="s">
        <v>327</v>
      </c>
      <c r="S23" s="656" t="s">
        <v>327</v>
      </c>
      <c r="T23" s="656" t="s">
        <v>327</v>
      </c>
      <c r="U23" s="656" t="s">
        <v>327</v>
      </c>
      <c r="V23" s="656" t="s">
        <v>327</v>
      </c>
      <c r="W23" s="1535" t="s">
        <v>327</v>
      </c>
      <c r="X23" s="655">
        <f t="shared" si="2"/>
        <v>0</v>
      </c>
      <c r="Y23" s="655">
        <f t="shared" si="3"/>
        <v>0</v>
      </c>
      <c r="Z23" s="1621">
        <f t="shared" si="4"/>
        <v>0</v>
      </c>
      <c r="AA23" s="1621">
        <f t="shared" si="5"/>
        <v>0</v>
      </c>
      <c r="AC23" s="1620"/>
      <c r="AD23" s="1620"/>
      <c r="AE23" s="1620"/>
      <c r="AF23" s="1620"/>
      <c r="AG23" s="1620"/>
      <c r="AH23" s="1620"/>
      <c r="AJ23" s="1622">
        <f t="shared" si="6"/>
        <v>0</v>
      </c>
      <c r="AK23" s="1620"/>
      <c r="AL23" s="1622">
        <f t="shared" si="7"/>
        <v>0</v>
      </c>
      <c r="AM23" s="1620"/>
      <c r="AN23" s="1622">
        <f t="shared" si="8"/>
        <v>0</v>
      </c>
      <c r="AO23" s="1620"/>
    </row>
    <row r="24" spans="1:256" ht="36" customHeight="1" x14ac:dyDescent="0.2">
      <c r="A24" s="1696" t="s">
        <v>1701</v>
      </c>
      <c r="B24" s="1678" t="s">
        <v>1702</v>
      </c>
      <c r="C24" s="1565" t="s">
        <v>1686</v>
      </c>
      <c r="D24" s="1589">
        <f t="shared" ref="D24:G24" si="10">D25+D26+D27</f>
        <v>122</v>
      </c>
      <c r="E24" s="1888">
        <f t="shared" si="10"/>
        <v>35.501999999999995</v>
      </c>
      <c r="F24" s="1884">
        <f t="shared" si="10"/>
        <v>122</v>
      </c>
      <c r="G24" s="1561">
        <f t="shared" si="10"/>
        <v>35.501999999999995</v>
      </c>
      <c r="H24" s="1663">
        <f t="shared" si="9"/>
        <v>122.1</v>
      </c>
      <c r="I24" s="664">
        <f t="shared" si="9"/>
        <v>35.531099999999995</v>
      </c>
      <c r="J24" s="1663">
        <f>J25+J26+J27</f>
        <v>122.1</v>
      </c>
      <c r="K24" s="664">
        <f>K25+K26+K27</f>
        <v>35.531099999999995</v>
      </c>
      <c r="L24" s="1663">
        <f>L25+L26+L27</f>
        <v>0</v>
      </c>
      <c r="M24" s="664">
        <f>M25+M26+M27</f>
        <v>0</v>
      </c>
      <c r="N24" s="1897" t="s">
        <v>327</v>
      </c>
      <c r="O24" s="1898" t="s">
        <v>327</v>
      </c>
      <c r="P24" s="1897" t="s">
        <v>327</v>
      </c>
      <c r="Q24" s="1898" t="s">
        <v>327</v>
      </c>
      <c r="R24" s="1890" t="s">
        <v>327</v>
      </c>
      <c r="S24" s="656" t="s">
        <v>327</v>
      </c>
      <c r="T24" s="656" t="s">
        <v>327</v>
      </c>
      <c r="U24" s="656" t="s">
        <v>327</v>
      </c>
      <c r="V24" s="656" t="s">
        <v>327</v>
      </c>
      <c r="W24" s="1535" t="s">
        <v>327</v>
      </c>
      <c r="X24" s="655">
        <f t="shared" si="2"/>
        <v>9.9999999999994316E-2</v>
      </c>
      <c r="Y24" s="655">
        <f t="shared" si="3"/>
        <v>2.9099999999999682E-2</v>
      </c>
      <c r="Z24" s="1621">
        <f t="shared" si="4"/>
        <v>9.9999999999994316E-2</v>
      </c>
      <c r="AA24" s="1621">
        <f t="shared" si="5"/>
        <v>2.9099999999999682E-2</v>
      </c>
      <c r="AC24" s="1620"/>
      <c r="AD24" s="1620"/>
      <c r="AE24" s="1620"/>
      <c r="AF24" s="1620"/>
      <c r="AG24" s="1620"/>
      <c r="AH24" s="1620"/>
      <c r="AJ24" s="1622">
        <f t="shared" si="6"/>
        <v>0.29099999999999998</v>
      </c>
      <c r="AK24" s="1620"/>
      <c r="AL24" s="1622">
        <f t="shared" si="7"/>
        <v>0.29099999999999998</v>
      </c>
      <c r="AM24" s="1620"/>
      <c r="AN24" s="1622">
        <f t="shared" si="8"/>
        <v>0.29099999999999998</v>
      </c>
      <c r="AO24" s="1620"/>
    </row>
    <row r="25" spans="1:256" x14ac:dyDescent="0.2">
      <c r="A25" s="1697" t="s">
        <v>1703</v>
      </c>
      <c r="B25" s="1679" t="s">
        <v>1704</v>
      </c>
      <c r="C25" s="1565" t="s">
        <v>1686</v>
      </c>
      <c r="D25" s="1589">
        <v>122</v>
      </c>
      <c r="E25" s="1888">
        <f>D25*0.291</f>
        <v>35.501999999999995</v>
      </c>
      <c r="F25" s="1884">
        <v>122</v>
      </c>
      <c r="G25" s="1561">
        <f>F25*0.291</f>
        <v>35.501999999999995</v>
      </c>
      <c r="H25" s="1663">
        <f t="shared" si="9"/>
        <v>122.1</v>
      </c>
      <c r="I25" s="664">
        <f t="shared" si="9"/>
        <v>35.531099999999995</v>
      </c>
      <c r="J25" s="1663">
        <f>'[50]7. Вода та сіль Свод'!V75</f>
        <v>122.1</v>
      </c>
      <c r="K25" s="664">
        <f>J25*0.291</f>
        <v>35.531099999999995</v>
      </c>
      <c r="L25" s="1663"/>
      <c r="M25" s="664"/>
      <c r="N25" s="1897" t="s">
        <v>327</v>
      </c>
      <c r="O25" s="1898" t="s">
        <v>327</v>
      </c>
      <c r="P25" s="1897" t="s">
        <v>327</v>
      </c>
      <c r="Q25" s="1898" t="s">
        <v>327</v>
      </c>
      <c r="R25" s="1890" t="s">
        <v>327</v>
      </c>
      <c r="S25" s="656" t="s">
        <v>327</v>
      </c>
      <c r="T25" s="656" t="s">
        <v>327</v>
      </c>
      <c r="U25" s="656" t="s">
        <v>327</v>
      </c>
      <c r="V25" s="656" t="s">
        <v>327</v>
      </c>
      <c r="W25" s="1535" t="s">
        <v>327</v>
      </c>
      <c r="X25" s="655">
        <f t="shared" si="2"/>
        <v>9.9999999999994316E-2</v>
      </c>
      <c r="Y25" s="655">
        <f t="shared" si="3"/>
        <v>2.9099999999999682E-2</v>
      </c>
      <c r="Z25" s="1621">
        <f t="shared" si="4"/>
        <v>9.9999999999994316E-2</v>
      </c>
      <c r="AA25" s="1621">
        <f t="shared" si="5"/>
        <v>2.9099999999999682E-2</v>
      </c>
      <c r="AC25" s="1620"/>
      <c r="AD25" s="1620"/>
      <c r="AE25" s="1620"/>
      <c r="AF25" s="1620"/>
      <c r="AG25" s="1620"/>
      <c r="AH25" s="1620"/>
      <c r="AJ25" s="1622"/>
      <c r="AK25" s="1620"/>
      <c r="AL25" s="1622"/>
      <c r="AM25" s="1620"/>
      <c r="AN25" s="1622"/>
      <c r="AO25" s="1620"/>
    </row>
    <row r="26" spans="1:256" x14ac:dyDescent="0.2">
      <c r="A26" s="1697" t="s">
        <v>1705</v>
      </c>
      <c r="B26" s="1679" t="s">
        <v>1706</v>
      </c>
      <c r="C26" s="1565" t="s">
        <v>1686</v>
      </c>
      <c r="D26" s="1589"/>
      <c r="E26" s="1888"/>
      <c r="F26" s="1884"/>
      <c r="G26" s="1561"/>
      <c r="H26" s="1663">
        <f t="shared" si="9"/>
        <v>0</v>
      </c>
      <c r="I26" s="664">
        <f t="shared" si="9"/>
        <v>0</v>
      </c>
      <c r="J26" s="1663"/>
      <c r="K26" s="664"/>
      <c r="L26" s="1663"/>
      <c r="M26" s="664"/>
      <c r="N26" s="1897" t="s">
        <v>327</v>
      </c>
      <c r="O26" s="1898" t="s">
        <v>327</v>
      </c>
      <c r="P26" s="1897" t="s">
        <v>327</v>
      </c>
      <c r="Q26" s="1898" t="s">
        <v>327</v>
      </c>
      <c r="R26" s="1890" t="s">
        <v>327</v>
      </c>
      <c r="S26" s="656" t="s">
        <v>327</v>
      </c>
      <c r="T26" s="656" t="s">
        <v>327</v>
      </c>
      <c r="U26" s="656" t="s">
        <v>327</v>
      </c>
      <c r="V26" s="656" t="s">
        <v>327</v>
      </c>
      <c r="W26" s="1535" t="s">
        <v>327</v>
      </c>
      <c r="X26" s="655">
        <f t="shared" si="2"/>
        <v>0</v>
      </c>
      <c r="Y26" s="655">
        <f t="shared" si="3"/>
        <v>0</v>
      </c>
      <c r="Z26" s="1621">
        <f t="shared" si="4"/>
        <v>0</v>
      </c>
      <c r="AA26" s="1621">
        <f t="shared" si="5"/>
        <v>0</v>
      </c>
      <c r="AC26" s="1620"/>
      <c r="AD26" s="1620"/>
      <c r="AE26" s="1620"/>
      <c r="AF26" s="1620"/>
      <c r="AG26" s="1620"/>
      <c r="AH26" s="1620"/>
      <c r="AJ26" s="1622"/>
      <c r="AK26" s="1620"/>
      <c r="AL26" s="1622"/>
      <c r="AM26" s="1620"/>
      <c r="AN26" s="1622"/>
      <c r="AO26" s="1620"/>
    </row>
    <row r="27" spans="1:256" ht="13.15" customHeight="1" thickBot="1" x14ac:dyDescent="0.25">
      <c r="A27" s="1697" t="s">
        <v>1707</v>
      </c>
      <c r="B27" s="1679" t="s">
        <v>1708</v>
      </c>
      <c r="C27" s="1565" t="s">
        <v>1686</v>
      </c>
      <c r="D27" s="1589"/>
      <c r="E27" s="1888"/>
      <c r="F27" s="1884"/>
      <c r="G27" s="1561"/>
      <c r="H27" s="1663">
        <f t="shared" si="9"/>
        <v>0</v>
      </c>
      <c r="I27" s="664">
        <f t="shared" si="9"/>
        <v>0</v>
      </c>
      <c r="J27" s="1663"/>
      <c r="K27" s="664"/>
      <c r="L27" s="1663"/>
      <c r="M27" s="664"/>
      <c r="N27" s="1897" t="s">
        <v>327</v>
      </c>
      <c r="O27" s="1898" t="s">
        <v>327</v>
      </c>
      <c r="P27" s="1897" t="s">
        <v>327</v>
      </c>
      <c r="Q27" s="1898" t="s">
        <v>327</v>
      </c>
      <c r="R27" s="1890" t="s">
        <v>327</v>
      </c>
      <c r="S27" s="656" t="s">
        <v>327</v>
      </c>
      <c r="T27" s="656" t="s">
        <v>327</v>
      </c>
      <c r="U27" s="656" t="s">
        <v>327</v>
      </c>
      <c r="V27" s="656" t="s">
        <v>327</v>
      </c>
      <c r="W27" s="1535" t="s">
        <v>327</v>
      </c>
      <c r="X27" s="1646">
        <f t="shared" si="2"/>
        <v>0</v>
      </c>
      <c r="Y27" s="1646">
        <f t="shared" si="3"/>
        <v>0</v>
      </c>
      <c r="Z27" s="1647">
        <f t="shared" si="4"/>
        <v>0</v>
      </c>
      <c r="AA27" s="1647">
        <f t="shared" si="5"/>
        <v>0</v>
      </c>
      <c r="AC27" s="1620"/>
      <c r="AD27" s="1620"/>
      <c r="AE27" s="1620"/>
      <c r="AF27" s="1620"/>
      <c r="AG27" s="1620"/>
      <c r="AH27" s="1620"/>
      <c r="AJ27" s="1622"/>
      <c r="AK27" s="1620"/>
      <c r="AL27" s="1622"/>
      <c r="AM27" s="1620"/>
      <c r="AN27" s="1622"/>
      <c r="AO27" s="1620"/>
    </row>
    <row r="28" spans="1:256" ht="39" customHeight="1" thickBot="1" x14ac:dyDescent="0.25">
      <c r="A28" s="1698" t="s">
        <v>1709</v>
      </c>
      <c r="B28" s="1679" t="s">
        <v>1710</v>
      </c>
      <c r="C28" s="1567" t="s">
        <v>1686</v>
      </c>
      <c r="D28" s="1538">
        <f>279+443.6+9.49+37.58+131.89+86.47</f>
        <v>988.03000000000009</v>
      </c>
      <c r="E28" s="1889">
        <f>81.18+443.41+9.49+86.47+37.58+131.9</f>
        <v>790.03000000000009</v>
      </c>
      <c r="F28" s="1534">
        <f>259.8+468.1+9.2+59.1+107.5+83.1+19.1</f>
        <v>1005.9000000000002</v>
      </c>
      <c r="G28" s="1566">
        <v>823.38</v>
      </c>
      <c r="H28" s="1536">
        <f>J28+L28+N28+P28+R28+T28+V28</f>
        <v>1103.2774999999999</v>
      </c>
      <c r="I28" s="1665">
        <f>K28+M28+O28+Q28+S28+U28+W28</f>
        <v>786.54061249999995</v>
      </c>
      <c r="J28" s="1663">
        <f>'[50]2. вода ГП'!E92+'[50]Душові сітки'!E47</f>
        <v>446.73750000000001</v>
      </c>
      <c r="K28" s="664">
        <f>J28*0.291</f>
        <v>130.00061249999999</v>
      </c>
      <c r="L28" s="1663">
        <f>'[50]2. вода ГП'!F92+'[50]Душові сітки'!F47</f>
        <v>409.91499999999996</v>
      </c>
      <c r="M28" s="664">
        <f>L28</f>
        <v>409.91499999999996</v>
      </c>
      <c r="N28" s="1536">
        <f>'[50]2. вода ГП'!G92</f>
        <v>6.8100000000000005</v>
      </c>
      <c r="O28" s="1665">
        <f>N28</f>
        <v>6.8100000000000005</v>
      </c>
      <c r="P28" s="1536">
        <f>'[50]2. вода ГП'!H92</f>
        <v>86.1</v>
      </c>
      <c r="Q28" s="1665">
        <f>P28</f>
        <v>86.1</v>
      </c>
      <c r="R28" s="1895">
        <f>'[50]2. вода ГП'!I92</f>
        <v>51.075000000000003</v>
      </c>
      <c r="S28" s="1539">
        <f>R28</f>
        <v>51.075000000000003</v>
      </c>
      <c r="T28" s="1539">
        <f>'[50]2. вода ГП'!J92</f>
        <v>61.029999999999994</v>
      </c>
      <c r="U28" s="1539">
        <f>T28</f>
        <v>61.029999999999994</v>
      </c>
      <c r="V28" s="1539">
        <f>'[50]2. вода ГП'!K92</f>
        <v>41.61</v>
      </c>
      <c r="W28" s="1537">
        <f>V28</f>
        <v>41.61</v>
      </c>
      <c r="X28" s="1529">
        <f t="shared" si="2"/>
        <v>115.24749999999983</v>
      </c>
      <c r="Y28" s="1529">
        <f t="shared" si="3"/>
        <v>-3.4893875000001344</v>
      </c>
      <c r="Z28" s="1621">
        <f t="shared" si="4"/>
        <v>97.377499999999714</v>
      </c>
      <c r="AA28" s="1621">
        <f t="shared" ref="Z28:AA29" si="11">IF(I28=0,0,(I28-G28)/G28*100)</f>
        <v>-4.4741659379630354</v>
      </c>
      <c r="AC28" s="1620"/>
      <c r="AD28" s="1620"/>
      <c r="AE28" s="1620"/>
      <c r="AF28" s="1620"/>
      <c r="AG28" s="1620"/>
      <c r="AH28" s="1620"/>
      <c r="AJ28" s="1622">
        <f t="shared" si="6"/>
        <v>0.79960122668340028</v>
      </c>
      <c r="AK28" s="1620"/>
      <c r="AL28" s="1622">
        <f t="shared" si="7"/>
        <v>0.81855055174470603</v>
      </c>
      <c r="AM28" s="1620"/>
      <c r="AN28" s="1622">
        <f t="shared" si="8"/>
        <v>0.71291276446768836</v>
      </c>
      <c r="AO28" s="1620"/>
    </row>
    <row r="29" spans="1:256" ht="38.450000000000003" customHeight="1" thickBot="1" x14ac:dyDescent="0.25">
      <c r="A29" s="1699" t="s">
        <v>1711</v>
      </c>
      <c r="B29" s="1680" t="s">
        <v>1712</v>
      </c>
      <c r="C29" s="1568" t="s">
        <v>1686</v>
      </c>
      <c r="D29" s="1540">
        <f>D19+D20+D22</f>
        <v>31884</v>
      </c>
      <c r="E29" s="1541" t="s">
        <v>327</v>
      </c>
      <c r="F29" s="1890">
        <f>F19+F20+F22</f>
        <v>29127.05</v>
      </c>
      <c r="G29" s="1535"/>
      <c r="H29" s="1540">
        <f>J29+L29</f>
        <v>34169.408519940378</v>
      </c>
      <c r="I29" s="1541" t="s">
        <v>327</v>
      </c>
      <c r="J29" s="1540">
        <v>0</v>
      </c>
      <c r="K29" s="1541" t="s">
        <v>327</v>
      </c>
      <c r="L29" s="1540">
        <f>L19+L20+L22</f>
        <v>34169.408519940378</v>
      </c>
      <c r="M29" s="1541" t="s">
        <v>327</v>
      </c>
      <c r="N29" s="1528" t="s">
        <v>327</v>
      </c>
      <c r="O29" s="1541" t="s">
        <v>327</v>
      </c>
      <c r="P29" s="1528" t="s">
        <v>327</v>
      </c>
      <c r="Q29" s="1541" t="s">
        <v>327</v>
      </c>
      <c r="R29" s="1896" t="s">
        <v>327</v>
      </c>
      <c r="S29" s="1544" t="s">
        <v>327</v>
      </c>
      <c r="T29" s="1544" t="s">
        <v>327</v>
      </c>
      <c r="U29" s="1544" t="s">
        <v>327</v>
      </c>
      <c r="V29" s="1544" t="s">
        <v>327</v>
      </c>
      <c r="W29" s="1543" t="s">
        <v>327</v>
      </c>
      <c r="X29" s="1574" t="s">
        <v>327</v>
      </c>
      <c r="Y29" s="1575" t="s">
        <v>327</v>
      </c>
      <c r="Z29" s="1623">
        <f t="shared" si="11"/>
        <v>17.311600453668941</v>
      </c>
      <c r="AA29" s="1623"/>
      <c r="AC29" s="1620"/>
      <c r="AD29" s="1620"/>
      <c r="AE29" s="1620"/>
      <c r="AF29" s="1620"/>
      <c r="AG29" s="1620"/>
      <c r="AH29" s="1620"/>
      <c r="AJ29" s="1622" t="e">
        <f t="shared" si="6"/>
        <v>#VALUE!</v>
      </c>
      <c r="AK29" s="1620"/>
      <c r="AL29" s="1622">
        <f t="shared" si="7"/>
        <v>0</v>
      </c>
      <c r="AM29" s="1620"/>
      <c r="AN29" s="1622" t="e">
        <f t="shared" si="8"/>
        <v>#VALUE!</v>
      </c>
      <c r="AO29" s="1620"/>
    </row>
    <row r="30" spans="1:256" ht="13.5" thickBot="1" x14ac:dyDescent="0.25">
      <c r="A30" s="4584" t="s">
        <v>1713</v>
      </c>
      <c r="B30" s="4585"/>
      <c r="C30" s="4585"/>
      <c r="D30" s="4585"/>
      <c r="E30" s="4585"/>
      <c r="F30" s="4585"/>
      <c r="G30" s="4585"/>
      <c r="H30" s="4585"/>
      <c r="I30" s="4585"/>
      <c r="J30" s="4585"/>
      <c r="K30" s="4585"/>
      <c r="L30" s="4585"/>
      <c r="M30" s="4585"/>
      <c r="N30" s="4585"/>
      <c r="O30" s="4585"/>
      <c r="P30" s="4585"/>
      <c r="Q30" s="4585"/>
      <c r="R30" s="4585"/>
      <c r="S30" s="4585"/>
      <c r="T30" s="4585"/>
      <c r="U30" s="4585"/>
      <c r="V30" s="4585"/>
      <c r="W30" s="4585"/>
      <c r="X30" s="4585"/>
      <c r="Y30" s="4585"/>
      <c r="Z30" s="1627"/>
      <c r="AA30" s="1627"/>
      <c r="AC30" s="1620"/>
      <c r="AD30" s="1620"/>
      <c r="AE30" s="1620"/>
      <c r="AF30" s="1620"/>
      <c r="AG30" s="1620"/>
      <c r="AH30" s="1620"/>
      <c r="AJ30" s="1620"/>
      <c r="AK30" s="1620"/>
      <c r="AL30" s="1620"/>
      <c r="AM30" s="1620"/>
      <c r="AN30" s="1620"/>
      <c r="AO30" s="1620"/>
    </row>
    <row r="31" spans="1:256" ht="24" x14ac:dyDescent="0.2">
      <c r="A31" s="1700" t="s">
        <v>1714</v>
      </c>
      <c r="B31" s="1681" t="s">
        <v>1715</v>
      </c>
      <c r="C31" s="1570" t="s">
        <v>1686</v>
      </c>
      <c r="D31" s="1550">
        <f>SUMIF($C$34:$C$81,$C$34,D$34:D$81)</f>
        <v>34847.03</v>
      </c>
      <c r="E31" s="1551">
        <f>SUMIF($C$34:$C$81,$C$34,E$34:E$81)</f>
        <v>10641.019</v>
      </c>
      <c r="F31" s="1550">
        <f>SUMIF($C$34:$C$81,$C$34,F$34:F$81)</f>
        <v>31523.95</v>
      </c>
      <c r="G31" s="1551">
        <f>SUMIF($C$34:$C$81,$C$34,G$34:G$81)</f>
        <v>9704.1325499999984</v>
      </c>
      <c r="H31" s="1550">
        <f t="shared" ref="H31:W31" si="12">SUMIF($C$34:$C$81,$C$34,H$34:H$81)</f>
        <v>37013.180160809519</v>
      </c>
      <c r="I31" s="1551">
        <f t="shared" si="12"/>
        <v>11236.32228679557</v>
      </c>
      <c r="J31" s="1550">
        <f t="shared" si="12"/>
        <v>2187.2316408691477</v>
      </c>
      <c r="K31" s="1551">
        <f t="shared" si="12"/>
        <v>636.48440749292195</v>
      </c>
      <c r="L31" s="1550">
        <f t="shared" si="12"/>
        <v>34579.323519940379</v>
      </c>
      <c r="M31" s="1551">
        <f t="shared" si="12"/>
        <v>10353.21287930265</v>
      </c>
      <c r="N31" s="1550">
        <f t="shared" si="12"/>
        <v>6.8100000000000005</v>
      </c>
      <c r="O31" s="1551">
        <f t="shared" si="12"/>
        <v>6.8100000000000005</v>
      </c>
      <c r="P31" s="1550">
        <f t="shared" si="12"/>
        <v>86.1</v>
      </c>
      <c r="Q31" s="1551">
        <f t="shared" si="12"/>
        <v>86.1</v>
      </c>
      <c r="R31" s="1550">
        <f t="shared" si="12"/>
        <v>51.075000000000003</v>
      </c>
      <c r="S31" s="1551">
        <f t="shared" si="12"/>
        <v>51.075000000000003</v>
      </c>
      <c r="T31" s="1550">
        <f t="shared" si="12"/>
        <v>61.029999999999994</v>
      </c>
      <c r="U31" s="1551">
        <f t="shared" si="12"/>
        <v>61.029999999999994</v>
      </c>
      <c r="V31" s="1550">
        <f t="shared" si="12"/>
        <v>41.61</v>
      </c>
      <c r="W31" s="1551">
        <f t="shared" si="12"/>
        <v>41.61</v>
      </c>
      <c r="X31" s="1577">
        <f t="shared" ref="X31:Y31" si="13">SUMIF($C$34:$C$81,$C$34,X$34:X$81)</f>
        <v>2166.1501608095205</v>
      </c>
      <c r="Y31" s="1576">
        <f t="shared" si="13"/>
        <v>595.30328679556987</v>
      </c>
      <c r="Z31" s="1628"/>
      <c r="AA31" s="1628"/>
      <c r="AC31" s="1620"/>
      <c r="AD31" s="1620"/>
      <c r="AE31" s="1620"/>
      <c r="AF31" s="1620"/>
      <c r="AG31" s="1620"/>
      <c r="AH31" s="1620"/>
      <c r="AJ31" s="1620"/>
      <c r="AK31" s="1620"/>
      <c r="AL31" s="1620"/>
      <c r="AM31" s="1620"/>
      <c r="AN31" s="1620"/>
      <c r="AO31" s="1620"/>
    </row>
    <row r="32" spans="1:256" s="1629" customFormat="1" ht="24" x14ac:dyDescent="0.2">
      <c r="A32" s="1696" t="s">
        <v>1716</v>
      </c>
      <c r="B32" s="657" t="s">
        <v>1717</v>
      </c>
      <c r="C32" s="1571" t="s">
        <v>1718</v>
      </c>
      <c r="D32" s="1553">
        <f t="shared" ref="D32:U32" si="14">IF(D31=0,,D33*1000/D31)</f>
        <v>12.398245991121769</v>
      </c>
      <c r="E32" s="1552">
        <f t="shared" si="14"/>
        <v>9.2155704261029889</v>
      </c>
      <c r="F32" s="1553">
        <f>F33*1000/F31</f>
        <v>13.844362778141699</v>
      </c>
      <c r="G32" s="1552">
        <f>G33*1000/G31</f>
        <v>10.669268939447866</v>
      </c>
      <c r="H32" s="1554">
        <f>'Вхідні дані'!D37</f>
        <v>18.45</v>
      </c>
      <c r="I32" s="1552">
        <f>'Вхідні дані'!D38</f>
        <v>16.38</v>
      </c>
      <c r="J32" s="1553">
        <f t="shared" si="14"/>
        <v>18.45</v>
      </c>
      <c r="K32" s="1552">
        <f t="shared" si="14"/>
        <v>16.38</v>
      </c>
      <c r="L32" s="1553">
        <f t="shared" si="14"/>
        <v>18.45</v>
      </c>
      <c r="M32" s="1552">
        <f t="shared" si="14"/>
        <v>16.38</v>
      </c>
      <c r="N32" s="1553">
        <f t="shared" si="14"/>
        <v>18.450000000000003</v>
      </c>
      <c r="O32" s="1552">
        <f t="shared" si="14"/>
        <v>16.38</v>
      </c>
      <c r="P32" s="1553">
        <f t="shared" si="14"/>
        <v>18.45</v>
      </c>
      <c r="Q32" s="1552">
        <f t="shared" si="14"/>
        <v>16.38</v>
      </c>
      <c r="R32" s="1553">
        <f t="shared" si="14"/>
        <v>18.45</v>
      </c>
      <c r="S32" s="1552">
        <f t="shared" si="14"/>
        <v>16.38</v>
      </c>
      <c r="T32" s="1553">
        <f t="shared" si="14"/>
        <v>18.45</v>
      </c>
      <c r="U32" s="1552">
        <f t="shared" si="14"/>
        <v>16.38</v>
      </c>
      <c r="V32" s="1553">
        <f>IF(V31=0,,V33/1000/V31)</f>
        <v>1.8449999999999998E-5</v>
      </c>
      <c r="W32" s="1552">
        <f>IF(W31=0,,W33/1000/W31)</f>
        <v>1.6379999999999999E-5</v>
      </c>
      <c r="X32" s="1580">
        <f>IF(X31=0,,X33/1000/X31)</f>
        <v>1.8449999999999998E-5</v>
      </c>
      <c r="Y32" s="1579">
        <f>IF(Y31=0,,Y33/1000/Y31)</f>
        <v>1.6380000000000002E-5</v>
      </c>
      <c r="Z32" s="1628"/>
      <c r="AA32" s="1628"/>
      <c r="AB32" s="1596"/>
      <c r="AC32" s="1620"/>
      <c r="AD32" s="1620"/>
      <c r="AE32" s="1620"/>
      <c r="AF32" s="1620"/>
      <c r="AG32" s="1620"/>
      <c r="AH32" s="1620"/>
      <c r="AI32" s="1596"/>
      <c r="AJ32" s="1620"/>
      <c r="AK32" s="1620"/>
      <c r="AL32" s="1620"/>
      <c r="AM32" s="1620"/>
      <c r="AN32" s="1620"/>
      <c r="AO32" s="1620"/>
      <c r="AP32" s="1596"/>
      <c r="AQ32" s="1596"/>
      <c r="AR32" s="1596"/>
      <c r="AS32" s="1596"/>
      <c r="AT32" s="1596"/>
      <c r="AU32" s="1596"/>
      <c r="AV32" s="1596"/>
      <c r="AW32" s="1596"/>
      <c r="AX32" s="1596"/>
      <c r="AY32" s="1596"/>
      <c r="AZ32" s="1596"/>
      <c r="BA32" s="1596"/>
      <c r="BB32" s="1596"/>
      <c r="BC32" s="1596"/>
      <c r="BD32" s="1596"/>
      <c r="BE32" s="1596"/>
      <c r="BF32" s="1596"/>
      <c r="BG32" s="1596"/>
      <c r="BH32" s="1596"/>
      <c r="BI32" s="1596"/>
      <c r="BJ32" s="1596"/>
      <c r="BK32" s="1596"/>
      <c r="BL32" s="1596"/>
      <c r="BM32" s="1596"/>
      <c r="BN32" s="1596"/>
      <c r="BO32" s="1596"/>
      <c r="BP32" s="1596"/>
      <c r="BQ32" s="1596"/>
      <c r="BR32" s="1596"/>
      <c r="BS32" s="1596"/>
      <c r="BT32" s="1596"/>
      <c r="BU32" s="1596"/>
      <c r="BV32" s="1596"/>
      <c r="BW32" s="1596"/>
      <c r="BX32" s="1596"/>
      <c r="BY32" s="1596"/>
      <c r="BZ32" s="1596"/>
      <c r="CA32" s="1596"/>
      <c r="CB32" s="1596"/>
      <c r="CC32" s="1596"/>
      <c r="CD32" s="1596"/>
      <c r="CE32" s="1596"/>
      <c r="CF32" s="1596"/>
      <c r="CG32" s="1596"/>
      <c r="CH32" s="1596"/>
      <c r="CI32" s="1596"/>
      <c r="CJ32" s="1596"/>
      <c r="CK32" s="1596"/>
      <c r="CL32" s="1596"/>
      <c r="CM32" s="1596"/>
      <c r="CN32" s="1596"/>
      <c r="CO32" s="1596"/>
      <c r="CP32" s="1596"/>
      <c r="CQ32" s="1596"/>
      <c r="CR32" s="1596"/>
      <c r="CS32" s="1596"/>
      <c r="CT32" s="1596"/>
      <c r="CU32" s="1596"/>
      <c r="CV32" s="1596"/>
      <c r="CW32" s="1596"/>
      <c r="CX32" s="1596"/>
      <c r="CY32" s="1596"/>
      <c r="CZ32" s="1596"/>
      <c r="DA32" s="1596"/>
      <c r="DB32" s="1596"/>
      <c r="DC32" s="1596"/>
      <c r="DD32" s="1596"/>
      <c r="DE32" s="1596"/>
      <c r="DF32" s="1596"/>
      <c r="DG32" s="1596"/>
      <c r="DH32" s="1596"/>
      <c r="DI32" s="1596"/>
      <c r="DJ32" s="1596"/>
      <c r="DK32" s="1596"/>
      <c r="DL32" s="1596"/>
      <c r="DM32" s="1596"/>
      <c r="DN32" s="1596"/>
      <c r="DO32" s="1596"/>
      <c r="DP32" s="1596"/>
      <c r="DQ32" s="1596"/>
      <c r="DR32" s="1596"/>
      <c r="DS32" s="1596"/>
      <c r="DT32" s="1596"/>
      <c r="DU32" s="1596"/>
      <c r="DV32" s="1596"/>
      <c r="DW32" s="1596"/>
      <c r="DX32" s="1596"/>
      <c r="DY32" s="1596"/>
      <c r="DZ32" s="1596"/>
      <c r="EA32" s="1596"/>
      <c r="EB32" s="1596"/>
      <c r="EC32" s="1596"/>
      <c r="ED32" s="1596"/>
      <c r="EE32" s="1596"/>
      <c r="EF32" s="1596"/>
      <c r="EG32" s="1596"/>
      <c r="EH32" s="1596"/>
      <c r="EI32" s="1596"/>
      <c r="EJ32" s="1596"/>
      <c r="EK32" s="1596"/>
      <c r="EL32" s="1596"/>
      <c r="EM32" s="1596"/>
      <c r="EN32" s="1596"/>
      <c r="EO32" s="1596"/>
      <c r="EP32" s="1596"/>
      <c r="EQ32" s="1596"/>
      <c r="ER32" s="1596"/>
      <c r="ES32" s="1596"/>
      <c r="ET32" s="1596"/>
      <c r="EU32" s="1596"/>
      <c r="EV32" s="1596"/>
      <c r="EW32" s="1596"/>
      <c r="EX32" s="1596"/>
      <c r="EY32" s="1596"/>
      <c r="EZ32" s="1596"/>
      <c r="FA32" s="1596"/>
      <c r="FB32" s="1596"/>
      <c r="FC32" s="1596"/>
      <c r="FD32" s="1596"/>
      <c r="FE32" s="1596"/>
      <c r="FF32" s="1596"/>
      <c r="FG32" s="1596"/>
      <c r="FH32" s="1596"/>
      <c r="FI32" s="1596"/>
      <c r="FJ32" s="1596"/>
      <c r="FK32" s="1596"/>
      <c r="FL32" s="1596"/>
      <c r="FM32" s="1596"/>
      <c r="FN32" s="1596"/>
      <c r="FO32" s="1596"/>
      <c r="FP32" s="1596"/>
      <c r="FQ32" s="1596"/>
      <c r="FR32" s="1596"/>
      <c r="FS32" s="1596"/>
      <c r="FT32" s="1596"/>
      <c r="FU32" s="1596"/>
      <c r="FV32" s="1596"/>
      <c r="FW32" s="1596"/>
      <c r="FX32" s="1596"/>
      <c r="FY32" s="1596"/>
      <c r="FZ32" s="1596"/>
      <c r="GA32" s="1596"/>
      <c r="GB32" s="1596"/>
      <c r="GC32" s="1596"/>
      <c r="GD32" s="1596"/>
      <c r="GE32" s="1596"/>
      <c r="GF32" s="1596"/>
      <c r="GG32" s="1596"/>
      <c r="GH32" s="1596"/>
      <c r="GI32" s="1596"/>
      <c r="GJ32" s="1596"/>
      <c r="GK32" s="1596"/>
      <c r="GL32" s="1596"/>
      <c r="GM32" s="1596"/>
      <c r="GN32" s="1596"/>
      <c r="GO32" s="1596"/>
      <c r="GP32" s="1596"/>
      <c r="GQ32" s="1596"/>
      <c r="GR32" s="1596"/>
      <c r="GS32" s="1596"/>
      <c r="GT32" s="1596"/>
      <c r="GU32" s="1596"/>
      <c r="GV32" s="1596"/>
      <c r="GW32" s="1596"/>
      <c r="GX32" s="1596"/>
      <c r="GY32" s="1596"/>
      <c r="GZ32" s="1596"/>
      <c r="HA32" s="1596"/>
      <c r="HB32" s="1596"/>
      <c r="HC32" s="1596"/>
      <c r="HD32" s="1596"/>
      <c r="HE32" s="1596"/>
      <c r="HF32" s="1596"/>
      <c r="HG32" s="1596"/>
      <c r="HH32" s="1596"/>
      <c r="HI32" s="1596"/>
      <c r="HJ32" s="1596"/>
      <c r="HK32" s="1596"/>
      <c r="HL32" s="1596"/>
      <c r="HM32" s="1596"/>
      <c r="HN32" s="1596"/>
      <c r="HO32" s="1596"/>
      <c r="HP32" s="1596"/>
      <c r="HQ32" s="1596"/>
      <c r="HR32" s="1596"/>
      <c r="HS32" s="1596"/>
      <c r="HT32" s="1596"/>
      <c r="HU32" s="1596"/>
      <c r="HV32" s="1596"/>
      <c r="HW32" s="1596"/>
      <c r="HX32" s="1596"/>
      <c r="HY32" s="1596"/>
      <c r="HZ32" s="1596"/>
      <c r="IA32" s="1596"/>
      <c r="IB32" s="1596"/>
      <c r="IC32" s="1596"/>
      <c r="ID32" s="1596"/>
      <c r="IE32" s="1596"/>
      <c r="IF32" s="1596"/>
      <c r="IG32" s="1596"/>
      <c r="IH32" s="1596"/>
      <c r="II32" s="1596"/>
      <c r="IJ32" s="1596"/>
      <c r="IK32" s="1596"/>
      <c r="IL32" s="1596"/>
      <c r="IM32" s="1596"/>
      <c r="IN32" s="1596"/>
      <c r="IO32" s="1596"/>
      <c r="IP32" s="1596"/>
      <c r="IQ32" s="1596"/>
      <c r="IR32" s="1596"/>
      <c r="IS32" s="1596"/>
      <c r="IT32" s="1596"/>
      <c r="IU32" s="1596"/>
      <c r="IV32" s="1596"/>
    </row>
    <row r="33" spans="1:256" ht="24" x14ac:dyDescent="0.2">
      <c r="A33" s="1701" t="s">
        <v>1719</v>
      </c>
      <c r="B33" s="1682" t="s">
        <v>1720</v>
      </c>
      <c r="C33" s="1572" t="s">
        <v>1721</v>
      </c>
      <c r="D33" s="1553">
        <f>SUMIF($C$34:$C$81,$C$36,D$34:D$81)</f>
        <v>432.04204999999996</v>
      </c>
      <c r="E33" s="1552">
        <f t="shared" ref="E33:W33" si="15">SUMIF($C$34:$C$81,$C$36,E$34:E$81)</f>
        <v>98.063059999999993</v>
      </c>
      <c r="F33" s="1553">
        <f>SUMIF($C$34:$C$81,$C$36,F$34:F$81)</f>
        <v>436.42899999999997</v>
      </c>
      <c r="G33" s="1552">
        <f>SUMIF($C$34:$C$81,$C$36,G$34:G$81)</f>
        <v>103.536</v>
      </c>
      <c r="H33" s="1554">
        <f t="shared" si="15"/>
        <v>682.89317396693582</v>
      </c>
      <c r="I33" s="1552">
        <f t="shared" si="15"/>
        <v>184.05095905771148</v>
      </c>
      <c r="J33" s="1553">
        <f t="shared" si="15"/>
        <v>40.354423774035773</v>
      </c>
      <c r="K33" s="1552">
        <f t="shared" si="15"/>
        <v>10.425614594734061</v>
      </c>
      <c r="L33" s="1553">
        <f t="shared" si="15"/>
        <v>637.98851894289999</v>
      </c>
      <c r="M33" s="1552">
        <f t="shared" si="15"/>
        <v>169.58562696297739</v>
      </c>
      <c r="N33" s="1553">
        <f t="shared" si="15"/>
        <v>0.12564450000000002</v>
      </c>
      <c r="O33" s="1552">
        <f t="shared" si="15"/>
        <v>0.11154779999999999</v>
      </c>
      <c r="P33" s="1553">
        <f t="shared" si="15"/>
        <v>1.5885449999999999</v>
      </c>
      <c r="Q33" s="1552">
        <f t="shared" si="15"/>
        <v>1.4103179999999997</v>
      </c>
      <c r="R33" s="1553">
        <f t="shared" si="15"/>
        <v>0.94233374999999997</v>
      </c>
      <c r="S33" s="1552">
        <f t="shared" si="15"/>
        <v>0.83660850000000009</v>
      </c>
      <c r="T33" s="1553">
        <f t="shared" si="15"/>
        <v>1.1260034999999997</v>
      </c>
      <c r="U33" s="1552">
        <f t="shared" si="15"/>
        <v>0.99967139999999988</v>
      </c>
      <c r="V33" s="1553">
        <f t="shared" si="15"/>
        <v>0.7677044999999999</v>
      </c>
      <c r="W33" s="1552">
        <f t="shared" si="15"/>
        <v>0.68157179999999995</v>
      </c>
      <c r="X33" s="1580">
        <f t="shared" ref="X33:Y33" si="16">SUMIF($C$34:$C$81,$C$36,X$34:X$81)</f>
        <v>39.965470466935649</v>
      </c>
      <c r="Y33" s="1579">
        <f t="shared" si="16"/>
        <v>9.7510678377114353</v>
      </c>
      <c r="Z33" s="1630"/>
      <c r="AA33" s="1630"/>
      <c r="AB33" s="1629"/>
      <c r="AC33" s="1620"/>
      <c r="AD33" s="1620"/>
      <c r="AE33" s="1620"/>
      <c r="AF33" s="1620"/>
      <c r="AG33" s="1620"/>
      <c r="AH33" s="1620"/>
      <c r="AI33" s="1629"/>
      <c r="AJ33" s="1631"/>
      <c r="AK33" s="1631"/>
      <c r="AL33" s="1631"/>
      <c r="AM33" s="1631"/>
      <c r="AN33" s="1631"/>
      <c r="AO33" s="1631"/>
      <c r="AP33" s="1629"/>
      <c r="AQ33" s="1629"/>
      <c r="AR33" s="1629"/>
      <c r="AS33" s="1629"/>
      <c r="AT33" s="1629"/>
      <c r="AU33" s="1629"/>
      <c r="AV33" s="1629"/>
      <c r="AW33" s="1629"/>
      <c r="AX33" s="1629"/>
      <c r="AY33" s="1629"/>
      <c r="AZ33" s="1629"/>
      <c r="BA33" s="1629"/>
      <c r="BB33" s="1629"/>
      <c r="BC33" s="1629"/>
      <c r="BD33" s="1629"/>
      <c r="BE33" s="1629"/>
      <c r="BF33" s="1629"/>
      <c r="BG33" s="1629"/>
      <c r="BH33" s="1629"/>
      <c r="BI33" s="1629"/>
      <c r="BJ33" s="1629"/>
      <c r="BK33" s="1629"/>
      <c r="BL33" s="1629"/>
      <c r="BM33" s="1629"/>
      <c r="BN33" s="1629"/>
      <c r="BO33" s="1629"/>
      <c r="BP33" s="1629"/>
      <c r="BQ33" s="1629"/>
      <c r="BR33" s="1629"/>
      <c r="BS33" s="1629"/>
      <c r="BT33" s="1629"/>
      <c r="BU33" s="1629"/>
      <c r="BV33" s="1629"/>
      <c r="BW33" s="1629"/>
      <c r="BX33" s="1629"/>
      <c r="BY33" s="1629"/>
      <c r="BZ33" s="1629"/>
      <c r="CA33" s="1629"/>
      <c r="CB33" s="1629"/>
      <c r="CC33" s="1629"/>
      <c r="CD33" s="1629"/>
      <c r="CE33" s="1629"/>
      <c r="CF33" s="1629"/>
      <c r="CG33" s="1629"/>
      <c r="CH33" s="1629"/>
      <c r="CI33" s="1629"/>
      <c r="CJ33" s="1629"/>
      <c r="CK33" s="1629"/>
      <c r="CL33" s="1629"/>
      <c r="CM33" s="1629"/>
      <c r="CN33" s="1629"/>
      <c r="CO33" s="1629"/>
      <c r="CP33" s="1629"/>
      <c r="CQ33" s="1629"/>
      <c r="CR33" s="1629"/>
      <c r="CS33" s="1629"/>
      <c r="CT33" s="1629"/>
      <c r="CU33" s="1629"/>
      <c r="CV33" s="1629"/>
      <c r="CW33" s="1629"/>
      <c r="CX33" s="1629"/>
      <c r="CY33" s="1629"/>
      <c r="CZ33" s="1629"/>
      <c r="DA33" s="1629"/>
      <c r="DB33" s="1629"/>
      <c r="DC33" s="1629"/>
      <c r="DD33" s="1629"/>
      <c r="DE33" s="1629"/>
      <c r="DF33" s="1629"/>
      <c r="DG33" s="1629"/>
      <c r="DH33" s="1629"/>
      <c r="DI33" s="1629"/>
      <c r="DJ33" s="1629"/>
      <c r="DK33" s="1629"/>
      <c r="DL33" s="1629"/>
      <c r="DM33" s="1629"/>
      <c r="DN33" s="1629"/>
      <c r="DO33" s="1629"/>
      <c r="DP33" s="1629"/>
      <c r="DQ33" s="1629"/>
      <c r="DR33" s="1629"/>
      <c r="DS33" s="1629"/>
      <c r="DT33" s="1629"/>
      <c r="DU33" s="1629"/>
      <c r="DV33" s="1629"/>
      <c r="DW33" s="1629"/>
      <c r="DX33" s="1629"/>
      <c r="DY33" s="1629"/>
      <c r="DZ33" s="1629"/>
      <c r="EA33" s="1629"/>
      <c r="EB33" s="1629"/>
      <c r="EC33" s="1629"/>
      <c r="ED33" s="1629"/>
      <c r="EE33" s="1629"/>
      <c r="EF33" s="1629"/>
      <c r="EG33" s="1629"/>
      <c r="EH33" s="1629"/>
      <c r="EI33" s="1629"/>
      <c r="EJ33" s="1629"/>
      <c r="EK33" s="1629"/>
      <c r="EL33" s="1629"/>
      <c r="EM33" s="1629"/>
      <c r="EN33" s="1629"/>
      <c r="EO33" s="1629"/>
      <c r="EP33" s="1629"/>
      <c r="EQ33" s="1629"/>
      <c r="ER33" s="1629"/>
      <c r="ES33" s="1629"/>
      <c r="ET33" s="1629"/>
      <c r="EU33" s="1629"/>
      <c r="EV33" s="1629"/>
      <c r="EW33" s="1629"/>
      <c r="EX33" s="1629"/>
      <c r="EY33" s="1629"/>
      <c r="EZ33" s="1629"/>
      <c r="FA33" s="1629"/>
      <c r="FB33" s="1629"/>
      <c r="FC33" s="1629"/>
      <c r="FD33" s="1629"/>
      <c r="FE33" s="1629"/>
      <c r="FF33" s="1629"/>
      <c r="FG33" s="1629"/>
      <c r="FH33" s="1629"/>
      <c r="FI33" s="1629"/>
      <c r="FJ33" s="1629"/>
      <c r="FK33" s="1629"/>
      <c r="FL33" s="1629"/>
      <c r="FM33" s="1629"/>
      <c r="FN33" s="1629"/>
      <c r="FO33" s="1629"/>
      <c r="FP33" s="1629"/>
      <c r="FQ33" s="1629"/>
      <c r="FR33" s="1629"/>
      <c r="FS33" s="1629"/>
      <c r="FT33" s="1629"/>
      <c r="FU33" s="1629"/>
      <c r="FV33" s="1629"/>
      <c r="FW33" s="1629"/>
      <c r="FX33" s="1629"/>
      <c r="FY33" s="1629"/>
      <c r="FZ33" s="1629"/>
      <c r="GA33" s="1629"/>
      <c r="GB33" s="1629"/>
      <c r="GC33" s="1629"/>
      <c r="GD33" s="1629"/>
      <c r="GE33" s="1629"/>
      <c r="GF33" s="1629"/>
      <c r="GG33" s="1629"/>
      <c r="GH33" s="1629"/>
      <c r="GI33" s="1629"/>
      <c r="GJ33" s="1629"/>
      <c r="GK33" s="1629"/>
      <c r="GL33" s="1629"/>
      <c r="GM33" s="1629"/>
      <c r="GN33" s="1629"/>
      <c r="GO33" s="1629"/>
      <c r="GP33" s="1629"/>
      <c r="GQ33" s="1629"/>
      <c r="GR33" s="1629"/>
      <c r="GS33" s="1629"/>
      <c r="GT33" s="1629"/>
      <c r="GU33" s="1629"/>
      <c r="GV33" s="1629"/>
      <c r="GW33" s="1629"/>
      <c r="GX33" s="1629"/>
      <c r="GY33" s="1629"/>
      <c r="GZ33" s="1629"/>
      <c r="HA33" s="1629"/>
      <c r="HB33" s="1629"/>
      <c r="HC33" s="1629"/>
      <c r="HD33" s="1629"/>
      <c r="HE33" s="1629"/>
      <c r="HF33" s="1629"/>
      <c r="HG33" s="1629"/>
      <c r="HH33" s="1629"/>
      <c r="HI33" s="1629"/>
      <c r="HJ33" s="1629"/>
      <c r="HK33" s="1629"/>
      <c r="HL33" s="1629"/>
      <c r="HM33" s="1629"/>
      <c r="HN33" s="1629"/>
      <c r="HO33" s="1629"/>
      <c r="HP33" s="1629"/>
      <c r="HQ33" s="1629"/>
      <c r="HR33" s="1629"/>
      <c r="HS33" s="1629"/>
      <c r="HT33" s="1629"/>
      <c r="HU33" s="1629"/>
      <c r="HV33" s="1629"/>
      <c r="HW33" s="1629"/>
      <c r="HX33" s="1629"/>
      <c r="HY33" s="1629"/>
      <c r="HZ33" s="1629"/>
      <c r="IA33" s="1629"/>
      <c r="IB33" s="1629"/>
      <c r="IC33" s="1629"/>
      <c r="ID33" s="1629"/>
      <c r="IE33" s="1629"/>
      <c r="IF33" s="1629"/>
      <c r="IG33" s="1629"/>
      <c r="IH33" s="1629"/>
      <c r="II33" s="1629"/>
      <c r="IJ33" s="1629"/>
      <c r="IK33" s="1629"/>
      <c r="IL33" s="1629"/>
      <c r="IM33" s="1629"/>
      <c r="IN33" s="1629"/>
      <c r="IO33" s="1629"/>
      <c r="IP33" s="1629"/>
      <c r="IQ33" s="1629"/>
      <c r="IR33" s="1629"/>
      <c r="IS33" s="1629"/>
      <c r="IT33" s="1629"/>
      <c r="IU33" s="1629"/>
      <c r="IV33" s="1629"/>
    </row>
    <row r="34" spans="1:256" x14ac:dyDescent="0.2">
      <c r="A34" s="4547" t="s">
        <v>1722</v>
      </c>
      <c r="B34" s="1683" t="s">
        <v>1723</v>
      </c>
      <c r="C34" s="1571" t="s">
        <v>1686</v>
      </c>
      <c r="D34" s="1553">
        <f t="shared" ref="D34:I34" si="17">D16-D37</f>
        <v>34845.03</v>
      </c>
      <c r="E34" s="1666">
        <f t="shared" si="17"/>
        <v>10640.437</v>
      </c>
      <c r="F34" s="1553">
        <f>F16-F37</f>
        <v>31522.95</v>
      </c>
      <c r="G34" s="1552">
        <f>G16-G37</f>
        <v>9703.8415499999992</v>
      </c>
      <c r="H34" s="1554">
        <f t="shared" si="17"/>
        <v>37004.726140869156</v>
      </c>
      <c r="I34" s="1552">
        <f t="shared" si="17"/>
        <v>11233.862166992923</v>
      </c>
      <c r="J34" s="1553">
        <f t="shared" ref="J34:W34" si="18">J16</f>
        <v>2187.2316408691477</v>
      </c>
      <c r="K34" s="1552">
        <f t="shared" si="18"/>
        <v>636.48440749292195</v>
      </c>
      <c r="L34" s="1553">
        <f>L16-L37</f>
        <v>34570.869500000015</v>
      </c>
      <c r="M34" s="1552">
        <f>M16-M37</f>
        <v>10350.752759500003</v>
      </c>
      <c r="N34" s="1553">
        <f t="shared" si="18"/>
        <v>6.8100000000000005</v>
      </c>
      <c r="O34" s="1552">
        <f t="shared" si="18"/>
        <v>6.8100000000000005</v>
      </c>
      <c r="P34" s="1553">
        <f t="shared" si="18"/>
        <v>86.1</v>
      </c>
      <c r="Q34" s="1552">
        <f t="shared" si="18"/>
        <v>86.1</v>
      </c>
      <c r="R34" s="1553">
        <f t="shared" si="18"/>
        <v>51.075000000000003</v>
      </c>
      <c r="S34" s="1552">
        <f t="shared" si="18"/>
        <v>51.075000000000003</v>
      </c>
      <c r="T34" s="1553">
        <f t="shared" si="18"/>
        <v>61.029999999999994</v>
      </c>
      <c r="U34" s="1552">
        <f t="shared" si="18"/>
        <v>61.029999999999994</v>
      </c>
      <c r="V34" s="1553">
        <f t="shared" si="18"/>
        <v>41.61</v>
      </c>
      <c r="W34" s="1552">
        <f t="shared" si="18"/>
        <v>41.61</v>
      </c>
      <c r="X34" s="1580">
        <f t="shared" ref="X34:Y34" si="19">X16</f>
        <v>2166.1501608095205</v>
      </c>
      <c r="Y34" s="1578">
        <f t="shared" si="19"/>
        <v>595.30328679556987</v>
      </c>
      <c r="Z34" s="1630"/>
      <c r="AA34" s="1630"/>
      <c r="AB34" s="1629"/>
      <c r="AC34" s="1620"/>
      <c r="AD34" s="1620"/>
      <c r="AE34" s="1620"/>
      <c r="AF34" s="1620"/>
      <c r="AG34" s="1620"/>
      <c r="AH34" s="1620"/>
      <c r="AI34" s="1629"/>
      <c r="AJ34" s="1631"/>
      <c r="AK34" s="1631"/>
      <c r="AL34" s="1631"/>
      <c r="AM34" s="1631"/>
      <c r="AN34" s="1631"/>
      <c r="AO34" s="1631"/>
      <c r="AP34" s="1629"/>
      <c r="AQ34" s="1629"/>
      <c r="AR34" s="1629"/>
      <c r="AS34" s="1629"/>
      <c r="AT34" s="1629"/>
      <c r="AU34" s="1629"/>
      <c r="AV34" s="1629"/>
      <c r="AW34" s="1629"/>
      <c r="AX34" s="1629"/>
      <c r="AY34" s="1629"/>
      <c r="AZ34" s="1629"/>
      <c r="BA34" s="1629"/>
      <c r="BB34" s="1629"/>
      <c r="BC34" s="1629"/>
      <c r="BD34" s="1629"/>
      <c r="BE34" s="1629"/>
      <c r="BF34" s="1629"/>
      <c r="BG34" s="1629"/>
      <c r="BH34" s="1629"/>
      <c r="BI34" s="1629"/>
      <c r="BJ34" s="1629"/>
      <c r="BK34" s="1629"/>
      <c r="BL34" s="1629"/>
      <c r="BM34" s="1629"/>
      <c r="BN34" s="1629"/>
      <c r="BO34" s="1629"/>
      <c r="BP34" s="1629"/>
      <c r="BQ34" s="1629"/>
      <c r="BR34" s="1629"/>
      <c r="BS34" s="1629"/>
      <c r="BT34" s="1629"/>
      <c r="BU34" s="1629"/>
      <c r="BV34" s="1629"/>
      <c r="BW34" s="1629"/>
      <c r="BX34" s="1629"/>
      <c r="BY34" s="1629"/>
      <c r="BZ34" s="1629"/>
      <c r="CA34" s="1629"/>
      <c r="CB34" s="1629"/>
      <c r="CC34" s="1629"/>
      <c r="CD34" s="1629"/>
      <c r="CE34" s="1629"/>
      <c r="CF34" s="1629"/>
      <c r="CG34" s="1629"/>
      <c r="CH34" s="1629"/>
      <c r="CI34" s="1629"/>
      <c r="CJ34" s="1629"/>
      <c r="CK34" s="1629"/>
      <c r="CL34" s="1629"/>
      <c r="CM34" s="1629"/>
      <c r="CN34" s="1629"/>
      <c r="CO34" s="1629"/>
      <c r="CP34" s="1629"/>
      <c r="CQ34" s="1629"/>
      <c r="CR34" s="1629"/>
      <c r="CS34" s="1629"/>
      <c r="CT34" s="1629"/>
      <c r="CU34" s="1629"/>
      <c r="CV34" s="1629"/>
      <c r="CW34" s="1629"/>
      <c r="CX34" s="1629"/>
      <c r="CY34" s="1629"/>
      <c r="CZ34" s="1629"/>
      <c r="DA34" s="1629"/>
      <c r="DB34" s="1629"/>
      <c r="DC34" s="1629"/>
      <c r="DD34" s="1629"/>
      <c r="DE34" s="1629"/>
      <c r="DF34" s="1629"/>
      <c r="DG34" s="1629"/>
      <c r="DH34" s="1629"/>
      <c r="DI34" s="1629"/>
      <c r="DJ34" s="1629"/>
      <c r="DK34" s="1629"/>
      <c r="DL34" s="1629"/>
      <c r="DM34" s="1629"/>
      <c r="DN34" s="1629"/>
      <c r="DO34" s="1629"/>
      <c r="DP34" s="1629"/>
      <c r="DQ34" s="1629"/>
      <c r="DR34" s="1629"/>
      <c r="DS34" s="1629"/>
      <c r="DT34" s="1629"/>
      <c r="DU34" s="1629"/>
      <c r="DV34" s="1629"/>
      <c r="DW34" s="1629"/>
      <c r="DX34" s="1629"/>
      <c r="DY34" s="1629"/>
      <c r="DZ34" s="1629"/>
      <c r="EA34" s="1629"/>
      <c r="EB34" s="1629"/>
      <c r="EC34" s="1629"/>
      <c r="ED34" s="1629"/>
      <c r="EE34" s="1629"/>
      <c r="EF34" s="1629"/>
      <c r="EG34" s="1629"/>
      <c r="EH34" s="1629"/>
      <c r="EI34" s="1629"/>
      <c r="EJ34" s="1629"/>
      <c r="EK34" s="1629"/>
      <c r="EL34" s="1629"/>
      <c r="EM34" s="1629"/>
      <c r="EN34" s="1629"/>
      <c r="EO34" s="1629"/>
      <c r="EP34" s="1629"/>
      <c r="EQ34" s="1629"/>
      <c r="ER34" s="1629"/>
      <c r="ES34" s="1629"/>
      <c r="ET34" s="1629"/>
      <c r="EU34" s="1629"/>
      <c r="EV34" s="1629"/>
      <c r="EW34" s="1629"/>
      <c r="EX34" s="1629"/>
      <c r="EY34" s="1629"/>
      <c r="EZ34" s="1629"/>
      <c r="FA34" s="1629"/>
      <c r="FB34" s="1629"/>
      <c r="FC34" s="1629"/>
      <c r="FD34" s="1629"/>
      <c r="FE34" s="1629"/>
      <c r="FF34" s="1629"/>
      <c r="FG34" s="1629"/>
      <c r="FH34" s="1629"/>
      <c r="FI34" s="1629"/>
      <c r="FJ34" s="1629"/>
      <c r="FK34" s="1629"/>
      <c r="FL34" s="1629"/>
      <c r="FM34" s="1629"/>
      <c r="FN34" s="1629"/>
      <c r="FO34" s="1629"/>
      <c r="FP34" s="1629"/>
      <c r="FQ34" s="1629"/>
      <c r="FR34" s="1629"/>
      <c r="FS34" s="1629"/>
      <c r="FT34" s="1629"/>
      <c r="FU34" s="1629"/>
      <c r="FV34" s="1629"/>
      <c r="FW34" s="1629"/>
      <c r="FX34" s="1629"/>
      <c r="FY34" s="1629"/>
      <c r="FZ34" s="1629"/>
      <c r="GA34" s="1629"/>
      <c r="GB34" s="1629"/>
      <c r="GC34" s="1629"/>
      <c r="GD34" s="1629"/>
      <c r="GE34" s="1629"/>
      <c r="GF34" s="1629"/>
      <c r="GG34" s="1629"/>
      <c r="GH34" s="1629"/>
      <c r="GI34" s="1629"/>
      <c r="GJ34" s="1629"/>
      <c r="GK34" s="1629"/>
      <c r="GL34" s="1629"/>
      <c r="GM34" s="1629"/>
      <c r="GN34" s="1629"/>
      <c r="GO34" s="1629"/>
      <c r="GP34" s="1629"/>
      <c r="GQ34" s="1629"/>
      <c r="GR34" s="1629"/>
      <c r="GS34" s="1629"/>
      <c r="GT34" s="1629"/>
      <c r="GU34" s="1629"/>
      <c r="GV34" s="1629"/>
      <c r="GW34" s="1629"/>
      <c r="GX34" s="1629"/>
      <c r="GY34" s="1629"/>
      <c r="GZ34" s="1629"/>
      <c r="HA34" s="1629"/>
      <c r="HB34" s="1629"/>
      <c r="HC34" s="1629"/>
      <c r="HD34" s="1629"/>
      <c r="HE34" s="1629"/>
      <c r="HF34" s="1629"/>
      <c r="HG34" s="1629"/>
      <c r="HH34" s="1629"/>
      <c r="HI34" s="1629"/>
      <c r="HJ34" s="1629"/>
      <c r="HK34" s="1629"/>
      <c r="HL34" s="1629"/>
      <c r="HM34" s="1629"/>
      <c r="HN34" s="1629"/>
      <c r="HO34" s="1629"/>
      <c r="HP34" s="1629"/>
      <c r="HQ34" s="1629"/>
      <c r="HR34" s="1629"/>
      <c r="HS34" s="1629"/>
      <c r="HT34" s="1629"/>
      <c r="HU34" s="1629"/>
      <c r="HV34" s="1629"/>
      <c r="HW34" s="1629"/>
      <c r="HX34" s="1629"/>
      <c r="HY34" s="1629"/>
      <c r="HZ34" s="1629"/>
      <c r="IA34" s="1629"/>
      <c r="IB34" s="1629"/>
      <c r="IC34" s="1629"/>
      <c r="ID34" s="1629"/>
      <c r="IE34" s="1629"/>
      <c r="IF34" s="1629"/>
      <c r="IG34" s="1629"/>
      <c r="IH34" s="1629"/>
      <c r="II34" s="1629"/>
      <c r="IJ34" s="1629"/>
      <c r="IK34" s="1629"/>
      <c r="IL34" s="1629"/>
      <c r="IM34" s="1629"/>
      <c r="IN34" s="1629"/>
      <c r="IO34" s="1629"/>
      <c r="IP34" s="1629"/>
      <c r="IQ34" s="1629"/>
      <c r="IR34" s="1629"/>
      <c r="IS34" s="1629"/>
      <c r="IT34" s="1629"/>
      <c r="IU34" s="1629"/>
      <c r="IV34" s="1629"/>
    </row>
    <row r="35" spans="1:256" s="1629" customFormat="1" ht="24" x14ac:dyDescent="0.2">
      <c r="A35" s="4548"/>
      <c r="B35" s="1684" t="s">
        <v>1724</v>
      </c>
      <c r="C35" s="1571" t="s">
        <v>1718</v>
      </c>
      <c r="D35" s="1553">
        <f>IF(D34=0,,D36*1000/D34)</f>
        <v>12.398383643234057</v>
      </c>
      <c r="E35" s="1552">
        <f>IF(E34=0,,E36*1000/E34)</f>
        <v>9.215134679148985</v>
      </c>
      <c r="F35" s="1553">
        <f>F36*1000/F34</f>
        <v>13.844362916541757</v>
      </c>
      <c r="G35" s="1552">
        <f>G36*1000/G34</f>
        <v>10.669268917524731</v>
      </c>
      <c r="H35" s="1554">
        <f>'Вхідні дані'!D37</f>
        <v>18.45</v>
      </c>
      <c r="I35" s="1552">
        <f>'Вхідні дані'!D38</f>
        <v>16.38</v>
      </c>
      <c r="J35" s="1553">
        <f>'Вхідні дані'!D37</f>
        <v>18.45</v>
      </c>
      <c r="K35" s="1552">
        <f>'Вхідні дані'!D38</f>
        <v>16.38</v>
      </c>
      <c r="L35" s="1553">
        <f>H35</f>
        <v>18.45</v>
      </c>
      <c r="M35" s="1552">
        <f>I35</f>
        <v>16.38</v>
      </c>
      <c r="N35" s="1553">
        <f>H35</f>
        <v>18.45</v>
      </c>
      <c r="O35" s="1552">
        <f>I35</f>
        <v>16.38</v>
      </c>
      <c r="P35" s="1553">
        <f>H35</f>
        <v>18.45</v>
      </c>
      <c r="Q35" s="1552">
        <f>I35</f>
        <v>16.38</v>
      </c>
      <c r="R35" s="1553">
        <f>H35</f>
        <v>18.45</v>
      </c>
      <c r="S35" s="1552">
        <f>I35</f>
        <v>16.38</v>
      </c>
      <c r="T35" s="1553">
        <f>H35</f>
        <v>18.45</v>
      </c>
      <c r="U35" s="1552">
        <f>I35</f>
        <v>16.38</v>
      </c>
      <c r="V35" s="1553">
        <f>H35</f>
        <v>18.45</v>
      </c>
      <c r="W35" s="1552">
        <f>I35</f>
        <v>16.38</v>
      </c>
      <c r="X35" s="1581">
        <f>J35</f>
        <v>18.45</v>
      </c>
      <c r="Y35" s="1583">
        <f>K35</f>
        <v>16.38</v>
      </c>
      <c r="Z35" s="1630"/>
      <c r="AA35" s="1630"/>
      <c r="AC35" s="1620"/>
      <c r="AD35" s="1620"/>
      <c r="AE35" s="1620"/>
      <c r="AF35" s="1620"/>
      <c r="AG35" s="1620"/>
      <c r="AH35" s="1620"/>
      <c r="AJ35" s="1631"/>
      <c r="AK35" s="1631"/>
      <c r="AL35" s="1631"/>
      <c r="AM35" s="1631"/>
      <c r="AN35" s="1631"/>
      <c r="AO35" s="1631"/>
    </row>
    <row r="36" spans="1:256" ht="24" x14ac:dyDescent="0.2">
      <c r="A36" s="4549"/>
      <c r="B36" s="1685" t="s">
        <v>1725</v>
      </c>
      <c r="C36" s="1572" t="s">
        <v>1721</v>
      </c>
      <c r="D36" s="1553">
        <f>((419644.22+12397.83)/1000)-D39</f>
        <v>432.02204999999998</v>
      </c>
      <c r="E36" s="1552">
        <f>((90742.08+7320.98)/1000)-E39</f>
        <v>98.053059999999988</v>
      </c>
      <c r="F36" s="1553">
        <f>436.429-F39</f>
        <v>436.41515999999996</v>
      </c>
      <c r="G36" s="1552">
        <f>103536/1000-G39</f>
        <v>103.53289503000001</v>
      </c>
      <c r="H36" s="1554">
        <f>J36+L36+N36+P36+R36+T36+V36</f>
        <v>682.7371972990361</v>
      </c>
      <c r="I36" s="1552">
        <f>K36+M36+O36+Q36+S36+U36+W36</f>
        <v>184.01066229534413</v>
      </c>
      <c r="J36" s="1553">
        <f>J34*J35/1000</f>
        <v>40.354423774035773</v>
      </c>
      <c r="K36" s="1552">
        <f t="shared" ref="K36:W36" si="20">K34*K35/1000</f>
        <v>10.425614594734061</v>
      </c>
      <c r="L36" s="1553">
        <f t="shared" si="20"/>
        <v>637.83254227500026</v>
      </c>
      <c r="M36" s="1552">
        <f t="shared" si="20"/>
        <v>169.54533020061004</v>
      </c>
      <c r="N36" s="1553">
        <f t="shared" si="20"/>
        <v>0.12564450000000002</v>
      </c>
      <c r="O36" s="1552">
        <f t="shared" si="20"/>
        <v>0.11154779999999999</v>
      </c>
      <c r="P36" s="1553">
        <f t="shared" si="20"/>
        <v>1.5885449999999999</v>
      </c>
      <c r="Q36" s="1552">
        <f t="shared" si="20"/>
        <v>1.4103179999999997</v>
      </c>
      <c r="R36" s="1553">
        <f t="shared" si="20"/>
        <v>0.94233374999999997</v>
      </c>
      <c r="S36" s="1552">
        <f t="shared" si="20"/>
        <v>0.83660850000000009</v>
      </c>
      <c r="T36" s="1553">
        <f t="shared" si="20"/>
        <v>1.1260034999999997</v>
      </c>
      <c r="U36" s="1552">
        <f t="shared" si="20"/>
        <v>0.99967139999999988</v>
      </c>
      <c r="V36" s="1553">
        <f t="shared" si="20"/>
        <v>0.7677044999999999</v>
      </c>
      <c r="W36" s="1552">
        <f t="shared" si="20"/>
        <v>0.68157179999999995</v>
      </c>
      <c r="X36" s="1580">
        <f t="shared" ref="X36:Y36" si="21">X34*X35/1000</f>
        <v>39.965470466935649</v>
      </c>
      <c r="Y36" s="1579">
        <f t="shared" si="21"/>
        <v>9.7510678377114353</v>
      </c>
      <c r="Z36" s="1630"/>
      <c r="AA36" s="1630"/>
      <c r="AB36" s="1629"/>
      <c r="AC36" s="1620"/>
      <c r="AD36" s="1620"/>
      <c r="AE36" s="1620"/>
      <c r="AF36" s="1620"/>
      <c r="AG36" s="1620"/>
      <c r="AH36" s="1620"/>
      <c r="AI36" s="1629"/>
      <c r="AJ36" s="1631"/>
      <c r="AK36" s="1631"/>
      <c r="AL36" s="1631"/>
      <c r="AM36" s="1631"/>
      <c r="AN36" s="1631"/>
      <c r="AO36" s="1631"/>
      <c r="AP36" s="1629"/>
      <c r="AQ36" s="1629"/>
      <c r="AR36" s="1629"/>
      <c r="AS36" s="1629"/>
      <c r="AT36" s="1629"/>
      <c r="AU36" s="1629"/>
      <c r="AV36" s="1629"/>
      <c r="AW36" s="1629"/>
      <c r="AX36" s="1629"/>
      <c r="AY36" s="1629"/>
      <c r="AZ36" s="1629"/>
      <c r="BA36" s="1629"/>
      <c r="BB36" s="1629"/>
      <c r="BC36" s="1629"/>
      <c r="BD36" s="1629"/>
      <c r="BE36" s="1629"/>
      <c r="BF36" s="1629"/>
      <c r="BG36" s="1629"/>
      <c r="BH36" s="1629"/>
      <c r="BI36" s="1629"/>
      <c r="BJ36" s="1629"/>
      <c r="BK36" s="1629"/>
      <c r="BL36" s="1629"/>
      <c r="BM36" s="1629"/>
      <c r="BN36" s="1629"/>
      <c r="BO36" s="1629"/>
      <c r="BP36" s="1629"/>
      <c r="BQ36" s="1629"/>
      <c r="BR36" s="1629"/>
      <c r="BS36" s="1629"/>
      <c r="BT36" s="1629"/>
      <c r="BU36" s="1629"/>
      <c r="BV36" s="1629"/>
      <c r="BW36" s="1629"/>
      <c r="BX36" s="1629"/>
      <c r="BY36" s="1629"/>
      <c r="BZ36" s="1629"/>
      <c r="CA36" s="1629"/>
      <c r="CB36" s="1629"/>
      <c r="CC36" s="1629"/>
      <c r="CD36" s="1629"/>
      <c r="CE36" s="1629"/>
      <c r="CF36" s="1629"/>
      <c r="CG36" s="1629"/>
      <c r="CH36" s="1629"/>
      <c r="CI36" s="1629"/>
      <c r="CJ36" s="1629"/>
      <c r="CK36" s="1629"/>
      <c r="CL36" s="1629"/>
      <c r="CM36" s="1629"/>
      <c r="CN36" s="1629"/>
      <c r="CO36" s="1629"/>
      <c r="CP36" s="1629"/>
      <c r="CQ36" s="1629"/>
      <c r="CR36" s="1629"/>
      <c r="CS36" s="1629"/>
      <c r="CT36" s="1629"/>
      <c r="CU36" s="1629"/>
      <c r="CV36" s="1629"/>
      <c r="CW36" s="1629"/>
      <c r="CX36" s="1629"/>
      <c r="CY36" s="1629"/>
      <c r="CZ36" s="1629"/>
      <c r="DA36" s="1629"/>
      <c r="DB36" s="1629"/>
      <c r="DC36" s="1629"/>
      <c r="DD36" s="1629"/>
      <c r="DE36" s="1629"/>
      <c r="DF36" s="1629"/>
      <c r="DG36" s="1629"/>
      <c r="DH36" s="1629"/>
      <c r="DI36" s="1629"/>
      <c r="DJ36" s="1629"/>
      <c r="DK36" s="1629"/>
      <c r="DL36" s="1629"/>
      <c r="DM36" s="1629"/>
      <c r="DN36" s="1629"/>
      <c r="DO36" s="1629"/>
      <c r="DP36" s="1629"/>
      <c r="DQ36" s="1629"/>
      <c r="DR36" s="1629"/>
      <c r="DS36" s="1629"/>
      <c r="DT36" s="1629"/>
      <c r="DU36" s="1629"/>
      <c r="DV36" s="1629"/>
      <c r="DW36" s="1629"/>
      <c r="DX36" s="1629"/>
      <c r="DY36" s="1629"/>
      <c r="DZ36" s="1629"/>
      <c r="EA36" s="1629"/>
      <c r="EB36" s="1629"/>
      <c r="EC36" s="1629"/>
      <c r="ED36" s="1629"/>
      <c r="EE36" s="1629"/>
      <c r="EF36" s="1629"/>
      <c r="EG36" s="1629"/>
      <c r="EH36" s="1629"/>
      <c r="EI36" s="1629"/>
      <c r="EJ36" s="1629"/>
      <c r="EK36" s="1629"/>
      <c r="EL36" s="1629"/>
      <c r="EM36" s="1629"/>
      <c r="EN36" s="1629"/>
      <c r="EO36" s="1629"/>
      <c r="EP36" s="1629"/>
      <c r="EQ36" s="1629"/>
      <c r="ER36" s="1629"/>
      <c r="ES36" s="1629"/>
      <c r="ET36" s="1629"/>
      <c r="EU36" s="1629"/>
      <c r="EV36" s="1629"/>
      <c r="EW36" s="1629"/>
      <c r="EX36" s="1629"/>
      <c r="EY36" s="1629"/>
      <c r="EZ36" s="1629"/>
      <c r="FA36" s="1629"/>
      <c r="FB36" s="1629"/>
      <c r="FC36" s="1629"/>
      <c r="FD36" s="1629"/>
      <c r="FE36" s="1629"/>
      <c r="FF36" s="1629"/>
      <c r="FG36" s="1629"/>
      <c r="FH36" s="1629"/>
      <c r="FI36" s="1629"/>
      <c r="FJ36" s="1629"/>
      <c r="FK36" s="1629"/>
      <c r="FL36" s="1629"/>
      <c r="FM36" s="1629"/>
      <c r="FN36" s="1629"/>
      <c r="FO36" s="1629"/>
      <c r="FP36" s="1629"/>
      <c r="FQ36" s="1629"/>
      <c r="FR36" s="1629"/>
      <c r="FS36" s="1629"/>
      <c r="FT36" s="1629"/>
      <c r="FU36" s="1629"/>
      <c r="FV36" s="1629"/>
      <c r="FW36" s="1629"/>
      <c r="FX36" s="1629"/>
      <c r="FY36" s="1629"/>
      <c r="FZ36" s="1629"/>
      <c r="GA36" s="1629"/>
      <c r="GB36" s="1629"/>
      <c r="GC36" s="1629"/>
      <c r="GD36" s="1629"/>
      <c r="GE36" s="1629"/>
      <c r="GF36" s="1629"/>
      <c r="GG36" s="1629"/>
      <c r="GH36" s="1629"/>
      <c r="GI36" s="1629"/>
      <c r="GJ36" s="1629"/>
      <c r="GK36" s="1629"/>
      <c r="GL36" s="1629"/>
      <c r="GM36" s="1629"/>
      <c r="GN36" s="1629"/>
      <c r="GO36" s="1629"/>
      <c r="GP36" s="1629"/>
      <c r="GQ36" s="1629"/>
      <c r="GR36" s="1629"/>
      <c r="GS36" s="1629"/>
      <c r="GT36" s="1629"/>
      <c r="GU36" s="1629"/>
      <c r="GV36" s="1629"/>
      <c r="GW36" s="1629"/>
      <c r="GX36" s="1629"/>
      <c r="GY36" s="1629"/>
      <c r="GZ36" s="1629"/>
      <c r="HA36" s="1629"/>
      <c r="HB36" s="1629"/>
      <c r="HC36" s="1629"/>
      <c r="HD36" s="1629"/>
      <c r="HE36" s="1629"/>
      <c r="HF36" s="1629"/>
      <c r="HG36" s="1629"/>
      <c r="HH36" s="1629"/>
      <c r="HI36" s="1629"/>
      <c r="HJ36" s="1629"/>
      <c r="HK36" s="1629"/>
      <c r="HL36" s="1629"/>
      <c r="HM36" s="1629"/>
      <c r="HN36" s="1629"/>
      <c r="HO36" s="1629"/>
      <c r="HP36" s="1629"/>
      <c r="HQ36" s="1629"/>
      <c r="HR36" s="1629"/>
      <c r="HS36" s="1629"/>
      <c r="HT36" s="1629"/>
      <c r="HU36" s="1629"/>
      <c r="HV36" s="1629"/>
      <c r="HW36" s="1629"/>
      <c r="HX36" s="1629"/>
      <c r="HY36" s="1629"/>
      <c r="HZ36" s="1629"/>
      <c r="IA36" s="1629"/>
      <c r="IB36" s="1629"/>
      <c r="IC36" s="1629"/>
      <c r="ID36" s="1629"/>
      <c r="IE36" s="1629"/>
      <c r="IF36" s="1629"/>
      <c r="IG36" s="1629"/>
      <c r="IH36" s="1629"/>
      <c r="II36" s="1629"/>
      <c r="IJ36" s="1629"/>
      <c r="IK36" s="1629"/>
      <c r="IL36" s="1629"/>
      <c r="IM36" s="1629"/>
      <c r="IN36" s="1629"/>
      <c r="IO36" s="1629"/>
      <c r="IP36" s="1629"/>
      <c r="IQ36" s="1629"/>
      <c r="IR36" s="1629"/>
      <c r="IS36" s="1629"/>
      <c r="IT36" s="1629"/>
      <c r="IU36" s="1629"/>
      <c r="IV36" s="1629"/>
    </row>
    <row r="37" spans="1:256" ht="23.25" customHeight="1" x14ac:dyDescent="0.2">
      <c r="A37" s="4547" t="s">
        <v>1726</v>
      </c>
      <c r="B37" s="2334" t="s">
        <v>1727</v>
      </c>
      <c r="C37" s="1571" t="s">
        <v>1686</v>
      </c>
      <c r="D37" s="1553">
        <v>2</v>
      </c>
      <c r="E37" s="1552">
        <f>D37*0.291</f>
        <v>0.58199999999999996</v>
      </c>
      <c r="F37" s="1553">
        <v>1</v>
      </c>
      <c r="G37" s="1552">
        <f>F37*0.291</f>
        <v>0.29099999999999998</v>
      </c>
      <c r="H37" s="1554">
        <f>J37+L37</f>
        <v>8.4540199403653613</v>
      </c>
      <c r="I37" s="1552">
        <f>K37+M37+O37+Q37+S37+U37+W37</f>
        <v>2.4601198026463198</v>
      </c>
      <c r="J37" s="1553">
        <v>0</v>
      </c>
      <c r="K37" s="1552">
        <f>J37*0.291</f>
        <v>0</v>
      </c>
      <c r="L37" s="1553">
        <f>'[50]7. Вода та сіль Свод'!Q10+'[50]7. Вода та сіль Свод'!N10</f>
        <v>8.4540199403653613</v>
      </c>
      <c r="M37" s="1552">
        <f>L37*0.291</f>
        <v>2.4601198026463198</v>
      </c>
      <c r="N37" s="1553">
        <v>0</v>
      </c>
      <c r="O37" s="1552">
        <f>N37*0.291</f>
        <v>0</v>
      </c>
      <c r="P37" s="1553">
        <v>0</v>
      </c>
      <c r="Q37" s="1552">
        <f>P37*0.291</f>
        <v>0</v>
      </c>
      <c r="R37" s="1553">
        <v>0</v>
      </c>
      <c r="S37" s="1552">
        <f>R37*0.291</f>
        <v>0</v>
      </c>
      <c r="T37" s="1553">
        <v>0</v>
      </c>
      <c r="U37" s="1552">
        <f>T37*0.291</f>
        <v>0</v>
      </c>
      <c r="V37" s="1553">
        <v>0</v>
      </c>
      <c r="W37" s="1552">
        <f>V37*0.291</f>
        <v>0</v>
      </c>
      <c r="X37" s="1580">
        <v>0</v>
      </c>
      <c r="Y37" s="1579">
        <f>X37*0.291</f>
        <v>0</v>
      </c>
      <c r="Z37" s="1630"/>
      <c r="AA37" s="1630"/>
      <c r="AB37" s="1629"/>
      <c r="AC37" s="1620"/>
      <c r="AD37" s="1620"/>
      <c r="AE37" s="1620"/>
      <c r="AF37" s="1620"/>
      <c r="AG37" s="1620"/>
      <c r="AH37" s="1620"/>
      <c r="AI37" s="1629"/>
      <c r="AJ37" s="1631"/>
      <c r="AK37" s="1631"/>
      <c r="AL37" s="1631"/>
      <c r="AM37" s="1631"/>
      <c r="AN37" s="1631"/>
      <c r="AO37" s="1631"/>
      <c r="AP37" s="1629"/>
      <c r="AQ37" s="1629"/>
      <c r="AR37" s="1629"/>
      <c r="AS37" s="1629"/>
      <c r="AT37" s="1629"/>
      <c r="AU37" s="1629"/>
      <c r="AV37" s="1629"/>
      <c r="AW37" s="1629"/>
      <c r="AX37" s="1629"/>
      <c r="AY37" s="1629"/>
      <c r="AZ37" s="1629"/>
      <c r="BA37" s="1629"/>
      <c r="BB37" s="1629"/>
      <c r="BC37" s="1629"/>
      <c r="BD37" s="1629"/>
      <c r="BE37" s="1629"/>
      <c r="BF37" s="1629"/>
      <c r="BG37" s="1629"/>
      <c r="BH37" s="1629"/>
      <c r="BI37" s="1629"/>
      <c r="BJ37" s="1629"/>
      <c r="BK37" s="1629"/>
      <c r="BL37" s="1629"/>
      <c r="BM37" s="1629"/>
      <c r="BN37" s="1629"/>
      <c r="BO37" s="1629"/>
      <c r="BP37" s="1629"/>
      <c r="BQ37" s="1629"/>
      <c r="BR37" s="1629"/>
      <c r="BS37" s="1629"/>
      <c r="BT37" s="1629"/>
      <c r="BU37" s="1629"/>
      <c r="BV37" s="1629"/>
      <c r="BW37" s="1629"/>
      <c r="BX37" s="1629"/>
      <c r="BY37" s="1629"/>
      <c r="BZ37" s="1629"/>
      <c r="CA37" s="1629"/>
      <c r="CB37" s="1629"/>
      <c r="CC37" s="1629"/>
      <c r="CD37" s="1629"/>
      <c r="CE37" s="1629"/>
      <c r="CF37" s="1629"/>
      <c r="CG37" s="1629"/>
      <c r="CH37" s="1629"/>
      <c r="CI37" s="1629"/>
      <c r="CJ37" s="1629"/>
      <c r="CK37" s="1629"/>
      <c r="CL37" s="1629"/>
      <c r="CM37" s="1629"/>
      <c r="CN37" s="1629"/>
      <c r="CO37" s="1629"/>
      <c r="CP37" s="1629"/>
      <c r="CQ37" s="1629"/>
      <c r="CR37" s="1629"/>
      <c r="CS37" s="1629"/>
      <c r="CT37" s="1629"/>
      <c r="CU37" s="1629"/>
      <c r="CV37" s="1629"/>
      <c r="CW37" s="1629"/>
      <c r="CX37" s="1629"/>
      <c r="CY37" s="1629"/>
      <c r="CZ37" s="1629"/>
      <c r="DA37" s="1629"/>
      <c r="DB37" s="1629"/>
      <c r="DC37" s="1629"/>
      <c r="DD37" s="1629"/>
      <c r="DE37" s="1629"/>
      <c r="DF37" s="1629"/>
      <c r="DG37" s="1629"/>
      <c r="DH37" s="1629"/>
      <c r="DI37" s="1629"/>
      <c r="DJ37" s="1629"/>
      <c r="DK37" s="1629"/>
      <c r="DL37" s="1629"/>
      <c r="DM37" s="1629"/>
      <c r="DN37" s="1629"/>
      <c r="DO37" s="1629"/>
      <c r="DP37" s="1629"/>
      <c r="DQ37" s="1629"/>
      <c r="DR37" s="1629"/>
      <c r="DS37" s="1629"/>
      <c r="DT37" s="1629"/>
      <c r="DU37" s="1629"/>
      <c r="DV37" s="1629"/>
      <c r="DW37" s="1629"/>
      <c r="DX37" s="1629"/>
      <c r="DY37" s="1629"/>
      <c r="DZ37" s="1629"/>
      <c r="EA37" s="1629"/>
      <c r="EB37" s="1629"/>
      <c r="EC37" s="1629"/>
      <c r="ED37" s="1629"/>
      <c r="EE37" s="1629"/>
      <c r="EF37" s="1629"/>
      <c r="EG37" s="1629"/>
      <c r="EH37" s="1629"/>
      <c r="EI37" s="1629"/>
      <c r="EJ37" s="1629"/>
      <c r="EK37" s="1629"/>
      <c r="EL37" s="1629"/>
      <c r="EM37" s="1629"/>
      <c r="EN37" s="1629"/>
      <c r="EO37" s="1629"/>
      <c r="EP37" s="1629"/>
      <c r="EQ37" s="1629"/>
      <c r="ER37" s="1629"/>
      <c r="ES37" s="1629"/>
      <c r="ET37" s="1629"/>
      <c r="EU37" s="1629"/>
      <c r="EV37" s="1629"/>
      <c r="EW37" s="1629"/>
      <c r="EX37" s="1629"/>
      <c r="EY37" s="1629"/>
      <c r="EZ37" s="1629"/>
      <c r="FA37" s="1629"/>
      <c r="FB37" s="1629"/>
      <c r="FC37" s="1629"/>
      <c r="FD37" s="1629"/>
      <c r="FE37" s="1629"/>
      <c r="FF37" s="1629"/>
      <c r="FG37" s="1629"/>
      <c r="FH37" s="1629"/>
      <c r="FI37" s="1629"/>
      <c r="FJ37" s="1629"/>
      <c r="FK37" s="1629"/>
      <c r="FL37" s="1629"/>
      <c r="FM37" s="1629"/>
      <c r="FN37" s="1629"/>
      <c r="FO37" s="1629"/>
      <c r="FP37" s="1629"/>
      <c r="FQ37" s="1629"/>
      <c r="FR37" s="1629"/>
      <c r="FS37" s="1629"/>
      <c r="FT37" s="1629"/>
      <c r="FU37" s="1629"/>
      <c r="FV37" s="1629"/>
      <c r="FW37" s="1629"/>
      <c r="FX37" s="1629"/>
      <c r="FY37" s="1629"/>
      <c r="FZ37" s="1629"/>
      <c r="GA37" s="1629"/>
      <c r="GB37" s="1629"/>
      <c r="GC37" s="1629"/>
      <c r="GD37" s="1629"/>
      <c r="GE37" s="1629"/>
      <c r="GF37" s="1629"/>
      <c r="GG37" s="1629"/>
      <c r="GH37" s="1629"/>
      <c r="GI37" s="1629"/>
      <c r="GJ37" s="1629"/>
      <c r="GK37" s="1629"/>
      <c r="GL37" s="1629"/>
      <c r="GM37" s="1629"/>
      <c r="GN37" s="1629"/>
      <c r="GO37" s="1629"/>
      <c r="GP37" s="1629"/>
      <c r="GQ37" s="1629"/>
      <c r="GR37" s="1629"/>
      <c r="GS37" s="1629"/>
      <c r="GT37" s="1629"/>
      <c r="GU37" s="1629"/>
      <c r="GV37" s="1629"/>
      <c r="GW37" s="1629"/>
      <c r="GX37" s="1629"/>
      <c r="GY37" s="1629"/>
      <c r="GZ37" s="1629"/>
      <c r="HA37" s="1629"/>
      <c r="HB37" s="1629"/>
      <c r="HC37" s="1629"/>
      <c r="HD37" s="1629"/>
      <c r="HE37" s="1629"/>
      <c r="HF37" s="1629"/>
      <c r="HG37" s="1629"/>
      <c r="HH37" s="1629"/>
      <c r="HI37" s="1629"/>
      <c r="HJ37" s="1629"/>
      <c r="HK37" s="1629"/>
      <c r="HL37" s="1629"/>
      <c r="HM37" s="1629"/>
      <c r="HN37" s="1629"/>
      <c r="HO37" s="1629"/>
      <c r="HP37" s="1629"/>
      <c r="HQ37" s="1629"/>
      <c r="HR37" s="1629"/>
      <c r="HS37" s="1629"/>
      <c r="HT37" s="1629"/>
      <c r="HU37" s="1629"/>
      <c r="HV37" s="1629"/>
      <c r="HW37" s="1629"/>
      <c r="HX37" s="1629"/>
      <c r="HY37" s="1629"/>
      <c r="HZ37" s="1629"/>
      <c r="IA37" s="1629"/>
      <c r="IB37" s="1629"/>
      <c r="IC37" s="1629"/>
      <c r="ID37" s="1629"/>
      <c r="IE37" s="1629"/>
      <c r="IF37" s="1629"/>
      <c r="IG37" s="1629"/>
      <c r="IH37" s="1629"/>
      <c r="II37" s="1629"/>
      <c r="IJ37" s="1629"/>
      <c r="IK37" s="1629"/>
      <c r="IL37" s="1629"/>
      <c r="IM37" s="1629"/>
      <c r="IN37" s="1629"/>
      <c r="IO37" s="1629"/>
      <c r="IP37" s="1629"/>
      <c r="IQ37" s="1629"/>
      <c r="IR37" s="1629"/>
      <c r="IS37" s="1629"/>
      <c r="IT37" s="1629"/>
      <c r="IU37" s="1629"/>
      <c r="IV37" s="1629"/>
    </row>
    <row r="38" spans="1:256" s="1629" customFormat="1" ht="24" customHeight="1" x14ac:dyDescent="0.2">
      <c r="A38" s="4548"/>
      <c r="B38" s="1684" t="s">
        <v>1728</v>
      </c>
      <c r="C38" s="1571" t="s">
        <v>1718</v>
      </c>
      <c r="D38" s="1553">
        <f>IF(D37=0,,D39*1000/D37)</f>
        <v>10</v>
      </c>
      <c r="E38" s="1552">
        <f>IF(E37=0,,E39*1000/E37)</f>
        <v>17.182130584192439</v>
      </c>
      <c r="F38" s="1553">
        <f>F39/F37*1000</f>
        <v>13.84</v>
      </c>
      <c r="G38" s="1552">
        <f>G39*1000/G37</f>
        <v>10.67</v>
      </c>
      <c r="H38" s="1554">
        <f>H35</f>
        <v>18.45</v>
      </c>
      <c r="I38" s="1552">
        <f t="shared" ref="I38:W38" si="22">I35</f>
        <v>16.38</v>
      </c>
      <c r="J38" s="1553">
        <f t="shared" si="22"/>
        <v>18.45</v>
      </c>
      <c r="K38" s="1552">
        <f t="shared" si="22"/>
        <v>16.38</v>
      </c>
      <c r="L38" s="1553">
        <f t="shared" si="22"/>
        <v>18.45</v>
      </c>
      <c r="M38" s="1552">
        <f t="shared" si="22"/>
        <v>16.38</v>
      </c>
      <c r="N38" s="1553">
        <f t="shared" si="22"/>
        <v>18.45</v>
      </c>
      <c r="O38" s="1552">
        <f t="shared" si="22"/>
        <v>16.38</v>
      </c>
      <c r="P38" s="1553">
        <f t="shared" si="22"/>
        <v>18.45</v>
      </c>
      <c r="Q38" s="1552">
        <f t="shared" si="22"/>
        <v>16.38</v>
      </c>
      <c r="R38" s="1553">
        <f t="shared" si="22"/>
        <v>18.45</v>
      </c>
      <c r="S38" s="1552">
        <f t="shared" si="22"/>
        <v>16.38</v>
      </c>
      <c r="T38" s="1553">
        <f t="shared" si="22"/>
        <v>18.45</v>
      </c>
      <c r="U38" s="1552">
        <f t="shared" si="22"/>
        <v>16.38</v>
      </c>
      <c r="V38" s="1553">
        <f t="shared" si="22"/>
        <v>18.45</v>
      </c>
      <c r="W38" s="1552">
        <f t="shared" si="22"/>
        <v>16.38</v>
      </c>
      <c r="X38" s="1581">
        <f t="shared" ref="X38:Y38" si="23">X35</f>
        <v>18.45</v>
      </c>
      <c r="Y38" s="1582">
        <f t="shared" si="23"/>
        <v>16.38</v>
      </c>
      <c r="Z38" s="1630"/>
      <c r="AA38" s="1630"/>
      <c r="AC38" s="1620"/>
      <c r="AD38" s="1620"/>
      <c r="AE38" s="1620"/>
      <c r="AF38" s="1620"/>
      <c r="AG38" s="1620"/>
      <c r="AH38" s="1620"/>
      <c r="AJ38" s="1631"/>
      <c r="AK38" s="1631"/>
      <c r="AL38" s="1631"/>
      <c r="AM38" s="1631"/>
      <c r="AN38" s="1631"/>
      <c r="AO38" s="1631"/>
    </row>
    <row r="39" spans="1:256" s="1629" customFormat="1" ht="24" customHeight="1" x14ac:dyDescent="0.2">
      <c r="A39" s="4549"/>
      <c r="B39" s="1685" t="s">
        <v>1729</v>
      </c>
      <c r="C39" s="1572" t="s">
        <v>1721</v>
      </c>
      <c r="D39" s="1553">
        <v>0.02</v>
      </c>
      <c r="E39" s="1552">
        <v>0.01</v>
      </c>
      <c r="F39" s="1553">
        <f>1*13.84/1000</f>
        <v>1.384E-2</v>
      </c>
      <c r="G39" s="1552">
        <f>G37*10.67/1000</f>
        <v>3.1049699999999999E-3</v>
      </c>
      <c r="H39" s="1554">
        <f>J39+L39+N39+P39+R39+T39+V39</f>
        <v>0.15597666789974091</v>
      </c>
      <c r="I39" s="1552">
        <f>K39+M39+O39+Q39+S39+U39+W39</f>
        <v>4.0296762367346715E-2</v>
      </c>
      <c r="J39" s="1553">
        <f>J37*J38/1000</f>
        <v>0</v>
      </c>
      <c r="K39" s="1552">
        <f t="shared" ref="K39:W39" si="24">K37*K38/1000</f>
        <v>0</v>
      </c>
      <c r="L39" s="1553">
        <f t="shared" si="24"/>
        <v>0.15597666789974091</v>
      </c>
      <c r="M39" s="1552">
        <f t="shared" si="24"/>
        <v>4.0296762367346715E-2</v>
      </c>
      <c r="N39" s="1553">
        <f t="shared" si="24"/>
        <v>0</v>
      </c>
      <c r="O39" s="1552">
        <f t="shared" si="24"/>
        <v>0</v>
      </c>
      <c r="P39" s="1553">
        <f t="shared" si="24"/>
        <v>0</v>
      </c>
      <c r="Q39" s="1552">
        <f t="shared" si="24"/>
        <v>0</v>
      </c>
      <c r="R39" s="1553">
        <f t="shared" si="24"/>
        <v>0</v>
      </c>
      <c r="S39" s="1552">
        <f t="shared" si="24"/>
        <v>0</v>
      </c>
      <c r="T39" s="1553">
        <f t="shared" si="24"/>
        <v>0</v>
      </c>
      <c r="U39" s="1552">
        <f t="shared" si="24"/>
        <v>0</v>
      </c>
      <c r="V39" s="1553">
        <f t="shared" si="24"/>
        <v>0</v>
      </c>
      <c r="W39" s="1552">
        <f t="shared" si="24"/>
        <v>0</v>
      </c>
      <c r="X39" s="1580">
        <f t="shared" ref="X39:Y39" si="25">X37*X38/1000</f>
        <v>0</v>
      </c>
      <c r="Y39" s="1579">
        <f t="shared" si="25"/>
        <v>0</v>
      </c>
      <c r="Z39" s="1630"/>
      <c r="AA39" s="1630"/>
      <c r="AC39" s="1620"/>
      <c r="AD39" s="1620"/>
      <c r="AE39" s="1620"/>
      <c r="AF39" s="1620"/>
      <c r="AG39" s="1620"/>
      <c r="AH39" s="1620"/>
      <c r="AJ39" s="1631"/>
      <c r="AK39" s="1631"/>
      <c r="AL39" s="1631"/>
      <c r="AM39" s="1631"/>
      <c r="AN39" s="1631"/>
      <c r="AO39" s="1631"/>
    </row>
    <row r="40" spans="1:256" s="1629" customFormat="1" ht="18.75" hidden="1" customHeight="1" x14ac:dyDescent="0.2">
      <c r="A40" s="4547" t="s">
        <v>1730</v>
      </c>
      <c r="B40" s="1686" t="s">
        <v>1731</v>
      </c>
      <c r="C40" s="1571" t="s">
        <v>1686</v>
      </c>
      <c r="D40" s="1553"/>
      <c r="E40" s="1552"/>
      <c r="F40" s="1553"/>
      <c r="G40" s="1552"/>
      <c r="H40" s="1554">
        <f>J40+L40+N40+P40+R40+T40+V40</f>
        <v>0</v>
      </c>
      <c r="I40" s="1552">
        <f>K40+M40+O40+Q40+S40+U40+W40</f>
        <v>0</v>
      </c>
      <c r="J40" s="1553"/>
      <c r="K40" s="1552"/>
      <c r="L40" s="1553"/>
      <c r="M40" s="1552"/>
      <c r="N40" s="1553"/>
      <c r="O40" s="1552"/>
      <c r="P40" s="1553"/>
      <c r="Q40" s="1552"/>
      <c r="R40" s="1553"/>
      <c r="S40" s="1552"/>
      <c r="T40" s="1553"/>
      <c r="U40" s="1552"/>
      <c r="V40" s="1553"/>
      <c r="W40" s="1555"/>
      <c r="X40" s="1580"/>
      <c r="Y40" s="1584"/>
      <c r="Z40" s="1630"/>
      <c r="AA40" s="1630"/>
      <c r="AC40" s="1620"/>
      <c r="AD40" s="1620"/>
      <c r="AE40" s="1620"/>
      <c r="AF40" s="1620"/>
      <c r="AG40" s="1620"/>
      <c r="AH40" s="1620"/>
      <c r="AJ40" s="1631"/>
      <c r="AK40" s="1631"/>
      <c r="AL40" s="1631"/>
      <c r="AM40" s="1631"/>
      <c r="AN40" s="1631"/>
      <c r="AO40" s="1631"/>
    </row>
    <row r="41" spans="1:256" s="1629" customFormat="1" ht="24" hidden="1" customHeight="1" x14ac:dyDescent="0.2">
      <c r="A41" s="4548"/>
      <c r="B41" s="1684" t="s">
        <v>1732</v>
      </c>
      <c r="C41" s="1571" t="s">
        <v>1718</v>
      </c>
      <c r="D41" s="1553">
        <f t="shared" ref="D41:I41" si="26">IF(D40=0,,D42/1000/D40)</f>
        <v>0</v>
      </c>
      <c r="E41" s="1552">
        <f t="shared" si="26"/>
        <v>0</v>
      </c>
      <c r="F41" s="1553"/>
      <c r="G41" s="1552"/>
      <c r="H41" s="1554">
        <f t="shared" si="26"/>
        <v>0</v>
      </c>
      <c r="I41" s="1552">
        <f t="shared" si="26"/>
        <v>0</v>
      </c>
      <c r="J41" s="1553"/>
      <c r="K41" s="1552"/>
      <c r="L41" s="1553"/>
      <c r="M41" s="1552"/>
      <c r="N41" s="1553"/>
      <c r="O41" s="1552"/>
      <c r="P41" s="1553"/>
      <c r="Q41" s="1552"/>
      <c r="R41" s="1553"/>
      <c r="S41" s="1552"/>
      <c r="T41" s="1553"/>
      <c r="U41" s="1552"/>
      <c r="V41" s="1553"/>
      <c r="W41" s="1555"/>
      <c r="X41" s="1580"/>
      <c r="Y41" s="1584"/>
      <c r="Z41" s="1630"/>
      <c r="AA41" s="1630"/>
      <c r="AC41" s="1620"/>
      <c r="AD41" s="1620"/>
      <c r="AE41" s="1620"/>
      <c r="AF41" s="1620"/>
      <c r="AG41" s="1620"/>
      <c r="AH41" s="1620"/>
      <c r="AJ41" s="1631"/>
      <c r="AK41" s="1631"/>
      <c r="AL41" s="1631"/>
      <c r="AM41" s="1631"/>
      <c r="AN41" s="1631"/>
      <c r="AO41" s="1631"/>
    </row>
    <row r="42" spans="1:256" s="1629" customFormat="1" ht="27" hidden="1" customHeight="1" x14ac:dyDescent="0.2">
      <c r="A42" s="4549"/>
      <c r="B42" s="1687" t="s">
        <v>1733</v>
      </c>
      <c r="C42" s="1572" t="s">
        <v>1721</v>
      </c>
      <c r="D42" s="1553"/>
      <c r="E42" s="1552"/>
      <c r="F42" s="1553"/>
      <c r="G42" s="1552"/>
      <c r="H42" s="1554">
        <f>J42+L42+N42+P42+R42+T42+V42</f>
        <v>0</v>
      </c>
      <c r="I42" s="1552">
        <f>K42+M42+O42+Q42+S42+U42+W42</f>
        <v>0</v>
      </c>
      <c r="J42" s="1553">
        <f>J40*J41/1000</f>
        <v>0</v>
      </c>
      <c r="K42" s="1552">
        <f t="shared" ref="K42:W42" si="27">K40*K41/1000</f>
        <v>0</v>
      </c>
      <c r="L42" s="1553">
        <f t="shared" si="27"/>
        <v>0</v>
      </c>
      <c r="M42" s="1552">
        <f t="shared" si="27"/>
        <v>0</v>
      </c>
      <c r="N42" s="1553">
        <f t="shared" si="27"/>
        <v>0</v>
      </c>
      <c r="O42" s="1552">
        <f t="shared" si="27"/>
        <v>0</v>
      </c>
      <c r="P42" s="1553">
        <f t="shared" si="27"/>
        <v>0</v>
      </c>
      <c r="Q42" s="1552">
        <f t="shared" si="27"/>
        <v>0</v>
      </c>
      <c r="R42" s="1553">
        <f t="shared" si="27"/>
        <v>0</v>
      </c>
      <c r="S42" s="1552">
        <f t="shared" si="27"/>
        <v>0</v>
      </c>
      <c r="T42" s="1553">
        <f t="shared" si="27"/>
        <v>0</v>
      </c>
      <c r="U42" s="1552">
        <f t="shared" si="27"/>
        <v>0</v>
      </c>
      <c r="V42" s="1553">
        <f t="shared" si="27"/>
        <v>0</v>
      </c>
      <c r="W42" s="1552">
        <f t="shared" si="27"/>
        <v>0</v>
      </c>
      <c r="X42" s="1580">
        <f t="shared" ref="X42:Y42" si="28">X40*X41/1000</f>
        <v>0</v>
      </c>
      <c r="Y42" s="1579">
        <f t="shared" si="28"/>
        <v>0</v>
      </c>
      <c r="Z42" s="1630"/>
      <c r="AA42" s="1630"/>
      <c r="AC42" s="1620"/>
      <c r="AD42" s="1620"/>
      <c r="AE42" s="1620"/>
      <c r="AF42" s="1620"/>
      <c r="AG42" s="1620"/>
      <c r="AH42" s="1620"/>
      <c r="AJ42" s="1631"/>
      <c r="AK42" s="1631"/>
      <c r="AL42" s="1631"/>
      <c r="AM42" s="1631"/>
      <c r="AN42" s="1631"/>
      <c r="AO42" s="1631"/>
    </row>
    <row r="43" spans="1:256" s="1629" customFormat="1" ht="13.15" hidden="1" customHeight="1" outlineLevel="1" x14ac:dyDescent="0.2">
      <c r="A43" s="4547" t="s">
        <v>1734</v>
      </c>
      <c r="B43" s="1684" t="s">
        <v>1735</v>
      </c>
      <c r="C43" s="1571" t="s">
        <v>1686</v>
      </c>
      <c r="D43" s="1553"/>
      <c r="E43" s="1552"/>
      <c r="F43" s="1553"/>
      <c r="G43" s="1552"/>
      <c r="H43" s="1554">
        <f>J43+L43+N43+P43+R43+T43+V43</f>
        <v>0</v>
      </c>
      <c r="I43" s="1552">
        <f>K43+M43+O43+Q43+S43+U43+W43</f>
        <v>0</v>
      </c>
      <c r="J43" s="1553"/>
      <c r="K43" s="1552"/>
      <c r="L43" s="1553"/>
      <c r="M43" s="1552"/>
      <c r="N43" s="1553"/>
      <c r="O43" s="1552"/>
      <c r="P43" s="1553"/>
      <c r="Q43" s="1552"/>
      <c r="R43" s="1553"/>
      <c r="S43" s="1552"/>
      <c r="T43" s="1553"/>
      <c r="U43" s="1552"/>
      <c r="V43" s="1553"/>
      <c r="W43" s="1556"/>
      <c r="X43" s="1580"/>
      <c r="Y43" s="1585"/>
      <c r="Z43" s="1630"/>
      <c r="AA43" s="1630"/>
      <c r="AC43" s="1620"/>
      <c r="AD43" s="1620"/>
      <c r="AE43" s="1620"/>
      <c r="AF43" s="1620"/>
      <c r="AG43" s="1620"/>
      <c r="AH43" s="1620"/>
      <c r="AJ43" s="1631"/>
      <c r="AK43" s="1631"/>
      <c r="AL43" s="1631"/>
      <c r="AM43" s="1631"/>
      <c r="AN43" s="1631"/>
      <c r="AO43" s="1631"/>
    </row>
    <row r="44" spans="1:256" s="1629" customFormat="1" ht="24" hidden="1" customHeight="1" outlineLevel="1" x14ac:dyDescent="0.2">
      <c r="A44" s="4548"/>
      <c r="B44" s="1684" t="s">
        <v>1736</v>
      </c>
      <c r="C44" s="1571" t="s">
        <v>1718</v>
      </c>
      <c r="D44" s="1553">
        <f t="shared" ref="D44:I44" si="29">IF(D43=0,,D45/1000/D43)</f>
        <v>0</v>
      </c>
      <c r="E44" s="1552">
        <f t="shared" si="29"/>
        <v>0</v>
      </c>
      <c r="F44" s="1553"/>
      <c r="G44" s="1552"/>
      <c r="H44" s="1554">
        <f t="shared" si="29"/>
        <v>0</v>
      </c>
      <c r="I44" s="1552">
        <f t="shared" si="29"/>
        <v>0</v>
      </c>
      <c r="J44" s="1553"/>
      <c r="K44" s="1552"/>
      <c r="L44" s="1553"/>
      <c r="M44" s="1552"/>
      <c r="N44" s="1553"/>
      <c r="O44" s="1552"/>
      <c r="P44" s="1553"/>
      <c r="Q44" s="1552"/>
      <c r="R44" s="1553"/>
      <c r="S44" s="1552"/>
      <c r="T44" s="1553"/>
      <c r="U44" s="1552"/>
      <c r="V44" s="1553"/>
      <c r="W44" s="1556"/>
      <c r="X44" s="1580"/>
      <c r="Y44" s="1585"/>
      <c r="Z44" s="1630"/>
      <c r="AA44" s="1630"/>
      <c r="AC44" s="1620"/>
      <c r="AD44" s="1620"/>
      <c r="AE44" s="1620"/>
      <c r="AF44" s="1620"/>
      <c r="AG44" s="1620"/>
      <c r="AH44" s="1620"/>
      <c r="AJ44" s="1631"/>
      <c r="AK44" s="1631"/>
      <c r="AL44" s="1631"/>
      <c r="AM44" s="1631"/>
      <c r="AN44" s="1631"/>
      <c r="AO44" s="1631"/>
    </row>
    <row r="45" spans="1:256" s="1629" customFormat="1" ht="24" hidden="1" customHeight="1" outlineLevel="1" x14ac:dyDescent="0.2">
      <c r="A45" s="4549"/>
      <c r="B45" s="1687" t="s">
        <v>1737</v>
      </c>
      <c r="C45" s="1572" t="s">
        <v>1721</v>
      </c>
      <c r="D45" s="1553"/>
      <c r="E45" s="1552"/>
      <c r="F45" s="1553"/>
      <c r="G45" s="1552"/>
      <c r="H45" s="1554">
        <f>J45+L45+N45+P45+R45+T45+V45</f>
        <v>0</v>
      </c>
      <c r="I45" s="1552">
        <f>K45+M45+O45+Q45+S45+U45+W45</f>
        <v>0</v>
      </c>
      <c r="J45" s="1553">
        <f>J43*J44/1000</f>
        <v>0</v>
      </c>
      <c r="K45" s="1552">
        <f t="shared" ref="K45:W45" si="30">K43*K44/1000</f>
        <v>0</v>
      </c>
      <c r="L45" s="1553">
        <f t="shared" si="30"/>
        <v>0</v>
      </c>
      <c r="M45" s="1552">
        <f t="shared" si="30"/>
        <v>0</v>
      </c>
      <c r="N45" s="1553">
        <f t="shared" si="30"/>
        <v>0</v>
      </c>
      <c r="O45" s="1552">
        <f t="shared" si="30"/>
        <v>0</v>
      </c>
      <c r="P45" s="1553">
        <f t="shared" si="30"/>
        <v>0</v>
      </c>
      <c r="Q45" s="1552">
        <f t="shared" si="30"/>
        <v>0</v>
      </c>
      <c r="R45" s="1553">
        <f t="shared" si="30"/>
        <v>0</v>
      </c>
      <c r="S45" s="1552">
        <f t="shared" si="30"/>
        <v>0</v>
      </c>
      <c r="T45" s="1553">
        <f t="shared" si="30"/>
        <v>0</v>
      </c>
      <c r="U45" s="1552">
        <f t="shared" si="30"/>
        <v>0</v>
      </c>
      <c r="V45" s="1553">
        <f t="shared" si="30"/>
        <v>0</v>
      </c>
      <c r="W45" s="1552">
        <f t="shared" si="30"/>
        <v>0</v>
      </c>
      <c r="X45" s="1580">
        <f t="shared" ref="X45:Y45" si="31">X43*X44/1000</f>
        <v>0</v>
      </c>
      <c r="Y45" s="1579">
        <f t="shared" si="31"/>
        <v>0</v>
      </c>
      <c r="Z45" s="1630"/>
      <c r="AA45" s="1630"/>
      <c r="AC45" s="1620"/>
      <c r="AD45" s="1620"/>
      <c r="AE45" s="1620"/>
      <c r="AF45" s="1620"/>
      <c r="AG45" s="1620"/>
      <c r="AH45" s="1620"/>
      <c r="AJ45" s="1631"/>
      <c r="AK45" s="1631"/>
      <c r="AL45" s="1631"/>
      <c r="AM45" s="1631"/>
      <c r="AN45" s="1631"/>
      <c r="AO45" s="1631"/>
    </row>
    <row r="46" spans="1:256" s="1629" customFormat="1" ht="13.15" hidden="1" customHeight="1" outlineLevel="1" x14ac:dyDescent="0.2">
      <c r="A46" s="4547" t="s">
        <v>1738</v>
      </c>
      <c r="B46" s="1684" t="s">
        <v>1739</v>
      </c>
      <c r="C46" s="1571" t="s">
        <v>1686</v>
      </c>
      <c r="D46" s="1553"/>
      <c r="E46" s="1552"/>
      <c r="F46" s="1553"/>
      <c r="G46" s="1552"/>
      <c r="H46" s="1554">
        <f>J46+L46+N46+P46+R46+T46+V46</f>
        <v>0</v>
      </c>
      <c r="I46" s="1552">
        <f>K46+M46+O46+Q46+S46+U46+W46</f>
        <v>0</v>
      </c>
      <c r="J46" s="1553"/>
      <c r="K46" s="1552"/>
      <c r="L46" s="1553"/>
      <c r="M46" s="1552"/>
      <c r="N46" s="1553"/>
      <c r="O46" s="1552"/>
      <c r="P46" s="1553"/>
      <c r="Q46" s="1552"/>
      <c r="R46" s="1553"/>
      <c r="S46" s="1552"/>
      <c r="T46" s="1553"/>
      <c r="U46" s="1552"/>
      <c r="V46" s="1553"/>
      <c r="W46" s="1556"/>
      <c r="X46" s="1580"/>
      <c r="Y46" s="1585"/>
      <c r="Z46" s="1630"/>
      <c r="AA46" s="1630"/>
      <c r="AC46" s="1620"/>
      <c r="AD46" s="1620"/>
      <c r="AE46" s="1620"/>
      <c r="AF46" s="1620"/>
      <c r="AG46" s="1620"/>
      <c r="AH46" s="1620"/>
      <c r="AJ46" s="1631"/>
      <c r="AK46" s="1631"/>
      <c r="AL46" s="1631"/>
      <c r="AM46" s="1631"/>
      <c r="AN46" s="1631"/>
      <c r="AO46" s="1631"/>
    </row>
    <row r="47" spans="1:256" s="1629" customFormat="1" ht="24" hidden="1" customHeight="1" outlineLevel="1" x14ac:dyDescent="0.2">
      <c r="A47" s="4548"/>
      <c r="B47" s="1684" t="s">
        <v>1740</v>
      </c>
      <c r="C47" s="1571" t="s">
        <v>1718</v>
      </c>
      <c r="D47" s="1553">
        <f t="shared" ref="D47:I47" si="32">IF(D46=0,,D48/1000/D46)</f>
        <v>0</v>
      </c>
      <c r="E47" s="1552">
        <f t="shared" si="32"/>
        <v>0</v>
      </c>
      <c r="F47" s="1553"/>
      <c r="G47" s="1552"/>
      <c r="H47" s="1554">
        <f t="shared" si="32"/>
        <v>0</v>
      </c>
      <c r="I47" s="1552">
        <f t="shared" si="32"/>
        <v>0</v>
      </c>
      <c r="J47" s="1553"/>
      <c r="K47" s="1552"/>
      <c r="L47" s="1553"/>
      <c r="M47" s="1552"/>
      <c r="N47" s="1553"/>
      <c r="O47" s="1552"/>
      <c r="P47" s="1553"/>
      <c r="Q47" s="1552"/>
      <c r="R47" s="1553"/>
      <c r="S47" s="1552"/>
      <c r="T47" s="1553"/>
      <c r="U47" s="1552"/>
      <c r="V47" s="1553"/>
      <c r="W47" s="1556"/>
      <c r="X47" s="1580"/>
      <c r="Y47" s="1585"/>
      <c r="Z47" s="1630"/>
      <c r="AA47" s="1630"/>
      <c r="AC47" s="1620"/>
      <c r="AD47" s="1620"/>
      <c r="AE47" s="1620"/>
      <c r="AF47" s="1620"/>
      <c r="AG47" s="1620"/>
      <c r="AH47" s="1620"/>
      <c r="AJ47" s="1631"/>
      <c r="AK47" s="1631"/>
      <c r="AL47" s="1631"/>
      <c r="AM47" s="1631"/>
      <c r="AN47" s="1631"/>
      <c r="AO47" s="1631"/>
    </row>
    <row r="48" spans="1:256" s="1629" customFormat="1" ht="24" hidden="1" customHeight="1" outlineLevel="1" x14ac:dyDescent="0.2">
      <c r="A48" s="4549"/>
      <c r="B48" s="1687" t="s">
        <v>1741</v>
      </c>
      <c r="C48" s="1572" t="s">
        <v>1721</v>
      </c>
      <c r="D48" s="1553"/>
      <c r="E48" s="1552"/>
      <c r="F48" s="1553"/>
      <c r="G48" s="1552"/>
      <c r="H48" s="1554">
        <f>J48+L48+N48+P48+R48+T48+V48</f>
        <v>0</v>
      </c>
      <c r="I48" s="1552">
        <f>K48+M48+O48+Q48+S48+U48+W48</f>
        <v>0</v>
      </c>
      <c r="J48" s="1553">
        <f>J46*J47/1000</f>
        <v>0</v>
      </c>
      <c r="K48" s="1552">
        <f t="shared" ref="K48:W48" si="33">K46*K47/1000</f>
        <v>0</v>
      </c>
      <c r="L48" s="1553">
        <f t="shared" si="33"/>
        <v>0</v>
      </c>
      <c r="M48" s="1552">
        <f t="shared" si="33"/>
        <v>0</v>
      </c>
      <c r="N48" s="1553">
        <f t="shared" si="33"/>
        <v>0</v>
      </c>
      <c r="O48" s="1552">
        <f t="shared" si="33"/>
        <v>0</v>
      </c>
      <c r="P48" s="1553">
        <f t="shared" si="33"/>
        <v>0</v>
      </c>
      <c r="Q48" s="1552">
        <f t="shared" si="33"/>
        <v>0</v>
      </c>
      <c r="R48" s="1553">
        <f t="shared" si="33"/>
        <v>0</v>
      </c>
      <c r="S48" s="1552">
        <f t="shared" si="33"/>
        <v>0</v>
      </c>
      <c r="T48" s="1553">
        <f t="shared" si="33"/>
        <v>0</v>
      </c>
      <c r="U48" s="1552">
        <f t="shared" si="33"/>
        <v>0</v>
      </c>
      <c r="V48" s="1553">
        <f t="shared" si="33"/>
        <v>0</v>
      </c>
      <c r="W48" s="1552">
        <f t="shared" si="33"/>
        <v>0</v>
      </c>
      <c r="X48" s="1580">
        <f t="shared" ref="X48:Y48" si="34">X46*X47/1000</f>
        <v>0</v>
      </c>
      <c r="Y48" s="1579">
        <f t="shared" si="34"/>
        <v>0</v>
      </c>
      <c r="Z48" s="1630"/>
      <c r="AA48" s="1630"/>
      <c r="AC48" s="1620"/>
      <c r="AD48" s="1620"/>
      <c r="AE48" s="1620"/>
      <c r="AF48" s="1620"/>
      <c r="AG48" s="1620"/>
      <c r="AH48" s="1620"/>
      <c r="AJ48" s="1631"/>
      <c r="AK48" s="1631"/>
      <c r="AL48" s="1631"/>
      <c r="AM48" s="1631"/>
      <c r="AN48" s="1631"/>
      <c r="AO48" s="1631"/>
    </row>
    <row r="49" spans="1:256" ht="13.15" hidden="1" customHeight="1" outlineLevel="1" x14ac:dyDescent="0.2">
      <c r="A49" s="4547" t="s">
        <v>1742</v>
      </c>
      <c r="B49" s="1684" t="s">
        <v>1743</v>
      </c>
      <c r="C49" s="1571" t="s">
        <v>1686</v>
      </c>
      <c r="D49" s="1553"/>
      <c r="E49" s="1552"/>
      <c r="F49" s="1553"/>
      <c r="G49" s="1552"/>
      <c r="H49" s="1554">
        <f>J49+L49+N49+P49+R49+T49+V49</f>
        <v>0</v>
      </c>
      <c r="I49" s="1552">
        <f>K49+M49+O49+Q49+S49+U49+W49</f>
        <v>0</v>
      </c>
      <c r="J49" s="1553"/>
      <c r="K49" s="1552"/>
      <c r="L49" s="1553"/>
      <c r="M49" s="1552"/>
      <c r="N49" s="1553"/>
      <c r="O49" s="1552"/>
      <c r="P49" s="1553"/>
      <c r="Q49" s="1552"/>
      <c r="R49" s="1553"/>
      <c r="S49" s="1552"/>
      <c r="T49" s="1553"/>
      <c r="U49" s="1552"/>
      <c r="V49" s="1553"/>
      <c r="W49" s="1556"/>
      <c r="X49" s="1580"/>
      <c r="Y49" s="1585"/>
      <c r="Z49" s="1630"/>
      <c r="AA49" s="1630"/>
      <c r="AB49" s="1629"/>
      <c r="AC49" s="1620"/>
      <c r="AD49" s="1620"/>
      <c r="AE49" s="1620"/>
      <c r="AF49" s="1620"/>
      <c r="AG49" s="1620"/>
      <c r="AH49" s="1620"/>
      <c r="AI49" s="1629"/>
      <c r="AJ49" s="1631"/>
      <c r="AK49" s="1631"/>
      <c r="AL49" s="1631"/>
      <c r="AM49" s="1631"/>
      <c r="AN49" s="1631"/>
      <c r="AO49" s="1631"/>
      <c r="AP49" s="1629"/>
      <c r="AQ49" s="1629"/>
      <c r="AR49" s="1629"/>
      <c r="AS49" s="1629"/>
      <c r="AT49" s="1629"/>
      <c r="AU49" s="1629"/>
      <c r="AV49" s="1629"/>
      <c r="AW49" s="1629"/>
      <c r="AX49" s="1629"/>
      <c r="AY49" s="1629"/>
      <c r="AZ49" s="1629"/>
      <c r="BA49" s="1629"/>
      <c r="BB49" s="1629"/>
      <c r="BC49" s="1629"/>
      <c r="BD49" s="1629"/>
      <c r="BE49" s="1629"/>
      <c r="BF49" s="1629"/>
      <c r="BG49" s="1629"/>
      <c r="BH49" s="1629"/>
      <c r="BI49" s="1629"/>
      <c r="BJ49" s="1629"/>
      <c r="BK49" s="1629"/>
      <c r="BL49" s="1629"/>
      <c r="BM49" s="1629"/>
      <c r="BN49" s="1629"/>
      <c r="BO49" s="1629"/>
      <c r="BP49" s="1629"/>
      <c r="BQ49" s="1629"/>
      <c r="BR49" s="1629"/>
      <c r="BS49" s="1629"/>
      <c r="BT49" s="1629"/>
      <c r="BU49" s="1629"/>
      <c r="BV49" s="1629"/>
      <c r="BW49" s="1629"/>
      <c r="BX49" s="1629"/>
      <c r="BY49" s="1629"/>
      <c r="BZ49" s="1629"/>
      <c r="CA49" s="1629"/>
      <c r="CB49" s="1629"/>
      <c r="CC49" s="1629"/>
      <c r="CD49" s="1629"/>
      <c r="CE49" s="1629"/>
      <c r="CF49" s="1629"/>
      <c r="CG49" s="1629"/>
      <c r="CH49" s="1629"/>
      <c r="CI49" s="1629"/>
      <c r="CJ49" s="1629"/>
      <c r="CK49" s="1629"/>
      <c r="CL49" s="1629"/>
      <c r="CM49" s="1629"/>
      <c r="CN49" s="1629"/>
      <c r="CO49" s="1629"/>
      <c r="CP49" s="1629"/>
      <c r="CQ49" s="1629"/>
      <c r="CR49" s="1629"/>
      <c r="CS49" s="1629"/>
      <c r="CT49" s="1629"/>
      <c r="CU49" s="1629"/>
      <c r="CV49" s="1629"/>
      <c r="CW49" s="1629"/>
      <c r="CX49" s="1629"/>
      <c r="CY49" s="1629"/>
      <c r="CZ49" s="1629"/>
      <c r="DA49" s="1629"/>
      <c r="DB49" s="1629"/>
      <c r="DC49" s="1629"/>
      <c r="DD49" s="1629"/>
      <c r="DE49" s="1629"/>
      <c r="DF49" s="1629"/>
      <c r="DG49" s="1629"/>
      <c r="DH49" s="1629"/>
      <c r="DI49" s="1629"/>
      <c r="DJ49" s="1629"/>
      <c r="DK49" s="1629"/>
      <c r="DL49" s="1629"/>
      <c r="DM49" s="1629"/>
      <c r="DN49" s="1629"/>
      <c r="DO49" s="1629"/>
      <c r="DP49" s="1629"/>
      <c r="DQ49" s="1629"/>
      <c r="DR49" s="1629"/>
      <c r="DS49" s="1629"/>
      <c r="DT49" s="1629"/>
      <c r="DU49" s="1629"/>
      <c r="DV49" s="1629"/>
      <c r="DW49" s="1629"/>
      <c r="DX49" s="1629"/>
      <c r="DY49" s="1629"/>
      <c r="DZ49" s="1629"/>
      <c r="EA49" s="1629"/>
      <c r="EB49" s="1629"/>
      <c r="EC49" s="1629"/>
      <c r="ED49" s="1629"/>
      <c r="EE49" s="1629"/>
      <c r="EF49" s="1629"/>
      <c r="EG49" s="1629"/>
      <c r="EH49" s="1629"/>
      <c r="EI49" s="1629"/>
      <c r="EJ49" s="1629"/>
      <c r="EK49" s="1629"/>
      <c r="EL49" s="1629"/>
      <c r="EM49" s="1629"/>
      <c r="EN49" s="1629"/>
      <c r="EO49" s="1629"/>
      <c r="EP49" s="1629"/>
      <c r="EQ49" s="1629"/>
      <c r="ER49" s="1629"/>
      <c r="ES49" s="1629"/>
      <c r="ET49" s="1629"/>
      <c r="EU49" s="1629"/>
      <c r="EV49" s="1629"/>
      <c r="EW49" s="1629"/>
      <c r="EX49" s="1629"/>
      <c r="EY49" s="1629"/>
      <c r="EZ49" s="1629"/>
      <c r="FA49" s="1629"/>
      <c r="FB49" s="1629"/>
      <c r="FC49" s="1629"/>
      <c r="FD49" s="1629"/>
      <c r="FE49" s="1629"/>
      <c r="FF49" s="1629"/>
      <c r="FG49" s="1629"/>
      <c r="FH49" s="1629"/>
      <c r="FI49" s="1629"/>
      <c r="FJ49" s="1629"/>
      <c r="FK49" s="1629"/>
      <c r="FL49" s="1629"/>
      <c r="FM49" s="1629"/>
      <c r="FN49" s="1629"/>
      <c r="FO49" s="1629"/>
      <c r="FP49" s="1629"/>
      <c r="FQ49" s="1629"/>
      <c r="FR49" s="1629"/>
      <c r="FS49" s="1629"/>
      <c r="FT49" s="1629"/>
      <c r="FU49" s="1629"/>
      <c r="FV49" s="1629"/>
      <c r="FW49" s="1629"/>
      <c r="FX49" s="1629"/>
      <c r="FY49" s="1629"/>
      <c r="FZ49" s="1629"/>
      <c r="GA49" s="1629"/>
      <c r="GB49" s="1629"/>
      <c r="GC49" s="1629"/>
      <c r="GD49" s="1629"/>
      <c r="GE49" s="1629"/>
      <c r="GF49" s="1629"/>
      <c r="GG49" s="1629"/>
      <c r="GH49" s="1629"/>
      <c r="GI49" s="1629"/>
      <c r="GJ49" s="1629"/>
      <c r="GK49" s="1629"/>
      <c r="GL49" s="1629"/>
      <c r="GM49" s="1629"/>
      <c r="GN49" s="1629"/>
      <c r="GO49" s="1629"/>
      <c r="GP49" s="1629"/>
      <c r="GQ49" s="1629"/>
      <c r="GR49" s="1629"/>
      <c r="GS49" s="1629"/>
      <c r="GT49" s="1629"/>
      <c r="GU49" s="1629"/>
      <c r="GV49" s="1629"/>
      <c r="GW49" s="1629"/>
      <c r="GX49" s="1629"/>
      <c r="GY49" s="1629"/>
      <c r="GZ49" s="1629"/>
      <c r="HA49" s="1629"/>
      <c r="HB49" s="1629"/>
      <c r="HC49" s="1629"/>
      <c r="HD49" s="1629"/>
      <c r="HE49" s="1629"/>
      <c r="HF49" s="1629"/>
      <c r="HG49" s="1629"/>
      <c r="HH49" s="1629"/>
      <c r="HI49" s="1629"/>
      <c r="HJ49" s="1629"/>
      <c r="HK49" s="1629"/>
      <c r="HL49" s="1629"/>
      <c r="HM49" s="1629"/>
      <c r="HN49" s="1629"/>
      <c r="HO49" s="1629"/>
      <c r="HP49" s="1629"/>
      <c r="HQ49" s="1629"/>
      <c r="HR49" s="1629"/>
      <c r="HS49" s="1629"/>
      <c r="HT49" s="1629"/>
      <c r="HU49" s="1629"/>
      <c r="HV49" s="1629"/>
      <c r="HW49" s="1629"/>
      <c r="HX49" s="1629"/>
      <c r="HY49" s="1629"/>
      <c r="HZ49" s="1629"/>
      <c r="IA49" s="1629"/>
      <c r="IB49" s="1629"/>
      <c r="IC49" s="1629"/>
      <c r="ID49" s="1629"/>
      <c r="IE49" s="1629"/>
      <c r="IF49" s="1629"/>
      <c r="IG49" s="1629"/>
      <c r="IH49" s="1629"/>
      <c r="II49" s="1629"/>
      <c r="IJ49" s="1629"/>
      <c r="IK49" s="1629"/>
      <c r="IL49" s="1629"/>
      <c r="IM49" s="1629"/>
      <c r="IN49" s="1629"/>
      <c r="IO49" s="1629"/>
      <c r="IP49" s="1629"/>
      <c r="IQ49" s="1629"/>
      <c r="IR49" s="1629"/>
      <c r="IS49" s="1629"/>
      <c r="IT49" s="1629"/>
      <c r="IU49" s="1629"/>
      <c r="IV49" s="1629"/>
    </row>
    <row r="50" spans="1:256" ht="24" hidden="1" customHeight="1" outlineLevel="1" x14ac:dyDescent="0.2">
      <c r="A50" s="4548"/>
      <c r="B50" s="1684" t="s">
        <v>1744</v>
      </c>
      <c r="C50" s="1571" t="s">
        <v>1718</v>
      </c>
      <c r="D50" s="1553">
        <f t="shared" ref="D50:I50" si="35">IF(D49=0,,D51/1000/D49)</f>
        <v>0</v>
      </c>
      <c r="E50" s="1552">
        <f t="shared" si="35"/>
        <v>0</v>
      </c>
      <c r="F50" s="1553"/>
      <c r="G50" s="1552"/>
      <c r="H50" s="1554">
        <f t="shared" si="35"/>
        <v>0</v>
      </c>
      <c r="I50" s="1552">
        <f t="shared" si="35"/>
        <v>0</v>
      </c>
      <c r="J50" s="1553"/>
      <c r="K50" s="1552"/>
      <c r="L50" s="1553"/>
      <c r="M50" s="1552"/>
      <c r="N50" s="1553"/>
      <c r="O50" s="1552"/>
      <c r="P50" s="1553"/>
      <c r="Q50" s="1552"/>
      <c r="R50" s="1553"/>
      <c r="S50" s="1552"/>
      <c r="T50" s="1553"/>
      <c r="U50" s="1552"/>
      <c r="V50" s="1553"/>
      <c r="W50" s="1556"/>
      <c r="X50" s="1580"/>
      <c r="Y50" s="1585"/>
      <c r="Z50" s="1630"/>
      <c r="AA50" s="1630"/>
      <c r="AB50" s="1629"/>
      <c r="AC50" s="1620"/>
      <c r="AD50" s="1620"/>
      <c r="AE50" s="1620"/>
      <c r="AF50" s="1620"/>
      <c r="AG50" s="1620"/>
      <c r="AH50" s="1620"/>
      <c r="AI50" s="1629"/>
      <c r="AJ50" s="1631"/>
      <c r="AK50" s="1631"/>
      <c r="AL50" s="1631"/>
      <c r="AM50" s="1631"/>
      <c r="AN50" s="1631"/>
      <c r="AO50" s="1631"/>
      <c r="AP50" s="1629"/>
      <c r="AQ50" s="1629"/>
      <c r="AR50" s="1629"/>
      <c r="AS50" s="1629"/>
      <c r="AT50" s="1629"/>
      <c r="AU50" s="1629"/>
      <c r="AV50" s="1629"/>
      <c r="AW50" s="1629"/>
      <c r="AX50" s="1629"/>
      <c r="AY50" s="1629"/>
      <c r="AZ50" s="1629"/>
      <c r="BA50" s="1629"/>
      <c r="BB50" s="1629"/>
      <c r="BC50" s="1629"/>
      <c r="BD50" s="1629"/>
      <c r="BE50" s="1629"/>
      <c r="BF50" s="1629"/>
      <c r="BG50" s="1629"/>
      <c r="BH50" s="1629"/>
      <c r="BI50" s="1629"/>
      <c r="BJ50" s="1629"/>
      <c r="BK50" s="1629"/>
      <c r="BL50" s="1629"/>
      <c r="BM50" s="1629"/>
      <c r="BN50" s="1629"/>
      <c r="BO50" s="1629"/>
      <c r="BP50" s="1629"/>
      <c r="BQ50" s="1629"/>
      <c r="BR50" s="1629"/>
      <c r="BS50" s="1629"/>
      <c r="BT50" s="1629"/>
      <c r="BU50" s="1629"/>
      <c r="BV50" s="1629"/>
      <c r="BW50" s="1629"/>
      <c r="BX50" s="1629"/>
      <c r="BY50" s="1629"/>
      <c r="BZ50" s="1629"/>
      <c r="CA50" s="1629"/>
      <c r="CB50" s="1629"/>
      <c r="CC50" s="1629"/>
      <c r="CD50" s="1629"/>
      <c r="CE50" s="1629"/>
      <c r="CF50" s="1629"/>
      <c r="CG50" s="1629"/>
      <c r="CH50" s="1629"/>
      <c r="CI50" s="1629"/>
      <c r="CJ50" s="1629"/>
      <c r="CK50" s="1629"/>
      <c r="CL50" s="1629"/>
      <c r="CM50" s="1629"/>
      <c r="CN50" s="1629"/>
      <c r="CO50" s="1629"/>
      <c r="CP50" s="1629"/>
      <c r="CQ50" s="1629"/>
      <c r="CR50" s="1629"/>
      <c r="CS50" s="1629"/>
      <c r="CT50" s="1629"/>
      <c r="CU50" s="1629"/>
      <c r="CV50" s="1629"/>
      <c r="CW50" s="1629"/>
      <c r="CX50" s="1629"/>
      <c r="CY50" s="1629"/>
      <c r="CZ50" s="1629"/>
      <c r="DA50" s="1629"/>
      <c r="DB50" s="1629"/>
      <c r="DC50" s="1629"/>
      <c r="DD50" s="1629"/>
      <c r="DE50" s="1629"/>
      <c r="DF50" s="1629"/>
      <c r="DG50" s="1629"/>
      <c r="DH50" s="1629"/>
      <c r="DI50" s="1629"/>
      <c r="DJ50" s="1629"/>
      <c r="DK50" s="1629"/>
      <c r="DL50" s="1629"/>
      <c r="DM50" s="1629"/>
      <c r="DN50" s="1629"/>
      <c r="DO50" s="1629"/>
      <c r="DP50" s="1629"/>
      <c r="DQ50" s="1629"/>
      <c r="DR50" s="1629"/>
      <c r="DS50" s="1629"/>
      <c r="DT50" s="1629"/>
      <c r="DU50" s="1629"/>
      <c r="DV50" s="1629"/>
      <c r="DW50" s="1629"/>
      <c r="DX50" s="1629"/>
      <c r="DY50" s="1629"/>
      <c r="DZ50" s="1629"/>
      <c r="EA50" s="1629"/>
      <c r="EB50" s="1629"/>
      <c r="EC50" s="1629"/>
      <c r="ED50" s="1629"/>
      <c r="EE50" s="1629"/>
      <c r="EF50" s="1629"/>
      <c r="EG50" s="1629"/>
      <c r="EH50" s="1629"/>
      <c r="EI50" s="1629"/>
      <c r="EJ50" s="1629"/>
      <c r="EK50" s="1629"/>
      <c r="EL50" s="1629"/>
      <c r="EM50" s="1629"/>
      <c r="EN50" s="1629"/>
      <c r="EO50" s="1629"/>
      <c r="EP50" s="1629"/>
      <c r="EQ50" s="1629"/>
      <c r="ER50" s="1629"/>
      <c r="ES50" s="1629"/>
      <c r="ET50" s="1629"/>
      <c r="EU50" s="1629"/>
      <c r="EV50" s="1629"/>
      <c r="EW50" s="1629"/>
      <c r="EX50" s="1629"/>
      <c r="EY50" s="1629"/>
      <c r="EZ50" s="1629"/>
      <c r="FA50" s="1629"/>
      <c r="FB50" s="1629"/>
      <c r="FC50" s="1629"/>
      <c r="FD50" s="1629"/>
      <c r="FE50" s="1629"/>
      <c r="FF50" s="1629"/>
      <c r="FG50" s="1629"/>
      <c r="FH50" s="1629"/>
      <c r="FI50" s="1629"/>
      <c r="FJ50" s="1629"/>
      <c r="FK50" s="1629"/>
      <c r="FL50" s="1629"/>
      <c r="FM50" s="1629"/>
      <c r="FN50" s="1629"/>
      <c r="FO50" s="1629"/>
      <c r="FP50" s="1629"/>
      <c r="FQ50" s="1629"/>
      <c r="FR50" s="1629"/>
      <c r="FS50" s="1629"/>
      <c r="FT50" s="1629"/>
      <c r="FU50" s="1629"/>
      <c r="FV50" s="1629"/>
      <c r="FW50" s="1629"/>
      <c r="FX50" s="1629"/>
      <c r="FY50" s="1629"/>
      <c r="FZ50" s="1629"/>
      <c r="GA50" s="1629"/>
      <c r="GB50" s="1629"/>
      <c r="GC50" s="1629"/>
      <c r="GD50" s="1629"/>
      <c r="GE50" s="1629"/>
      <c r="GF50" s="1629"/>
      <c r="GG50" s="1629"/>
      <c r="GH50" s="1629"/>
      <c r="GI50" s="1629"/>
      <c r="GJ50" s="1629"/>
      <c r="GK50" s="1629"/>
      <c r="GL50" s="1629"/>
      <c r="GM50" s="1629"/>
      <c r="GN50" s="1629"/>
      <c r="GO50" s="1629"/>
      <c r="GP50" s="1629"/>
      <c r="GQ50" s="1629"/>
      <c r="GR50" s="1629"/>
      <c r="GS50" s="1629"/>
      <c r="GT50" s="1629"/>
      <c r="GU50" s="1629"/>
      <c r="GV50" s="1629"/>
      <c r="GW50" s="1629"/>
      <c r="GX50" s="1629"/>
      <c r="GY50" s="1629"/>
      <c r="GZ50" s="1629"/>
      <c r="HA50" s="1629"/>
      <c r="HB50" s="1629"/>
      <c r="HC50" s="1629"/>
      <c r="HD50" s="1629"/>
      <c r="HE50" s="1629"/>
      <c r="HF50" s="1629"/>
      <c r="HG50" s="1629"/>
      <c r="HH50" s="1629"/>
      <c r="HI50" s="1629"/>
      <c r="HJ50" s="1629"/>
      <c r="HK50" s="1629"/>
      <c r="HL50" s="1629"/>
      <c r="HM50" s="1629"/>
      <c r="HN50" s="1629"/>
      <c r="HO50" s="1629"/>
      <c r="HP50" s="1629"/>
      <c r="HQ50" s="1629"/>
      <c r="HR50" s="1629"/>
      <c r="HS50" s="1629"/>
      <c r="HT50" s="1629"/>
      <c r="HU50" s="1629"/>
      <c r="HV50" s="1629"/>
      <c r="HW50" s="1629"/>
      <c r="HX50" s="1629"/>
      <c r="HY50" s="1629"/>
      <c r="HZ50" s="1629"/>
      <c r="IA50" s="1629"/>
      <c r="IB50" s="1629"/>
      <c r="IC50" s="1629"/>
      <c r="ID50" s="1629"/>
      <c r="IE50" s="1629"/>
      <c r="IF50" s="1629"/>
      <c r="IG50" s="1629"/>
      <c r="IH50" s="1629"/>
      <c r="II50" s="1629"/>
      <c r="IJ50" s="1629"/>
      <c r="IK50" s="1629"/>
      <c r="IL50" s="1629"/>
      <c r="IM50" s="1629"/>
      <c r="IN50" s="1629"/>
      <c r="IO50" s="1629"/>
      <c r="IP50" s="1629"/>
      <c r="IQ50" s="1629"/>
      <c r="IR50" s="1629"/>
      <c r="IS50" s="1629"/>
      <c r="IT50" s="1629"/>
      <c r="IU50" s="1629"/>
      <c r="IV50" s="1629"/>
    </row>
    <row r="51" spans="1:256" ht="24" hidden="1" customHeight="1" outlineLevel="1" x14ac:dyDescent="0.2">
      <c r="A51" s="4549"/>
      <c r="B51" s="1687" t="s">
        <v>1745</v>
      </c>
      <c r="C51" s="1572" t="s">
        <v>1721</v>
      </c>
      <c r="D51" s="1553"/>
      <c r="E51" s="1552"/>
      <c r="F51" s="1553"/>
      <c r="G51" s="1552"/>
      <c r="H51" s="1554">
        <f>J51+L51+N51+P51+R51+T51+V51</f>
        <v>0</v>
      </c>
      <c r="I51" s="1552">
        <f>K51+M51+O51+Q51+S51+U51+W51</f>
        <v>0</v>
      </c>
      <c r="J51" s="1553">
        <f>J49*J50/1000</f>
        <v>0</v>
      </c>
      <c r="K51" s="1552">
        <f t="shared" ref="K51:W51" si="36">K49*K50/1000</f>
        <v>0</v>
      </c>
      <c r="L51" s="1553">
        <f t="shared" si="36"/>
        <v>0</v>
      </c>
      <c r="M51" s="1552">
        <f t="shared" si="36"/>
        <v>0</v>
      </c>
      <c r="N51" s="1553">
        <f t="shared" si="36"/>
        <v>0</v>
      </c>
      <c r="O51" s="1552">
        <f t="shared" si="36"/>
        <v>0</v>
      </c>
      <c r="P51" s="1553">
        <f t="shared" si="36"/>
        <v>0</v>
      </c>
      <c r="Q51" s="1552">
        <f t="shared" si="36"/>
        <v>0</v>
      </c>
      <c r="R51" s="1553">
        <f t="shared" si="36"/>
        <v>0</v>
      </c>
      <c r="S51" s="1552">
        <f t="shared" si="36"/>
        <v>0</v>
      </c>
      <c r="T51" s="1553">
        <f t="shared" si="36"/>
        <v>0</v>
      </c>
      <c r="U51" s="1552">
        <f t="shared" si="36"/>
        <v>0</v>
      </c>
      <c r="V51" s="1553">
        <f t="shared" si="36"/>
        <v>0</v>
      </c>
      <c r="W51" s="1552">
        <f t="shared" si="36"/>
        <v>0</v>
      </c>
      <c r="X51" s="1580">
        <f t="shared" ref="X51:Y51" si="37">X49*X50/1000</f>
        <v>0</v>
      </c>
      <c r="Y51" s="1579">
        <f t="shared" si="37"/>
        <v>0</v>
      </c>
      <c r="Z51" s="1630"/>
      <c r="AA51" s="1630"/>
      <c r="AB51" s="1629"/>
      <c r="AC51" s="1620"/>
      <c r="AD51" s="1620"/>
      <c r="AE51" s="1620"/>
      <c r="AF51" s="1620"/>
      <c r="AG51" s="1620"/>
      <c r="AH51" s="1620"/>
      <c r="AI51" s="1629"/>
      <c r="AJ51" s="1631"/>
      <c r="AK51" s="1631"/>
      <c r="AL51" s="1631"/>
      <c r="AM51" s="1631"/>
      <c r="AN51" s="1631"/>
      <c r="AO51" s="1631"/>
      <c r="AP51" s="1629"/>
      <c r="AQ51" s="1629"/>
      <c r="AR51" s="1629"/>
      <c r="AS51" s="1629"/>
      <c r="AT51" s="1629"/>
      <c r="AU51" s="1629"/>
      <c r="AV51" s="1629"/>
      <c r="AW51" s="1629"/>
      <c r="AX51" s="1629"/>
      <c r="AY51" s="1629"/>
      <c r="AZ51" s="1629"/>
      <c r="BA51" s="1629"/>
      <c r="BB51" s="1629"/>
      <c r="BC51" s="1629"/>
      <c r="BD51" s="1629"/>
      <c r="BE51" s="1629"/>
      <c r="BF51" s="1629"/>
      <c r="BG51" s="1629"/>
      <c r="BH51" s="1629"/>
      <c r="BI51" s="1629"/>
      <c r="BJ51" s="1629"/>
      <c r="BK51" s="1629"/>
      <c r="BL51" s="1629"/>
      <c r="BM51" s="1629"/>
      <c r="BN51" s="1629"/>
      <c r="BO51" s="1629"/>
      <c r="BP51" s="1629"/>
      <c r="BQ51" s="1629"/>
      <c r="BR51" s="1629"/>
      <c r="BS51" s="1629"/>
      <c r="BT51" s="1629"/>
      <c r="BU51" s="1629"/>
      <c r="BV51" s="1629"/>
      <c r="BW51" s="1629"/>
      <c r="BX51" s="1629"/>
      <c r="BY51" s="1629"/>
      <c r="BZ51" s="1629"/>
      <c r="CA51" s="1629"/>
      <c r="CB51" s="1629"/>
      <c r="CC51" s="1629"/>
      <c r="CD51" s="1629"/>
      <c r="CE51" s="1629"/>
      <c r="CF51" s="1629"/>
      <c r="CG51" s="1629"/>
      <c r="CH51" s="1629"/>
      <c r="CI51" s="1629"/>
      <c r="CJ51" s="1629"/>
      <c r="CK51" s="1629"/>
      <c r="CL51" s="1629"/>
      <c r="CM51" s="1629"/>
      <c r="CN51" s="1629"/>
      <c r="CO51" s="1629"/>
      <c r="CP51" s="1629"/>
      <c r="CQ51" s="1629"/>
      <c r="CR51" s="1629"/>
      <c r="CS51" s="1629"/>
      <c r="CT51" s="1629"/>
      <c r="CU51" s="1629"/>
      <c r="CV51" s="1629"/>
      <c r="CW51" s="1629"/>
      <c r="CX51" s="1629"/>
      <c r="CY51" s="1629"/>
      <c r="CZ51" s="1629"/>
      <c r="DA51" s="1629"/>
      <c r="DB51" s="1629"/>
      <c r="DC51" s="1629"/>
      <c r="DD51" s="1629"/>
      <c r="DE51" s="1629"/>
      <c r="DF51" s="1629"/>
      <c r="DG51" s="1629"/>
      <c r="DH51" s="1629"/>
      <c r="DI51" s="1629"/>
      <c r="DJ51" s="1629"/>
      <c r="DK51" s="1629"/>
      <c r="DL51" s="1629"/>
      <c r="DM51" s="1629"/>
      <c r="DN51" s="1629"/>
      <c r="DO51" s="1629"/>
      <c r="DP51" s="1629"/>
      <c r="DQ51" s="1629"/>
      <c r="DR51" s="1629"/>
      <c r="DS51" s="1629"/>
      <c r="DT51" s="1629"/>
      <c r="DU51" s="1629"/>
      <c r="DV51" s="1629"/>
      <c r="DW51" s="1629"/>
      <c r="DX51" s="1629"/>
      <c r="DY51" s="1629"/>
      <c r="DZ51" s="1629"/>
      <c r="EA51" s="1629"/>
      <c r="EB51" s="1629"/>
      <c r="EC51" s="1629"/>
      <c r="ED51" s="1629"/>
      <c r="EE51" s="1629"/>
      <c r="EF51" s="1629"/>
      <c r="EG51" s="1629"/>
      <c r="EH51" s="1629"/>
      <c r="EI51" s="1629"/>
      <c r="EJ51" s="1629"/>
      <c r="EK51" s="1629"/>
      <c r="EL51" s="1629"/>
      <c r="EM51" s="1629"/>
      <c r="EN51" s="1629"/>
      <c r="EO51" s="1629"/>
      <c r="EP51" s="1629"/>
      <c r="EQ51" s="1629"/>
      <c r="ER51" s="1629"/>
      <c r="ES51" s="1629"/>
      <c r="ET51" s="1629"/>
      <c r="EU51" s="1629"/>
      <c r="EV51" s="1629"/>
      <c r="EW51" s="1629"/>
      <c r="EX51" s="1629"/>
      <c r="EY51" s="1629"/>
      <c r="EZ51" s="1629"/>
      <c r="FA51" s="1629"/>
      <c r="FB51" s="1629"/>
      <c r="FC51" s="1629"/>
      <c r="FD51" s="1629"/>
      <c r="FE51" s="1629"/>
      <c r="FF51" s="1629"/>
      <c r="FG51" s="1629"/>
      <c r="FH51" s="1629"/>
      <c r="FI51" s="1629"/>
      <c r="FJ51" s="1629"/>
      <c r="FK51" s="1629"/>
      <c r="FL51" s="1629"/>
      <c r="FM51" s="1629"/>
      <c r="FN51" s="1629"/>
      <c r="FO51" s="1629"/>
      <c r="FP51" s="1629"/>
      <c r="FQ51" s="1629"/>
      <c r="FR51" s="1629"/>
      <c r="FS51" s="1629"/>
      <c r="FT51" s="1629"/>
      <c r="FU51" s="1629"/>
      <c r="FV51" s="1629"/>
      <c r="FW51" s="1629"/>
      <c r="FX51" s="1629"/>
      <c r="FY51" s="1629"/>
      <c r="FZ51" s="1629"/>
      <c r="GA51" s="1629"/>
      <c r="GB51" s="1629"/>
      <c r="GC51" s="1629"/>
      <c r="GD51" s="1629"/>
      <c r="GE51" s="1629"/>
      <c r="GF51" s="1629"/>
      <c r="GG51" s="1629"/>
      <c r="GH51" s="1629"/>
      <c r="GI51" s="1629"/>
      <c r="GJ51" s="1629"/>
      <c r="GK51" s="1629"/>
      <c r="GL51" s="1629"/>
      <c r="GM51" s="1629"/>
      <c r="GN51" s="1629"/>
      <c r="GO51" s="1629"/>
      <c r="GP51" s="1629"/>
      <c r="GQ51" s="1629"/>
      <c r="GR51" s="1629"/>
      <c r="GS51" s="1629"/>
      <c r="GT51" s="1629"/>
      <c r="GU51" s="1629"/>
      <c r="GV51" s="1629"/>
      <c r="GW51" s="1629"/>
      <c r="GX51" s="1629"/>
      <c r="GY51" s="1629"/>
      <c r="GZ51" s="1629"/>
      <c r="HA51" s="1629"/>
      <c r="HB51" s="1629"/>
      <c r="HC51" s="1629"/>
      <c r="HD51" s="1629"/>
      <c r="HE51" s="1629"/>
      <c r="HF51" s="1629"/>
      <c r="HG51" s="1629"/>
      <c r="HH51" s="1629"/>
      <c r="HI51" s="1629"/>
      <c r="HJ51" s="1629"/>
      <c r="HK51" s="1629"/>
      <c r="HL51" s="1629"/>
      <c r="HM51" s="1629"/>
      <c r="HN51" s="1629"/>
      <c r="HO51" s="1629"/>
      <c r="HP51" s="1629"/>
      <c r="HQ51" s="1629"/>
      <c r="HR51" s="1629"/>
      <c r="HS51" s="1629"/>
      <c r="HT51" s="1629"/>
      <c r="HU51" s="1629"/>
      <c r="HV51" s="1629"/>
      <c r="HW51" s="1629"/>
      <c r="HX51" s="1629"/>
      <c r="HY51" s="1629"/>
      <c r="HZ51" s="1629"/>
      <c r="IA51" s="1629"/>
      <c r="IB51" s="1629"/>
      <c r="IC51" s="1629"/>
      <c r="ID51" s="1629"/>
      <c r="IE51" s="1629"/>
      <c r="IF51" s="1629"/>
      <c r="IG51" s="1629"/>
      <c r="IH51" s="1629"/>
      <c r="II51" s="1629"/>
      <c r="IJ51" s="1629"/>
      <c r="IK51" s="1629"/>
      <c r="IL51" s="1629"/>
      <c r="IM51" s="1629"/>
      <c r="IN51" s="1629"/>
      <c r="IO51" s="1629"/>
      <c r="IP51" s="1629"/>
      <c r="IQ51" s="1629"/>
      <c r="IR51" s="1629"/>
      <c r="IS51" s="1629"/>
      <c r="IT51" s="1629"/>
      <c r="IU51" s="1629"/>
      <c r="IV51" s="1629"/>
    </row>
    <row r="52" spans="1:256" ht="13.15" hidden="1" customHeight="1" outlineLevel="1" x14ac:dyDescent="0.2">
      <c r="A52" s="4547" t="s">
        <v>1746</v>
      </c>
      <c r="B52" s="1684" t="s">
        <v>1747</v>
      </c>
      <c r="C52" s="1571" t="s">
        <v>1686</v>
      </c>
      <c r="D52" s="1553"/>
      <c r="E52" s="1552"/>
      <c r="F52" s="1553"/>
      <c r="G52" s="1552"/>
      <c r="H52" s="1554">
        <f>J52+L52+N52+P52+R52+T52+V52</f>
        <v>0</v>
      </c>
      <c r="I52" s="1552">
        <f>K52+M52+O52+Q52+S52+U52+W52</f>
        <v>0</v>
      </c>
      <c r="J52" s="1553"/>
      <c r="K52" s="1552"/>
      <c r="L52" s="1553"/>
      <c r="M52" s="1552"/>
      <c r="N52" s="1553"/>
      <c r="O52" s="1552"/>
      <c r="P52" s="1553"/>
      <c r="Q52" s="1552"/>
      <c r="R52" s="1553"/>
      <c r="S52" s="1552"/>
      <c r="T52" s="1553"/>
      <c r="U52" s="1552"/>
      <c r="V52" s="1553"/>
      <c r="W52" s="1556"/>
      <c r="X52" s="1580"/>
      <c r="Y52" s="1585"/>
      <c r="Z52" s="1630"/>
      <c r="AA52" s="1630"/>
      <c r="AB52" s="1629"/>
      <c r="AC52" s="1620"/>
      <c r="AD52" s="1620"/>
      <c r="AE52" s="1620"/>
      <c r="AF52" s="1620"/>
      <c r="AG52" s="1620"/>
      <c r="AH52" s="1620"/>
      <c r="AI52" s="1629"/>
      <c r="AJ52" s="1631"/>
      <c r="AK52" s="1631"/>
      <c r="AL52" s="1631"/>
      <c r="AM52" s="1631"/>
      <c r="AN52" s="1631"/>
      <c r="AO52" s="1631"/>
      <c r="AP52" s="1629"/>
      <c r="AQ52" s="1629"/>
      <c r="AR52" s="1629"/>
      <c r="AS52" s="1629"/>
      <c r="AT52" s="1629"/>
      <c r="AU52" s="1629"/>
      <c r="AV52" s="1629"/>
      <c r="AW52" s="1629"/>
      <c r="AX52" s="1629"/>
      <c r="AY52" s="1629"/>
      <c r="AZ52" s="1629"/>
      <c r="BA52" s="1629"/>
      <c r="BB52" s="1629"/>
      <c r="BC52" s="1629"/>
      <c r="BD52" s="1629"/>
      <c r="BE52" s="1629"/>
      <c r="BF52" s="1629"/>
      <c r="BG52" s="1629"/>
      <c r="BH52" s="1629"/>
      <c r="BI52" s="1629"/>
      <c r="BJ52" s="1629"/>
      <c r="BK52" s="1629"/>
      <c r="BL52" s="1629"/>
      <c r="BM52" s="1629"/>
      <c r="BN52" s="1629"/>
      <c r="BO52" s="1629"/>
      <c r="BP52" s="1629"/>
      <c r="BQ52" s="1629"/>
      <c r="BR52" s="1629"/>
      <c r="BS52" s="1629"/>
      <c r="BT52" s="1629"/>
      <c r="BU52" s="1629"/>
      <c r="BV52" s="1629"/>
      <c r="BW52" s="1629"/>
      <c r="BX52" s="1629"/>
      <c r="BY52" s="1629"/>
      <c r="BZ52" s="1629"/>
      <c r="CA52" s="1629"/>
      <c r="CB52" s="1629"/>
      <c r="CC52" s="1629"/>
      <c r="CD52" s="1629"/>
      <c r="CE52" s="1629"/>
      <c r="CF52" s="1629"/>
      <c r="CG52" s="1629"/>
      <c r="CH52" s="1629"/>
      <c r="CI52" s="1629"/>
      <c r="CJ52" s="1629"/>
      <c r="CK52" s="1629"/>
      <c r="CL52" s="1629"/>
      <c r="CM52" s="1629"/>
      <c r="CN52" s="1629"/>
      <c r="CO52" s="1629"/>
      <c r="CP52" s="1629"/>
      <c r="CQ52" s="1629"/>
      <c r="CR52" s="1629"/>
      <c r="CS52" s="1629"/>
      <c r="CT52" s="1629"/>
      <c r="CU52" s="1629"/>
      <c r="CV52" s="1629"/>
      <c r="CW52" s="1629"/>
      <c r="CX52" s="1629"/>
      <c r="CY52" s="1629"/>
      <c r="CZ52" s="1629"/>
      <c r="DA52" s="1629"/>
      <c r="DB52" s="1629"/>
      <c r="DC52" s="1629"/>
      <c r="DD52" s="1629"/>
      <c r="DE52" s="1629"/>
      <c r="DF52" s="1629"/>
      <c r="DG52" s="1629"/>
      <c r="DH52" s="1629"/>
      <c r="DI52" s="1629"/>
      <c r="DJ52" s="1629"/>
      <c r="DK52" s="1629"/>
      <c r="DL52" s="1629"/>
      <c r="DM52" s="1629"/>
      <c r="DN52" s="1629"/>
      <c r="DO52" s="1629"/>
      <c r="DP52" s="1629"/>
      <c r="DQ52" s="1629"/>
      <c r="DR52" s="1629"/>
      <c r="DS52" s="1629"/>
      <c r="DT52" s="1629"/>
      <c r="DU52" s="1629"/>
      <c r="DV52" s="1629"/>
      <c r="DW52" s="1629"/>
      <c r="DX52" s="1629"/>
      <c r="DY52" s="1629"/>
      <c r="DZ52" s="1629"/>
      <c r="EA52" s="1629"/>
      <c r="EB52" s="1629"/>
      <c r="EC52" s="1629"/>
      <c r="ED52" s="1629"/>
      <c r="EE52" s="1629"/>
      <c r="EF52" s="1629"/>
      <c r="EG52" s="1629"/>
      <c r="EH52" s="1629"/>
      <c r="EI52" s="1629"/>
      <c r="EJ52" s="1629"/>
      <c r="EK52" s="1629"/>
      <c r="EL52" s="1629"/>
      <c r="EM52" s="1629"/>
      <c r="EN52" s="1629"/>
      <c r="EO52" s="1629"/>
      <c r="EP52" s="1629"/>
      <c r="EQ52" s="1629"/>
      <c r="ER52" s="1629"/>
      <c r="ES52" s="1629"/>
      <c r="ET52" s="1629"/>
      <c r="EU52" s="1629"/>
      <c r="EV52" s="1629"/>
      <c r="EW52" s="1629"/>
      <c r="EX52" s="1629"/>
      <c r="EY52" s="1629"/>
      <c r="EZ52" s="1629"/>
      <c r="FA52" s="1629"/>
      <c r="FB52" s="1629"/>
      <c r="FC52" s="1629"/>
      <c r="FD52" s="1629"/>
      <c r="FE52" s="1629"/>
      <c r="FF52" s="1629"/>
      <c r="FG52" s="1629"/>
      <c r="FH52" s="1629"/>
      <c r="FI52" s="1629"/>
      <c r="FJ52" s="1629"/>
      <c r="FK52" s="1629"/>
      <c r="FL52" s="1629"/>
      <c r="FM52" s="1629"/>
      <c r="FN52" s="1629"/>
      <c r="FO52" s="1629"/>
      <c r="FP52" s="1629"/>
      <c r="FQ52" s="1629"/>
      <c r="FR52" s="1629"/>
      <c r="FS52" s="1629"/>
      <c r="FT52" s="1629"/>
      <c r="FU52" s="1629"/>
      <c r="FV52" s="1629"/>
      <c r="FW52" s="1629"/>
      <c r="FX52" s="1629"/>
      <c r="FY52" s="1629"/>
      <c r="FZ52" s="1629"/>
      <c r="GA52" s="1629"/>
      <c r="GB52" s="1629"/>
      <c r="GC52" s="1629"/>
      <c r="GD52" s="1629"/>
      <c r="GE52" s="1629"/>
      <c r="GF52" s="1629"/>
      <c r="GG52" s="1629"/>
      <c r="GH52" s="1629"/>
      <c r="GI52" s="1629"/>
      <c r="GJ52" s="1629"/>
      <c r="GK52" s="1629"/>
      <c r="GL52" s="1629"/>
      <c r="GM52" s="1629"/>
      <c r="GN52" s="1629"/>
      <c r="GO52" s="1629"/>
      <c r="GP52" s="1629"/>
      <c r="GQ52" s="1629"/>
      <c r="GR52" s="1629"/>
      <c r="GS52" s="1629"/>
      <c r="GT52" s="1629"/>
      <c r="GU52" s="1629"/>
      <c r="GV52" s="1629"/>
      <c r="GW52" s="1629"/>
      <c r="GX52" s="1629"/>
      <c r="GY52" s="1629"/>
      <c r="GZ52" s="1629"/>
      <c r="HA52" s="1629"/>
      <c r="HB52" s="1629"/>
      <c r="HC52" s="1629"/>
      <c r="HD52" s="1629"/>
      <c r="HE52" s="1629"/>
      <c r="HF52" s="1629"/>
      <c r="HG52" s="1629"/>
      <c r="HH52" s="1629"/>
      <c r="HI52" s="1629"/>
      <c r="HJ52" s="1629"/>
      <c r="HK52" s="1629"/>
      <c r="HL52" s="1629"/>
      <c r="HM52" s="1629"/>
      <c r="HN52" s="1629"/>
      <c r="HO52" s="1629"/>
      <c r="HP52" s="1629"/>
      <c r="HQ52" s="1629"/>
      <c r="HR52" s="1629"/>
      <c r="HS52" s="1629"/>
      <c r="HT52" s="1629"/>
      <c r="HU52" s="1629"/>
      <c r="HV52" s="1629"/>
      <c r="HW52" s="1629"/>
      <c r="HX52" s="1629"/>
      <c r="HY52" s="1629"/>
      <c r="HZ52" s="1629"/>
      <c r="IA52" s="1629"/>
      <c r="IB52" s="1629"/>
      <c r="IC52" s="1629"/>
      <c r="ID52" s="1629"/>
      <c r="IE52" s="1629"/>
      <c r="IF52" s="1629"/>
      <c r="IG52" s="1629"/>
      <c r="IH52" s="1629"/>
      <c r="II52" s="1629"/>
      <c r="IJ52" s="1629"/>
      <c r="IK52" s="1629"/>
      <c r="IL52" s="1629"/>
      <c r="IM52" s="1629"/>
      <c r="IN52" s="1629"/>
      <c r="IO52" s="1629"/>
      <c r="IP52" s="1629"/>
      <c r="IQ52" s="1629"/>
      <c r="IR52" s="1629"/>
      <c r="IS52" s="1629"/>
      <c r="IT52" s="1629"/>
      <c r="IU52" s="1629"/>
      <c r="IV52" s="1629"/>
    </row>
    <row r="53" spans="1:256" ht="24" hidden="1" customHeight="1" outlineLevel="1" x14ac:dyDescent="0.2">
      <c r="A53" s="4548"/>
      <c r="B53" s="1684" t="s">
        <v>1748</v>
      </c>
      <c r="C53" s="1571" t="s">
        <v>1718</v>
      </c>
      <c r="D53" s="1553">
        <f t="shared" ref="D53:I53" si="38">IF(D52=0,,D54/1000/D52)</f>
        <v>0</v>
      </c>
      <c r="E53" s="1552">
        <f t="shared" si="38"/>
        <v>0</v>
      </c>
      <c r="F53" s="1553"/>
      <c r="G53" s="1552"/>
      <c r="H53" s="1554">
        <f t="shared" si="38"/>
        <v>0</v>
      </c>
      <c r="I53" s="1552">
        <f t="shared" si="38"/>
        <v>0</v>
      </c>
      <c r="J53" s="1553"/>
      <c r="K53" s="1552"/>
      <c r="L53" s="1553"/>
      <c r="M53" s="1552"/>
      <c r="N53" s="1553"/>
      <c r="O53" s="1552"/>
      <c r="P53" s="1553"/>
      <c r="Q53" s="1552"/>
      <c r="R53" s="1553"/>
      <c r="S53" s="1552"/>
      <c r="T53" s="1553"/>
      <c r="U53" s="1552"/>
      <c r="V53" s="1553"/>
      <c r="W53" s="1556"/>
      <c r="X53" s="1580"/>
      <c r="Y53" s="1585"/>
      <c r="Z53" s="1630"/>
      <c r="AA53" s="1630"/>
      <c r="AB53" s="1629"/>
      <c r="AC53" s="1620"/>
      <c r="AD53" s="1620"/>
      <c r="AE53" s="1620"/>
      <c r="AF53" s="1620"/>
      <c r="AG53" s="1620"/>
      <c r="AH53" s="1620"/>
      <c r="AI53" s="1629"/>
      <c r="AJ53" s="1631"/>
      <c r="AK53" s="1631"/>
      <c r="AL53" s="1631"/>
      <c r="AM53" s="1631"/>
      <c r="AN53" s="1631"/>
      <c r="AO53" s="1631"/>
      <c r="AP53" s="1629"/>
      <c r="AQ53" s="1629"/>
      <c r="AR53" s="1629"/>
      <c r="AS53" s="1629"/>
      <c r="AT53" s="1629"/>
      <c r="AU53" s="1629"/>
      <c r="AV53" s="1629"/>
      <c r="AW53" s="1629"/>
      <c r="AX53" s="1629"/>
      <c r="AY53" s="1629"/>
      <c r="AZ53" s="1629"/>
      <c r="BA53" s="1629"/>
      <c r="BB53" s="1629"/>
      <c r="BC53" s="1629"/>
      <c r="BD53" s="1629"/>
      <c r="BE53" s="1629"/>
      <c r="BF53" s="1629"/>
      <c r="BG53" s="1629"/>
      <c r="BH53" s="1629"/>
      <c r="BI53" s="1629"/>
      <c r="BJ53" s="1629"/>
      <c r="BK53" s="1629"/>
      <c r="BL53" s="1629"/>
      <c r="BM53" s="1629"/>
      <c r="BN53" s="1629"/>
      <c r="BO53" s="1629"/>
      <c r="BP53" s="1629"/>
      <c r="BQ53" s="1629"/>
      <c r="BR53" s="1629"/>
      <c r="BS53" s="1629"/>
      <c r="BT53" s="1629"/>
      <c r="BU53" s="1629"/>
      <c r="BV53" s="1629"/>
      <c r="BW53" s="1629"/>
      <c r="BX53" s="1629"/>
      <c r="BY53" s="1629"/>
      <c r="BZ53" s="1629"/>
      <c r="CA53" s="1629"/>
      <c r="CB53" s="1629"/>
      <c r="CC53" s="1629"/>
      <c r="CD53" s="1629"/>
      <c r="CE53" s="1629"/>
      <c r="CF53" s="1629"/>
      <c r="CG53" s="1629"/>
      <c r="CH53" s="1629"/>
      <c r="CI53" s="1629"/>
      <c r="CJ53" s="1629"/>
      <c r="CK53" s="1629"/>
      <c r="CL53" s="1629"/>
      <c r="CM53" s="1629"/>
      <c r="CN53" s="1629"/>
      <c r="CO53" s="1629"/>
      <c r="CP53" s="1629"/>
      <c r="CQ53" s="1629"/>
      <c r="CR53" s="1629"/>
      <c r="CS53" s="1629"/>
      <c r="CT53" s="1629"/>
      <c r="CU53" s="1629"/>
      <c r="CV53" s="1629"/>
      <c r="CW53" s="1629"/>
      <c r="CX53" s="1629"/>
      <c r="CY53" s="1629"/>
      <c r="CZ53" s="1629"/>
      <c r="DA53" s="1629"/>
      <c r="DB53" s="1629"/>
      <c r="DC53" s="1629"/>
      <c r="DD53" s="1629"/>
      <c r="DE53" s="1629"/>
      <c r="DF53" s="1629"/>
      <c r="DG53" s="1629"/>
      <c r="DH53" s="1629"/>
      <c r="DI53" s="1629"/>
      <c r="DJ53" s="1629"/>
      <c r="DK53" s="1629"/>
      <c r="DL53" s="1629"/>
      <c r="DM53" s="1629"/>
      <c r="DN53" s="1629"/>
      <c r="DO53" s="1629"/>
      <c r="DP53" s="1629"/>
      <c r="DQ53" s="1629"/>
      <c r="DR53" s="1629"/>
      <c r="DS53" s="1629"/>
      <c r="DT53" s="1629"/>
      <c r="DU53" s="1629"/>
      <c r="DV53" s="1629"/>
      <c r="DW53" s="1629"/>
      <c r="DX53" s="1629"/>
      <c r="DY53" s="1629"/>
      <c r="DZ53" s="1629"/>
      <c r="EA53" s="1629"/>
      <c r="EB53" s="1629"/>
      <c r="EC53" s="1629"/>
      <c r="ED53" s="1629"/>
      <c r="EE53" s="1629"/>
      <c r="EF53" s="1629"/>
      <c r="EG53" s="1629"/>
      <c r="EH53" s="1629"/>
      <c r="EI53" s="1629"/>
      <c r="EJ53" s="1629"/>
      <c r="EK53" s="1629"/>
      <c r="EL53" s="1629"/>
      <c r="EM53" s="1629"/>
      <c r="EN53" s="1629"/>
      <c r="EO53" s="1629"/>
      <c r="EP53" s="1629"/>
      <c r="EQ53" s="1629"/>
      <c r="ER53" s="1629"/>
      <c r="ES53" s="1629"/>
      <c r="ET53" s="1629"/>
      <c r="EU53" s="1629"/>
      <c r="EV53" s="1629"/>
      <c r="EW53" s="1629"/>
      <c r="EX53" s="1629"/>
      <c r="EY53" s="1629"/>
      <c r="EZ53" s="1629"/>
      <c r="FA53" s="1629"/>
      <c r="FB53" s="1629"/>
      <c r="FC53" s="1629"/>
      <c r="FD53" s="1629"/>
      <c r="FE53" s="1629"/>
      <c r="FF53" s="1629"/>
      <c r="FG53" s="1629"/>
      <c r="FH53" s="1629"/>
      <c r="FI53" s="1629"/>
      <c r="FJ53" s="1629"/>
      <c r="FK53" s="1629"/>
      <c r="FL53" s="1629"/>
      <c r="FM53" s="1629"/>
      <c r="FN53" s="1629"/>
      <c r="FO53" s="1629"/>
      <c r="FP53" s="1629"/>
      <c r="FQ53" s="1629"/>
      <c r="FR53" s="1629"/>
      <c r="FS53" s="1629"/>
      <c r="FT53" s="1629"/>
      <c r="FU53" s="1629"/>
      <c r="FV53" s="1629"/>
      <c r="FW53" s="1629"/>
      <c r="FX53" s="1629"/>
      <c r="FY53" s="1629"/>
      <c r="FZ53" s="1629"/>
      <c r="GA53" s="1629"/>
      <c r="GB53" s="1629"/>
      <c r="GC53" s="1629"/>
      <c r="GD53" s="1629"/>
      <c r="GE53" s="1629"/>
      <c r="GF53" s="1629"/>
      <c r="GG53" s="1629"/>
      <c r="GH53" s="1629"/>
      <c r="GI53" s="1629"/>
      <c r="GJ53" s="1629"/>
      <c r="GK53" s="1629"/>
      <c r="GL53" s="1629"/>
      <c r="GM53" s="1629"/>
      <c r="GN53" s="1629"/>
      <c r="GO53" s="1629"/>
      <c r="GP53" s="1629"/>
      <c r="GQ53" s="1629"/>
      <c r="GR53" s="1629"/>
      <c r="GS53" s="1629"/>
      <c r="GT53" s="1629"/>
      <c r="GU53" s="1629"/>
      <c r="GV53" s="1629"/>
      <c r="GW53" s="1629"/>
      <c r="GX53" s="1629"/>
      <c r="GY53" s="1629"/>
      <c r="GZ53" s="1629"/>
      <c r="HA53" s="1629"/>
      <c r="HB53" s="1629"/>
      <c r="HC53" s="1629"/>
      <c r="HD53" s="1629"/>
      <c r="HE53" s="1629"/>
      <c r="HF53" s="1629"/>
      <c r="HG53" s="1629"/>
      <c r="HH53" s="1629"/>
      <c r="HI53" s="1629"/>
      <c r="HJ53" s="1629"/>
      <c r="HK53" s="1629"/>
      <c r="HL53" s="1629"/>
      <c r="HM53" s="1629"/>
      <c r="HN53" s="1629"/>
      <c r="HO53" s="1629"/>
      <c r="HP53" s="1629"/>
      <c r="HQ53" s="1629"/>
      <c r="HR53" s="1629"/>
      <c r="HS53" s="1629"/>
      <c r="HT53" s="1629"/>
      <c r="HU53" s="1629"/>
      <c r="HV53" s="1629"/>
      <c r="HW53" s="1629"/>
      <c r="HX53" s="1629"/>
      <c r="HY53" s="1629"/>
      <c r="HZ53" s="1629"/>
      <c r="IA53" s="1629"/>
      <c r="IB53" s="1629"/>
      <c r="IC53" s="1629"/>
      <c r="ID53" s="1629"/>
      <c r="IE53" s="1629"/>
      <c r="IF53" s="1629"/>
      <c r="IG53" s="1629"/>
      <c r="IH53" s="1629"/>
      <c r="II53" s="1629"/>
      <c r="IJ53" s="1629"/>
      <c r="IK53" s="1629"/>
      <c r="IL53" s="1629"/>
      <c r="IM53" s="1629"/>
      <c r="IN53" s="1629"/>
      <c r="IO53" s="1629"/>
      <c r="IP53" s="1629"/>
      <c r="IQ53" s="1629"/>
      <c r="IR53" s="1629"/>
      <c r="IS53" s="1629"/>
      <c r="IT53" s="1629"/>
      <c r="IU53" s="1629"/>
      <c r="IV53" s="1629"/>
    </row>
    <row r="54" spans="1:256" ht="24" hidden="1" customHeight="1" outlineLevel="1" x14ac:dyDescent="0.2">
      <c r="A54" s="4549"/>
      <c r="B54" s="1687" t="s">
        <v>1749</v>
      </c>
      <c r="C54" s="1572" t="s">
        <v>1721</v>
      </c>
      <c r="D54" s="1553"/>
      <c r="E54" s="1552"/>
      <c r="F54" s="1553"/>
      <c r="G54" s="1552"/>
      <c r="H54" s="1554">
        <f>J54+L54+N54+P54+R54+T54+V54</f>
        <v>0</v>
      </c>
      <c r="I54" s="1552">
        <f>K54+M54+O54+Q54+S54+U54+W54</f>
        <v>0</v>
      </c>
      <c r="J54" s="1553">
        <f>J52*J53/1000</f>
        <v>0</v>
      </c>
      <c r="K54" s="1552">
        <f t="shared" ref="K54:W54" si="39">K52*K53/1000</f>
        <v>0</v>
      </c>
      <c r="L54" s="1553">
        <f t="shared" si="39"/>
        <v>0</v>
      </c>
      <c r="M54" s="1552">
        <f t="shared" si="39"/>
        <v>0</v>
      </c>
      <c r="N54" s="1553">
        <f t="shared" si="39"/>
        <v>0</v>
      </c>
      <c r="O54" s="1552">
        <f t="shared" si="39"/>
        <v>0</v>
      </c>
      <c r="P54" s="1553">
        <f t="shared" si="39"/>
        <v>0</v>
      </c>
      <c r="Q54" s="1552">
        <f t="shared" si="39"/>
        <v>0</v>
      </c>
      <c r="R54" s="1553">
        <f t="shared" si="39"/>
        <v>0</v>
      </c>
      <c r="S54" s="1552">
        <f t="shared" si="39"/>
        <v>0</v>
      </c>
      <c r="T54" s="1553">
        <f t="shared" si="39"/>
        <v>0</v>
      </c>
      <c r="U54" s="1552">
        <f t="shared" si="39"/>
        <v>0</v>
      </c>
      <c r="V54" s="1553">
        <f t="shared" si="39"/>
        <v>0</v>
      </c>
      <c r="W54" s="1552">
        <f t="shared" si="39"/>
        <v>0</v>
      </c>
      <c r="X54" s="1580">
        <f t="shared" ref="X54:Y54" si="40">X52*X53/1000</f>
        <v>0</v>
      </c>
      <c r="Y54" s="1579">
        <f t="shared" si="40"/>
        <v>0</v>
      </c>
      <c r="Z54" s="1630"/>
      <c r="AA54" s="1630"/>
      <c r="AB54" s="1629"/>
      <c r="AC54" s="1620"/>
      <c r="AD54" s="1620"/>
      <c r="AE54" s="1620"/>
      <c r="AF54" s="1620"/>
      <c r="AG54" s="1620"/>
      <c r="AH54" s="1620"/>
      <c r="AI54" s="1629"/>
      <c r="AJ54" s="1631"/>
      <c r="AK54" s="1631"/>
      <c r="AL54" s="1631"/>
      <c r="AM54" s="1631"/>
      <c r="AN54" s="1631"/>
      <c r="AO54" s="1631"/>
      <c r="AP54" s="1629"/>
      <c r="AQ54" s="1629"/>
      <c r="AR54" s="1629"/>
      <c r="AS54" s="1629"/>
      <c r="AT54" s="1629"/>
      <c r="AU54" s="1629"/>
      <c r="AV54" s="1629"/>
      <c r="AW54" s="1629"/>
      <c r="AX54" s="1629"/>
      <c r="AY54" s="1629"/>
      <c r="AZ54" s="1629"/>
      <c r="BA54" s="1629"/>
      <c r="BB54" s="1629"/>
      <c r="BC54" s="1629"/>
      <c r="BD54" s="1629"/>
      <c r="BE54" s="1629"/>
      <c r="BF54" s="1629"/>
      <c r="BG54" s="1629"/>
      <c r="BH54" s="1629"/>
      <c r="BI54" s="1629"/>
      <c r="BJ54" s="1629"/>
      <c r="BK54" s="1629"/>
      <c r="BL54" s="1629"/>
      <c r="BM54" s="1629"/>
      <c r="BN54" s="1629"/>
      <c r="BO54" s="1629"/>
      <c r="BP54" s="1629"/>
      <c r="BQ54" s="1629"/>
      <c r="BR54" s="1629"/>
      <c r="BS54" s="1629"/>
      <c r="BT54" s="1629"/>
      <c r="BU54" s="1629"/>
      <c r="BV54" s="1629"/>
      <c r="BW54" s="1629"/>
      <c r="BX54" s="1629"/>
      <c r="BY54" s="1629"/>
      <c r="BZ54" s="1629"/>
      <c r="CA54" s="1629"/>
      <c r="CB54" s="1629"/>
      <c r="CC54" s="1629"/>
      <c r="CD54" s="1629"/>
      <c r="CE54" s="1629"/>
      <c r="CF54" s="1629"/>
      <c r="CG54" s="1629"/>
      <c r="CH54" s="1629"/>
      <c r="CI54" s="1629"/>
      <c r="CJ54" s="1629"/>
      <c r="CK54" s="1629"/>
      <c r="CL54" s="1629"/>
      <c r="CM54" s="1629"/>
      <c r="CN54" s="1629"/>
      <c r="CO54" s="1629"/>
      <c r="CP54" s="1629"/>
      <c r="CQ54" s="1629"/>
      <c r="CR54" s="1629"/>
      <c r="CS54" s="1629"/>
      <c r="CT54" s="1629"/>
      <c r="CU54" s="1629"/>
      <c r="CV54" s="1629"/>
      <c r="CW54" s="1629"/>
      <c r="CX54" s="1629"/>
      <c r="CY54" s="1629"/>
      <c r="CZ54" s="1629"/>
      <c r="DA54" s="1629"/>
      <c r="DB54" s="1629"/>
      <c r="DC54" s="1629"/>
      <c r="DD54" s="1629"/>
      <c r="DE54" s="1629"/>
      <c r="DF54" s="1629"/>
      <c r="DG54" s="1629"/>
      <c r="DH54" s="1629"/>
      <c r="DI54" s="1629"/>
      <c r="DJ54" s="1629"/>
      <c r="DK54" s="1629"/>
      <c r="DL54" s="1629"/>
      <c r="DM54" s="1629"/>
      <c r="DN54" s="1629"/>
      <c r="DO54" s="1629"/>
      <c r="DP54" s="1629"/>
      <c r="DQ54" s="1629"/>
      <c r="DR54" s="1629"/>
      <c r="DS54" s="1629"/>
      <c r="DT54" s="1629"/>
      <c r="DU54" s="1629"/>
      <c r="DV54" s="1629"/>
      <c r="DW54" s="1629"/>
      <c r="DX54" s="1629"/>
      <c r="DY54" s="1629"/>
      <c r="DZ54" s="1629"/>
      <c r="EA54" s="1629"/>
      <c r="EB54" s="1629"/>
      <c r="EC54" s="1629"/>
      <c r="ED54" s="1629"/>
      <c r="EE54" s="1629"/>
      <c r="EF54" s="1629"/>
      <c r="EG54" s="1629"/>
      <c r="EH54" s="1629"/>
      <c r="EI54" s="1629"/>
      <c r="EJ54" s="1629"/>
      <c r="EK54" s="1629"/>
      <c r="EL54" s="1629"/>
      <c r="EM54" s="1629"/>
      <c r="EN54" s="1629"/>
      <c r="EO54" s="1629"/>
      <c r="EP54" s="1629"/>
      <c r="EQ54" s="1629"/>
      <c r="ER54" s="1629"/>
      <c r="ES54" s="1629"/>
      <c r="ET54" s="1629"/>
      <c r="EU54" s="1629"/>
      <c r="EV54" s="1629"/>
      <c r="EW54" s="1629"/>
      <c r="EX54" s="1629"/>
      <c r="EY54" s="1629"/>
      <c r="EZ54" s="1629"/>
      <c r="FA54" s="1629"/>
      <c r="FB54" s="1629"/>
      <c r="FC54" s="1629"/>
      <c r="FD54" s="1629"/>
      <c r="FE54" s="1629"/>
      <c r="FF54" s="1629"/>
      <c r="FG54" s="1629"/>
      <c r="FH54" s="1629"/>
      <c r="FI54" s="1629"/>
      <c r="FJ54" s="1629"/>
      <c r="FK54" s="1629"/>
      <c r="FL54" s="1629"/>
      <c r="FM54" s="1629"/>
      <c r="FN54" s="1629"/>
      <c r="FO54" s="1629"/>
      <c r="FP54" s="1629"/>
      <c r="FQ54" s="1629"/>
      <c r="FR54" s="1629"/>
      <c r="FS54" s="1629"/>
      <c r="FT54" s="1629"/>
      <c r="FU54" s="1629"/>
      <c r="FV54" s="1629"/>
      <c r="FW54" s="1629"/>
      <c r="FX54" s="1629"/>
      <c r="FY54" s="1629"/>
      <c r="FZ54" s="1629"/>
      <c r="GA54" s="1629"/>
      <c r="GB54" s="1629"/>
      <c r="GC54" s="1629"/>
      <c r="GD54" s="1629"/>
      <c r="GE54" s="1629"/>
      <c r="GF54" s="1629"/>
      <c r="GG54" s="1629"/>
      <c r="GH54" s="1629"/>
      <c r="GI54" s="1629"/>
      <c r="GJ54" s="1629"/>
      <c r="GK54" s="1629"/>
      <c r="GL54" s="1629"/>
      <c r="GM54" s="1629"/>
      <c r="GN54" s="1629"/>
      <c r="GO54" s="1629"/>
      <c r="GP54" s="1629"/>
      <c r="GQ54" s="1629"/>
      <c r="GR54" s="1629"/>
      <c r="GS54" s="1629"/>
      <c r="GT54" s="1629"/>
      <c r="GU54" s="1629"/>
      <c r="GV54" s="1629"/>
      <c r="GW54" s="1629"/>
      <c r="GX54" s="1629"/>
      <c r="GY54" s="1629"/>
      <c r="GZ54" s="1629"/>
      <c r="HA54" s="1629"/>
      <c r="HB54" s="1629"/>
      <c r="HC54" s="1629"/>
      <c r="HD54" s="1629"/>
      <c r="HE54" s="1629"/>
      <c r="HF54" s="1629"/>
      <c r="HG54" s="1629"/>
      <c r="HH54" s="1629"/>
      <c r="HI54" s="1629"/>
      <c r="HJ54" s="1629"/>
      <c r="HK54" s="1629"/>
      <c r="HL54" s="1629"/>
      <c r="HM54" s="1629"/>
      <c r="HN54" s="1629"/>
      <c r="HO54" s="1629"/>
      <c r="HP54" s="1629"/>
      <c r="HQ54" s="1629"/>
      <c r="HR54" s="1629"/>
      <c r="HS54" s="1629"/>
      <c r="HT54" s="1629"/>
      <c r="HU54" s="1629"/>
      <c r="HV54" s="1629"/>
      <c r="HW54" s="1629"/>
      <c r="HX54" s="1629"/>
      <c r="HY54" s="1629"/>
      <c r="HZ54" s="1629"/>
      <c r="IA54" s="1629"/>
      <c r="IB54" s="1629"/>
      <c r="IC54" s="1629"/>
      <c r="ID54" s="1629"/>
      <c r="IE54" s="1629"/>
      <c r="IF54" s="1629"/>
      <c r="IG54" s="1629"/>
      <c r="IH54" s="1629"/>
      <c r="II54" s="1629"/>
      <c r="IJ54" s="1629"/>
      <c r="IK54" s="1629"/>
      <c r="IL54" s="1629"/>
      <c r="IM54" s="1629"/>
      <c r="IN54" s="1629"/>
      <c r="IO54" s="1629"/>
      <c r="IP54" s="1629"/>
      <c r="IQ54" s="1629"/>
      <c r="IR54" s="1629"/>
      <c r="IS54" s="1629"/>
      <c r="IT54" s="1629"/>
      <c r="IU54" s="1629"/>
      <c r="IV54" s="1629"/>
    </row>
    <row r="55" spans="1:256" ht="13.15" hidden="1" customHeight="1" outlineLevel="1" x14ac:dyDescent="0.2">
      <c r="A55" s="4547" t="s">
        <v>1750</v>
      </c>
      <c r="B55" s="1684" t="s">
        <v>1751</v>
      </c>
      <c r="C55" s="1571" t="s">
        <v>1686</v>
      </c>
      <c r="D55" s="1553"/>
      <c r="E55" s="1552"/>
      <c r="F55" s="1553"/>
      <c r="G55" s="1552"/>
      <c r="H55" s="1554">
        <f>J55+L55+N55+P55+R55+T55+V55</f>
        <v>0</v>
      </c>
      <c r="I55" s="1552">
        <f>K55+M55+O55+Q55+S55+U55+W55</f>
        <v>0</v>
      </c>
      <c r="J55" s="1553"/>
      <c r="K55" s="1552"/>
      <c r="L55" s="1553"/>
      <c r="M55" s="1552"/>
      <c r="N55" s="1553"/>
      <c r="O55" s="1552"/>
      <c r="P55" s="1553"/>
      <c r="Q55" s="1552"/>
      <c r="R55" s="1553"/>
      <c r="S55" s="1552"/>
      <c r="T55" s="1553"/>
      <c r="U55" s="1552"/>
      <c r="V55" s="1553"/>
      <c r="W55" s="1556"/>
      <c r="X55" s="1580"/>
      <c r="Y55" s="1585"/>
      <c r="Z55" s="1630"/>
      <c r="AA55" s="1630"/>
      <c r="AB55" s="1629"/>
      <c r="AC55" s="1620"/>
      <c r="AD55" s="1620"/>
      <c r="AE55" s="1620"/>
      <c r="AF55" s="1620"/>
      <c r="AG55" s="1620"/>
      <c r="AH55" s="1620"/>
      <c r="AI55" s="1629"/>
      <c r="AJ55" s="1631"/>
      <c r="AK55" s="1631"/>
      <c r="AL55" s="1631"/>
      <c r="AM55" s="1631"/>
      <c r="AN55" s="1631"/>
      <c r="AO55" s="1631"/>
      <c r="AP55" s="1629"/>
      <c r="AQ55" s="1629"/>
      <c r="AR55" s="1629"/>
      <c r="AS55" s="1629"/>
      <c r="AT55" s="1629"/>
      <c r="AU55" s="1629"/>
      <c r="AV55" s="1629"/>
      <c r="AW55" s="1629"/>
      <c r="AX55" s="1629"/>
      <c r="AY55" s="1629"/>
      <c r="AZ55" s="1629"/>
      <c r="BA55" s="1629"/>
      <c r="BB55" s="1629"/>
      <c r="BC55" s="1629"/>
      <c r="BD55" s="1629"/>
      <c r="BE55" s="1629"/>
      <c r="BF55" s="1629"/>
      <c r="BG55" s="1629"/>
      <c r="BH55" s="1629"/>
      <c r="BI55" s="1629"/>
      <c r="BJ55" s="1629"/>
      <c r="BK55" s="1629"/>
      <c r="BL55" s="1629"/>
      <c r="BM55" s="1629"/>
      <c r="BN55" s="1629"/>
      <c r="BO55" s="1629"/>
      <c r="BP55" s="1629"/>
      <c r="BQ55" s="1629"/>
      <c r="BR55" s="1629"/>
      <c r="BS55" s="1629"/>
      <c r="BT55" s="1629"/>
      <c r="BU55" s="1629"/>
      <c r="BV55" s="1629"/>
      <c r="BW55" s="1629"/>
      <c r="BX55" s="1629"/>
      <c r="BY55" s="1629"/>
      <c r="BZ55" s="1629"/>
      <c r="CA55" s="1629"/>
      <c r="CB55" s="1629"/>
      <c r="CC55" s="1629"/>
      <c r="CD55" s="1629"/>
      <c r="CE55" s="1629"/>
      <c r="CF55" s="1629"/>
      <c r="CG55" s="1629"/>
      <c r="CH55" s="1629"/>
      <c r="CI55" s="1629"/>
      <c r="CJ55" s="1629"/>
      <c r="CK55" s="1629"/>
      <c r="CL55" s="1629"/>
      <c r="CM55" s="1629"/>
      <c r="CN55" s="1629"/>
      <c r="CO55" s="1629"/>
      <c r="CP55" s="1629"/>
      <c r="CQ55" s="1629"/>
      <c r="CR55" s="1629"/>
      <c r="CS55" s="1629"/>
      <c r="CT55" s="1629"/>
      <c r="CU55" s="1629"/>
      <c r="CV55" s="1629"/>
      <c r="CW55" s="1629"/>
      <c r="CX55" s="1629"/>
      <c r="CY55" s="1629"/>
      <c r="CZ55" s="1629"/>
      <c r="DA55" s="1629"/>
      <c r="DB55" s="1629"/>
      <c r="DC55" s="1629"/>
      <c r="DD55" s="1629"/>
      <c r="DE55" s="1629"/>
      <c r="DF55" s="1629"/>
      <c r="DG55" s="1629"/>
      <c r="DH55" s="1629"/>
      <c r="DI55" s="1629"/>
      <c r="DJ55" s="1629"/>
      <c r="DK55" s="1629"/>
      <c r="DL55" s="1629"/>
      <c r="DM55" s="1629"/>
      <c r="DN55" s="1629"/>
      <c r="DO55" s="1629"/>
      <c r="DP55" s="1629"/>
      <c r="DQ55" s="1629"/>
      <c r="DR55" s="1629"/>
      <c r="DS55" s="1629"/>
      <c r="DT55" s="1629"/>
      <c r="DU55" s="1629"/>
      <c r="DV55" s="1629"/>
      <c r="DW55" s="1629"/>
      <c r="DX55" s="1629"/>
      <c r="DY55" s="1629"/>
      <c r="DZ55" s="1629"/>
      <c r="EA55" s="1629"/>
      <c r="EB55" s="1629"/>
      <c r="EC55" s="1629"/>
      <c r="ED55" s="1629"/>
      <c r="EE55" s="1629"/>
      <c r="EF55" s="1629"/>
      <c r="EG55" s="1629"/>
      <c r="EH55" s="1629"/>
      <c r="EI55" s="1629"/>
      <c r="EJ55" s="1629"/>
      <c r="EK55" s="1629"/>
      <c r="EL55" s="1629"/>
      <c r="EM55" s="1629"/>
      <c r="EN55" s="1629"/>
      <c r="EO55" s="1629"/>
      <c r="EP55" s="1629"/>
      <c r="EQ55" s="1629"/>
      <c r="ER55" s="1629"/>
      <c r="ES55" s="1629"/>
      <c r="ET55" s="1629"/>
      <c r="EU55" s="1629"/>
      <c r="EV55" s="1629"/>
      <c r="EW55" s="1629"/>
      <c r="EX55" s="1629"/>
      <c r="EY55" s="1629"/>
      <c r="EZ55" s="1629"/>
      <c r="FA55" s="1629"/>
      <c r="FB55" s="1629"/>
      <c r="FC55" s="1629"/>
      <c r="FD55" s="1629"/>
      <c r="FE55" s="1629"/>
      <c r="FF55" s="1629"/>
      <c r="FG55" s="1629"/>
      <c r="FH55" s="1629"/>
      <c r="FI55" s="1629"/>
      <c r="FJ55" s="1629"/>
      <c r="FK55" s="1629"/>
      <c r="FL55" s="1629"/>
      <c r="FM55" s="1629"/>
      <c r="FN55" s="1629"/>
      <c r="FO55" s="1629"/>
      <c r="FP55" s="1629"/>
      <c r="FQ55" s="1629"/>
      <c r="FR55" s="1629"/>
      <c r="FS55" s="1629"/>
      <c r="FT55" s="1629"/>
      <c r="FU55" s="1629"/>
      <c r="FV55" s="1629"/>
      <c r="FW55" s="1629"/>
      <c r="FX55" s="1629"/>
      <c r="FY55" s="1629"/>
      <c r="FZ55" s="1629"/>
      <c r="GA55" s="1629"/>
      <c r="GB55" s="1629"/>
      <c r="GC55" s="1629"/>
      <c r="GD55" s="1629"/>
      <c r="GE55" s="1629"/>
      <c r="GF55" s="1629"/>
      <c r="GG55" s="1629"/>
      <c r="GH55" s="1629"/>
      <c r="GI55" s="1629"/>
      <c r="GJ55" s="1629"/>
      <c r="GK55" s="1629"/>
      <c r="GL55" s="1629"/>
      <c r="GM55" s="1629"/>
      <c r="GN55" s="1629"/>
      <c r="GO55" s="1629"/>
      <c r="GP55" s="1629"/>
      <c r="GQ55" s="1629"/>
      <c r="GR55" s="1629"/>
      <c r="GS55" s="1629"/>
      <c r="GT55" s="1629"/>
      <c r="GU55" s="1629"/>
      <c r="GV55" s="1629"/>
      <c r="GW55" s="1629"/>
      <c r="GX55" s="1629"/>
      <c r="GY55" s="1629"/>
      <c r="GZ55" s="1629"/>
      <c r="HA55" s="1629"/>
      <c r="HB55" s="1629"/>
      <c r="HC55" s="1629"/>
      <c r="HD55" s="1629"/>
      <c r="HE55" s="1629"/>
      <c r="HF55" s="1629"/>
      <c r="HG55" s="1629"/>
      <c r="HH55" s="1629"/>
      <c r="HI55" s="1629"/>
      <c r="HJ55" s="1629"/>
      <c r="HK55" s="1629"/>
      <c r="HL55" s="1629"/>
      <c r="HM55" s="1629"/>
      <c r="HN55" s="1629"/>
      <c r="HO55" s="1629"/>
      <c r="HP55" s="1629"/>
      <c r="HQ55" s="1629"/>
      <c r="HR55" s="1629"/>
      <c r="HS55" s="1629"/>
      <c r="HT55" s="1629"/>
      <c r="HU55" s="1629"/>
      <c r="HV55" s="1629"/>
      <c r="HW55" s="1629"/>
      <c r="HX55" s="1629"/>
      <c r="HY55" s="1629"/>
      <c r="HZ55" s="1629"/>
      <c r="IA55" s="1629"/>
      <c r="IB55" s="1629"/>
      <c r="IC55" s="1629"/>
      <c r="ID55" s="1629"/>
      <c r="IE55" s="1629"/>
      <c r="IF55" s="1629"/>
      <c r="IG55" s="1629"/>
      <c r="IH55" s="1629"/>
      <c r="II55" s="1629"/>
      <c r="IJ55" s="1629"/>
      <c r="IK55" s="1629"/>
      <c r="IL55" s="1629"/>
      <c r="IM55" s="1629"/>
      <c r="IN55" s="1629"/>
      <c r="IO55" s="1629"/>
      <c r="IP55" s="1629"/>
      <c r="IQ55" s="1629"/>
      <c r="IR55" s="1629"/>
      <c r="IS55" s="1629"/>
      <c r="IT55" s="1629"/>
      <c r="IU55" s="1629"/>
      <c r="IV55" s="1629"/>
    </row>
    <row r="56" spans="1:256" ht="24" hidden="1" customHeight="1" outlineLevel="1" x14ac:dyDescent="0.2">
      <c r="A56" s="4548"/>
      <c r="B56" s="1684" t="s">
        <v>1752</v>
      </c>
      <c r="C56" s="1571" t="s">
        <v>1718</v>
      </c>
      <c r="D56" s="1553">
        <f t="shared" ref="D56:I56" si="41">IF(D55=0,,D57/1000/D55)</f>
        <v>0</v>
      </c>
      <c r="E56" s="1552">
        <f t="shared" si="41"/>
        <v>0</v>
      </c>
      <c r="F56" s="1553"/>
      <c r="G56" s="1552"/>
      <c r="H56" s="1554">
        <f t="shared" si="41"/>
        <v>0</v>
      </c>
      <c r="I56" s="1552">
        <f t="shared" si="41"/>
        <v>0</v>
      </c>
      <c r="J56" s="1553"/>
      <c r="K56" s="1552"/>
      <c r="L56" s="1553"/>
      <c r="M56" s="1552"/>
      <c r="N56" s="1553"/>
      <c r="O56" s="1552"/>
      <c r="P56" s="1553"/>
      <c r="Q56" s="1552"/>
      <c r="R56" s="1553"/>
      <c r="S56" s="1552"/>
      <c r="T56" s="1553"/>
      <c r="U56" s="1552"/>
      <c r="V56" s="1553"/>
      <c r="W56" s="1556"/>
      <c r="X56" s="1580"/>
      <c r="Y56" s="1585"/>
      <c r="Z56" s="1630"/>
      <c r="AA56" s="1630"/>
      <c r="AB56" s="1629"/>
      <c r="AC56" s="1620"/>
      <c r="AD56" s="1620"/>
      <c r="AE56" s="1620"/>
      <c r="AF56" s="1620"/>
      <c r="AG56" s="1620"/>
      <c r="AH56" s="1620"/>
      <c r="AI56" s="1629"/>
      <c r="AJ56" s="1631"/>
      <c r="AK56" s="1631"/>
      <c r="AL56" s="1631"/>
      <c r="AM56" s="1631"/>
      <c r="AN56" s="1631"/>
      <c r="AO56" s="1631"/>
      <c r="AP56" s="1629"/>
      <c r="AQ56" s="1629"/>
      <c r="AR56" s="1629"/>
      <c r="AS56" s="1629"/>
      <c r="AT56" s="1629"/>
      <c r="AU56" s="1629"/>
      <c r="AV56" s="1629"/>
      <c r="AW56" s="1629"/>
      <c r="AX56" s="1629"/>
      <c r="AY56" s="1629"/>
      <c r="AZ56" s="1629"/>
      <c r="BA56" s="1629"/>
      <c r="BB56" s="1629"/>
      <c r="BC56" s="1629"/>
      <c r="BD56" s="1629"/>
      <c r="BE56" s="1629"/>
      <c r="BF56" s="1629"/>
      <c r="BG56" s="1629"/>
      <c r="BH56" s="1629"/>
      <c r="BI56" s="1629"/>
      <c r="BJ56" s="1629"/>
      <c r="BK56" s="1629"/>
      <c r="BL56" s="1629"/>
      <c r="BM56" s="1629"/>
      <c r="BN56" s="1629"/>
      <c r="BO56" s="1629"/>
      <c r="BP56" s="1629"/>
      <c r="BQ56" s="1629"/>
      <c r="BR56" s="1629"/>
      <c r="BS56" s="1629"/>
      <c r="BT56" s="1629"/>
      <c r="BU56" s="1629"/>
      <c r="BV56" s="1629"/>
      <c r="BW56" s="1629"/>
      <c r="BX56" s="1629"/>
      <c r="BY56" s="1629"/>
      <c r="BZ56" s="1629"/>
      <c r="CA56" s="1629"/>
      <c r="CB56" s="1629"/>
      <c r="CC56" s="1629"/>
      <c r="CD56" s="1629"/>
      <c r="CE56" s="1629"/>
      <c r="CF56" s="1629"/>
      <c r="CG56" s="1629"/>
      <c r="CH56" s="1629"/>
      <c r="CI56" s="1629"/>
      <c r="CJ56" s="1629"/>
      <c r="CK56" s="1629"/>
      <c r="CL56" s="1629"/>
      <c r="CM56" s="1629"/>
      <c r="CN56" s="1629"/>
      <c r="CO56" s="1629"/>
      <c r="CP56" s="1629"/>
      <c r="CQ56" s="1629"/>
      <c r="CR56" s="1629"/>
      <c r="CS56" s="1629"/>
      <c r="CT56" s="1629"/>
      <c r="CU56" s="1629"/>
      <c r="CV56" s="1629"/>
      <c r="CW56" s="1629"/>
      <c r="CX56" s="1629"/>
      <c r="CY56" s="1629"/>
      <c r="CZ56" s="1629"/>
      <c r="DA56" s="1629"/>
      <c r="DB56" s="1629"/>
      <c r="DC56" s="1629"/>
      <c r="DD56" s="1629"/>
      <c r="DE56" s="1629"/>
      <c r="DF56" s="1629"/>
      <c r="DG56" s="1629"/>
      <c r="DH56" s="1629"/>
      <c r="DI56" s="1629"/>
      <c r="DJ56" s="1629"/>
      <c r="DK56" s="1629"/>
      <c r="DL56" s="1629"/>
      <c r="DM56" s="1629"/>
      <c r="DN56" s="1629"/>
      <c r="DO56" s="1629"/>
      <c r="DP56" s="1629"/>
      <c r="DQ56" s="1629"/>
      <c r="DR56" s="1629"/>
      <c r="DS56" s="1629"/>
      <c r="DT56" s="1629"/>
      <c r="DU56" s="1629"/>
      <c r="DV56" s="1629"/>
      <c r="DW56" s="1629"/>
      <c r="DX56" s="1629"/>
      <c r="DY56" s="1629"/>
      <c r="DZ56" s="1629"/>
      <c r="EA56" s="1629"/>
      <c r="EB56" s="1629"/>
      <c r="EC56" s="1629"/>
      <c r="ED56" s="1629"/>
      <c r="EE56" s="1629"/>
      <c r="EF56" s="1629"/>
      <c r="EG56" s="1629"/>
      <c r="EH56" s="1629"/>
      <c r="EI56" s="1629"/>
      <c r="EJ56" s="1629"/>
      <c r="EK56" s="1629"/>
      <c r="EL56" s="1629"/>
      <c r="EM56" s="1629"/>
      <c r="EN56" s="1629"/>
      <c r="EO56" s="1629"/>
      <c r="EP56" s="1629"/>
      <c r="EQ56" s="1629"/>
      <c r="ER56" s="1629"/>
      <c r="ES56" s="1629"/>
      <c r="ET56" s="1629"/>
      <c r="EU56" s="1629"/>
      <c r="EV56" s="1629"/>
      <c r="EW56" s="1629"/>
      <c r="EX56" s="1629"/>
      <c r="EY56" s="1629"/>
      <c r="EZ56" s="1629"/>
      <c r="FA56" s="1629"/>
      <c r="FB56" s="1629"/>
      <c r="FC56" s="1629"/>
      <c r="FD56" s="1629"/>
      <c r="FE56" s="1629"/>
      <c r="FF56" s="1629"/>
      <c r="FG56" s="1629"/>
      <c r="FH56" s="1629"/>
      <c r="FI56" s="1629"/>
      <c r="FJ56" s="1629"/>
      <c r="FK56" s="1629"/>
      <c r="FL56" s="1629"/>
      <c r="FM56" s="1629"/>
      <c r="FN56" s="1629"/>
      <c r="FO56" s="1629"/>
      <c r="FP56" s="1629"/>
      <c r="FQ56" s="1629"/>
      <c r="FR56" s="1629"/>
      <c r="FS56" s="1629"/>
      <c r="FT56" s="1629"/>
      <c r="FU56" s="1629"/>
      <c r="FV56" s="1629"/>
      <c r="FW56" s="1629"/>
      <c r="FX56" s="1629"/>
      <c r="FY56" s="1629"/>
      <c r="FZ56" s="1629"/>
      <c r="GA56" s="1629"/>
      <c r="GB56" s="1629"/>
      <c r="GC56" s="1629"/>
      <c r="GD56" s="1629"/>
      <c r="GE56" s="1629"/>
      <c r="GF56" s="1629"/>
      <c r="GG56" s="1629"/>
      <c r="GH56" s="1629"/>
      <c r="GI56" s="1629"/>
      <c r="GJ56" s="1629"/>
      <c r="GK56" s="1629"/>
      <c r="GL56" s="1629"/>
      <c r="GM56" s="1629"/>
      <c r="GN56" s="1629"/>
      <c r="GO56" s="1629"/>
      <c r="GP56" s="1629"/>
      <c r="GQ56" s="1629"/>
      <c r="GR56" s="1629"/>
      <c r="GS56" s="1629"/>
      <c r="GT56" s="1629"/>
      <c r="GU56" s="1629"/>
      <c r="GV56" s="1629"/>
      <c r="GW56" s="1629"/>
      <c r="GX56" s="1629"/>
      <c r="GY56" s="1629"/>
      <c r="GZ56" s="1629"/>
      <c r="HA56" s="1629"/>
      <c r="HB56" s="1629"/>
      <c r="HC56" s="1629"/>
      <c r="HD56" s="1629"/>
      <c r="HE56" s="1629"/>
      <c r="HF56" s="1629"/>
      <c r="HG56" s="1629"/>
      <c r="HH56" s="1629"/>
      <c r="HI56" s="1629"/>
      <c r="HJ56" s="1629"/>
      <c r="HK56" s="1629"/>
      <c r="HL56" s="1629"/>
      <c r="HM56" s="1629"/>
      <c r="HN56" s="1629"/>
      <c r="HO56" s="1629"/>
      <c r="HP56" s="1629"/>
      <c r="HQ56" s="1629"/>
      <c r="HR56" s="1629"/>
      <c r="HS56" s="1629"/>
      <c r="HT56" s="1629"/>
      <c r="HU56" s="1629"/>
      <c r="HV56" s="1629"/>
      <c r="HW56" s="1629"/>
      <c r="HX56" s="1629"/>
      <c r="HY56" s="1629"/>
      <c r="HZ56" s="1629"/>
      <c r="IA56" s="1629"/>
      <c r="IB56" s="1629"/>
      <c r="IC56" s="1629"/>
      <c r="ID56" s="1629"/>
      <c r="IE56" s="1629"/>
      <c r="IF56" s="1629"/>
      <c r="IG56" s="1629"/>
      <c r="IH56" s="1629"/>
      <c r="II56" s="1629"/>
      <c r="IJ56" s="1629"/>
      <c r="IK56" s="1629"/>
      <c r="IL56" s="1629"/>
      <c r="IM56" s="1629"/>
      <c r="IN56" s="1629"/>
      <c r="IO56" s="1629"/>
      <c r="IP56" s="1629"/>
      <c r="IQ56" s="1629"/>
      <c r="IR56" s="1629"/>
      <c r="IS56" s="1629"/>
      <c r="IT56" s="1629"/>
      <c r="IU56" s="1629"/>
      <c r="IV56" s="1629"/>
    </row>
    <row r="57" spans="1:256" ht="24" hidden="1" customHeight="1" outlineLevel="1" x14ac:dyDescent="0.2">
      <c r="A57" s="4549"/>
      <c r="B57" s="1687" t="s">
        <v>1753</v>
      </c>
      <c r="C57" s="1572" t="s">
        <v>1721</v>
      </c>
      <c r="D57" s="1553"/>
      <c r="E57" s="1552"/>
      <c r="F57" s="1553"/>
      <c r="G57" s="1552"/>
      <c r="H57" s="1554">
        <f>J57+L57+N57+P57+R57+T57+V57</f>
        <v>0</v>
      </c>
      <c r="I57" s="1552">
        <f>K57+M57+O57+Q57+S57+U57+W57</f>
        <v>0</v>
      </c>
      <c r="J57" s="1553">
        <f>J55*J56/1000</f>
        <v>0</v>
      </c>
      <c r="K57" s="1552">
        <f t="shared" ref="K57:W57" si="42">K55*K56/1000</f>
        <v>0</v>
      </c>
      <c r="L57" s="1553">
        <f t="shared" si="42"/>
        <v>0</v>
      </c>
      <c r="M57" s="1552">
        <f t="shared" si="42"/>
        <v>0</v>
      </c>
      <c r="N57" s="1553">
        <f t="shared" si="42"/>
        <v>0</v>
      </c>
      <c r="O57" s="1552">
        <f t="shared" si="42"/>
        <v>0</v>
      </c>
      <c r="P57" s="1553">
        <f t="shared" si="42"/>
        <v>0</v>
      </c>
      <c r="Q57" s="1552">
        <f t="shared" si="42"/>
        <v>0</v>
      </c>
      <c r="R57" s="1553">
        <f t="shared" si="42"/>
        <v>0</v>
      </c>
      <c r="S57" s="1552">
        <f t="shared" si="42"/>
        <v>0</v>
      </c>
      <c r="T57" s="1553">
        <f t="shared" si="42"/>
        <v>0</v>
      </c>
      <c r="U57" s="1552">
        <f t="shared" si="42"/>
        <v>0</v>
      </c>
      <c r="V57" s="1553">
        <f t="shared" si="42"/>
        <v>0</v>
      </c>
      <c r="W57" s="1552">
        <f t="shared" si="42"/>
        <v>0</v>
      </c>
      <c r="X57" s="1580">
        <f t="shared" ref="X57:Y57" si="43">X55*X56/1000</f>
        <v>0</v>
      </c>
      <c r="Y57" s="1579">
        <f t="shared" si="43"/>
        <v>0</v>
      </c>
      <c r="Z57" s="1630"/>
      <c r="AA57" s="1630"/>
      <c r="AB57" s="1629"/>
      <c r="AC57" s="1620"/>
      <c r="AD57" s="1620"/>
      <c r="AE57" s="1620"/>
      <c r="AF57" s="1620"/>
      <c r="AG57" s="1620"/>
      <c r="AH57" s="1620"/>
      <c r="AI57" s="1629"/>
      <c r="AJ57" s="1631"/>
      <c r="AK57" s="1631"/>
      <c r="AL57" s="1631"/>
      <c r="AM57" s="1631"/>
      <c r="AN57" s="1631"/>
      <c r="AO57" s="1631"/>
      <c r="AP57" s="1629"/>
      <c r="AQ57" s="1629"/>
      <c r="AR57" s="1629"/>
      <c r="AS57" s="1629"/>
      <c r="AT57" s="1629"/>
      <c r="AU57" s="1629"/>
      <c r="AV57" s="1629"/>
      <c r="AW57" s="1629"/>
      <c r="AX57" s="1629"/>
      <c r="AY57" s="1629"/>
      <c r="AZ57" s="1629"/>
      <c r="BA57" s="1629"/>
      <c r="BB57" s="1629"/>
      <c r="BC57" s="1629"/>
      <c r="BD57" s="1629"/>
      <c r="BE57" s="1629"/>
      <c r="BF57" s="1629"/>
      <c r="BG57" s="1629"/>
      <c r="BH57" s="1629"/>
      <c r="BI57" s="1629"/>
      <c r="BJ57" s="1629"/>
      <c r="BK57" s="1629"/>
      <c r="BL57" s="1629"/>
      <c r="BM57" s="1629"/>
      <c r="BN57" s="1629"/>
      <c r="BO57" s="1629"/>
      <c r="BP57" s="1629"/>
      <c r="BQ57" s="1629"/>
      <c r="BR57" s="1629"/>
      <c r="BS57" s="1629"/>
      <c r="BT57" s="1629"/>
      <c r="BU57" s="1629"/>
      <c r="BV57" s="1629"/>
      <c r="BW57" s="1629"/>
      <c r="BX57" s="1629"/>
      <c r="BY57" s="1629"/>
      <c r="BZ57" s="1629"/>
      <c r="CA57" s="1629"/>
      <c r="CB57" s="1629"/>
      <c r="CC57" s="1629"/>
      <c r="CD57" s="1629"/>
      <c r="CE57" s="1629"/>
      <c r="CF57" s="1629"/>
      <c r="CG57" s="1629"/>
      <c r="CH57" s="1629"/>
      <c r="CI57" s="1629"/>
      <c r="CJ57" s="1629"/>
      <c r="CK57" s="1629"/>
      <c r="CL57" s="1629"/>
      <c r="CM57" s="1629"/>
      <c r="CN57" s="1629"/>
      <c r="CO57" s="1629"/>
      <c r="CP57" s="1629"/>
      <c r="CQ57" s="1629"/>
      <c r="CR57" s="1629"/>
      <c r="CS57" s="1629"/>
      <c r="CT57" s="1629"/>
      <c r="CU57" s="1629"/>
      <c r="CV57" s="1629"/>
      <c r="CW57" s="1629"/>
      <c r="CX57" s="1629"/>
      <c r="CY57" s="1629"/>
      <c r="CZ57" s="1629"/>
      <c r="DA57" s="1629"/>
      <c r="DB57" s="1629"/>
      <c r="DC57" s="1629"/>
      <c r="DD57" s="1629"/>
      <c r="DE57" s="1629"/>
      <c r="DF57" s="1629"/>
      <c r="DG57" s="1629"/>
      <c r="DH57" s="1629"/>
      <c r="DI57" s="1629"/>
      <c r="DJ57" s="1629"/>
      <c r="DK57" s="1629"/>
      <c r="DL57" s="1629"/>
      <c r="DM57" s="1629"/>
      <c r="DN57" s="1629"/>
      <c r="DO57" s="1629"/>
      <c r="DP57" s="1629"/>
      <c r="DQ57" s="1629"/>
      <c r="DR57" s="1629"/>
      <c r="DS57" s="1629"/>
      <c r="DT57" s="1629"/>
      <c r="DU57" s="1629"/>
      <c r="DV57" s="1629"/>
      <c r="DW57" s="1629"/>
      <c r="DX57" s="1629"/>
      <c r="DY57" s="1629"/>
      <c r="DZ57" s="1629"/>
      <c r="EA57" s="1629"/>
      <c r="EB57" s="1629"/>
      <c r="EC57" s="1629"/>
      <c r="ED57" s="1629"/>
      <c r="EE57" s="1629"/>
      <c r="EF57" s="1629"/>
      <c r="EG57" s="1629"/>
      <c r="EH57" s="1629"/>
      <c r="EI57" s="1629"/>
      <c r="EJ57" s="1629"/>
      <c r="EK57" s="1629"/>
      <c r="EL57" s="1629"/>
      <c r="EM57" s="1629"/>
      <c r="EN57" s="1629"/>
      <c r="EO57" s="1629"/>
      <c r="EP57" s="1629"/>
      <c r="EQ57" s="1629"/>
      <c r="ER57" s="1629"/>
      <c r="ES57" s="1629"/>
      <c r="ET57" s="1629"/>
      <c r="EU57" s="1629"/>
      <c r="EV57" s="1629"/>
      <c r="EW57" s="1629"/>
      <c r="EX57" s="1629"/>
      <c r="EY57" s="1629"/>
      <c r="EZ57" s="1629"/>
      <c r="FA57" s="1629"/>
      <c r="FB57" s="1629"/>
      <c r="FC57" s="1629"/>
      <c r="FD57" s="1629"/>
      <c r="FE57" s="1629"/>
      <c r="FF57" s="1629"/>
      <c r="FG57" s="1629"/>
      <c r="FH57" s="1629"/>
      <c r="FI57" s="1629"/>
      <c r="FJ57" s="1629"/>
      <c r="FK57" s="1629"/>
      <c r="FL57" s="1629"/>
      <c r="FM57" s="1629"/>
      <c r="FN57" s="1629"/>
      <c r="FO57" s="1629"/>
      <c r="FP57" s="1629"/>
      <c r="FQ57" s="1629"/>
      <c r="FR57" s="1629"/>
      <c r="FS57" s="1629"/>
      <c r="FT57" s="1629"/>
      <c r="FU57" s="1629"/>
      <c r="FV57" s="1629"/>
      <c r="FW57" s="1629"/>
      <c r="FX57" s="1629"/>
      <c r="FY57" s="1629"/>
      <c r="FZ57" s="1629"/>
      <c r="GA57" s="1629"/>
      <c r="GB57" s="1629"/>
      <c r="GC57" s="1629"/>
      <c r="GD57" s="1629"/>
      <c r="GE57" s="1629"/>
      <c r="GF57" s="1629"/>
      <c r="GG57" s="1629"/>
      <c r="GH57" s="1629"/>
      <c r="GI57" s="1629"/>
      <c r="GJ57" s="1629"/>
      <c r="GK57" s="1629"/>
      <c r="GL57" s="1629"/>
      <c r="GM57" s="1629"/>
      <c r="GN57" s="1629"/>
      <c r="GO57" s="1629"/>
      <c r="GP57" s="1629"/>
      <c r="GQ57" s="1629"/>
      <c r="GR57" s="1629"/>
      <c r="GS57" s="1629"/>
      <c r="GT57" s="1629"/>
      <c r="GU57" s="1629"/>
      <c r="GV57" s="1629"/>
      <c r="GW57" s="1629"/>
      <c r="GX57" s="1629"/>
      <c r="GY57" s="1629"/>
      <c r="GZ57" s="1629"/>
      <c r="HA57" s="1629"/>
      <c r="HB57" s="1629"/>
      <c r="HC57" s="1629"/>
      <c r="HD57" s="1629"/>
      <c r="HE57" s="1629"/>
      <c r="HF57" s="1629"/>
      <c r="HG57" s="1629"/>
      <c r="HH57" s="1629"/>
      <c r="HI57" s="1629"/>
      <c r="HJ57" s="1629"/>
      <c r="HK57" s="1629"/>
      <c r="HL57" s="1629"/>
      <c r="HM57" s="1629"/>
      <c r="HN57" s="1629"/>
      <c r="HO57" s="1629"/>
      <c r="HP57" s="1629"/>
      <c r="HQ57" s="1629"/>
      <c r="HR57" s="1629"/>
      <c r="HS57" s="1629"/>
      <c r="HT57" s="1629"/>
      <c r="HU57" s="1629"/>
      <c r="HV57" s="1629"/>
      <c r="HW57" s="1629"/>
      <c r="HX57" s="1629"/>
      <c r="HY57" s="1629"/>
      <c r="HZ57" s="1629"/>
      <c r="IA57" s="1629"/>
      <c r="IB57" s="1629"/>
      <c r="IC57" s="1629"/>
      <c r="ID57" s="1629"/>
      <c r="IE57" s="1629"/>
      <c r="IF57" s="1629"/>
      <c r="IG57" s="1629"/>
      <c r="IH57" s="1629"/>
      <c r="II57" s="1629"/>
      <c r="IJ57" s="1629"/>
      <c r="IK57" s="1629"/>
      <c r="IL57" s="1629"/>
      <c r="IM57" s="1629"/>
      <c r="IN57" s="1629"/>
      <c r="IO57" s="1629"/>
      <c r="IP57" s="1629"/>
      <c r="IQ57" s="1629"/>
      <c r="IR57" s="1629"/>
      <c r="IS57" s="1629"/>
      <c r="IT57" s="1629"/>
      <c r="IU57" s="1629"/>
      <c r="IV57" s="1629"/>
    </row>
    <row r="58" spans="1:256" ht="13.15" hidden="1" customHeight="1" outlineLevel="1" x14ac:dyDescent="0.2">
      <c r="A58" s="4547" t="s">
        <v>1754</v>
      </c>
      <c r="B58" s="1684" t="s">
        <v>1755</v>
      </c>
      <c r="C58" s="1571" t="s">
        <v>1686</v>
      </c>
      <c r="D58" s="1553"/>
      <c r="E58" s="1552"/>
      <c r="F58" s="1553"/>
      <c r="G58" s="1552"/>
      <c r="H58" s="1554">
        <f>J58+L58+N58+P58+R58+T58+V58</f>
        <v>0</v>
      </c>
      <c r="I58" s="1552">
        <f>K58+M58+O58+Q58+S58+U58+W58</f>
        <v>0</v>
      </c>
      <c r="J58" s="1553"/>
      <c r="K58" s="1552"/>
      <c r="L58" s="1553"/>
      <c r="M58" s="1552"/>
      <c r="N58" s="1553"/>
      <c r="O58" s="1552"/>
      <c r="P58" s="1553"/>
      <c r="Q58" s="1552"/>
      <c r="R58" s="1553"/>
      <c r="S58" s="1552"/>
      <c r="T58" s="1553"/>
      <c r="U58" s="1552"/>
      <c r="V58" s="1553"/>
      <c r="W58" s="1556"/>
      <c r="X58" s="1580"/>
      <c r="Y58" s="1585"/>
      <c r="Z58" s="1630"/>
      <c r="AA58" s="1630"/>
      <c r="AB58" s="1629"/>
      <c r="AC58" s="1620"/>
      <c r="AD58" s="1620"/>
      <c r="AE58" s="1620"/>
      <c r="AF58" s="1620"/>
      <c r="AG58" s="1620"/>
      <c r="AH58" s="1620"/>
      <c r="AI58" s="1629"/>
      <c r="AJ58" s="1631"/>
      <c r="AK58" s="1631"/>
      <c r="AL58" s="1631"/>
      <c r="AM58" s="1631"/>
      <c r="AN58" s="1631"/>
      <c r="AO58" s="1631"/>
      <c r="AP58" s="1629"/>
      <c r="AQ58" s="1629"/>
      <c r="AR58" s="1629"/>
      <c r="AS58" s="1629"/>
      <c r="AT58" s="1629"/>
      <c r="AU58" s="1629"/>
      <c r="AV58" s="1629"/>
      <c r="AW58" s="1629"/>
      <c r="AX58" s="1629"/>
      <c r="AY58" s="1629"/>
      <c r="AZ58" s="1629"/>
      <c r="BA58" s="1629"/>
      <c r="BB58" s="1629"/>
      <c r="BC58" s="1629"/>
      <c r="BD58" s="1629"/>
      <c r="BE58" s="1629"/>
      <c r="BF58" s="1629"/>
      <c r="BG58" s="1629"/>
      <c r="BH58" s="1629"/>
      <c r="BI58" s="1629"/>
      <c r="BJ58" s="1629"/>
      <c r="BK58" s="1629"/>
      <c r="BL58" s="1629"/>
      <c r="BM58" s="1629"/>
      <c r="BN58" s="1629"/>
      <c r="BO58" s="1629"/>
      <c r="BP58" s="1629"/>
      <c r="BQ58" s="1629"/>
      <c r="BR58" s="1629"/>
      <c r="BS58" s="1629"/>
      <c r="BT58" s="1629"/>
      <c r="BU58" s="1629"/>
      <c r="BV58" s="1629"/>
      <c r="BW58" s="1629"/>
      <c r="BX58" s="1629"/>
      <c r="BY58" s="1629"/>
      <c r="BZ58" s="1629"/>
      <c r="CA58" s="1629"/>
      <c r="CB58" s="1629"/>
      <c r="CC58" s="1629"/>
      <c r="CD58" s="1629"/>
      <c r="CE58" s="1629"/>
      <c r="CF58" s="1629"/>
      <c r="CG58" s="1629"/>
      <c r="CH58" s="1629"/>
      <c r="CI58" s="1629"/>
      <c r="CJ58" s="1629"/>
      <c r="CK58" s="1629"/>
      <c r="CL58" s="1629"/>
      <c r="CM58" s="1629"/>
      <c r="CN58" s="1629"/>
      <c r="CO58" s="1629"/>
      <c r="CP58" s="1629"/>
      <c r="CQ58" s="1629"/>
      <c r="CR58" s="1629"/>
      <c r="CS58" s="1629"/>
      <c r="CT58" s="1629"/>
      <c r="CU58" s="1629"/>
      <c r="CV58" s="1629"/>
      <c r="CW58" s="1629"/>
      <c r="CX58" s="1629"/>
      <c r="CY58" s="1629"/>
      <c r="CZ58" s="1629"/>
      <c r="DA58" s="1629"/>
      <c r="DB58" s="1629"/>
      <c r="DC58" s="1629"/>
      <c r="DD58" s="1629"/>
      <c r="DE58" s="1629"/>
      <c r="DF58" s="1629"/>
      <c r="DG58" s="1629"/>
      <c r="DH58" s="1629"/>
      <c r="DI58" s="1629"/>
      <c r="DJ58" s="1629"/>
      <c r="DK58" s="1629"/>
      <c r="DL58" s="1629"/>
      <c r="DM58" s="1629"/>
      <c r="DN58" s="1629"/>
      <c r="DO58" s="1629"/>
      <c r="DP58" s="1629"/>
      <c r="DQ58" s="1629"/>
      <c r="DR58" s="1629"/>
      <c r="DS58" s="1629"/>
      <c r="DT58" s="1629"/>
      <c r="DU58" s="1629"/>
      <c r="DV58" s="1629"/>
      <c r="DW58" s="1629"/>
      <c r="DX58" s="1629"/>
      <c r="DY58" s="1629"/>
      <c r="DZ58" s="1629"/>
      <c r="EA58" s="1629"/>
      <c r="EB58" s="1629"/>
      <c r="EC58" s="1629"/>
      <c r="ED58" s="1629"/>
      <c r="EE58" s="1629"/>
      <c r="EF58" s="1629"/>
      <c r="EG58" s="1629"/>
      <c r="EH58" s="1629"/>
      <c r="EI58" s="1629"/>
      <c r="EJ58" s="1629"/>
      <c r="EK58" s="1629"/>
      <c r="EL58" s="1629"/>
      <c r="EM58" s="1629"/>
      <c r="EN58" s="1629"/>
      <c r="EO58" s="1629"/>
      <c r="EP58" s="1629"/>
      <c r="EQ58" s="1629"/>
      <c r="ER58" s="1629"/>
      <c r="ES58" s="1629"/>
      <c r="ET58" s="1629"/>
      <c r="EU58" s="1629"/>
      <c r="EV58" s="1629"/>
      <c r="EW58" s="1629"/>
      <c r="EX58" s="1629"/>
      <c r="EY58" s="1629"/>
      <c r="EZ58" s="1629"/>
      <c r="FA58" s="1629"/>
      <c r="FB58" s="1629"/>
      <c r="FC58" s="1629"/>
      <c r="FD58" s="1629"/>
      <c r="FE58" s="1629"/>
      <c r="FF58" s="1629"/>
      <c r="FG58" s="1629"/>
      <c r="FH58" s="1629"/>
      <c r="FI58" s="1629"/>
      <c r="FJ58" s="1629"/>
      <c r="FK58" s="1629"/>
      <c r="FL58" s="1629"/>
      <c r="FM58" s="1629"/>
      <c r="FN58" s="1629"/>
      <c r="FO58" s="1629"/>
      <c r="FP58" s="1629"/>
      <c r="FQ58" s="1629"/>
      <c r="FR58" s="1629"/>
      <c r="FS58" s="1629"/>
      <c r="FT58" s="1629"/>
      <c r="FU58" s="1629"/>
      <c r="FV58" s="1629"/>
      <c r="FW58" s="1629"/>
      <c r="FX58" s="1629"/>
      <c r="FY58" s="1629"/>
      <c r="FZ58" s="1629"/>
      <c r="GA58" s="1629"/>
      <c r="GB58" s="1629"/>
      <c r="GC58" s="1629"/>
      <c r="GD58" s="1629"/>
      <c r="GE58" s="1629"/>
      <c r="GF58" s="1629"/>
      <c r="GG58" s="1629"/>
      <c r="GH58" s="1629"/>
      <c r="GI58" s="1629"/>
      <c r="GJ58" s="1629"/>
      <c r="GK58" s="1629"/>
      <c r="GL58" s="1629"/>
      <c r="GM58" s="1629"/>
      <c r="GN58" s="1629"/>
      <c r="GO58" s="1629"/>
      <c r="GP58" s="1629"/>
      <c r="GQ58" s="1629"/>
      <c r="GR58" s="1629"/>
      <c r="GS58" s="1629"/>
      <c r="GT58" s="1629"/>
      <c r="GU58" s="1629"/>
      <c r="GV58" s="1629"/>
      <c r="GW58" s="1629"/>
      <c r="GX58" s="1629"/>
      <c r="GY58" s="1629"/>
      <c r="GZ58" s="1629"/>
      <c r="HA58" s="1629"/>
      <c r="HB58" s="1629"/>
      <c r="HC58" s="1629"/>
      <c r="HD58" s="1629"/>
      <c r="HE58" s="1629"/>
      <c r="HF58" s="1629"/>
      <c r="HG58" s="1629"/>
      <c r="HH58" s="1629"/>
      <c r="HI58" s="1629"/>
      <c r="HJ58" s="1629"/>
      <c r="HK58" s="1629"/>
      <c r="HL58" s="1629"/>
      <c r="HM58" s="1629"/>
      <c r="HN58" s="1629"/>
      <c r="HO58" s="1629"/>
      <c r="HP58" s="1629"/>
      <c r="HQ58" s="1629"/>
      <c r="HR58" s="1629"/>
      <c r="HS58" s="1629"/>
      <c r="HT58" s="1629"/>
      <c r="HU58" s="1629"/>
      <c r="HV58" s="1629"/>
      <c r="HW58" s="1629"/>
      <c r="HX58" s="1629"/>
      <c r="HY58" s="1629"/>
      <c r="HZ58" s="1629"/>
      <c r="IA58" s="1629"/>
      <c r="IB58" s="1629"/>
      <c r="IC58" s="1629"/>
      <c r="ID58" s="1629"/>
      <c r="IE58" s="1629"/>
      <c r="IF58" s="1629"/>
      <c r="IG58" s="1629"/>
      <c r="IH58" s="1629"/>
      <c r="II58" s="1629"/>
      <c r="IJ58" s="1629"/>
      <c r="IK58" s="1629"/>
      <c r="IL58" s="1629"/>
      <c r="IM58" s="1629"/>
      <c r="IN58" s="1629"/>
      <c r="IO58" s="1629"/>
      <c r="IP58" s="1629"/>
      <c r="IQ58" s="1629"/>
      <c r="IR58" s="1629"/>
      <c r="IS58" s="1629"/>
      <c r="IT58" s="1629"/>
      <c r="IU58" s="1629"/>
      <c r="IV58" s="1629"/>
    </row>
    <row r="59" spans="1:256" ht="24" hidden="1" customHeight="1" outlineLevel="1" x14ac:dyDescent="0.2">
      <c r="A59" s="4548"/>
      <c r="B59" s="1684" t="s">
        <v>1756</v>
      </c>
      <c r="C59" s="1571" t="s">
        <v>1718</v>
      </c>
      <c r="D59" s="1553">
        <f t="shared" ref="D59:I59" si="44">IF(D58=0,,D60/1000/D58)</f>
        <v>0</v>
      </c>
      <c r="E59" s="1552">
        <f t="shared" si="44"/>
        <v>0</v>
      </c>
      <c r="F59" s="1553"/>
      <c r="G59" s="1552"/>
      <c r="H59" s="1554">
        <f t="shared" si="44"/>
        <v>0</v>
      </c>
      <c r="I59" s="1552">
        <f t="shared" si="44"/>
        <v>0</v>
      </c>
      <c r="J59" s="1553"/>
      <c r="K59" s="1552"/>
      <c r="L59" s="1553"/>
      <c r="M59" s="1552"/>
      <c r="N59" s="1553"/>
      <c r="O59" s="1552"/>
      <c r="P59" s="1553"/>
      <c r="Q59" s="1552"/>
      <c r="R59" s="1553"/>
      <c r="S59" s="1552"/>
      <c r="T59" s="1553"/>
      <c r="U59" s="1552"/>
      <c r="V59" s="1553"/>
      <c r="W59" s="1556"/>
      <c r="X59" s="1580"/>
      <c r="Y59" s="1585"/>
      <c r="Z59" s="1630"/>
      <c r="AA59" s="1630"/>
      <c r="AB59" s="1629"/>
      <c r="AC59" s="1620"/>
      <c r="AD59" s="1620"/>
      <c r="AE59" s="1620"/>
      <c r="AF59" s="1620"/>
      <c r="AG59" s="1620"/>
      <c r="AH59" s="1620"/>
      <c r="AI59" s="1629"/>
      <c r="AJ59" s="1631"/>
      <c r="AK59" s="1631"/>
      <c r="AL59" s="1631"/>
      <c r="AM59" s="1631"/>
      <c r="AN59" s="1631"/>
      <c r="AO59" s="1631"/>
      <c r="AP59" s="1629"/>
      <c r="AQ59" s="1629"/>
      <c r="AR59" s="1629"/>
      <c r="AS59" s="1629"/>
      <c r="AT59" s="1629"/>
      <c r="AU59" s="1629"/>
      <c r="AV59" s="1629"/>
      <c r="AW59" s="1629"/>
      <c r="AX59" s="1629"/>
      <c r="AY59" s="1629"/>
      <c r="AZ59" s="1629"/>
      <c r="BA59" s="1629"/>
      <c r="BB59" s="1629"/>
      <c r="BC59" s="1629"/>
      <c r="BD59" s="1629"/>
      <c r="BE59" s="1629"/>
      <c r="BF59" s="1629"/>
      <c r="BG59" s="1629"/>
      <c r="BH59" s="1629"/>
      <c r="BI59" s="1629"/>
      <c r="BJ59" s="1629"/>
      <c r="BK59" s="1629"/>
      <c r="BL59" s="1629"/>
      <c r="BM59" s="1629"/>
      <c r="BN59" s="1629"/>
      <c r="BO59" s="1629"/>
      <c r="BP59" s="1629"/>
      <c r="BQ59" s="1629"/>
      <c r="BR59" s="1629"/>
      <c r="BS59" s="1629"/>
      <c r="BT59" s="1629"/>
      <c r="BU59" s="1629"/>
      <c r="BV59" s="1629"/>
      <c r="BW59" s="1629"/>
      <c r="BX59" s="1629"/>
      <c r="BY59" s="1629"/>
      <c r="BZ59" s="1629"/>
      <c r="CA59" s="1629"/>
      <c r="CB59" s="1629"/>
      <c r="CC59" s="1629"/>
      <c r="CD59" s="1629"/>
      <c r="CE59" s="1629"/>
      <c r="CF59" s="1629"/>
      <c r="CG59" s="1629"/>
      <c r="CH59" s="1629"/>
      <c r="CI59" s="1629"/>
      <c r="CJ59" s="1629"/>
      <c r="CK59" s="1629"/>
      <c r="CL59" s="1629"/>
      <c r="CM59" s="1629"/>
      <c r="CN59" s="1629"/>
      <c r="CO59" s="1629"/>
      <c r="CP59" s="1629"/>
      <c r="CQ59" s="1629"/>
      <c r="CR59" s="1629"/>
      <c r="CS59" s="1629"/>
      <c r="CT59" s="1629"/>
      <c r="CU59" s="1629"/>
      <c r="CV59" s="1629"/>
      <c r="CW59" s="1629"/>
      <c r="CX59" s="1629"/>
      <c r="CY59" s="1629"/>
      <c r="CZ59" s="1629"/>
      <c r="DA59" s="1629"/>
      <c r="DB59" s="1629"/>
      <c r="DC59" s="1629"/>
      <c r="DD59" s="1629"/>
      <c r="DE59" s="1629"/>
      <c r="DF59" s="1629"/>
      <c r="DG59" s="1629"/>
      <c r="DH59" s="1629"/>
      <c r="DI59" s="1629"/>
      <c r="DJ59" s="1629"/>
      <c r="DK59" s="1629"/>
      <c r="DL59" s="1629"/>
      <c r="DM59" s="1629"/>
      <c r="DN59" s="1629"/>
      <c r="DO59" s="1629"/>
      <c r="DP59" s="1629"/>
      <c r="DQ59" s="1629"/>
      <c r="DR59" s="1629"/>
      <c r="DS59" s="1629"/>
      <c r="DT59" s="1629"/>
      <c r="DU59" s="1629"/>
      <c r="DV59" s="1629"/>
      <c r="DW59" s="1629"/>
      <c r="DX59" s="1629"/>
      <c r="DY59" s="1629"/>
      <c r="DZ59" s="1629"/>
      <c r="EA59" s="1629"/>
      <c r="EB59" s="1629"/>
      <c r="EC59" s="1629"/>
      <c r="ED59" s="1629"/>
      <c r="EE59" s="1629"/>
      <c r="EF59" s="1629"/>
      <c r="EG59" s="1629"/>
      <c r="EH59" s="1629"/>
      <c r="EI59" s="1629"/>
      <c r="EJ59" s="1629"/>
      <c r="EK59" s="1629"/>
      <c r="EL59" s="1629"/>
      <c r="EM59" s="1629"/>
      <c r="EN59" s="1629"/>
      <c r="EO59" s="1629"/>
      <c r="EP59" s="1629"/>
      <c r="EQ59" s="1629"/>
      <c r="ER59" s="1629"/>
      <c r="ES59" s="1629"/>
      <c r="ET59" s="1629"/>
      <c r="EU59" s="1629"/>
      <c r="EV59" s="1629"/>
      <c r="EW59" s="1629"/>
      <c r="EX59" s="1629"/>
      <c r="EY59" s="1629"/>
      <c r="EZ59" s="1629"/>
      <c r="FA59" s="1629"/>
      <c r="FB59" s="1629"/>
      <c r="FC59" s="1629"/>
      <c r="FD59" s="1629"/>
      <c r="FE59" s="1629"/>
      <c r="FF59" s="1629"/>
      <c r="FG59" s="1629"/>
      <c r="FH59" s="1629"/>
      <c r="FI59" s="1629"/>
      <c r="FJ59" s="1629"/>
      <c r="FK59" s="1629"/>
      <c r="FL59" s="1629"/>
      <c r="FM59" s="1629"/>
      <c r="FN59" s="1629"/>
      <c r="FO59" s="1629"/>
      <c r="FP59" s="1629"/>
      <c r="FQ59" s="1629"/>
      <c r="FR59" s="1629"/>
      <c r="FS59" s="1629"/>
      <c r="FT59" s="1629"/>
      <c r="FU59" s="1629"/>
      <c r="FV59" s="1629"/>
      <c r="FW59" s="1629"/>
      <c r="FX59" s="1629"/>
      <c r="FY59" s="1629"/>
      <c r="FZ59" s="1629"/>
      <c r="GA59" s="1629"/>
      <c r="GB59" s="1629"/>
      <c r="GC59" s="1629"/>
      <c r="GD59" s="1629"/>
      <c r="GE59" s="1629"/>
      <c r="GF59" s="1629"/>
      <c r="GG59" s="1629"/>
      <c r="GH59" s="1629"/>
      <c r="GI59" s="1629"/>
      <c r="GJ59" s="1629"/>
      <c r="GK59" s="1629"/>
      <c r="GL59" s="1629"/>
      <c r="GM59" s="1629"/>
      <c r="GN59" s="1629"/>
      <c r="GO59" s="1629"/>
      <c r="GP59" s="1629"/>
      <c r="GQ59" s="1629"/>
      <c r="GR59" s="1629"/>
      <c r="GS59" s="1629"/>
      <c r="GT59" s="1629"/>
      <c r="GU59" s="1629"/>
      <c r="GV59" s="1629"/>
      <c r="GW59" s="1629"/>
      <c r="GX59" s="1629"/>
      <c r="GY59" s="1629"/>
      <c r="GZ59" s="1629"/>
      <c r="HA59" s="1629"/>
      <c r="HB59" s="1629"/>
      <c r="HC59" s="1629"/>
      <c r="HD59" s="1629"/>
      <c r="HE59" s="1629"/>
      <c r="HF59" s="1629"/>
      <c r="HG59" s="1629"/>
      <c r="HH59" s="1629"/>
      <c r="HI59" s="1629"/>
      <c r="HJ59" s="1629"/>
      <c r="HK59" s="1629"/>
      <c r="HL59" s="1629"/>
      <c r="HM59" s="1629"/>
      <c r="HN59" s="1629"/>
      <c r="HO59" s="1629"/>
      <c r="HP59" s="1629"/>
      <c r="HQ59" s="1629"/>
      <c r="HR59" s="1629"/>
      <c r="HS59" s="1629"/>
      <c r="HT59" s="1629"/>
      <c r="HU59" s="1629"/>
      <c r="HV59" s="1629"/>
      <c r="HW59" s="1629"/>
      <c r="HX59" s="1629"/>
      <c r="HY59" s="1629"/>
      <c r="HZ59" s="1629"/>
      <c r="IA59" s="1629"/>
      <c r="IB59" s="1629"/>
      <c r="IC59" s="1629"/>
      <c r="ID59" s="1629"/>
      <c r="IE59" s="1629"/>
      <c r="IF59" s="1629"/>
      <c r="IG59" s="1629"/>
      <c r="IH59" s="1629"/>
      <c r="II59" s="1629"/>
      <c r="IJ59" s="1629"/>
      <c r="IK59" s="1629"/>
      <c r="IL59" s="1629"/>
      <c r="IM59" s="1629"/>
      <c r="IN59" s="1629"/>
      <c r="IO59" s="1629"/>
      <c r="IP59" s="1629"/>
      <c r="IQ59" s="1629"/>
      <c r="IR59" s="1629"/>
      <c r="IS59" s="1629"/>
      <c r="IT59" s="1629"/>
      <c r="IU59" s="1629"/>
      <c r="IV59" s="1629"/>
    </row>
    <row r="60" spans="1:256" ht="24" hidden="1" customHeight="1" outlineLevel="1" x14ac:dyDescent="0.2">
      <c r="A60" s="4549"/>
      <c r="B60" s="1687" t="s">
        <v>1757</v>
      </c>
      <c r="C60" s="1572" t="s">
        <v>1721</v>
      </c>
      <c r="D60" s="1553"/>
      <c r="E60" s="1552"/>
      <c r="F60" s="1553"/>
      <c r="G60" s="1552"/>
      <c r="H60" s="1554">
        <f>J60+L60+N60+P60+R60+T60+V60</f>
        <v>0</v>
      </c>
      <c r="I60" s="1552">
        <f>K60+M60+O60+Q60+S60+U60+W60</f>
        <v>0</v>
      </c>
      <c r="J60" s="1553">
        <f>J58*J59/1000</f>
        <v>0</v>
      </c>
      <c r="K60" s="1552">
        <f t="shared" ref="K60:W60" si="45">K58*K59/1000</f>
        <v>0</v>
      </c>
      <c r="L60" s="1553">
        <f t="shared" si="45"/>
        <v>0</v>
      </c>
      <c r="M60" s="1552">
        <f t="shared" si="45"/>
        <v>0</v>
      </c>
      <c r="N60" s="1553">
        <f t="shared" si="45"/>
        <v>0</v>
      </c>
      <c r="O60" s="1552">
        <f t="shared" si="45"/>
        <v>0</v>
      </c>
      <c r="P60" s="1553">
        <f t="shared" si="45"/>
        <v>0</v>
      </c>
      <c r="Q60" s="1552">
        <f t="shared" si="45"/>
        <v>0</v>
      </c>
      <c r="R60" s="1553">
        <f t="shared" si="45"/>
        <v>0</v>
      </c>
      <c r="S60" s="1552">
        <f t="shared" si="45"/>
        <v>0</v>
      </c>
      <c r="T60" s="1553">
        <f t="shared" si="45"/>
        <v>0</v>
      </c>
      <c r="U60" s="1552">
        <f t="shared" si="45"/>
        <v>0</v>
      </c>
      <c r="V60" s="1553">
        <f t="shared" si="45"/>
        <v>0</v>
      </c>
      <c r="W60" s="1552">
        <f t="shared" si="45"/>
        <v>0</v>
      </c>
      <c r="X60" s="1580">
        <f t="shared" ref="X60:Y60" si="46">X58*X59/1000</f>
        <v>0</v>
      </c>
      <c r="Y60" s="1579">
        <f t="shared" si="46"/>
        <v>0</v>
      </c>
      <c r="Z60" s="1630"/>
      <c r="AA60" s="1630"/>
      <c r="AB60" s="1629"/>
      <c r="AC60" s="1620"/>
      <c r="AD60" s="1620"/>
      <c r="AE60" s="1620"/>
      <c r="AF60" s="1620"/>
      <c r="AG60" s="1620"/>
      <c r="AH60" s="1620"/>
      <c r="AI60" s="1629"/>
      <c r="AJ60" s="1631"/>
      <c r="AK60" s="1631"/>
      <c r="AL60" s="1631"/>
      <c r="AM60" s="1631"/>
      <c r="AN60" s="1631"/>
      <c r="AO60" s="1631"/>
      <c r="AP60" s="1629"/>
      <c r="AQ60" s="1629"/>
      <c r="AR60" s="1629"/>
      <c r="AS60" s="1629"/>
      <c r="AT60" s="1629"/>
      <c r="AU60" s="1629"/>
      <c r="AV60" s="1629"/>
      <c r="AW60" s="1629"/>
      <c r="AX60" s="1629"/>
      <c r="AY60" s="1629"/>
      <c r="AZ60" s="1629"/>
      <c r="BA60" s="1629"/>
      <c r="BB60" s="1629"/>
      <c r="BC60" s="1629"/>
      <c r="BD60" s="1629"/>
      <c r="BE60" s="1629"/>
      <c r="BF60" s="1629"/>
      <c r="BG60" s="1629"/>
      <c r="BH60" s="1629"/>
      <c r="BI60" s="1629"/>
      <c r="BJ60" s="1629"/>
      <c r="BK60" s="1629"/>
      <c r="BL60" s="1629"/>
      <c r="BM60" s="1629"/>
      <c r="BN60" s="1629"/>
      <c r="BO60" s="1629"/>
      <c r="BP60" s="1629"/>
      <c r="BQ60" s="1629"/>
      <c r="BR60" s="1629"/>
      <c r="BS60" s="1629"/>
      <c r="BT60" s="1629"/>
      <c r="BU60" s="1629"/>
      <c r="BV60" s="1629"/>
      <c r="BW60" s="1629"/>
      <c r="BX60" s="1629"/>
      <c r="BY60" s="1629"/>
      <c r="BZ60" s="1629"/>
      <c r="CA60" s="1629"/>
      <c r="CB60" s="1629"/>
      <c r="CC60" s="1629"/>
      <c r="CD60" s="1629"/>
      <c r="CE60" s="1629"/>
      <c r="CF60" s="1629"/>
      <c r="CG60" s="1629"/>
      <c r="CH60" s="1629"/>
      <c r="CI60" s="1629"/>
      <c r="CJ60" s="1629"/>
      <c r="CK60" s="1629"/>
      <c r="CL60" s="1629"/>
      <c r="CM60" s="1629"/>
      <c r="CN60" s="1629"/>
      <c r="CO60" s="1629"/>
      <c r="CP60" s="1629"/>
      <c r="CQ60" s="1629"/>
      <c r="CR60" s="1629"/>
      <c r="CS60" s="1629"/>
      <c r="CT60" s="1629"/>
      <c r="CU60" s="1629"/>
      <c r="CV60" s="1629"/>
      <c r="CW60" s="1629"/>
      <c r="CX60" s="1629"/>
      <c r="CY60" s="1629"/>
      <c r="CZ60" s="1629"/>
      <c r="DA60" s="1629"/>
      <c r="DB60" s="1629"/>
      <c r="DC60" s="1629"/>
      <c r="DD60" s="1629"/>
      <c r="DE60" s="1629"/>
      <c r="DF60" s="1629"/>
      <c r="DG60" s="1629"/>
      <c r="DH60" s="1629"/>
      <c r="DI60" s="1629"/>
      <c r="DJ60" s="1629"/>
      <c r="DK60" s="1629"/>
      <c r="DL60" s="1629"/>
      <c r="DM60" s="1629"/>
      <c r="DN60" s="1629"/>
      <c r="DO60" s="1629"/>
      <c r="DP60" s="1629"/>
      <c r="DQ60" s="1629"/>
      <c r="DR60" s="1629"/>
      <c r="DS60" s="1629"/>
      <c r="DT60" s="1629"/>
      <c r="DU60" s="1629"/>
      <c r="DV60" s="1629"/>
      <c r="DW60" s="1629"/>
      <c r="DX60" s="1629"/>
      <c r="DY60" s="1629"/>
      <c r="DZ60" s="1629"/>
      <c r="EA60" s="1629"/>
      <c r="EB60" s="1629"/>
      <c r="EC60" s="1629"/>
      <c r="ED60" s="1629"/>
      <c r="EE60" s="1629"/>
      <c r="EF60" s="1629"/>
      <c r="EG60" s="1629"/>
      <c r="EH60" s="1629"/>
      <c r="EI60" s="1629"/>
      <c r="EJ60" s="1629"/>
      <c r="EK60" s="1629"/>
      <c r="EL60" s="1629"/>
      <c r="EM60" s="1629"/>
      <c r="EN60" s="1629"/>
      <c r="EO60" s="1629"/>
      <c r="EP60" s="1629"/>
      <c r="EQ60" s="1629"/>
      <c r="ER60" s="1629"/>
      <c r="ES60" s="1629"/>
      <c r="ET60" s="1629"/>
      <c r="EU60" s="1629"/>
      <c r="EV60" s="1629"/>
      <c r="EW60" s="1629"/>
      <c r="EX60" s="1629"/>
      <c r="EY60" s="1629"/>
      <c r="EZ60" s="1629"/>
      <c r="FA60" s="1629"/>
      <c r="FB60" s="1629"/>
      <c r="FC60" s="1629"/>
      <c r="FD60" s="1629"/>
      <c r="FE60" s="1629"/>
      <c r="FF60" s="1629"/>
      <c r="FG60" s="1629"/>
      <c r="FH60" s="1629"/>
      <c r="FI60" s="1629"/>
      <c r="FJ60" s="1629"/>
      <c r="FK60" s="1629"/>
      <c r="FL60" s="1629"/>
      <c r="FM60" s="1629"/>
      <c r="FN60" s="1629"/>
      <c r="FO60" s="1629"/>
      <c r="FP60" s="1629"/>
      <c r="FQ60" s="1629"/>
      <c r="FR60" s="1629"/>
      <c r="FS60" s="1629"/>
      <c r="FT60" s="1629"/>
      <c r="FU60" s="1629"/>
      <c r="FV60" s="1629"/>
      <c r="FW60" s="1629"/>
      <c r="FX60" s="1629"/>
      <c r="FY60" s="1629"/>
      <c r="FZ60" s="1629"/>
      <c r="GA60" s="1629"/>
      <c r="GB60" s="1629"/>
      <c r="GC60" s="1629"/>
      <c r="GD60" s="1629"/>
      <c r="GE60" s="1629"/>
      <c r="GF60" s="1629"/>
      <c r="GG60" s="1629"/>
      <c r="GH60" s="1629"/>
      <c r="GI60" s="1629"/>
      <c r="GJ60" s="1629"/>
      <c r="GK60" s="1629"/>
      <c r="GL60" s="1629"/>
      <c r="GM60" s="1629"/>
      <c r="GN60" s="1629"/>
      <c r="GO60" s="1629"/>
      <c r="GP60" s="1629"/>
      <c r="GQ60" s="1629"/>
      <c r="GR60" s="1629"/>
      <c r="GS60" s="1629"/>
      <c r="GT60" s="1629"/>
      <c r="GU60" s="1629"/>
      <c r="GV60" s="1629"/>
      <c r="GW60" s="1629"/>
      <c r="GX60" s="1629"/>
      <c r="GY60" s="1629"/>
      <c r="GZ60" s="1629"/>
      <c r="HA60" s="1629"/>
      <c r="HB60" s="1629"/>
      <c r="HC60" s="1629"/>
      <c r="HD60" s="1629"/>
      <c r="HE60" s="1629"/>
      <c r="HF60" s="1629"/>
      <c r="HG60" s="1629"/>
      <c r="HH60" s="1629"/>
      <c r="HI60" s="1629"/>
      <c r="HJ60" s="1629"/>
      <c r="HK60" s="1629"/>
      <c r="HL60" s="1629"/>
      <c r="HM60" s="1629"/>
      <c r="HN60" s="1629"/>
      <c r="HO60" s="1629"/>
      <c r="HP60" s="1629"/>
      <c r="HQ60" s="1629"/>
      <c r="HR60" s="1629"/>
      <c r="HS60" s="1629"/>
      <c r="HT60" s="1629"/>
      <c r="HU60" s="1629"/>
      <c r="HV60" s="1629"/>
      <c r="HW60" s="1629"/>
      <c r="HX60" s="1629"/>
      <c r="HY60" s="1629"/>
      <c r="HZ60" s="1629"/>
      <c r="IA60" s="1629"/>
      <c r="IB60" s="1629"/>
      <c r="IC60" s="1629"/>
      <c r="ID60" s="1629"/>
      <c r="IE60" s="1629"/>
      <c r="IF60" s="1629"/>
      <c r="IG60" s="1629"/>
      <c r="IH60" s="1629"/>
      <c r="II60" s="1629"/>
      <c r="IJ60" s="1629"/>
      <c r="IK60" s="1629"/>
      <c r="IL60" s="1629"/>
      <c r="IM60" s="1629"/>
      <c r="IN60" s="1629"/>
      <c r="IO60" s="1629"/>
      <c r="IP60" s="1629"/>
      <c r="IQ60" s="1629"/>
      <c r="IR60" s="1629"/>
      <c r="IS60" s="1629"/>
      <c r="IT60" s="1629"/>
      <c r="IU60" s="1629"/>
      <c r="IV60" s="1629"/>
    </row>
    <row r="61" spans="1:256" ht="13.15" hidden="1" customHeight="1" outlineLevel="1" x14ac:dyDescent="0.2">
      <c r="A61" s="4547" t="s">
        <v>1758</v>
      </c>
      <c r="B61" s="1684" t="s">
        <v>1759</v>
      </c>
      <c r="C61" s="1571" t="s">
        <v>1686</v>
      </c>
      <c r="D61" s="1553"/>
      <c r="E61" s="1552"/>
      <c r="F61" s="1553"/>
      <c r="G61" s="1552"/>
      <c r="H61" s="1554">
        <f>J61+L61+N61+P61+R61+T61+V61</f>
        <v>0</v>
      </c>
      <c r="I61" s="1552">
        <f>K61+M61+O61+Q61+S61+U61+W61</f>
        <v>0</v>
      </c>
      <c r="J61" s="1553"/>
      <c r="K61" s="1552"/>
      <c r="L61" s="1553"/>
      <c r="M61" s="1552"/>
      <c r="N61" s="1553"/>
      <c r="O61" s="1552"/>
      <c r="P61" s="1553"/>
      <c r="Q61" s="1552"/>
      <c r="R61" s="1553"/>
      <c r="S61" s="1552"/>
      <c r="T61" s="1553"/>
      <c r="U61" s="1552"/>
      <c r="V61" s="1553"/>
      <c r="W61" s="1556"/>
      <c r="X61" s="1580"/>
      <c r="Y61" s="1585"/>
      <c r="Z61" s="1630"/>
      <c r="AA61" s="1630"/>
      <c r="AB61" s="1629"/>
      <c r="AC61" s="1620"/>
      <c r="AD61" s="1620"/>
      <c r="AE61" s="1620"/>
      <c r="AF61" s="1620"/>
      <c r="AG61" s="1620"/>
      <c r="AH61" s="1620"/>
      <c r="AI61" s="1629"/>
      <c r="AJ61" s="1631"/>
      <c r="AK61" s="1631"/>
      <c r="AL61" s="1631"/>
      <c r="AM61" s="1631"/>
      <c r="AN61" s="1631"/>
      <c r="AO61" s="1631"/>
      <c r="AP61" s="1629"/>
      <c r="AQ61" s="1629"/>
      <c r="AR61" s="1629"/>
      <c r="AS61" s="1629"/>
      <c r="AT61" s="1629"/>
      <c r="AU61" s="1629"/>
      <c r="AV61" s="1629"/>
      <c r="AW61" s="1629"/>
      <c r="AX61" s="1629"/>
      <c r="AY61" s="1629"/>
      <c r="AZ61" s="1629"/>
      <c r="BA61" s="1629"/>
      <c r="BB61" s="1629"/>
      <c r="BC61" s="1629"/>
      <c r="BD61" s="1629"/>
      <c r="BE61" s="1629"/>
      <c r="BF61" s="1629"/>
      <c r="BG61" s="1629"/>
      <c r="BH61" s="1629"/>
      <c r="BI61" s="1629"/>
      <c r="BJ61" s="1629"/>
      <c r="BK61" s="1629"/>
      <c r="BL61" s="1629"/>
      <c r="BM61" s="1629"/>
      <c r="BN61" s="1629"/>
      <c r="BO61" s="1629"/>
      <c r="BP61" s="1629"/>
      <c r="BQ61" s="1629"/>
      <c r="BR61" s="1629"/>
      <c r="BS61" s="1629"/>
      <c r="BT61" s="1629"/>
      <c r="BU61" s="1629"/>
      <c r="BV61" s="1629"/>
      <c r="BW61" s="1629"/>
      <c r="BX61" s="1629"/>
      <c r="BY61" s="1629"/>
      <c r="BZ61" s="1629"/>
      <c r="CA61" s="1629"/>
      <c r="CB61" s="1629"/>
      <c r="CC61" s="1629"/>
      <c r="CD61" s="1629"/>
      <c r="CE61" s="1629"/>
      <c r="CF61" s="1629"/>
      <c r="CG61" s="1629"/>
      <c r="CH61" s="1629"/>
      <c r="CI61" s="1629"/>
      <c r="CJ61" s="1629"/>
      <c r="CK61" s="1629"/>
      <c r="CL61" s="1629"/>
      <c r="CM61" s="1629"/>
      <c r="CN61" s="1629"/>
      <c r="CO61" s="1629"/>
      <c r="CP61" s="1629"/>
      <c r="CQ61" s="1629"/>
      <c r="CR61" s="1629"/>
      <c r="CS61" s="1629"/>
      <c r="CT61" s="1629"/>
      <c r="CU61" s="1629"/>
      <c r="CV61" s="1629"/>
      <c r="CW61" s="1629"/>
      <c r="CX61" s="1629"/>
      <c r="CY61" s="1629"/>
      <c r="CZ61" s="1629"/>
      <c r="DA61" s="1629"/>
      <c r="DB61" s="1629"/>
      <c r="DC61" s="1629"/>
      <c r="DD61" s="1629"/>
      <c r="DE61" s="1629"/>
      <c r="DF61" s="1629"/>
      <c r="DG61" s="1629"/>
      <c r="DH61" s="1629"/>
      <c r="DI61" s="1629"/>
      <c r="DJ61" s="1629"/>
      <c r="DK61" s="1629"/>
      <c r="DL61" s="1629"/>
      <c r="DM61" s="1629"/>
      <c r="DN61" s="1629"/>
      <c r="DO61" s="1629"/>
      <c r="DP61" s="1629"/>
      <c r="DQ61" s="1629"/>
      <c r="DR61" s="1629"/>
      <c r="DS61" s="1629"/>
      <c r="DT61" s="1629"/>
      <c r="DU61" s="1629"/>
      <c r="DV61" s="1629"/>
      <c r="DW61" s="1629"/>
      <c r="DX61" s="1629"/>
      <c r="DY61" s="1629"/>
      <c r="DZ61" s="1629"/>
      <c r="EA61" s="1629"/>
      <c r="EB61" s="1629"/>
      <c r="EC61" s="1629"/>
      <c r="ED61" s="1629"/>
      <c r="EE61" s="1629"/>
      <c r="EF61" s="1629"/>
      <c r="EG61" s="1629"/>
      <c r="EH61" s="1629"/>
      <c r="EI61" s="1629"/>
      <c r="EJ61" s="1629"/>
      <c r="EK61" s="1629"/>
      <c r="EL61" s="1629"/>
      <c r="EM61" s="1629"/>
      <c r="EN61" s="1629"/>
      <c r="EO61" s="1629"/>
      <c r="EP61" s="1629"/>
      <c r="EQ61" s="1629"/>
      <c r="ER61" s="1629"/>
      <c r="ES61" s="1629"/>
      <c r="ET61" s="1629"/>
      <c r="EU61" s="1629"/>
      <c r="EV61" s="1629"/>
      <c r="EW61" s="1629"/>
      <c r="EX61" s="1629"/>
      <c r="EY61" s="1629"/>
      <c r="EZ61" s="1629"/>
      <c r="FA61" s="1629"/>
      <c r="FB61" s="1629"/>
      <c r="FC61" s="1629"/>
      <c r="FD61" s="1629"/>
      <c r="FE61" s="1629"/>
      <c r="FF61" s="1629"/>
      <c r="FG61" s="1629"/>
      <c r="FH61" s="1629"/>
      <c r="FI61" s="1629"/>
      <c r="FJ61" s="1629"/>
      <c r="FK61" s="1629"/>
      <c r="FL61" s="1629"/>
      <c r="FM61" s="1629"/>
      <c r="FN61" s="1629"/>
      <c r="FO61" s="1629"/>
      <c r="FP61" s="1629"/>
      <c r="FQ61" s="1629"/>
      <c r="FR61" s="1629"/>
      <c r="FS61" s="1629"/>
      <c r="FT61" s="1629"/>
      <c r="FU61" s="1629"/>
      <c r="FV61" s="1629"/>
      <c r="FW61" s="1629"/>
      <c r="FX61" s="1629"/>
      <c r="FY61" s="1629"/>
      <c r="FZ61" s="1629"/>
      <c r="GA61" s="1629"/>
      <c r="GB61" s="1629"/>
      <c r="GC61" s="1629"/>
      <c r="GD61" s="1629"/>
      <c r="GE61" s="1629"/>
      <c r="GF61" s="1629"/>
      <c r="GG61" s="1629"/>
      <c r="GH61" s="1629"/>
      <c r="GI61" s="1629"/>
      <c r="GJ61" s="1629"/>
      <c r="GK61" s="1629"/>
      <c r="GL61" s="1629"/>
      <c r="GM61" s="1629"/>
      <c r="GN61" s="1629"/>
      <c r="GO61" s="1629"/>
      <c r="GP61" s="1629"/>
      <c r="GQ61" s="1629"/>
      <c r="GR61" s="1629"/>
      <c r="GS61" s="1629"/>
      <c r="GT61" s="1629"/>
      <c r="GU61" s="1629"/>
      <c r="GV61" s="1629"/>
      <c r="GW61" s="1629"/>
      <c r="GX61" s="1629"/>
      <c r="GY61" s="1629"/>
      <c r="GZ61" s="1629"/>
      <c r="HA61" s="1629"/>
      <c r="HB61" s="1629"/>
      <c r="HC61" s="1629"/>
      <c r="HD61" s="1629"/>
      <c r="HE61" s="1629"/>
      <c r="HF61" s="1629"/>
      <c r="HG61" s="1629"/>
      <c r="HH61" s="1629"/>
      <c r="HI61" s="1629"/>
      <c r="HJ61" s="1629"/>
      <c r="HK61" s="1629"/>
      <c r="HL61" s="1629"/>
      <c r="HM61" s="1629"/>
      <c r="HN61" s="1629"/>
      <c r="HO61" s="1629"/>
      <c r="HP61" s="1629"/>
      <c r="HQ61" s="1629"/>
      <c r="HR61" s="1629"/>
      <c r="HS61" s="1629"/>
      <c r="HT61" s="1629"/>
      <c r="HU61" s="1629"/>
      <c r="HV61" s="1629"/>
      <c r="HW61" s="1629"/>
      <c r="HX61" s="1629"/>
      <c r="HY61" s="1629"/>
      <c r="HZ61" s="1629"/>
      <c r="IA61" s="1629"/>
      <c r="IB61" s="1629"/>
      <c r="IC61" s="1629"/>
      <c r="ID61" s="1629"/>
      <c r="IE61" s="1629"/>
      <c r="IF61" s="1629"/>
      <c r="IG61" s="1629"/>
      <c r="IH61" s="1629"/>
      <c r="II61" s="1629"/>
      <c r="IJ61" s="1629"/>
      <c r="IK61" s="1629"/>
      <c r="IL61" s="1629"/>
      <c r="IM61" s="1629"/>
      <c r="IN61" s="1629"/>
      <c r="IO61" s="1629"/>
      <c r="IP61" s="1629"/>
      <c r="IQ61" s="1629"/>
      <c r="IR61" s="1629"/>
      <c r="IS61" s="1629"/>
      <c r="IT61" s="1629"/>
      <c r="IU61" s="1629"/>
      <c r="IV61" s="1629"/>
    </row>
    <row r="62" spans="1:256" ht="24" hidden="1" customHeight="1" outlineLevel="1" x14ac:dyDescent="0.2">
      <c r="A62" s="4548"/>
      <c r="B62" s="1684" t="s">
        <v>1760</v>
      </c>
      <c r="C62" s="1571" t="s">
        <v>1718</v>
      </c>
      <c r="D62" s="1553">
        <f t="shared" ref="D62:I62" si="47">IF(D61=0,,D63/1000/D61)</f>
        <v>0</v>
      </c>
      <c r="E62" s="1552">
        <f t="shared" si="47"/>
        <v>0</v>
      </c>
      <c r="F62" s="1553"/>
      <c r="G62" s="1552"/>
      <c r="H62" s="1554">
        <f t="shared" si="47"/>
        <v>0</v>
      </c>
      <c r="I62" s="1552">
        <f t="shared" si="47"/>
        <v>0</v>
      </c>
      <c r="J62" s="1553"/>
      <c r="K62" s="1552"/>
      <c r="L62" s="1553"/>
      <c r="M62" s="1552"/>
      <c r="N62" s="1553"/>
      <c r="O62" s="1552"/>
      <c r="P62" s="1553"/>
      <c r="Q62" s="1552"/>
      <c r="R62" s="1553"/>
      <c r="S62" s="1552"/>
      <c r="T62" s="1553"/>
      <c r="U62" s="1552"/>
      <c r="V62" s="1553"/>
      <c r="W62" s="1556"/>
      <c r="X62" s="1580"/>
      <c r="Y62" s="1585"/>
      <c r="Z62" s="1630"/>
      <c r="AA62" s="1630"/>
      <c r="AB62" s="1629"/>
      <c r="AC62" s="1620"/>
      <c r="AD62" s="1620"/>
      <c r="AE62" s="1620"/>
      <c r="AF62" s="1620"/>
      <c r="AG62" s="1620"/>
      <c r="AH62" s="1620"/>
      <c r="AI62" s="1629"/>
      <c r="AJ62" s="1631"/>
      <c r="AK62" s="1631"/>
      <c r="AL62" s="1631"/>
      <c r="AM62" s="1631"/>
      <c r="AN62" s="1631"/>
      <c r="AO62" s="1631"/>
      <c r="AP62" s="1629"/>
      <c r="AQ62" s="1629"/>
      <c r="AR62" s="1629"/>
      <c r="AS62" s="1629"/>
      <c r="AT62" s="1629"/>
      <c r="AU62" s="1629"/>
      <c r="AV62" s="1629"/>
      <c r="AW62" s="1629"/>
      <c r="AX62" s="1629"/>
      <c r="AY62" s="1629"/>
      <c r="AZ62" s="1629"/>
      <c r="BA62" s="1629"/>
      <c r="BB62" s="1629"/>
      <c r="BC62" s="1629"/>
      <c r="BD62" s="1629"/>
      <c r="BE62" s="1629"/>
      <c r="BF62" s="1629"/>
      <c r="BG62" s="1629"/>
      <c r="BH62" s="1629"/>
      <c r="BI62" s="1629"/>
      <c r="BJ62" s="1629"/>
      <c r="BK62" s="1629"/>
      <c r="BL62" s="1629"/>
      <c r="BM62" s="1629"/>
      <c r="BN62" s="1629"/>
      <c r="BO62" s="1629"/>
      <c r="BP62" s="1629"/>
      <c r="BQ62" s="1629"/>
      <c r="BR62" s="1629"/>
      <c r="BS62" s="1629"/>
      <c r="BT62" s="1629"/>
      <c r="BU62" s="1629"/>
      <c r="BV62" s="1629"/>
      <c r="BW62" s="1629"/>
      <c r="BX62" s="1629"/>
      <c r="BY62" s="1629"/>
      <c r="BZ62" s="1629"/>
      <c r="CA62" s="1629"/>
      <c r="CB62" s="1629"/>
      <c r="CC62" s="1629"/>
      <c r="CD62" s="1629"/>
      <c r="CE62" s="1629"/>
      <c r="CF62" s="1629"/>
      <c r="CG62" s="1629"/>
      <c r="CH62" s="1629"/>
      <c r="CI62" s="1629"/>
      <c r="CJ62" s="1629"/>
      <c r="CK62" s="1629"/>
      <c r="CL62" s="1629"/>
      <c r="CM62" s="1629"/>
      <c r="CN62" s="1629"/>
      <c r="CO62" s="1629"/>
      <c r="CP62" s="1629"/>
      <c r="CQ62" s="1629"/>
      <c r="CR62" s="1629"/>
      <c r="CS62" s="1629"/>
      <c r="CT62" s="1629"/>
      <c r="CU62" s="1629"/>
      <c r="CV62" s="1629"/>
      <c r="CW62" s="1629"/>
      <c r="CX62" s="1629"/>
      <c r="CY62" s="1629"/>
      <c r="CZ62" s="1629"/>
      <c r="DA62" s="1629"/>
      <c r="DB62" s="1629"/>
      <c r="DC62" s="1629"/>
      <c r="DD62" s="1629"/>
      <c r="DE62" s="1629"/>
      <c r="DF62" s="1629"/>
      <c r="DG62" s="1629"/>
      <c r="DH62" s="1629"/>
      <c r="DI62" s="1629"/>
      <c r="DJ62" s="1629"/>
      <c r="DK62" s="1629"/>
      <c r="DL62" s="1629"/>
      <c r="DM62" s="1629"/>
      <c r="DN62" s="1629"/>
      <c r="DO62" s="1629"/>
      <c r="DP62" s="1629"/>
      <c r="DQ62" s="1629"/>
      <c r="DR62" s="1629"/>
      <c r="DS62" s="1629"/>
      <c r="DT62" s="1629"/>
      <c r="DU62" s="1629"/>
      <c r="DV62" s="1629"/>
      <c r="DW62" s="1629"/>
      <c r="DX62" s="1629"/>
      <c r="DY62" s="1629"/>
      <c r="DZ62" s="1629"/>
      <c r="EA62" s="1629"/>
      <c r="EB62" s="1629"/>
      <c r="EC62" s="1629"/>
      <c r="ED62" s="1629"/>
      <c r="EE62" s="1629"/>
      <c r="EF62" s="1629"/>
      <c r="EG62" s="1629"/>
      <c r="EH62" s="1629"/>
      <c r="EI62" s="1629"/>
      <c r="EJ62" s="1629"/>
      <c r="EK62" s="1629"/>
      <c r="EL62" s="1629"/>
      <c r="EM62" s="1629"/>
      <c r="EN62" s="1629"/>
      <c r="EO62" s="1629"/>
      <c r="EP62" s="1629"/>
      <c r="EQ62" s="1629"/>
      <c r="ER62" s="1629"/>
      <c r="ES62" s="1629"/>
      <c r="ET62" s="1629"/>
      <c r="EU62" s="1629"/>
      <c r="EV62" s="1629"/>
      <c r="EW62" s="1629"/>
      <c r="EX62" s="1629"/>
      <c r="EY62" s="1629"/>
      <c r="EZ62" s="1629"/>
      <c r="FA62" s="1629"/>
      <c r="FB62" s="1629"/>
      <c r="FC62" s="1629"/>
      <c r="FD62" s="1629"/>
      <c r="FE62" s="1629"/>
      <c r="FF62" s="1629"/>
      <c r="FG62" s="1629"/>
      <c r="FH62" s="1629"/>
      <c r="FI62" s="1629"/>
      <c r="FJ62" s="1629"/>
      <c r="FK62" s="1629"/>
      <c r="FL62" s="1629"/>
      <c r="FM62" s="1629"/>
      <c r="FN62" s="1629"/>
      <c r="FO62" s="1629"/>
      <c r="FP62" s="1629"/>
      <c r="FQ62" s="1629"/>
      <c r="FR62" s="1629"/>
      <c r="FS62" s="1629"/>
      <c r="FT62" s="1629"/>
      <c r="FU62" s="1629"/>
      <c r="FV62" s="1629"/>
      <c r="FW62" s="1629"/>
      <c r="FX62" s="1629"/>
      <c r="FY62" s="1629"/>
      <c r="FZ62" s="1629"/>
      <c r="GA62" s="1629"/>
      <c r="GB62" s="1629"/>
      <c r="GC62" s="1629"/>
      <c r="GD62" s="1629"/>
      <c r="GE62" s="1629"/>
      <c r="GF62" s="1629"/>
      <c r="GG62" s="1629"/>
      <c r="GH62" s="1629"/>
      <c r="GI62" s="1629"/>
      <c r="GJ62" s="1629"/>
      <c r="GK62" s="1629"/>
      <c r="GL62" s="1629"/>
      <c r="GM62" s="1629"/>
      <c r="GN62" s="1629"/>
      <c r="GO62" s="1629"/>
      <c r="GP62" s="1629"/>
      <c r="GQ62" s="1629"/>
      <c r="GR62" s="1629"/>
      <c r="GS62" s="1629"/>
      <c r="GT62" s="1629"/>
      <c r="GU62" s="1629"/>
      <c r="GV62" s="1629"/>
      <c r="GW62" s="1629"/>
      <c r="GX62" s="1629"/>
      <c r="GY62" s="1629"/>
      <c r="GZ62" s="1629"/>
      <c r="HA62" s="1629"/>
      <c r="HB62" s="1629"/>
      <c r="HC62" s="1629"/>
      <c r="HD62" s="1629"/>
      <c r="HE62" s="1629"/>
      <c r="HF62" s="1629"/>
      <c r="HG62" s="1629"/>
      <c r="HH62" s="1629"/>
      <c r="HI62" s="1629"/>
      <c r="HJ62" s="1629"/>
      <c r="HK62" s="1629"/>
      <c r="HL62" s="1629"/>
      <c r="HM62" s="1629"/>
      <c r="HN62" s="1629"/>
      <c r="HO62" s="1629"/>
      <c r="HP62" s="1629"/>
      <c r="HQ62" s="1629"/>
      <c r="HR62" s="1629"/>
      <c r="HS62" s="1629"/>
      <c r="HT62" s="1629"/>
      <c r="HU62" s="1629"/>
      <c r="HV62" s="1629"/>
      <c r="HW62" s="1629"/>
      <c r="HX62" s="1629"/>
      <c r="HY62" s="1629"/>
      <c r="HZ62" s="1629"/>
      <c r="IA62" s="1629"/>
      <c r="IB62" s="1629"/>
      <c r="IC62" s="1629"/>
      <c r="ID62" s="1629"/>
      <c r="IE62" s="1629"/>
      <c r="IF62" s="1629"/>
      <c r="IG62" s="1629"/>
      <c r="IH62" s="1629"/>
      <c r="II62" s="1629"/>
      <c r="IJ62" s="1629"/>
      <c r="IK62" s="1629"/>
      <c r="IL62" s="1629"/>
      <c r="IM62" s="1629"/>
      <c r="IN62" s="1629"/>
      <c r="IO62" s="1629"/>
      <c r="IP62" s="1629"/>
      <c r="IQ62" s="1629"/>
      <c r="IR62" s="1629"/>
      <c r="IS62" s="1629"/>
      <c r="IT62" s="1629"/>
      <c r="IU62" s="1629"/>
      <c r="IV62" s="1629"/>
    </row>
    <row r="63" spans="1:256" ht="24" hidden="1" customHeight="1" outlineLevel="1" x14ac:dyDescent="0.2">
      <c r="A63" s="4549"/>
      <c r="B63" s="1687" t="s">
        <v>1761</v>
      </c>
      <c r="C63" s="1572" t="s">
        <v>1721</v>
      </c>
      <c r="D63" s="1553"/>
      <c r="E63" s="1552"/>
      <c r="F63" s="1553"/>
      <c r="G63" s="1552"/>
      <c r="H63" s="1554">
        <f>J63+L63+N63+P63+R63+T63+V63</f>
        <v>0</v>
      </c>
      <c r="I63" s="1552">
        <f>K63+M63+O63+Q63+S63+U63+W63</f>
        <v>0</v>
      </c>
      <c r="J63" s="1553">
        <f>J61*J62/1000</f>
        <v>0</v>
      </c>
      <c r="K63" s="1552">
        <f t="shared" ref="K63:W63" si="48">K61*K62/1000</f>
        <v>0</v>
      </c>
      <c r="L63" s="1553">
        <f t="shared" si="48"/>
        <v>0</v>
      </c>
      <c r="M63" s="1552">
        <f t="shared" si="48"/>
        <v>0</v>
      </c>
      <c r="N63" s="1553">
        <f t="shared" si="48"/>
        <v>0</v>
      </c>
      <c r="O63" s="1552">
        <f t="shared" si="48"/>
        <v>0</v>
      </c>
      <c r="P63" s="1553">
        <f t="shared" si="48"/>
        <v>0</v>
      </c>
      <c r="Q63" s="1552">
        <f t="shared" si="48"/>
        <v>0</v>
      </c>
      <c r="R63" s="1553">
        <f t="shared" si="48"/>
        <v>0</v>
      </c>
      <c r="S63" s="1552">
        <f t="shared" si="48"/>
        <v>0</v>
      </c>
      <c r="T63" s="1553">
        <f t="shared" si="48"/>
        <v>0</v>
      </c>
      <c r="U63" s="1552">
        <f t="shared" si="48"/>
        <v>0</v>
      </c>
      <c r="V63" s="1553">
        <f t="shared" si="48"/>
        <v>0</v>
      </c>
      <c r="W63" s="1552">
        <f t="shared" si="48"/>
        <v>0</v>
      </c>
      <c r="X63" s="1580">
        <f t="shared" ref="X63:Y63" si="49">X61*X62/1000</f>
        <v>0</v>
      </c>
      <c r="Y63" s="1579">
        <f t="shared" si="49"/>
        <v>0</v>
      </c>
      <c r="Z63" s="1630"/>
      <c r="AA63" s="1630"/>
      <c r="AB63" s="1629"/>
      <c r="AC63" s="1620"/>
      <c r="AD63" s="1620"/>
      <c r="AE63" s="1620"/>
      <c r="AF63" s="1620"/>
      <c r="AG63" s="1620"/>
      <c r="AH63" s="1620"/>
      <c r="AI63" s="1629"/>
      <c r="AJ63" s="1631"/>
      <c r="AK63" s="1631"/>
      <c r="AL63" s="1631"/>
      <c r="AM63" s="1631"/>
      <c r="AN63" s="1631"/>
      <c r="AO63" s="1631"/>
      <c r="AP63" s="1629"/>
      <c r="AQ63" s="1629"/>
      <c r="AR63" s="1629"/>
      <c r="AS63" s="1629"/>
      <c r="AT63" s="1629"/>
      <c r="AU63" s="1629"/>
      <c r="AV63" s="1629"/>
      <c r="AW63" s="1629"/>
      <c r="AX63" s="1629"/>
      <c r="AY63" s="1629"/>
      <c r="AZ63" s="1629"/>
      <c r="BA63" s="1629"/>
      <c r="BB63" s="1629"/>
      <c r="BC63" s="1629"/>
      <c r="BD63" s="1629"/>
      <c r="BE63" s="1629"/>
      <c r="BF63" s="1629"/>
      <c r="BG63" s="1629"/>
      <c r="BH63" s="1629"/>
      <c r="BI63" s="1629"/>
      <c r="BJ63" s="1629"/>
      <c r="BK63" s="1629"/>
      <c r="BL63" s="1629"/>
      <c r="BM63" s="1629"/>
      <c r="BN63" s="1629"/>
      <c r="BO63" s="1629"/>
      <c r="BP63" s="1629"/>
      <c r="BQ63" s="1629"/>
      <c r="BR63" s="1629"/>
      <c r="BS63" s="1629"/>
      <c r="BT63" s="1629"/>
      <c r="BU63" s="1629"/>
      <c r="BV63" s="1629"/>
      <c r="BW63" s="1629"/>
      <c r="BX63" s="1629"/>
      <c r="BY63" s="1629"/>
      <c r="BZ63" s="1629"/>
      <c r="CA63" s="1629"/>
      <c r="CB63" s="1629"/>
      <c r="CC63" s="1629"/>
      <c r="CD63" s="1629"/>
      <c r="CE63" s="1629"/>
      <c r="CF63" s="1629"/>
      <c r="CG63" s="1629"/>
      <c r="CH63" s="1629"/>
      <c r="CI63" s="1629"/>
      <c r="CJ63" s="1629"/>
      <c r="CK63" s="1629"/>
      <c r="CL63" s="1629"/>
      <c r="CM63" s="1629"/>
      <c r="CN63" s="1629"/>
      <c r="CO63" s="1629"/>
      <c r="CP63" s="1629"/>
      <c r="CQ63" s="1629"/>
      <c r="CR63" s="1629"/>
      <c r="CS63" s="1629"/>
      <c r="CT63" s="1629"/>
      <c r="CU63" s="1629"/>
      <c r="CV63" s="1629"/>
      <c r="CW63" s="1629"/>
      <c r="CX63" s="1629"/>
      <c r="CY63" s="1629"/>
      <c r="CZ63" s="1629"/>
      <c r="DA63" s="1629"/>
      <c r="DB63" s="1629"/>
      <c r="DC63" s="1629"/>
      <c r="DD63" s="1629"/>
      <c r="DE63" s="1629"/>
      <c r="DF63" s="1629"/>
      <c r="DG63" s="1629"/>
      <c r="DH63" s="1629"/>
      <c r="DI63" s="1629"/>
      <c r="DJ63" s="1629"/>
      <c r="DK63" s="1629"/>
      <c r="DL63" s="1629"/>
      <c r="DM63" s="1629"/>
      <c r="DN63" s="1629"/>
      <c r="DO63" s="1629"/>
      <c r="DP63" s="1629"/>
      <c r="DQ63" s="1629"/>
      <c r="DR63" s="1629"/>
      <c r="DS63" s="1629"/>
      <c r="DT63" s="1629"/>
      <c r="DU63" s="1629"/>
      <c r="DV63" s="1629"/>
      <c r="DW63" s="1629"/>
      <c r="DX63" s="1629"/>
      <c r="DY63" s="1629"/>
      <c r="DZ63" s="1629"/>
      <c r="EA63" s="1629"/>
      <c r="EB63" s="1629"/>
      <c r="EC63" s="1629"/>
      <c r="ED63" s="1629"/>
      <c r="EE63" s="1629"/>
      <c r="EF63" s="1629"/>
      <c r="EG63" s="1629"/>
      <c r="EH63" s="1629"/>
      <c r="EI63" s="1629"/>
      <c r="EJ63" s="1629"/>
      <c r="EK63" s="1629"/>
      <c r="EL63" s="1629"/>
      <c r="EM63" s="1629"/>
      <c r="EN63" s="1629"/>
      <c r="EO63" s="1629"/>
      <c r="EP63" s="1629"/>
      <c r="EQ63" s="1629"/>
      <c r="ER63" s="1629"/>
      <c r="ES63" s="1629"/>
      <c r="ET63" s="1629"/>
      <c r="EU63" s="1629"/>
      <c r="EV63" s="1629"/>
      <c r="EW63" s="1629"/>
      <c r="EX63" s="1629"/>
      <c r="EY63" s="1629"/>
      <c r="EZ63" s="1629"/>
      <c r="FA63" s="1629"/>
      <c r="FB63" s="1629"/>
      <c r="FC63" s="1629"/>
      <c r="FD63" s="1629"/>
      <c r="FE63" s="1629"/>
      <c r="FF63" s="1629"/>
      <c r="FG63" s="1629"/>
      <c r="FH63" s="1629"/>
      <c r="FI63" s="1629"/>
      <c r="FJ63" s="1629"/>
      <c r="FK63" s="1629"/>
      <c r="FL63" s="1629"/>
      <c r="FM63" s="1629"/>
      <c r="FN63" s="1629"/>
      <c r="FO63" s="1629"/>
      <c r="FP63" s="1629"/>
      <c r="FQ63" s="1629"/>
      <c r="FR63" s="1629"/>
      <c r="FS63" s="1629"/>
      <c r="FT63" s="1629"/>
      <c r="FU63" s="1629"/>
      <c r="FV63" s="1629"/>
      <c r="FW63" s="1629"/>
      <c r="FX63" s="1629"/>
      <c r="FY63" s="1629"/>
      <c r="FZ63" s="1629"/>
      <c r="GA63" s="1629"/>
      <c r="GB63" s="1629"/>
      <c r="GC63" s="1629"/>
      <c r="GD63" s="1629"/>
      <c r="GE63" s="1629"/>
      <c r="GF63" s="1629"/>
      <c r="GG63" s="1629"/>
      <c r="GH63" s="1629"/>
      <c r="GI63" s="1629"/>
      <c r="GJ63" s="1629"/>
      <c r="GK63" s="1629"/>
      <c r="GL63" s="1629"/>
      <c r="GM63" s="1629"/>
      <c r="GN63" s="1629"/>
      <c r="GO63" s="1629"/>
      <c r="GP63" s="1629"/>
      <c r="GQ63" s="1629"/>
      <c r="GR63" s="1629"/>
      <c r="GS63" s="1629"/>
      <c r="GT63" s="1629"/>
      <c r="GU63" s="1629"/>
      <c r="GV63" s="1629"/>
      <c r="GW63" s="1629"/>
      <c r="GX63" s="1629"/>
      <c r="GY63" s="1629"/>
      <c r="GZ63" s="1629"/>
      <c r="HA63" s="1629"/>
      <c r="HB63" s="1629"/>
      <c r="HC63" s="1629"/>
      <c r="HD63" s="1629"/>
      <c r="HE63" s="1629"/>
      <c r="HF63" s="1629"/>
      <c r="HG63" s="1629"/>
      <c r="HH63" s="1629"/>
      <c r="HI63" s="1629"/>
      <c r="HJ63" s="1629"/>
      <c r="HK63" s="1629"/>
      <c r="HL63" s="1629"/>
      <c r="HM63" s="1629"/>
      <c r="HN63" s="1629"/>
      <c r="HO63" s="1629"/>
      <c r="HP63" s="1629"/>
      <c r="HQ63" s="1629"/>
      <c r="HR63" s="1629"/>
      <c r="HS63" s="1629"/>
      <c r="HT63" s="1629"/>
      <c r="HU63" s="1629"/>
      <c r="HV63" s="1629"/>
      <c r="HW63" s="1629"/>
      <c r="HX63" s="1629"/>
      <c r="HY63" s="1629"/>
      <c r="HZ63" s="1629"/>
      <c r="IA63" s="1629"/>
      <c r="IB63" s="1629"/>
      <c r="IC63" s="1629"/>
      <c r="ID63" s="1629"/>
      <c r="IE63" s="1629"/>
      <c r="IF63" s="1629"/>
      <c r="IG63" s="1629"/>
      <c r="IH63" s="1629"/>
      <c r="II63" s="1629"/>
      <c r="IJ63" s="1629"/>
      <c r="IK63" s="1629"/>
      <c r="IL63" s="1629"/>
      <c r="IM63" s="1629"/>
      <c r="IN63" s="1629"/>
      <c r="IO63" s="1629"/>
      <c r="IP63" s="1629"/>
      <c r="IQ63" s="1629"/>
      <c r="IR63" s="1629"/>
      <c r="IS63" s="1629"/>
      <c r="IT63" s="1629"/>
      <c r="IU63" s="1629"/>
      <c r="IV63" s="1629"/>
    </row>
    <row r="64" spans="1:256" ht="13.15" hidden="1" customHeight="1" outlineLevel="1" x14ac:dyDescent="0.2">
      <c r="A64" s="4547" t="s">
        <v>1762</v>
      </c>
      <c r="B64" s="1684" t="s">
        <v>1763</v>
      </c>
      <c r="C64" s="1571" t="s">
        <v>1686</v>
      </c>
      <c r="D64" s="1553"/>
      <c r="E64" s="1552"/>
      <c r="F64" s="1553"/>
      <c r="G64" s="1552"/>
      <c r="H64" s="1554">
        <f>J64+L64+N64+P64+R64+T64+V64</f>
        <v>0</v>
      </c>
      <c r="I64" s="1552">
        <f>K64+M64+O64+Q64+S64+U64+W64</f>
        <v>0</v>
      </c>
      <c r="J64" s="1553"/>
      <c r="K64" s="1552"/>
      <c r="L64" s="1553"/>
      <c r="M64" s="1552"/>
      <c r="N64" s="1553"/>
      <c r="O64" s="1552"/>
      <c r="P64" s="1553"/>
      <c r="Q64" s="1552"/>
      <c r="R64" s="1553"/>
      <c r="S64" s="1552"/>
      <c r="T64" s="1553"/>
      <c r="U64" s="1552"/>
      <c r="V64" s="1553"/>
      <c r="W64" s="1556"/>
      <c r="X64" s="1580"/>
      <c r="Y64" s="1585"/>
      <c r="Z64" s="1630"/>
      <c r="AA64" s="1630"/>
      <c r="AB64" s="1629"/>
      <c r="AC64" s="1620"/>
      <c r="AD64" s="1620"/>
      <c r="AE64" s="1620"/>
      <c r="AF64" s="1620"/>
      <c r="AG64" s="1620"/>
      <c r="AH64" s="1620"/>
      <c r="AI64" s="1629"/>
      <c r="AJ64" s="1631"/>
      <c r="AK64" s="1631"/>
      <c r="AL64" s="1631"/>
      <c r="AM64" s="1631"/>
      <c r="AN64" s="1631"/>
      <c r="AO64" s="1631"/>
      <c r="AP64" s="1629"/>
      <c r="AQ64" s="1629"/>
      <c r="AR64" s="1629"/>
      <c r="AS64" s="1629"/>
      <c r="AT64" s="1629"/>
      <c r="AU64" s="1629"/>
      <c r="AV64" s="1629"/>
      <c r="AW64" s="1629"/>
      <c r="AX64" s="1629"/>
      <c r="AY64" s="1629"/>
      <c r="AZ64" s="1629"/>
      <c r="BA64" s="1629"/>
      <c r="BB64" s="1629"/>
      <c r="BC64" s="1629"/>
      <c r="BD64" s="1629"/>
      <c r="BE64" s="1629"/>
      <c r="BF64" s="1629"/>
      <c r="BG64" s="1629"/>
      <c r="BH64" s="1629"/>
      <c r="BI64" s="1629"/>
      <c r="BJ64" s="1629"/>
      <c r="BK64" s="1629"/>
      <c r="BL64" s="1629"/>
      <c r="BM64" s="1629"/>
      <c r="BN64" s="1629"/>
      <c r="BO64" s="1629"/>
      <c r="BP64" s="1629"/>
      <c r="BQ64" s="1629"/>
      <c r="BR64" s="1629"/>
      <c r="BS64" s="1629"/>
      <c r="BT64" s="1629"/>
      <c r="BU64" s="1629"/>
      <c r="BV64" s="1629"/>
      <c r="BW64" s="1629"/>
      <c r="BX64" s="1629"/>
      <c r="BY64" s="1629"/>
      <c r="BZ64" s="1629"/>
      <c r="CA64" s="1629"/>
      <c r="CB64" s="1629"/>
      <c r="CC64" s="1629"/>
      <c r="CD64" s="1629"/>
      <c r="CE64" s="1629"/>
      <c r="CF64" s="1629"/>
      <c r="CG64" s="1629"/>
      <c r="CH64" s="1629"/>
      <c r="CI64" s="1629"/>
      <c r="CJ64" s="1629"/>
      <c r="CK64" s="1629"/>
      <c r="CL64" s="1629"/>
      <c r="CM64" s="1629"/>
      <c r="CN64" s="1629"/>
      <c r="CO64" s="1629"/>
      <c r="CP64" s="1629"/>
      <c r="CQ64" s="1629"/>
      <c r="CR64" s="1629"/>
      <c r="CS64" s="1629"/>
      <c r="CT64" s="1629"/>
      <c r="CU64" s="1629"/>
      <c r="CV64" s="1629"/>
      <c r="CW64" s="1629"/>
      <c r="CX64" s="1629"/>
      <c r="CY64" s="1629"/>
      <c r="CZ64" s="1629"/>
      <c r="DA64" s="1629"/>
      <c r="DB64" s="1629"/>
      <c r="DC64" s="1629"/>
      <c r="DD64" s="1629"/>
      <c r="DE64" s="1629"/>
      <c r="DF64" s="1629"/>
      <c r="DG64" s="1629"/>
      <c r="DH64" s="1629"/>
      <c r="DI64" s="1629"/>
      <c r="DJ64" s="1629"/>
      <c r="DK64" s="1629"/>
      <c r="DL64" s="1629"/>
      <c r="DM64" s="1629"/>
      <c r="DN64" s="1629"/>
      <c r="DO64" s="1629"/>
      <c r="DP64" s="1629"/>
      <c r="DQ64" s="1629"/>
      <c r="DR64" s="1629"/>
      <c r="DS64" s="1629"/>
      <c r="DT64" s="1629"/>
      <c r="DU64" s="1629"/>
      <c r="DV64" s="1629"/>
      <c r="DW64" s="1629"/>
      <c r="DX64" s="1629"/>
      <c r="DY64" s="1629"/>
      <c r="DZ64" s="1629"/>
      <c r="EA64" s="1629"/>
      <c r="EB64" s="1629"/>
      <c r="EC64" s="1629"/>
      <c r="ED64" s="1629"/>
      <c r="EE64" s="1629"/>
      <c r="EF64" s="1629"/>
      <c r="EG64" s="1629"/>
      <c r="EH64" s="1629"/>
      <c r="EI64" s="1629"/>
      <c r="EJ64" s="1629"/>
      <c r="EK64" s="1629"/>
      <c r="EL64" s="1629"/>
      <c r="EM64" s="1629"/>
      <c r="EN64" s="1629"/>
      <c r="EO64" s="1629"/>
      <c r="EP64" s="1629"/>
      <c r="EQ64" s="1629"/>
      <c r="ER64" s="1629"/>
      <c r="ES64" s="1629"/>
      <c r="ET64" s="1629"/>
      <c r="EU64" s="1629"/>
      <c r="EV64" s="1629"/>
      <c r="EW64" s="1629"/>
      <c r="EX64" s="1629"/>
      <c r="EY64" s="1629"/>
      <c r="EZ64" s="1629"/>
      <c r="FA64" s="1629"/>
      <c r="FB64" s="1629"/>
      <c r="FC64" s="1629"/>
      <c r="FD64" s="1629"/>
      <c r="FE64" s="1629"/>
      <c r="FF64" s="1629"/>
      <c r="FG64" s="1629"/>
      <c r="FH64" s="1629"/>
      <c r="FI64" s="1629"/>
      <c r="FJ64" s="1629"/>
      <c r="FK64" s="1629"/>
      <c r="FL64" s="1629"/>
      <c r="FM64" s="1629"/>
      <c r="FN64" s="1629"/>
      <c r="FO64" s="1629"/>
      <c r="FP64" s="1629"/>
      <c r="FQ64" s="1629"/>
      <c r="FR64" s="1629"/>
      <c r="FS64" s="1629"/>
      <c r="FT64" s="1629"/>
      <c r="FU64" s="1629"/>
      <c r="FV64" s="1629"/>
      <c r="FW64" s="1629"/>
      <c r="FX64" s="1629"/>
      <c r="FY64" s="1629"/>
      <c r="FZ64" s="1629"/>
      <c r="GA64" s="1629"/>
      <c r="GB64" s="1629"/>
      <c r="GC64" s="1629"/>
      <c r="GD64" s="1629"/>
      <c r="GE64" s="1629"/>
      <c r="GF64" s="1629"/>
      <c r="GG64" s="1629"/>
      <c r="GH64" s="1629"/>
      <c r="GI64" s="1629"/>
      <c r="GJ64" s="1629"/>
      <c r="GK64" s="1629"/>
      <c r="GL64" s="1629"/>
      <c r="GM64" s="1629"/>
      <c r="GN64" s="1629"/>
      <c r="GO64" s="1629"/>
      <c r="GP64" s="1629"/>
      <c r="GQ64" s="1629"/>
      <c r="GR64" s="1629"/>
      <c r="GS64" s="1629"/>
      <c r="GT64" s="1629"/>
      <c r="GU64" s="1629"/>
      <c r="GV64" s="1629"/>
      <c r="GW64" s="1629"/>
      <c r="GX64" s="1629"/>
      <c r="GY64" s="1629"/>
      <c r="GZ64" s="1629"/>
      <c r="HA64" s="1629"/>
      <c r="HB64" s="1629"/>
      <c r="HC64" s="1629"/>
      <c r="HD64" s="1629"/>
      <c r="HE64" s="1629"/>
      <c r="HF64" s="1629"/>
      <c r="HG64" s="1629"/>
      <c r="HH64" s="1629"/>
      <c r="HI64" s="1629"/>
      <c r="HJ64" s="1629"/>
      <c r="HK64" s="1629"/>
      <c r="HL64" s="1629"/>
      <c r="HM64" s="1629"/>
      <c r="HN64" s="1629"/>
      <c r="HO64" s="1629"/>
      <c r="HP64" s="1629"/>
      <c r="HQ64" s="1629"/>
      <c r="HR64" s="1629"/>
      <c r="HS64" s="1629"/>
      <c r="HT64" s="1629"/>
      <c r="HU64" s="1629"/>
      <c r="HV64" s="1629"/>
      <c r="HW64" s="1629"/>
      <c r="HX64" s="1629"/>
      <c r="HY64" s="1629"/>
      <c r="HZ64" s="1629"/>
      <c r="IA64" s="1629"/>
      <c r="IB64" s="1629"/>
      <c r="IC64" s="1629"/>
      <c r="ID64" s="1629"/>
      <c r="IE64" s="1629"/>
      <c r="IF64" s="1629"/>
      <c r="IG64" s="1629"/>
      <c r="IH64" s="1629"/>
      <c r="II64" s="1629"/>
      <c r="IJ64" s="1629"/>
      <c r="IK64" s="1629"/>
      <c r="IL64" s="1629"/>
      <c r="IM64" s="1629"/>
      <c r="IN64" s="1629"/>
      <c r="IO64" s="1629"/>
      <c r="IP64" s="1629"/>
      <c r="IQ64" s="1629"/>
      <c r="IR64" s="1629"/>
      <c r="IS64" s="1629"/>
      <c r="IT64" s="1629"/>
      <c r="IU64" s="1629"/>
      <c r="IV64" s="1629"/>
    </row>
    <row r="65" spans="1:256" ht="24" hidden="1" customHeight="1" outlineLevel="1" x14ac:dyDescent="0.2">
      <c r="A65" s="4548"/>
      <c r="B65" s="1684" t="s">
        <v>1764</v>
      </c>
      <c r="C65" s="1571" t="s">
        <v>1718</v>
      </c>
      <c r="D65" s="1553">
        <f t="shared" ref="D65:I65" si="50">IF(D64=0,,D66/1000/D64)</f>
        <v>0</v>
      </c>
      <c r="E65" s="1552">
        <f t="shared" si="50"/>
        <v>0</v>
      </c>
      <c r="F65" s="1553"/>
      <c r="G65" s="1552"/>
      <c r="H65" s="1554">
        <f t="shared" si="50"/>
        <v>0</v>
      </c>
      <c r="I65" s="1552">
        <f t="shared" si="50"/>
        <v>0</v>
      </c>
      <c r="J65" s="1553"/>
      <c r="K65" s="1552"/>
      <c r="L65" s="1553"/>
      <c r="M65" s="1552"/>
      <c r="N65" s="1553"/>
      <c r="O65" s="1552"/>
      <c r="P65" s="1553"/>
      <c r="Q65" s="1552"/>
      <c r="R65" s="1553"/>
      <c r="S65" s="1552"/>
      <c r="T65" s="1553"/>
      <c r="U65" s="1552"/>
      <c r="V65" s="1553"/>
      <c r="W65" s="1556"/>
      <c r="X65" s="1580"/>
      <c r="Y65" s="1585"/>
      <c r="Z65" s="1630"/>
      <c r="AA65" s="1630"/>
      <c r="AB65" s="1629"/>
      <c r="AC65" s="1620"/>
      <c r="AD65" s="1620"/>
      <c r="AE65" s="1620"/>
      <c r="AF65" s="1620"/>
      <c r="AG65" s="1620"/>
      <c r="AH65" s="1620"/>
      <c r="AI65" s="1629"/>
      <c r="AJ65" s="1631"/>
      <c r="AK65" s="1631"/>
      <c r="AL65" s="1631"/>
      <c r="AM65" s="1631"/>
      <c r="AN65" s="1631"/>
      <c r="AO65" s="1631"/>
      <c r="AP65" s="1629"/>
      <c r="AQ65" s="1629"/>
      <c r="AR65" s="1629"/>
      <c r="AS65" s="1629"/>
      <c r="AT65" s="1629"/>
      <c r="AU65" s="1629"/>
      <c r="AV65" s="1629"/>
      <c r="AW65" s="1629"/>
      <c r="AX65" s="1629"/>
      <c r="AY65" s="1629"/>
      <c r="AZ65" s="1629"/>
      <c r="BA65" s="1629"/>
      <c r="BB65" s="1629"/>
      <c r="BC65" s="1629"/>
      <c r="BD65" s="1629"/>
      <c r="BE65" s="1629"/>
      <c r="BF65" s="1629"/>
      <c r="BG65" s="1629"/>
      <c r="BH65" s="1629"/>
      <c r="BI65" s="1629"/>
      <c r="BJ65" s="1629"/>
      <c r="BK65" s="1629"/>
      <c r="BL65" s="1629"/>
      <c r="BM65" s="1629"/>
      <c r="BN65" s="1629"/>
      <c r="BO65" s="1629"/>
      <c r="BP65" s="1629"/>
      <c r="BQ65" s="1629"/>
      <c r="BR65" s="1629"/>
      <c r="BS65" s="1629"/>
      <c r="BT65" s="1629"/>
      <c r="BU65" s="1629"/>
      <c r="BV65" s="1629"/>
      <c r="BW65" s="1629"/>
      <c r="BX65" s="1629"/>
      <c r="BY65" s="1629"/>
      <c r="BZ65" s="1629"/>
      <c r="CA65" s="1629"/>
      <c r="CB65" s="1629"/>
      <c r="CC65" s="1629"/>
      <c r="CD65" s="1629"/>
      <c r="CE65" s="1629"/>
      <c r="CF65" s="1629"/>
      <c r="CG65" s="1629"/>
      <c r="CH65" s="1629"/>
      <c r="CI65" s="1629"/>
      <c r="CJ65" s="1629"/>
      <c r="CK65" s="1629"/>
      <c r="CL65" s="1629"/>
      <c r="CM65" s="1629"/>
      <c r="CN65" s="1629"/>
      <c r="CO65" s="1629"/>
      <c r="CP65" s="1629"/>
      <c r="CQ65" s="1629"/>
      <c r="CR65" s="1629"/>
      <c r="CS65" s="1629"/>
      <c r="CT65" s="1629"/>
      <c r="CU65" s="1629"/>
      <c r="CV65" s="1629"/>
      <c r="CW65" s="1629"/>
      <c r="CX65" s="1629"/>
      <c r="CY65" s="1629"/>
      <c r="CZ65" s="1629"/>
      <c r="DA65" s="1629"/>
      <c r="DB65" s="1629"/>
      <c r="DC65" s="1629"/>
      <c r="DD65" s="1629"/>
      <c r="DE65" s="1629"/>
      <c r="DF65" s="1629"/>
      <c r="DG65" s="1629"/>
      <c r="DH65" s="1629"/>
      <c r="DI65" s="1629"/>
      <c r="DJ65" s="1629"/>
      <c r="DK65" s="1629"/>
      <c r="DL65" s="1629"/>
      <c r="DM65" s="1629"/>
      <c r="DN65" s="1629"/>
      <c r="DO65" s="1629"/>
      <c r="DP65" s="1629"/>
      <c r="DQ65" s="1629"/>
      <c r="DR65" s="1629"/>
      <c r="DS65" s="1629"/>
      <c r="DT65" s="1629"/>
      <c r="DU65" s="1629"/>
      <c r="DV65" s="1629"/>
      <c r="DW65" s="1629"/>
      <c r="DX65" s="1629"/>
      <c r="DY65" s="1629"/>
      <c r="DZ65" s="1629"/>
      <c r="EA65" s="1629"/>
      <c r="EB65" s="1629"/>
      <c r="EC65" s="1629"/>
      <c r="ED65" s="1629"/>
      <c r="EE65" s="1629"/>
      <c r="EF65" s="1629"/>
      <c r="EG65" s="1629"/>
      <c r="EH65" s="1629"/>
      <c r="EI65" s="1629"/>
      <c r="EJ65" s="1629"/>
      <c r="EK65" s="1629"/>
      <c r="EL65" s="1629"/>
      <c r="EM65" s="1629"/>
      <c r="EN65" s="1629"/>
      <c r="EO65" s="1629"/>
      <c r="EP65" s="1629"/>
      <c r="EQ65" s="1629"/>
      <c r="ER65" s="1629"/>
      <c r="ES65" s="1629"/>
      <c r="ET65" s="1629"/>
      <c r="EU65" s="1629"/>
      <c r="EV65" s="1629"/>
      <c r="EW65" s="1629"/>
      <c r="EX65" s="1629"/>
      <c r="EY65" s="1629"/>
      <c r="EZ65" s="1629"/>
      <c r="FA65" s="1629"/>
      <c r="FB65" s="1629"/>
      <c r="FC65" s="1629"/>
      <c r="FD65" s="1629"/>
      <c r="FE65" s="1629"/>
      <c r="FF65" s="1629"/>
      <c r="FG65" s="1629"/>
      <c r="FH65" s="1629"/>
      <c r="FI65" s="1629"/>
      <c r="FJ65" s="1629"/>
      <c r="FK65" s="1629"/>
      <c r="FL65" s="1629"/>
      <c r="FM65" s="1629"/>
      <c r="FN65" s="1629"/>
      <c r="FO65" s="1629"/>
      <c r="FP65" s="1629"/>
      <c r="FQ65" s="1629"/>
      <c r="FR65" s="1629"/>
      <c r="FS65" s="1629"/>
      <c r="FT65" s="1629"/>
      <c r="FU65" s="1629"/>
      <c r="FV65" s="1629"/>
      <c r="FW65" s="1629"/>
      <c r="FX65" s="1629"/>
      <c r="FY65" s="1629"/>
      <c r="FZ65" s="1629"/>
      <c r="GA65" s="1629"/>
      <c r="GB65" s="1629"/>
      <c r="GC65" s="1629"/>
      <c r="GD65" s="1629"/>
      <c r="GE65" s="1629"/>
      <c r="GF65" s="1629"/>
      <c r="GG65" s="1629"/>
      <c r="GH65" s="1629"/>
      <c r="GI65" s="1629"/>
      <c r="GJ65" s="1629"/>
      <c r="GK65" s="1629"/>
      <c r="GL65" s="1629"/>
      <c r="GM65" s="1629"/>
      <c r="GN65" s="1629"/>
      <c r="GO65" s="1629"/>
      <c r="GP65" s="1629"/>
      <c r="GQ65" s="1629"/>
      <c r="GR65" s="1629"/>
      <c r="GS65" s="1629"/>
      <c r="GT65" s="1629"/>
      <c r="GU65" s="1629"/>
      <c r="GV65" s="1629"/>
      <c r="GW65" s="1629"/>
      <c r="GX65" s="1629"/>
      <c r="GY65" s="1629"/>
      <c r="GZ65" s="1629"/>
      <c r="HA65" s="1629"/>
      <c r="HB65" s="1629"/>
      <c r="HC65" s="1629"/>
      <c r="HD65" s="1629"/>
      <c r="HE65" s="1629"/>
      <c r="HF65" s="1629"/>
      <c r="HG65" s="1629"/>
      <c r="HH65" s="1629"/>
      <c r="HI65" s="1629"/>
      <c r="HJ65" s="1629"/>
      <c r="HK65" s="1629"/>
      <c r="HL65" s="1629"/>
      <c r="HM65" s="1629"/>
      <c r="HN65" s="1629"/>
      <c r="HO65" s="1629"/>
      <c r="HP65" s="1629"/>
      <c r="HQ65" s="1629"/>
      <c r="HR65" s="1629"/>
      <c r="HS65" s="1629"/>
      <c r="HT65" s="1629"/>
      <c r="HU65" s="1629"/>
      <c r="HV65" s="1629"/>
      <c r="HW65" s="1629"/>
      <c r="HX65" s="1629"/>
      <c r="HY65" s="1629"/>
      <c r="HZ65" s="1629"/>
      <c r="IA65" s="1629"/>
      <c r="IB65" s="1629"/>
      <c r="IC65" s="1629"/>
      <c r="ID65" s="1629"/>
      <c r="IE65" s="1629"/>
      <c r="IF65" s="1629"/>
      <c r="IG65" s="1629"/>
      <c r="IH65" s="1629"/>
      <c r="II65" s="1629"/>
      <c r="IJ65" s="1629"/>
      <c r="IK65" s="1629"/>
      <c r="IL65" s="1629"/>
      <c r="IM65" s="1629"/>
      <c r="IN65" s="1629"/>
      <c r="IO65" s="1629"/>
      <c r="IP65" s="1629"/>
      <c r="IQ65" s="1629"/>
      <c r="IR65" s="1629"/>
      <c r="IS65" s="1629"/>
      <c r="IT65" s="1629"/>
      <c r="IU65" s="1629"/>
      <c r="IV65" s="1629"/>
    </row>
    <row r="66" spans="1:256" ht="24" hidden="1" customHeight="1" outlineLevel="1" x14ac:dyDescent="0.2">
      <c r="A66" s="4549"/>
      <c r="B66" s="1687" t="s">
        <v>1765</v>
      </c>
      <c r="C66" s="1572" t="s">
        <v>1721</v>
      </c>
      <c r="D66" s="1553"/>
      <c r="E66" s="1552"/>
      <c r="F66" s="1553"/>
      <c r="G66" s="1552"/>
      <c r="H66" s="1554">
        <f>J66+L66+N66+P66+R66+T66+V66</f>
        <v>0</v>
      </c>
      <c r="I66" s="1552">
        <f>K66+M66+O66+Q66+S66+U66+W66</f>
        <v>0</v>
      </c>
      <c r="J66" s="1553">
        <f>J64*J65/1000</f>
        <v>0</v>
      </c>
      <c r="K66" s="1552">
        <f t="shared" ref="K66:W66" si="51">K64*K65/1000</f>
        <v>0</v>
      </c>
      <c r="L66" s="1553">
        <f t="shared" si="51"/>
        <v>0</v>
      </c>
      <c r="M66" s="1552">
        <f t="shared" si="51"/>
        <v>0</v>
      </c>
      <c r="N66" s="1553">
        <f t="shared" si="51"/>
        <v>0</v>
      </c>
      <c r="O66" s="1552">
        <f t="shared" si="51"/>
        <v>0</v>
      </c>
      <c r="P66" s="1553">
        <f t="shared" si="51"/>
        <v>0</v>
      </c>
      <c r="Q66" s="1552">
        <f t="shared" si="51"/>
        <v>0</v>
      </c>
      <c r="R66" s="1553">
        <f t="shared" si="51"/>
        <v>0</v>
      </c>
      <c r="S66" s="1552">
        <f t="shared" si="51"/>
        <v>0</v>
      </c>
      <c r="T66" s="1553">
        <f t="shared" si="51"/>
        <v>0</v>
      </c>
      <c r="U66" s="1552">
        <f t="shared" si="51"/>
        <v>0</v>
      </c>
      <c r="V66" s="1553">
        <f t="shared" si="51"/>
        <v>0</v>
      </c>
      <c r="W66" s="1552">
        <f t="shared" si="51"/>
        <v>0</v>
      </c>
      <c r="X66" s="1580">
        <f t="shared" ref="X66:Y66" si="52">X64*X65/1000</f>
        <v>0</v>
      </c>
      <c r="Y66" s="1579">
        <f t="shared" si="52"/>
        <v>0</v>
      </c>
      <c r="Z66" s="1630"/>
      <c r="AA66" s="1630"/>
      <c r="AB66" s="1629"/>
      <c r="AC66" s="1620"/>
      <c r="AD66" s="1620"/>
      <c r="AE66" s="1620"/>
      <c r="AF66" s="1620"/>
      <c r="AG66" s="1620"/>
      <c r="AH66" s="1620"/>
      <c r="AI66" s="1629"/>
      <c r="AJ66" s="1631"/>
      <c r="AK66" s="1631"/>
      <c r="AL66" s="1631"/>
      <c r="AM66" s="1631"/>
      <c r="AN66" s="1631"/>
      <c r="AO66" s="1631"/>
      <c r="AP66" s="1629"/>
      <c r="AQ66" s="1629"/>
      <c r="AR66" s="1629"/>
      <c r="AS66" s="1629"/>
      <c r="AT66" s="1629"/>
      <c r="AU66" s="1629"/>
      <c r="AV66" s="1629"/>
      <c r="AW66" s="1629"/>
      <c r="AX66" s="1629"/>
      <c r="AY66" s="1629"/>
      <c r="AZ66" s="1629"/>
      <c r="BA66" s="1629"/>
      <c r="BB66" s="1629"/>
      <c r="BC66" s="1629"/>
      <c r="BD66" s="1629"/>
      <c r="BE66" s="1629"/>
      <c r="BF66" s="1629"/>
      <c r="BG66" s="1629"/>
      <c r="BH66" s="1629"/>
      <c r="BI66" s="1629"/>
      <c r="BJ66" s="1629"/>
      <c r="BK66" s="1629"/>
      <c r="BL66" s="1629"/>
      <c r="BM66" s="1629"/>
      <c r="BN66" s="1629"/>
      <c r="BO66" s="1629"/>
      <c r="BP66" s="1629"/>
      <c r="BQ66" s="1629"/>
      <c r="BR66" s="1629"/>
      <c r="BS66" s="1629"/>
      <c r="BT66" s="1629"/>
      <c r="BU66" s="1629"/>
      <c r="BV66" s="1629"/>
      <c r="BW66" s="1629"/>
      <c r="BX66" s="1629"/>
      <c r="BY66" s="1629"/>
      <c r="BZ66" s="1629"/>
      <c r="CA66" s="1629"/>
      <c r="CB66" s="1629"/>
      <c r="CC66" s="1629"/>
      <c r="CD66" s="1629"/>
      <c r="CE66" s="1629"/>
      <c r="CF66" s="1629"/>
      <c r="CG66" s="1629"/>
      <c r="CH66" s="1629"/>
      <c r="CI66" s="1629"/>
      <c r="CJ66" s="1629"/>
      <c r="CK66" s="1629"/>
      <c r="CL66" s="1629"/>
      <c r="CM66" s="1629"/>
      <c r="CN66" s="1629"/>
      <c r="CO66" s="1629"/>
      <c r="CP66" s="1629"/>
      <c r="CQ66" s="1629"/>
      <c r="CR66" s="1629"/>
      <c r="CS66" s="1629"/>
      <c r="CT66" s="1629"/>
      <c r="CU66" s="1629"/>
      <c r="CV66" s="1629"/>
      <c r="CW66" s="1629"/>
      <c r="CX66" s="1629"/>
      <c r="CY66" s="1629"/>
      <c r="CZ66" s="1629"/>
      <c r="DA66" s="1629"/>
      <c r="DB66" s="1629"/>
      <c r="DC66" s="1629"/>
      <c r="DD66" s="1629"/>
      <c r="DE66" s="1629"/>
      <c r="DF66" s="1629"/>
      <c r="DG66" s="1629"/>
      <c r="DH66" s="1629"/>
      <c r="DI66" s="1629"/>
      <c r="DJ66" s="1629"/>
      <c r="DK66" s="1629"/>
      <c r="DL66" s="1629"/>
      <c r="DM66" s="1629"/>
      <c r="DN66" s="1629"/>
      <c r="DO66" s="1629"/>
      <c r="DP66" s="1629"/>
      <c r="DQ66" s="1629"/>
      <c r="DR66" s="1629"/>
      <c r="DS66" s="1629"/>
      <c r="DT66" s="1629"/>
      <c r="DU66" s="1629"/>
      <c r="DV66" s="1629"/>
      <c r="DW66" s="1629"/>
      <c r="DX66" s="1629"/>
      <c r="DY66" s="1629"/>
      <c r="DZ66" s="1629"/>
      <c r="EA66" s="1629"/>
      <c r="EB66" s="1629"/>
      <c r="EC66" s="1629"/>
      <c r="ED66" s="1629"/>
      <c r="EE66" s="1629"/>
      <c r="EF66" s="1629"/>
      <c r="EG66" s="1629"/>
      <c r="EH66" s="1629"/>
      <c r="EI66" s="1629"/>
      <c r="EJ66" s="1629"/>
      <c r="EK66" s="1629"/>
      <c r="EL66" s="1629"/>
      <c r="EM66" s="1629"/>
      <c r="EN66" s="1629"/>
      <c r="EO66" s="1629"/>
      <c r="EP66" s="1629"/>
      <c r="EQ66" s="1629"/>
      <c r="ER66" s="1629"/>
      <c r="ES66" s="1629"/>
      <c r="ET66" s="1629"/>
      <c r="EU66" s="1629"/>
      <c r="EV66" s="1629"/>
      <c r="EW66" s="1629"/>
      <c r="EX66" s="1629"/>
      <c r="EY66" s="1629"/>
      <c r="EZ66" s="1629"/>
      <c r="FA66" s="1629"/>
      <c r="FB66" s="1629"/>
      <c r="FC66" s="1629"/>
      <c r="FD66" s="1629"/>
      <c r="FE66" s="1629"/>
      <c r="FF66" s="1629"/>
      <c r="FG66" s="1629"/>
      <c r="FH66" s="1629"/>
      <c r="FI66" s="1629"/>
      <c r="FJ66" s="1629"/>
      <c r="FK66" s="1629"/>
      <c r="FL66" s="1629"/>
      <c r="FM66" s="1629"/>
      <c r="FN66" s="1629"/>
      <c r="FO66" s="1629"/>
      <c r="FP66" s="1629"/>
      <c r="FQ66" s="1629"/>
      <c r="FR66" s="1629"/>
      <c r="FS66" s="1629"/>
      <c r="FT66" s="1629"/>
      <c r="FU66" s="1629"/>
      <c r="FV66" s="1629"/>
      <c r="FW66" s="1629"/>
      <c r="FX66" s="1629"/>
      <c r="FY66" s="1629"/>
      <c r="FZ66" s="1629"/>
      <c r="GA66" s="1629"/>
      <c r="GB66" s="1629"/>
      <c r="GC66" s="1629"/>
      <c r="GD66" s="1629"/>
      <c r="GE66" s="1629"/>
      <c r="GF66" s="1629"/>
      <c r="GG66" s="1629"/>
      <c r="GH66" s="1629"/>
      <c r="GI66" s="1629"/>
      <c r="GJ66" s="1629"/>
      <c r="GK66" s="1629"/>
      <c r="GL66" s="1629"/>
      <c r="GM66" s="1629"/>
      <c r="GN66" s="1629"/>
      <c r="GO66" s="1629"/>
      <c r="GP66" s="1629"/>
      <c r="GQ66" s="1629"/>
      <c r="GR66" s="1629"/>
      <c r="GS66" s="1629"/>
      <c r="GT66" s="1629"/>
      <c r="GU66" s="1629"/>
      <c r="GV66" s="1629"/>
      <c r="GW66" s="1629"/>
      <c r="GX66" s="1629"/>
      <c r="GY66" s="1629"/>
      <c r="GZ66" s="1629"/>
      <c r="HA66" s="1629"/>
      <c r="HB66" s="1629"/>
      <c r="HC66" s="1629"/>
      <c r="HD66" s="1629"/>
      <c r="HE66" s="1629"/>
      <c r="HF66" s="1629"/>
      <c r="HG66" s="1629"/>
      <c r="HH66" s="1629"/>
      <c r="HI66" s="1629"/>
      <c r="HJ66" s="1629"/>
      <c r="HK66" s="1629"/>
      <c r="HL66" s="1629"/>
      <c r="HM66" s="1629"/>
      <c r="HN66" s="1629"/>
      <c r="HO66" s="1629"/>
      <c r="HP66" s="1629"/>
      <c r="HQ66" s="1629"/>
      <c r="HR66" s="1629"/>
      <c r="HS66" s="1629"/>
      <c r="HT66" s="1629"/>
      <c r="HU66" s="1629"/>
      <c r="HV66" s="1629"/>
      <c r="HW66" s="1629"/>
      <c r="HX66" s="1629"/>
      <c r="HY66" s="1629"/>
      <c r="HZ66" s="1629"/>
      <c r="IA66" s="1629"/>
      <c r="IB66" s="1629"/>
      <c r="IC66" s="1629"/>
      <c r="ID66" s="1629"/>
      <c r="IE66" s="1629"/>
      <c r="IF66" s="1629"/>
      <c r="IG66" s="1629"/>
      <c r="IH66" s="1629"/>
      <c r="II66" s="1629"/>
      <c r="IJ66" s="1629"/>
      <c r="IK66" s="1629"/>
      <c r="IL66" s="1629"/>
      <c r="IM66" s="1629"/>
      <c r="IN66" s="1629"/>
      <c r="IO66" s="1629"/>
      <c r="IP66" s="1629"/>
      <c r="IQ66" s="1629"/>
      <c r="IR66" s="1629"/>
      <c r="IS66" s="1629"/>
      <c r="IT66" s="1629"/>
      <c r="IU66" s="1629"/>
      <c r="IV66" s="1629"/>
    </row>
    <row r="67" spans="1:256" ht="13.15" hidden="1" customHeight="1" outlineLevel="1" x14ac:dyDescent="0.2">
      <c r="A67" s="4547" t="s">
        <v>1766</v>
      </c>
      <c r="B67" s="1684" t="s">
        <v>1767</v>
      </c>
      <c r="C67" s="1571" t="s">
        <v>1686</v>
      </c>
      <c r="D67" s="1553"/>
      <c r="E67" s="1552"/>
      <c r="F67" s="1553"/>
      <c r="G67" s="1552"/>
      <c r="H67" s="1554">
        <f>J67+L67+N67+P67+R67+T67+V67</f>
        <v>0</v>
      </c>
      <c r="I67" s="1552">
        <f>K67+M67+O67+Q67+S67+U67+W67</f>
        <v>0</v>
      </c>
      <c r="J67" s="1553"/>
      <c r="K67" s="1552"/>
      <c r="L67" s="1553"/>
      <c r="M67" s="1552"/>
      <c r="N67" s="1553"/>
      <c r="O67" s="1552"/>
      <c r="P67" s="1553"/>
      <c r="Q67" s="1552"/>
      <c r="R67" s="1553"/>
      <c r="S67" s="1552"/>
      <c r="T67" s="1553"/>
      <c r="U67" s="1552"/>
      <c r="V67" s="1553"/>
      <c r="W67" s="1556"/>
      <c r="X67" s="1580"/>
      <c r="Y67" s="1585"/>
      <c r="Z67" s="1630"/>
      <c r="AA67" s="1630"/>
      <c r="AB67" s="1629"/>
      <c r="AC67" s="1620"/>
      <c r="AD67" s="1620"/>
      <c r="AE67" s="1620"/>
      <c r="AF67" s="1620"/>
      <c r="AG67" s="1620"/>
      <c r="AH67" s="1620"/>
      <c r="AI67" s="1629"/>
      <c r="AJ67" s="1631"/>
      <c r="AK67" s="1631"/>
      <c r="AL67" s="1631"/>
      <c r="AM67" s="1631"/>
      <c r="AN67" s="1631"/>
      <c r="AO67" s="1631"/>
      <c r="AP67" s="1629"/>
      <c r="AQ67" s="1629"/>
      <c r="AR67" s="1629"/>
      <c r="AS67" s="1629"/>
      <c r="AT67" s="1629"/>
      <c r="AU67" s="1629"/>
      <c r="AV67" s="1629"/>
      <c r="AW67" s="1629"/>
      <c r="AX67" s="1629"/>
      <c r="AY67" s="1629"/>
      <c r="AZ67" s="1629"/>
      <c r="BA67" s="1629"/>
      <c r="BB67" s="1629"/>
      <c r="BC67" s="1629"/>
      <c r="BD67" s="1629"/>
      <c r="BE67" s="1629"/>
      <c r="BF67" s="1629"/>
      <c r="BG67" s="1629"/>
      <c r="BH67" s="1629"/>
      <c r="BI67" s="1629"/>
      <c r="BJ67" s="1629"/>
      <c r="BK67" s="1629"/>
      <c r="BL67" s="1629"/>
      <c r="BM67" s="1629"/>
      <c r="BN67" s="1629"/>
      <c r="BO67" s="1629"/>
      <c r="BP67" s="1629"/>
      <c r="BQ67" s="1629"/>
      <c r="BR67" s="1629"/>
      <c r="BS67" s="1629"/>
      <c r="BT67" s="1629"/>
      <c r="BU67" s="1629"/>
      <c r="BV67" s="1629"/>
      <c r="BW67" s="1629"/>
      <c r="BX67" s="1629"/>
      <c r="BY67" s="1629"/>
      <c r="BZ67" s="1629"/>
      <c r="CA67" s="1629"/>
      <c r="CB67" s="1629"/>
      <c r="CC67" s="1629"/>
      <c r="CD67" s="1629"/>
      <c r="CE67" s="1629"/>
      <c r="CF67" s="1629"/>
      <c r="CG67" s="1629"/>
      <c r="CH67" s="1629"/>
      <c r="CI67" s="1629"/>
      <c r="CJ67" s="1629"/>
      <c r="CK67" s="1629"/>
      <c r="CL67" s="1629"/>
      <c r="CM67" s="1629"/>
      <c r="CN67" s="1629"/>
      <c r="CO67" s="1629"/>
      <c r="CP67" s="1629"/>
      <c r="CQ67" s="1629"/>
      <c r="CR67" s="1629"/>
      <c r="CS67" s="1629"/>
      <c r="CT67" s="1629"/>
      <c r="CU67" s="1629"/>
      <c r="CV67" s="1629"/>
      <c r="CW67" s="1629"/>
      <c r="CX67" s="1629"/>
      <c r="CY67" s="1629"/>
      <c r="CZ67" s="1629"/>
      <c r="DA67" s="1629"/>
      <c r="DB67" s="1629"/>
      <c r="DC67" s="1629"/>
      <c r="DD67" s="1629"/>
      <c r="DE67" s="1629"/>
      <c r="DF67" s="1629"/>
      <c r="DG67" s="1629"/>
      <c r="DH67" s="1629"/>
      <c r="DI67" s="1629"/>
      <c r="DJ67" s="1629"/>
      <c r="DK67" s="1629"/>
      <c r="DL67" s="1629"/>
      <c r="DM67" s="1629"/>
      <c r="DN67" s="1629"/>
      <c r="DO67" s="1629"/>
      <c r="DP67" s="1629"/>
      <c r="DQ67" s="1629"/>
      <c r="DR67" s="1629"/>
      <c r="DS67" s="1629"/>
      <c r="DT67" s="1629"/>
      <c r="DU67" s="1629"/>
      <c r="DV67" s="1629"/>
      <c r="DW67" s="1629"/>
      <c r="DX67" s="1629"/>
      <c r="DY67" s="1629"/>
      <c r="DZ67" s="1629"/>
      <c r="EA67" s="1629"/>
      <c r="EB67" s="1629"/>
      <c r="EC67" s="1629"/>
      <c r="ED67" s="1629"/>
      <c r="EE67" s="1629"/>
      <c r="EF67" s="1629"/>
      <c r="EG67" s="1629"/>
      <c r="EH67" s="1629"/>
      <c r="EI67" s="1629"/>
      <c r="EJ67" s="1629"/>
      <c r="EK67" s="1629"/>
      <c r="EL67" s="1629"/>
      <c r="EM67" s="1629"/>
      <c r="EN67" s="1629"/>
      <c r="EO67" s="1629"/>
      <c r="EP67" s="1629"/>
      <c r="EQ67" s="1629"/>
      <c r="ER67" s="1629"/>
      <c r="ES67" s="1629"/>
      <c r="ET67" s="1629"/>
      <c r="EU67" s="1629"/>
      <c r="EV67" s="1629"/>
      <c r="EW67" s="1629"/>
      <c r="EX67" s="1629"/>
      <c r="EY67" s="1629"/>
      <c r="EZ67" s="1629"/>
      <c r="FA67" s="1629"/>
      <c r="FB67" s="1629"/>
      <c r="FC67" s="1629"/>
      <c r="FD67" s="1629"/>
      <c r="FE67" s="1629"/>
      <c r="FF67" s="1629"/>
      <c r="FG67" s="1629"/>
      <c r="FH67" s="1629"/>
      <c r="FI67" s="1629"/>
      <c r="FJ67" s="1629"/>
      <c r="FK67" s="1629"/>
      <c r="FL67" s="1629"/>
      <c r="FM67" s="1629"/>
      <c r="FN67" s="1629"/>
      <c r="FO67" s="1629"/>
      <c r="FP67" s="1629"/>
      <c r="FQ67" s="1629"/>
      <c r="FR67" s="1629"/>
      <c r="FS67" s="1629"/>
      <c r="FT67" s="1629"/>
      <c r="FU67" s="1629"/>
      <c r="FV67" s="1629"/>
      <c r="FW67" s="1629"/>
      <c r="FX67" s="1629"/>
      <c r="FY67" s="1629"/>
      <c r="FZ67" s="1629"/>
      <c r="GA67" s="1629"/>
      <c r="GB67" s="1629"/>
      <c r="GC67" s="1629"/>
      <c r="GD67" s="1629"/>
      <c r="GE67" s="1629"/>
      <c r="GF67" s="1629"/>
      <c r="GG67" s="1629"/>
      <c r="GH67" s="1629"/>
      <c r="GI67" s="1629"/>
      <c r="GJ67" s="1629"/>
      <c r="GK67" s="1629"/>
      <c r="GL67" s="1629"/>
      <c r="GM67" s="1629"/>
      <c r="GN67" s="1629"/>
      <c r="GO67" s="1629"/>
      <c r="GP67" s="1629"/>
      <c r="GQ67" s="1629"/>
      <c r="GR67" s="1629"/>
      <c r="GS67" s="1629"/>
      <c r="GT67" s="1629"/>
      <c r="GU67" s="1629"/>
      <c r="GV67" s="1629"/>
      <c r="GW67" s="1629"/>
      <c r="GX67" s="1629"/>
      <c r="GY67" s="1629"/>
      <c r="GZ67" s="1629"/>
      <c r="HA67" s="1629"/>
      <c r="HB67" s="1629"/>
      <c r="HC67" s="1629"/>
      <c r="HD67" s="1629"/>
      <c r="HE67" s="1629"/>
      <c r="HF67" s="1629"/>
      <c r="HG67" s="1629"/>
      <c r="HH67" s="1629"/>
      <c r="HI67" s="1629"/>
      <c r="HJ67" s="1629"/>
      <c r="HK67" s="1629"/>
      <c r="HL67" s="1629"/>
      <c r="HM67" s="1629"/>
      <c r="HN67" s="1629"/>
      <c r="HO67" s="1629"/>
      <c r="HP67" s="1629"/>
      <c r="HQ67" s="1629"/>
      <c r="HR67" s="1629"/>
      <c r="HS67" s="1629"/>
      <c r="HT67" s="1629"/>
      <c r="HU67" s="1629"/>
      <c r="HV67" s="1629"/>
      <c r="HW67" s="1629"/>
      <c r="HX67" s="1629"/>
      <c r="HY67" s="1629"/>
      <c r="HZ67" s="1629"/>
      <c r="IA67" s="1629"/>
      <c r="IB67" s="1629"/>
      <c r="IC67" s="1629"/>
      <c r="ID67" s="1629"/>
      <c r="IE67" s="1629"/>
      <c r="IF67" s="1629"/>
      <c r="IG67" s="1629"/>
      <c r="IH67" s="1629"/>
      <c r="II67" s="1629"/>
      <c r="IJ67" s="1629"/>
      <c r="IK67" s="1629"/>
      <c r="IL67" s="1629"/>
      <c r="IM67" s="1629"/>
      <c r="IN67" s="1629"/>
      <c r="IO67" s="1629"/>
      <c r="IP67" s="1629"/>
      <c r="IQ67" s="1629"/>
      <c r="IR67" s="1629"/>
      <c r="IS67" s="1629"/>
      <c r="IT67" s="1629"/>
      <c r="IU67" s="1629"/>
      <c r="IV67" s="1629"/>
    </row>
    <row r="68" spans="1:256" ht="24" hidden="1" customHeight="1" outlineLevel="1" x14ac:dyDescent="0.2">
      <c r="A68" s="4548"/>
      <c r="B68" s="1684" t="s">
        <v>1768</v>
      </c>
      <c r="C68" s="1571" t="s">
        <v>1718</v>
      </c>
      <c r="D68" s="1553">
        <f t="shared" ref="D68:I68" si="53">IF(D67=0,,D69/1000/D67)</f>
        <v>0</v>
      </c>
      <c r="E68" s="1552">
        <f t="shared" si="53"/>
        <v>0</v>
      </c>
      <c r="F68" s="1553"/>
      <c r="G68" s="1552"/>
      <c r="H68" s="1554">
        <f t="shared" si="53"/>
        <v>0</v>
      </c>
      <c r="I68" s="1552">
        <f t="shared" si="53"/>
        <v>0</v>
      </c>
      <c r="J68" s="1553"/>
      <c r="K68" s="1552"/>
      <c r="L68" s="1553"/>
      <c r="M68" s="1552"/>
      <c r="N68" s="1553"/>
      <c r="O68" s="1552"/>
      <c r="P68" s="1553"/>
      <c r="Q68" s="1552"/>
      <c r="R68" s="1553"/>
      <c r="S68" s="1552"/>
      <c r="T68" s="1553"/>
      <c r="U68" s="1552"/>
      <c r="V68" s="1553"/>
      <c r="W68" s="1556"/>
      <c r="X68" s="1580"/>
      <c r="Y68" s="1585"/>
      <c r="Z68" s="1630"/>
      <c r="AA68" s="1630"/>
      <c r="AB68" s="1629"/>
      <c r="AC68" s="1620"/>
      <c r="AD68" s="1620"/>
      <c r="AE68" s="1620"/>
      <c r="AF68" s="1620"/>
      <c r="AG68" s="1620"/>
      <c r="AH68" s="1620"/>
      <c r="AI68" s="1629"/>
      <c r="AJ68" s="1631"/>
      <c r="AK68" s="1631"/>
      <c r="AL68" s="1631"/>
      <c r="AM68" s="1631"/>
      <c r="AN68" s="1631"/>
      <c r="AO68" s="1631"/>
      <c r="AP68" s="1629"/>
      <c r="AQ68" s="1629"/>
      <c r="AR68" s="1629"/>
      <c r="AS68" s="1629"/>
      <c r="AT68" s="1629"/>
      <c r="AU68" s="1629"/>
      <c r="AV68" s="1629"/>
      <c r="AW68" s="1629"/>
      <c r="AX68" s="1629"/>
      <c r="AY68" s="1629"/>
      <c r="AZ68" s="1629"/>
      <c r="BA68" s="1629"/>
      <c r="BB68" s="1629"/>
      <c r="BC68" s="1629"/>
      <c r="BD68" s="1629"/>
      <c r="BE68" s="1629"/>
      <c r="BF68" s="1629"/>
      <c r="BG68" s="1629"/>
      <c r="BH68" s="1629"/>
      <c r="BI68" s="1629"/>
      <c r="BJ68" s="1629"/>
      <c r="BK68" s="1629"/>
      <c r="BL68" s="1629"/>
      <c r="BM68" s="1629"/>
      <c r="BN68" s="1629"/>
      <c r="BO68" s="1629"/>
      <c r="BP68" s="1629"/>
      <c r="BQ68" s="1629"/>
      <c r="BR68" s="1629"/>
      <c r="BS68" s="1629"/>
      <c r="BT68" s="1629"/>
      <c r="BU68" s="1629"/>
      <c r="BV68" s="1629"/>
      <c r="BW68" s="1629"/>
      <c r="BX68" s="1629"/>
      <c r="BY68" s="1629"/>
      <c r="BZ68" s="1629"/>
      <c r="CA68" s="1629"/>
      <c r="CB68" s="1629"/>
      <c r="CC68" s="1629"/>
      <c r="CD68" s="1629"/>
      <c r="CE68" s="1629"/>
      <c r="CF68" s="1629"/>
      <c r="CG68" s="1629"/>
      <c r="CH68" s="1629"/>
      <c r="CI68" s="1629"/>
      <c r="CJ68" s="1629"/>
      <c r="CK68" s="1629"/>
      <c r="CL68" s="1629"/>
      <c r="CM68" s="1629"/>
      <c r="CN68" s="1629"/>
      <c r="CO68" s="1629"/>
      <c r="CP68" s="1629"/>
      <c r="CQ68" s="1629"/>
      <c r="CR68" s="1629"/>
      <c r="CS68" s="1629"/>
      <c r="CT68" s="1629"/>
      <c r="CU68" s="1629"/>
      <c r="CV68" s="1629"/>
      <c r="CW68" s="1629"/>
      <c r="CX68" s="1629"/>
      <c r="CY68" s="1629"/>
      <c r="CZ68" s="1629"/>
      <c r="DA68" s="1629"/>
      <c r="DB68" s="1629"/>
      <c r="DC68" s="1629"/>
      <c r="DD68" s="1629"/>
      <c r="DE68" s="1629"/>
      <c r="DF68" s="1629"/>
      <c r="DG68" s="1629"/>
      <c r="DH68" s="1629"/>
      <c r="DI68" s="1629"/>
      <c r="DJ68" s="1629"/>
      <c r="DK68" s="1629"/>
      <c r="DL68" s="1629"/>
      <c r="DM68" s="1629"/>
      <c r="DN68" s="1629"/>
      <c r="DO68" s="1629"/>
      <c r="DP68" s="1629"/>
      <c r="DQ68" s="1629"/>
      <c r="DR68" s="1629"/>
      <c r="DS68" s="1629"/>
      <c r="DT68" s="1629"/>
      <c r="DU68" s="1629"/>
      <c r="DV68" s="1629"/>
      <c r="DW68" s="1629"/>
      <c r="DX68" s="1629"/>
      <c r="DY68" s="1629"/>
      <c r="DZ68" s="1629"/>
      <c r="EA68" s="1629"/>
      <c r="EB68" s="1629"/>
      <c r="EC68" s="1629"/>
      <c r="ED68" s="1629"/>
      <c r="EE68" s="1629"/>
      <c r="EF68" s="1629"/>
      <c r="EG68" s="1629"/>
      <c r="EH68" s="1629"/>
      <c r="EI68" s="1629"/>
      <c r="EJ68" s="1629"/>
      <c r="EK68" s="1629"/>
      <c r="EL68" s="1629"/>
      <c r="EM68" s="1629"/>
      <c r="EN68" s="1629"/>
      <c r="EO68" s="1629"/>
      <c r="EP68" s="1629"/>
      <c r="EQ68" s="1629"/>
      <c r="ER68" s="1629"/>
      <c r="ES68" s="1629"/>
      <c r="ET68" s="1629"/>
      <c r="EU68" s="1629"/>
      <c r="EV68" s="1629"/>
      <c r="EW68" s="1629"/>
      <c r="EX68" s="1629"/>
      <c r="EY68" s="1629"/>
      <c r="EZ68" s="1629"/>
      <c r="FA68" s="1629"/>
      <c r="FB68" s="1629"/>
      <c r="FC68" s="1629"/>
      <c r="FD68" s="1629"/>
      <c r="FE68" s="1629"/>
      <c r="FF68" s="1629"/>
      <c r="FG68" s="1629"/>
      <c r="FH68" s="1629"/>
      <c r="FI68" s="1629"/>
      <c r="FJ68" s="1629"/>
      <c r="FK68" s="1629"/>
      <c r="FL68" s="1629"/>
      <c r="FM68" s="1629"/>
      <c r="FN68" s="1629"/>
      <c r="FO68" s="1629"/>
      <c r="FP68" s="1629"/>
      <c r="FQ68" s="1629"/>
      <c r="FR68" s="1629"/>
      <c r="FS68" s="1629"/>
      <c r="FT68" s="1629"/>
      <c r="FU68" s="1629"/>
      <c r="FV68" s="1629"/>
      <c r="FW68" s="1629"/>
      <c r="FX68" s="1629"/>
      <c r="FY68" s="1629"/>
      <c r="FZ68" s="1629"/>
      <c r="GA68" s="1629"/>
      <c r="GB68" s="1629"/>
      <c r="GC68" s="1629"/>
      <c r="GD68" s="1629"/>
      <c r="GE68" s="1629"/>
      <c r="GF68" s="1629"/>
      <c r="GG68" s="1629"/>
      <c r="GH68" s="1629"/>
      <c r="GI68" s="1629"/>
      <c r="GJ68" s="1629"/>
      <c r="GK68" s="1629"/>
      <c r="GL68" s="1629"/>
      <c r="GM68" s="1629"/>
      <c r="GN68" s="1629"/>
      <c r="GO68" s="1629"/>
      <c r="GP68" s="1629"/>
      <c r="GQ68" s="1629"/>
      <c r="GR68" s="1629"/>
      <c r="GS68" s="1629"/>
      <c r="GT68" s="1629"/>
      <c r="GU68" s="1629"/>
      <c r="GV68" s="1629"/>
      <c r="GW68" s="1629"/>
      <c r="GX68" s="1629"/>
      <c r="GY68" s="1629"/>
      <c r="GZ68" s="1629"/>
      <c r="HA68" s="1629"/>
      <c r="HB68" s="1629"/>
      <c r="HC68" s="1629"/>
      <c r="HD68" s="1629"/>
      <c r="HE68" s="1629"/>
      <c r="HF68" s="1629"/>
      <c r="HG68" s="1629"/>
      <c r="HH68" s="1629"/>
      <c r="HI68" s="1629"/>
      <c r="HJ68" s="1629"/>
      <c r="HK68" s="1629"/>
      <c r="HL68" s="1629"/>
      <c r="HM68" s="1629"/>
      <c r="HN68" s="1629"/>
      <c r="HO68" s="1629"/>
      <c r="HP68" s="1629"/>
      <c r="HQ68" s="1629"/>
      <c r="HR68" s="1629"/>
      <c r="HS68" s="1629"/>
      <c r="HT68" s="1629"/>
      <c r="HU68" s="1629"/>
      <c r="HV68" s="1629"/>
      <c r="HW68" s="1629"/>
      <c r="HX68" s="1629"/>
      <c r="HY68" s="1629"/>
      <c r="HZ68" s="1629"/>
      <c r="IA68" s="1629"/>
      <c r="IB68" s="1629"/>
      <c r="IC68" s="1629"/>
      <c r="ID68" s="1629"/>
      <c r="IE68" s="1629"/>
      <c r="IF68" s="1629"/>
      <c r="IG68" s="1629"/>
      <c r="IH68" s="1629"/>
      <c r="II68" s="1629"/>
      <c r="IJ68" s="1629"/>
      <c r="IK68" s="1629"/>
      <c r="IL68" s="1629"/>
      <c r="IM68" s="1629"/>
      <c r="IN68" s="1629"/>
      <c r="IO68" s="1629"/>
      <c r="IP68" s="1629"/>
      <c r="IQ68" s="1629"/>
      <c r="IR68" s="1629"/>
      <c r="IS68" s="1629"/>
      <c r="IT68" s="1629"/>
      <c r="IU68" s="1629"/>
      <c r="IV68" s="1629"/>
    </row>
    <row r="69" spans="1:256" ht="24" hidden="1" customHeight="1" outlineLevel="1" x14ac:dyDescent="0.2">
      <c r="A69" s="4549"/>
      <c r="B69" s="1687" t="s">
        <v>1769</v>
      </c>
      <c r="C69" s="1572" t="s">
        <v>1721</v>
      </c>
      <c r="D69" s="1553"/>
      <c r="E69" s="1552"/>
      <c r="F69" s="1553"/>
      <c r="G69" s="1552"/>
      <c r="H69" s="1554">
        <f>J69+L69+N69+P69+R69+T69+V69</f>
        <v>0</v>
      </c>
      <c r="I69" s="1552">
        <f>K69+M69+O69+Q69+S69+U69+W69</f>
        <v>0</v>
      </c>
      <c r="J69" s="1553">
        <f>J67*J68/1000</f>
        <v>0</v>
      </c>
      <c r="K69" s="1552">
        <f t="shared" ref="K69:W69" si="54">K67*K68/1000</f>
        <v>0</v>
      </c>
      <c r="L69" s="1553">
        <f t="shared" si="54"/>
        <v>0</v>
      </c>
      <c r="M69" s="1552">
        <f t="shared" si="54"/>
        <v>0</v>
      </c>
      <c r="N69" s="1553">
        <f t="shared" si="54"/>
        <v>0</v>
      </c>
      <c r="O69" s="1552">
        <f t="shared" si="54"/>
        <v>0</v>
      </c>
      <c r="P69" s="1553">
        <f t="shared" si="54"/>
        <v>0</v>
      </c>
      <c r="Q69" s="1552">
        <f t="shared" si="54"/>
        <v>0</v>
      </c>
      <c r="R69" s="1553">
        <f t="shared" si="54"/>
        <v>0</v>
      </c>
      <c r="S69" s="1552">
        <f t="shared" si="54"/>
        <v>0</v>
      </c>
      <c r="T69" s="1553">
        <f t="shared" si="54"/>
        <v>0</v>
      </c>
      <c r="U69" s="1552">
        <f t="shared" si="54"/>
        <v>0</v>
      </c>
      <c r="V69" s="1553">
        <f t="shared" si="54"/>
        <v>0</v>
      </c>
      <c r="W69" s="1552">
        <f t="shared" si="54"/>
        <v>0</v>
      </c>
      <c r="X69" s="1580">
        <f t="shared" ref="X69:Y69" si="55">X67*X68/1000</f>
        <v>0</v>
      </c>
      <c r="Y69" s="1579">
        <f t="shared" si="55"/>
        <v>0</v>
      </c>
      <c r="Z69" s="1630"/>
      <c r="AA69" s="1630"/>
      <c r="AB69" s="1629"/>
      <c r="AC69" s="1620"/>
      <c r="AD69" s="1620"/>
      <c r="AE69" s="1620"/>
      <c r="AF69" s="1620"/>
      <c r="AG69" s="1620"/>
      <c r="AH69" s="1620"/>
      <c r="AI69" s="1629"/>
      <c r="AJ69" s="1631"/>
      <c r="AK69" s="1631"/>
      <c r="AL69" s="1631"/>
      <c r="AM69" s="1631"/>
      <c r="AN69" s="1631"/>
      <c r="AO69" s="1631"/>
      <c r="AP69" s="1629"/>
      <c r="AQ69" s="1629"/>
      <c r="AR69" s="1629"/>
      <c r="AS69" s="1629"/>
      <c r="AT69" s="1629"/>
      <c r="AU69" s="1629"/>
      <c r="AV69" s="1629"/>
      <c r="AW69" s="1629"/>
      <c r="AX69" s="1629"/>
      <c r="AY69" s="1629"/>
      <c r="AZ69" s="1629"/>
      <c r="BA69" s="1629"/>
      <c r="BB69" s="1629"/>
      <c r="BC69" s="1629"/>
      <c r="BD69" s="1629"/>
      <c r="BE69" s="1629"/>
      <c r="BF69" s="1629"/>
      <c r="BG69" s="1629"/>
      <c r="BH69" s="1629"/>
      <c r="BI69" s="1629"/>
      <c r="BJ69" s="1629"/>
      <c r="BK69" s="1629"/>
      <c r="BL69" s="1629"/>
      <c r="BM69" s="1629"/>
      <c r="BN69" s="1629"/>
      <c r="BO69" s="1629"/>
      <c r="BP69" s="1629"/>
      <c r="BQ69" s="1629"/>
      <c r="BR69" s="1629"/>
      <c r="BS69" s="1629"/>
      <c r="BT69" s="1629"/>
      <c r="BU69" s="1629"/>
      <c r="BV69" s="1629"/>
      <c r="BW69" s="1629"/>
      <c r="BX69" s="1629"/>
      <c r="BY69" s="1629"/>
      <c r="BZ69" s="1629"/>
      <c r="CA69" s="1629"/>
      <c r="CB69" s="1629"/>
      <c r="CC69" s="1629"/>
      <c r="CD69" s="1629"/>
      <c r="CE69" s="1629"/>
      <c r="CF69" s="1629"/>
      <c r="CG69" s="1629"/>
      <c r="CH69" s="1629"/>
      <c r="CI69" s="1629"/>
      <c r="CJ69" s="1629"/>
      <c r="CK69" s="1629"/>
      <c r="CL69" s="1629"/>
      <c r="CM69" s="1629"/>
      <c r="CN69" s="1629"/>
      <c r="CO69" s="1629"/>
      <c r="CP69" s="1629"/>
      <c r="CQ69" s="1629"/>
      <c r="CR69" s="1629"/>
      <c r="CS69" s="1629"/>
      <c r="CT69" s="1629"/>
      <c r="CU69" s="1629"/>
      <c r="CV69" s="1629"/>
      <c r="CW69" s="1629"/>
      <c r="CX69" s="1629"/>
      <c r="CY69" s="1629"/>
      <c r="CZ69" s="1629"/>
      <c r="DA69" s="1629"/>
      <c r="DB69" s="1629"/>
      <c r="DC69" s="1629"/>
      <c r="DD69" s="1629"/>
      <c r="DE69" s="1629"/>
      <c r="DF69" s="1629"/>
      <c r="DG69" s="1629"/>
      <c r="DH69" s="1629"/>
      <c r="DI69" s="1629"/>
      <c r="DJ69" s="1629"/>
      <c r="DK69" s="1629"/>
      <c r="DL69" s="1629"/>
      <c r="DM69" s="1629"/>
      <c r="DN69" s="1629"/>
      <c r="DO69" s="1629"/>
      <c r="DP69" s="1629"/>
      <c r="DQ69" s="1629"/>
      <c r="DR69" s="1629"/>
      <c r="DS69" s="1629"/>
      <c r="DT69" s="1629"/>
      <c r="DU69" s="1629"/>
      <c r="DV69" s="1629"/>
      <c r="DW69" s="1629"/>
      <c r="DX69" s="1629"/>
      <c r="DY69" s="1629"/>
      <c r="DZ69" s="1629"/>
      <c r="EA69" s="1629"/>
      <c r="EB69" s="1629"/>
      <c r="EC69" s="1629"/>
      <c r="ED69" s="1629"/>
      <c r="EE69" s="1629"/>
      <c r="EF69" s="1629"/>
      <c r="EG69" s="1629"/>
      <c r="EH69" s="1629"/>
      <c r="EI69" s="1629"/>
      <c r="EJ69" s="1629"/>
      <c r="EK69" s="1629"/>
      <c r="EL69" s="1629"/>
      <c r="EM69" s="1629"/>
      <c r="EN69" s="1629"/>
      <c r="EO69" s="1629"/>
      <c r="EP69" s="1629"/>
      <c r="EQ69" s="1629"/>
      <c r="ER69" s="1629"/>
      <c r="ES69" s="1629"/>
      <c r="ET69" s="1629"/>
      <c r="EU69" s="1629"/>
      <c r="EV69" s="1629"/>
      <c r="EW69" s="1629"/>
      <c r="EX69" s="1629"/>
      <c r="EY69" s="1629"/>
      <c r="EZ69" s="1629"/>
      <c r="FA69" s="1629"/>
      <c r="FB69" s="1629"/>
      <c r="FC69" s="1629"/>
      <c r="FD69" s="1629"/>
      <c r="FE69" s="1629"/>
      <c r="FF69" s="1629"/>
      <c r="FG69" s="1629"/>
      <c r="FH69" s="1629"/>
      <c r="FI69" s="1629"/>
      <c r="FJ69" s="1629"/>
      <c r="FK69" s="1629"/>
      <c r="FL69" s="1629"/>
      <c r="FM69" s="1629"/>
      <c r="FN69" s="1629"/>
      <c r="FO69" s="1629"/>
      <c r="FP69" s="1629"/>
      <c r="FQ69" s="1629"/>
      <c r="FR69" s="1629"/>
      <c r="FS69" s="1629"/>
      <c r="FT69" s="1629"/>
      <c r="FU69" s="1629"/>
      <c r="FV69" s="1629"/>
      <c r="FW69" s="1629"/>
      <c r="FX69" s="1629"/>
      <c r="FY69" s="1629"/>
      <c r="FZ69" s="1629"/>
      <c r="GA69" s="1629"/>
      <c r="GB69" s="1629"/>
      <c r="GC69" s="1629"/>
      <c r="GD69" s="1629"/>
      <c r="GE69" s="1629"/>
      <c r="GF69" s="1629"/>
      <c r="GG69" s="1629"/>
      <c r="GH69" s="1629"/>
      <c r="GI69" s="1629"/>
      <c r="GJ69" s="1629"/>
      <c r="GK69" s="1629"/>
      <c r="GL69" s="1629"/>
      <c r="GM69" s="1629"/>
      <c r="GN69" s="1629"/>
      <c r="GO69" s="1629"/>
      <c r="GP69" s="1629"/>
      <c r="GQ69" s="1629"/>
      <c r="GR69" s="1629"/>
      <c r="GS69" s="1629"/>
      <c r="GT69" s="1629"/>
      <c r="GU69" s="1629"/>
      <c r="GV69" s="1629"/>
      <c r="GW69" s="1629"/>
      <c r="GX69" s="1629"/>
      <c r="GY69" s="1629"/>
      <c r="GZ69" s="1629"/>
      <c r="HA69" s="1629"/>
      <c r="HB69" s="1629"/>
      <c r="HC69" s="1629"/>
      <c r="HD69" s="1629"/>
      <c r="HE69" s="1629"/>
      <c r="HF69" s="1629"/>
      <c r="HG69" s="1629"/>
      <c r="HH69" s="1629"/>
      <c r="HI69" s="1629"/>
      <c r="HJ69" s="1629"/>
      <c r="HK69" s="1629"/>
      <c r="HL69" s="1629"/>
      <c r="HM69" s="1629"/>
      <c r="HN69" s="1629"/>
      <c r="HO69" s="1629"/>
      <c r="HP69" s="1629"/>
      <c r="HQ69" s="1629"/>
      <c r="HR69" s="1629"/>
      <c r="HS69" s="1629"/>
      <c r="HT69" s="1629"/>
      <c r="HU69" s="1629"/>
      <c r="HV69" s="1629"/>
      <c r="HW69" s="1629"/>
      <c r="HX69" s="1629"/>
      <c r="HY69" s="1629"/>
      <c r="HZ69" s="1629"/>
      <c r="IA69" s="1629"/>
      <c r="IB69" s="1629"/>
      <c r="IC69" s="1629"/>
      <c r="ID69" s="1629"/>
      <c r="IE69" s="1629"/>
      <c r="IF69" s="1629"/>
      <c r="IG69" s="1629"/>
      <c r="IH69" s="1629"/>
      <c r="II69" s="1629"/>
      <c r="IJ69" s="1629"/>
      <c r="IK69" s="1629"/>
      <c r="IL69" s="1629"/>
      <c r="IM69" s="1629"/>
      <c r="IN69" s="1629"/>
      <c r="IO69" s="1629"/>
      <c r="IP69" s="1629"/>
      <c r="IQ69" s="1629"/>
      <c r="IR69" s="1629"/>
      <c r="IS69" s="1629"/>
      <c r="IT69" s="1629"/>
      <c r="IU69" s="1629"/>
      <c r="IV69" s="1629"/>
    </row>
    <row r="70" spans="1:256" ht="13.15" hidden="1" customHeight="1" outlineLevel="1" x14ac:dyDescent="0.2">
      <c r="A70" s="4547" t="s">
        <v>1770</v>
      </c>
      <c r="B70" s="1684" t="s">
        <v>1771</v>
      </c>
      <c r="C70" s="1571" t="s">
        <v>1686</v>
      </c>
      <c r="D70" s="1553"/>
      <c r="E70" s="1552"/>
      <c r="F70" s="1553"/>
      <c r="G70" s="1552"/>
      <c r="H70" s="1554">
        <f>J70+L70+N70+P70+R70+T70+V70</f>
        <v>0</v>
      </c>
      <c r="I70" s="1552">
        <f>K70+M70+O70+Q70+S70+U70+W70</f>
        <v>0</v>
      </c>
      <c r="J70" s="1553"/>
      <c r="K70" s="1552"/>
      <c r="L70" s="1553"/>
      <c r="M70" s="1552"/>
      <c r="N70" s="1553"/>
      <c r="O70" s="1552"/>
      <c r="P70" s="1553"/>
      <c r="Q70" s="1552"/>
      <c r="R70" s="1553"/>
      <c r="S70" s="1552"/>
      <c r="T70" s="1553"/>
      <c r="U70" s="1552"/>
      <c r="V70" s="1553"/>
      <c r="W70" s="1556"/>
      <c r="X70" s="1580"/>
      <c r="Y70" s="1585"/>
      <c r="Z70" s="1630"/>
      <c r="AA70" s="1630"/>
      <c r="AB70" s="1629"/>
      <c r="AC70" s="1620"/>
      <c r="AD70" s="1620"/>
      <c r="AE70" s="1620"/>
      <c r="AF70" s="1620"/>
      <c r="AG70" s="1620"/>
      <c r="AH70" s="1620"/>
      <c r="AI70" s="1629"/>
      <c r="AJ70" s="1631"/>
      <c r="AK70" s="1631"/>
      <c r="AL70" s="1631"/>
      <c r="AM70" s="1631"/>
      <c r="AN70" s="1631"/>
      <c r="AO70" s="1631"/>
      <c r="AP70" s="1629"/>
      <c r="AQ70" s="1629"/>
      <c r="AR70" s="1629"/>
      <c r="AS70" s="1629"/>
      <c r="AT70" s="1629"/>
      <c r="AU70" s="1629"/>
      <c r="AV70" s="1629"/>
      <c r="AW70" s="1629"/>
      <c r="AX70" s="1629"/>
      <c r="AY70" s="1629"/>
      <c r="AZ70" s="1629"/>
      <c r="BA70" s="1629"/>
      <c r="BB70" s="1629"/>
      <c r="BC70" s="1629"/>
      <c r="BD70" s="1629"/>
      <c r="BE70" s="1629"/>
      <c r="BF70" s="1629"/>
      <c r="BG70" s="1629"/>
      <c r="BH70" s="1629"/>
      <c r="BI70" s="1629"/>
      <c r="BJ70" s="1629"/>
      <c r="BK70" s="1629"/>
      <c r="BL70" s="1629"/>
      <c r="BM70" s="1629"/>
      <c r="BN70" s="1629"/>
      <c r="BO70" s="1629"/>
      <c r="BP70" s="1629"/>
      <c r="BQ70" s="1629"/>
      <c r="BR70" s="1629"/>
      <c r="BS70" s="1629"/>
      <c r="BT70" s="1629"/>
      <c r="BU70" s="1629"/>
      <c r="BV70" s="1629"/>
      <c r="BW70" s="1629"/>
      <c r="BX70" s="1629"/>
      <c r="BY70" s="1629"/>
      <c r="BZ70" s="1629"/>
      <c r="CA70" s="1629"/>
      <c r="CB70" s="1629"/>
      <c r="CC70" s="1629"/>
      <c r="CD70" s="1629"/>
      <c r="CE70" s="1629"/>
      <c r="CF70" s="1629"/>
      <c r="CG70" s="1629"/>
      <c r="CH70" s="1629"/>
      <c r="CI70" s="1629"/>
      <c r="CJ70" s="1629"/>
      <c r="CK70" s="1629"/>
      <c r="CL70" s="1629"/>
      <c r="CM70" s="1629"/>
      <c r="CN70" s="1629"/>
      <c r="CO70" s="1629"/>
      <c r="CP70" s="1629"/>
      <c r="CQ70" s="1629"/>
      <c r="CR70" s="1629"/>
      <c r="CS70" s="1629"/>
      <c r="CT70" s="1629"/>
      <c r="CU70" s="1629"/>
      <c r="CV70" s="1629"/>
      <c r="CW70" s="1629"/>
      <c r="CX70" s="1629"/>
      <c r="CY70" s="1629"/>
      <c r="CZ70" s="1629"/>
      <c r="DA70" s="1629"/>
      <c r="DB70" s="1629"/>
      <c r="DC70" s="1629"/>
      <c r="DD70" s="1629"/>
      <c r="DE70" s="1629"/>
      <c r="DF70" s="1629"/>
      <c r="DG70" s="1629"/>
      <c r="DH70" s="1629"/>
      <c r="DI70" s="1629"/>
      <c r="DJ70" s="1629"/>
      <c r="DK70" s="1629"/>
      <c r="DL70" s="1629"/>
      <c r="DM70" s="1629"/>
      <c r="DN70" s="1629"/>
      <c r="DO70" s="1629"/>
      <c r="DP70" s="1629"/>
      <c r="DQ70" s="1629"/>
      <c r="DR70" s="1629"/>
      <c r="DS70" s="1629"/>
      <c r="DT70" s="1629"/>
      <c r="DU70" s="1629"/>
      <c r="DV70" s="1629"/>
      <c r="DW70" s="1629"/>
      <c r="DX70" s="1629"/>
      <c r="DY70" s="1629"/>
      <c r="DZ70" s="1629"/>
      <c r="EA70" s="1629"/>
      <c r="EB70" s="1629"/>
      <c r="EC70" s="1629"/>
      <c r="ED70" s="1629"/>
      <c r="EE70" s="1629"/>
      <c r="EF70" s="1629"/>
      <c r="EG70" s="1629"/>
      <c r="EH70" s="1629"/>
      <c r="EI70" s="1629"/>
      <c r="EJ70" s="1629"/>
      <c r="EK70" s="1629"/>
      <c r="EL70" s="1629"/>
      <c r="EM70" s="1629"/>
      <c r="EN70" s="1629"/>
      <c r="EO70" s="1629"/>
      <c r="EP70" s="1629"/>
      <c r="EQ70" s="1629"/>
      <c r="ER70" s="1629"/>
      <c r="ES70" s="1629"/>
      <c r="ET70" s="1629"/>
      <c r="EU70" s="1629"/>
      <c r="EV70" s="1629"/>
      <c r="EW70" s="1629"/>
      <c r="EX70" s="1629"/>
      <c r="EY70" s="1629"/>
      <c r="EZ70" s="1629"/>
      <c r="FA70" s="1629"/>
      <c r="FB70" s="1629"/>
      <c r="FC70" s="1629"/>
      <c r="FD70" s="1629"/>
      <c r="FE70" s="1629"/>
      <c r="FF70" s="1629"/>
      <c r="FG70" s="1629"/>
      <c r="FH70" s="1629"/>
      <c r="FI70" s="1629"/>
      <c r="FJ70" s="1629"/>
      <c r="FK70" s="1629"/>
      <c r="FL70" s="1629"/>
      <c r="FM70" s="1629"/>
      <c r="FN70" s="1629"/>
      <c r="FO70" s="1629"/>
      <c r="FP70" s="1629"/>
      <c r="FQ70" s="1629"/>
      <c r="FR70" s="1629"/>
      <c r="FS70" s="1629"/>
      <c r="FT70" s="1629"/>
      <c r="FU70" s="1629"/>
      <c r="FV70" s="1629"/>
      <c r="FW70" s="1629"/>
      <c r="FX70" s="1629"/>
      <c r="FY70" s="1629"/>
      <c r="FZ70" s="1629"/>
      <c r="GA70" s="1629"/>
      <c r="GB70" s="1629"/>
      <c r="GC70" s="1629"/>
      <c r="GD70" s="1629"/>
      <c r="GE70" s="1629"/>
      <c r="GF70" s="1629"/>
      <c r="GG70" s="1629"/>
      <c r="GH70" s="1629"/>
      <c r="GI70" s="1629"/>
      <c r="GJ70" s="1629"/>
      <c r="GK70" s="1629"/>
      <c r="GL70" s="1629"/>
      <c r="GM70" s="1629"/>
      <c r="GN70" s="1629"/>
      <c r="GO70" s="1629"/>
      <c r="GP70" s="1629"/>
      <c r="GQ70" s="1629"/>
      <c r="GR70" s="1629"/>
      <c r="GS70" s="1629"/>
      <c r="GT70" s="1629"/>
      <c r="GU70" s="1629"/>
      <c r="GV70" s="1629"/>
      <c r="GW70" s="1629"/>
      <c r="GX70" s="1629"/>
      <c r="GY70" s="1629"/>
      <c r="GZ70" s="1629"/>
      <c r="HA70" s="1629"/>
      <c r="HB70" s="1629"/>
      <c r="HC70" s="1629"/>
      <c r="HD70" s="1629"/>
      <c r="HE70" s="1629"/>
      <c r="HF70" s="1629"/>
      <c r="HG70" s="1629"/>
      <c r="HH70" s="1629"/>
      <c r="HI70" s="1629"/>
      <c r="HJ70" s="1629"/>
      <c r="HK70" s="1629"/>
      <c r="HL70" s="1629"/>
      <c r="HM70" s="1629"/>
      <c r="HN70" s="1629"/>
      <c r="HO70" s="1629"/>
      <c r="HP70" s="1629"/>
      <c r="HQ70" s="1629"/>
      <c r="HR70" s="1629"/>
      <c r="HS70" s="1629"/>
      <c r="HT70" s="1629"/>
      <c r="HU70" s="1629"/>
      <c r="HV70" s="1629"/>
      <c r="HW70" s="1629"/>
      <c r="HX70" s="1629"/>
      <c r="HY70" s="1629"/>
      <c r="HZ70" s="1629"/>
      <c r="IA70" s="1629"/>
      <c r="IB70" s="1629"/>
      <c r="IC70" s="1629"/>
      <c r="ID70" s="1629"/>
      <c r="IE70" s="1629"/>
      <c r="IF70" s="1629"/>
      <c r="IG70" s="1629"/>
      <c r="IH70" s="1629"/>
      <c r="II70" s="1629"/>
      <c r="IJ70" s="1629"/>
      <c r="IK70" s="1629"/>
      <c r="IL70" s="1629"/>
      <c r="IM70" s="1629"/>
      <c r="IN70" s="1629"/>
      <c r="IO70" s="1629"/>
      <c r="IP70" s="1629"/>
      <c r="IQ70" s="1629"/>
      <c r="IR70" s="1629"/>
      <c r="IS70" s="1629"/>
      <c r="IT70" s="1629"/>
      <c r="IU70" s="1629"/>
      <c r="IV70" s="1629"/>
    </row>
    <row r="71" spans="1:256" ht="24" hidden="1" customHeight="1" outlineLevel="1" x14ac:dyDescent="0.2">
      <c r="A71" s="4548"/>
      <c r="B71" s="1684" t="s">
        <v>1772</v>
      </c>
      <c r="C71" s="1571" t="s">
        <v>1718</v>
      </c>
      <c r="D71" s="1553">
        <f t="shared" ref="D71:I71" si="56">IF(D70=0,,D72/1000/D70)</f>
        <v>0</v>
      </c>
      <c r="E71" s="1552">
        <f t="shared" si="56"/>
        <v>0</v>
      </c>
      <c r="F71" s="1553"/>
      <c r="G71" s="1552"/>
      <c r="H71" s="1554">
        <f t="shared" si="56"/>
        <v>0</v>
      </c>
      <c r="I71" s="1552">
        <f t="shared" si="56"/>
        <v>0</v>
      </c>
      <c r="J71" s="1553"/>
      <c r="K71" s="1552"/>
      <c r="L71" s="1553"/>
      <c r="M71" s="1552"/>
      <c r="N71" s="1553"/>
      <c r="O71" s="1552"/>
      <c r="P71" s="1553"/>
      <c r="Q71" s="1552"/>
      <c r="R71" s="1553"/>
      <c r="S71" s="1552"/>
      <c r="T71" s="1553"/>
      <c r="U71" s="1552"/>
      <c r="V71" s="1553"/>
      <c r="W71" s="1556"/>
      <c r="X71" s="1580"/>
      <c r="Y71" s="1585"/>
      <c r="Z71" s="1630"/>
      <c r="AA71" s="1630"/>
      <c r="AB71" s="1629"/>
      <c r="AC71" s="1620"/>
      <c r="AD71" s="1620"/>
      <c r="AE71" s="1620"/>
      <c r="AF71" s="1620"/>
      <c r="AG71" s="1620"/>
      <c r="AH71" s="1620"/>
      <c r="AI71" s="1629"/>
      <c r="AJ71" s="1631"/>
      <c r="AK71" s="1631"/>
      <c r="AL71" s="1631"/>
      <c r="AM71" s="1631"/>
      <c r="AN71" s="1631"/>
      <c r="AO71" s="1631"/>
      <c r="AP71" s="1629"/>
      <c r="AQ71" s="1629"/>
      <c r="AR71" s="1629"/>
      <c r="AS71" s="1629"/>
      <c r="AT71" s="1629"/>
      <c r="AU71" s="1629"/>
      <c r="AV71" s="1629"/>
      <c r="AW71" s="1629"/>
      <c r="AX71" s="1629"/>
      <c r="AY71" s="1629"/>
      <c r="AZ71" s="1629"/>
      <c r="BA71" s="1629"/>
      <c r="BB71" s="1629"/>
      <c r="BC71" s="1629"/>
      <c r="BD71" s="1629"/>
      <c r="BE71" s="1629"/>
      <c r="BF71" s="1629"/>
      <c r="BG71" s="1629"/>
      <c r="BH71" s="1629"/>
      <c r="BI71" s="1629"/>
      <c r="BJ71" s="1629"/>
      <c r="BK71" s="1629"/>
      <c r="BL71" s="1629"/>
      <c r="BM71" s="1629"/>
      <c r="BN71" s="1629"/>
      <c r="BO71" s="1629"/>
      <c r="BP71" s="1629"/>
      <c r="BQ71" s="1629"/>
      <c r="BR71" s="1629"/>
      <c r="BS71" s="1629"/>
      <c r="BT71" s="1629"/>
      <c r="BU71" s="1629"/>
      <c r="BV71" s="1629"/>
      <c r="BW71" s="1629"/>
      <c r="BX71" s="1629"/>
      <c r="BY71" s="1629"/>
      <c r="BZ71" s="1629"/>
      <c r="CA71" s="1629"/>
      <c r="CB71" s="1629"/>
      <c r="CC71" s="1629"/>
      <c r="CD71" s="1629"/>
      <c r="CE71" s="1629"/>
      <c r="CF71" s="1629"/>
      <c r="CG71" s="1629"/>
      <c r="CH71" s="1629"/>
      <c r="CI71" s="1629"/>
      <c r="CJ71" s="1629"/>
      <c r="CK71" s="1629"/>
      <c r="CL71" s="1629"/>
      <c r="CM71" s="1629"/>
      <c r="CN71" s="1629"/>
      <c r="CO71" s="1629"/>
      <c r="CP71" s="1629"/>
      <c r="CQ71" s="1629"/>
      <c r="CR71" s="1629"/>
      <c r="CS71" s="1629"/>
      <c r="CT71" s="1629"/>
      <c r="CU71" s="1629"/>
      <c r="CV71" s="1629"/>
      <c r="CW71" s="1629"/>
      <c r="CX71" s="1629"/>
      <c r="CY71" s="1629"/>
      <c r="CZ71" s="1629"/>
      <c r="DA71" s="1629"/>
      <c r="DB71" s="1629"/>
      <c r="DC71" s="1629"/>
      <c r="DD71" s="1629"/>
      <c r="DE71" s="1629"/>
      <c r="DF71" s="1629"/>
      <c r="DG71" s="1629"/>
      <c r="DH71" s="1629"/>
      <c r="DI71" s="1629"/>
      <c r="DJ71" s="1629"/>
      <c r="DK71" s="1629"/>
      <c r="DL71" s="1629"/>
      <c r="DM71" s="1629"/>
      <c r="DN71" s="1629"/>
      <c r="DO71" s="1629"/>
      <c r="DP71" s="1629"/>
      <c r="DQ71" s="1629"/>
      <c r="DR71" s="1629"/>
      <c r="DS71" s="1629"/>
      <c r="DT71" s="1629"/>
      <c r="DU71" s="1629"/>
      <c r="DV71" s="1629"/>
      <c r="DW71" s="1629"/>
      <c r="DX71" s="1629"/>
      <c r="DY71" s="1629"/>
      <c r="DZ71" s="1629"/>
      <c r="EA71" s="1629"/>
      <c r="EB71" s="1629"/>
      <c r="EC71" s="1629"/>
      <c r="ED71" s="1629"/>
      <c r="EE71" s="1629"/>
      <c r="EF71" s="1629"/>
      <c r="EG71" s="1629"/>
      <c r="EH71" s="1629"/>
      <c r="EI71" s="1629"/>
      <c r="EJ71" s="1629"/>
      <c r="EK71" s="1629"/>
      <c r="EL71" s="1629"/>
      <c r="EM71" s="1629"/>
      <c r="EN71" s="1629"/>
      <c r="EO71" s="1629"/>
      <c r="EP71" s="1629"/>
      <c r="EQ71" s="1629"/>
      <c r="ER71" s="1629"/>
      <c r="ES71" s="1629"/>
      <c r="ET71" s="1629"/>
      <c r="EU71" s="1629"/>
      <c r="EV71" s="1629"/>
      <c r="EW71" s="1629"/>
      <c r="EX71" s="1629"/>
      <c r="EY71" s="1629"/>
      <c r="EZ71" s="1629"/>
      <c r="FA71" s="1629"/>
      <c r="FB71" s="1629"/>
      <c r="FC71" s="1629"/>
      <c r="FD71" s="1629"/>
      <c r="FE71" s="1629"/>
      <c r="FF71" s="1629"/>
      <c r="FG71" s="1629"/>
      <c r="FH71" s="1629"/>
      <c r="FI71" s="1629"/>
      <c r="FJ71" s="1629"/>
      <c r="FK71" s="1629"/>
      <c r="FL71" s="1629"/>
      <c r="FM71" s="1629"/>
      <c r="FN71" s="1629"/>
      <c r="FO71" s="1629"/>
      <c r="FP71" s="1629"/>
      <c r="FQ71" s="1629"/>
      <c r="FR71" s="1629"/>
      <c r="FS71" s="1629"/>
      <c r="FT71" s="1629"/>
      <c r="FU71" s="1629"/>
      <c r="FV71" s="1629"/>
      <c r="FW71" s="1629"/>
      <c r="FX71" s="1629"/>
      <c r="FY71" s="1629"/>
      <c r="FZ71" s="1629"/>
      <c r="GA71" s="1629"/>
      <c r="GB71" s="1629"/>
      <c r="GC71" s="1629"/>
      <c r="GD71" s="1629"/>
      <c r="GE71" s="1629"/>
      <c r="GF71" s="1629"/>
      <c r="GG71" s="1629"/>
      <c r="GH71" s="1629"/>
      <c r="GI71" s="1629"/>
      <c r="GJ71" s="1629"/>
      <c r="GK71" s="1629"/>
      <c r="GL71" s="1629"/>
      <c r="GM71" s="1629"/>
      <c r="GN71" s="1629"/>
      <c r="GO71" s="1629"/>
      <c r="GP71" s="1629"/>
      <c r="GQ71" s="1629"/>
      <c r="GR71" s="1629"/>
      <c r="GS71" s="1629"/>
      <c r="GT71" s="1629"/>
      <c r="GU71" s="1629"/>
      <c r="GV71" s="1629"/>
      <c r="GW71" s="1629"/>
      <c r="GX71" s="1629"/>
      <c r="GY71" s="1629"/>
      <c r="GZ71" s="1629"/>
      <c r="HA71" s="1629"/>
      <c r="HB71" s="1629"/>
      <c r="HC71" s="1629"/>
      <c r="HD71" s="1629"/>
      <c r="HE71" s="1629"/>
      <c r="HF71" s="1629"/>
      <c r="HG71" s="1629"/>
      <c r="HH71" s="1629"/>
      <c r="HI71" s="1629"/>
      <c r="HJ71" s="1629"/>
      <c r="HK71" s="1629"/>
      <c r="HL71" s="1629"/>
      <c r="HM71" s="1629"/>
      <c r="HN71" s="1629"/>
      <c r="HO71" s="1629"/>
      <c r="HP71" s="1629"/>
      <c r="HQ71" s="1629"/>
      <c r="HR71" s="1629"/>
      <c r="HS71" s="1629"/>
      <c r="HT71" s="1629"/>
      <c r="HU71" s="1629"/>
      <c r="HV71" s="1629"/>
      <c r="HW71" s="1629"/>
      <c r="HX71" s="1629"/>
      <c r="HY71" s="1629"/>
      <c r="HZ71" s="1629"/>
      <c r="IA71" s="1629"/>
      <c r="IB71" s="1629"/>
      <c r="IC71" s="1629"/>
      <c r="ID71" s="1629"/>
      <c r="IE71" s="1629"/>
      <c r="IF71" s="1629"/>
      <c r="IG71" s="1629"/>
      <c r="IH71" s="1629"/>
      <c r="II71" s="1629"/>
      <c r="IJ71" s="1629"/>
      <c r="IK71" s="1629"/>
      <c r="IL71" s="1629"/>
      <c r="IM71" s="1629"/>
      <c r="IN71" s="1629"/>
      <c r="IO71" s="1629"/>
      <c r="IP71" s="1629"/>
      <c r="IQ71" s="1629"/>
      <c r="IR71" s="1629"/>
      <c r="IS71" s="1629"/>
      <c r="IT71" s="1629"/>
      <c r="IU71" s="1629"/>
      <c r="IV71" s="1629"/>
    </row>
    <row r="72" spans="1:256" ht="24" hidden="1" customHeight="1" outlineLevel="1" x14ac:dyDescent="0.2">
      <c r="A72" s="4549"/>
      <c r="B72" s="1687" t="s">
        <v>1773</v>
      </c>
      <c r="C72" s="1572" t="s">
        <v>1721</v>
      </c>
      <c r="D72" s="1553"/>
      <c r="E72" s="1552"/>
      <c r="F72" s="1553"/>
      <c r="G72" s="1552"/>
      <c r="H72" s="1554">
        <f>J72+L72+N72+P72+R72+T72+V72</f>
        <v>0</v>
      </c>
      <c r="I72" s="1552">
        <f>K72+M72+O72+Q72+S72+U72+W72</f>
        <v>0</v>
      </c>
      <c r="J72" s="1553">
        <f>J70*J71/1000</f>
        <v>0</v>
      </c>
      <c r="K72" s="1552">
        <f t="shared" ref="K72:W72" si="57">K70*K71/1000</f>
        <v>0</v>
      </c>
      <c r="L72" s="1553">
        <f t="shared" si="57"/>
        <v>0</v>
      </c>
      <c r="M72" s="1552">
        <f t="shared" si="57"/>
        <v>0</v>
      </c>
      <c r="N72" s="1553">
        <f t="shared" si="57"/>
        <v>0</v>
      </c>
      <c r="O72" s="1552">
        <f t="shared" si="57"/>
        <v>0</v>
      </c>
      <c r="P72" s="1553">
        <f t="shared" si="57"/>
        <v>0</v>
      </c>
      <c r="Q72" s="1552">
        <f t="shared" si="57"/>
        <v>0</v>
      </c>
      <c r="R72" s="1553">
        <f t="shared" si="57"/>
        <v>0</v>
      </c>
      <c r="S72" s="1552">
        <f t="shared" si="57"/>
        <v>0</v>
      </c>
      <c r="T72" s="1553">
        <f t="shared" si="57"/>
        <v>0</v>
      </c>
      <c r="U72" s="1552">
        <f t="shared" si="57"/>
        <v>0</v>
      </c>
      <c r="V72" s="1553">
        <f t="shared" si="57"/>
        <v>0</v>
      </c>
      <c r="W72" s="1552">
        <f t="shared" si="57"/>
        <v>0</v>
      </c>
      <c r="X72" s="1580">
        <f t="shared" ref="X72:Y72" si="58">X70*X71/1000</f>
        <v>0</v>
      </c>
      <c r="Y72" s="1579">
        <f t="shared" si="58"/>
        <v>0</v>
      </c>
      <c r="Z72" s="1630"/>
      <c r="AA72" s="1630"/>
      <c r="AB72" s="1629"/>
      <c r="AC72" s="1620"/>
      <c r="AD72" s="1620"/>
      <c r="AE72" s="1620"/>
      <c r="AF72" s="1620"/>
      <c r="AG72" s="1620"/>
      <c r="AH72" s="1620"/>
      <c r="AI72" s="1629"/>
      <c r="AJ72" s="1631"/>
      <c r="AK72" s="1631"/>
      <c r="AL72" s="1631"/>
      <c r="AM72" s="1631"/>
      <c r="AN72" s="1631"/>
      <c r="AO72" s="1631"/>
      <c r="AP72" s="1629"/>
      <c r="AQ72" s="1629"/>
      <c r="AR72" s="1629"/>
      <c r="AS72" s="1629"/>
      <c r="AT72" s="1629"/>
      <c r="AU72" s="1629"/>
      <c r="AV72" s="1629"/>
      <c r="AW72" s="1629"/>
      <c r="AX72" s="1629"/>
      <c r="AY72" s="1629"/>
      <c r="AZ72" s="1629"/>
      <c r="BA72" s="1629"/>
      <c r="BB72" s="1629"/>
      <c r="BC72" s="1629"/>
      <c r="BD72" s="1629"/>
      <c r="BE72" s="1629"/>
      <c r="BF72" s="1629"/>
      <c r="BG72" s="1629"/>
      <c r="BH72" s="1629"/>
      <c r="BI72" s="1629"/>
      <c r="BJ72" s="1629"/>
      <c r="BK72" s="1629"/>
      <c r="BL72" s="1629"/>
      <c r="BM72" s="1629"/>
      <c r="BN72" s="1629"/>
      <c r="BO72" s="1629"/>
      <c r="BP72" s="1629"/>
      <c r="BQ72" s="1629"/>
      <c r="BR72" s="1629"/>
      <c r="BS72" s="1629"/>
      <c r="BT72" s="1629"/>
      <c r="BU72" s="1629"/>
      <c r="BV72" s="1629"/>
      <c r="BW72" s="1629"/>
      <c r="BX72" s="1629"/>
      <c r="BY72" s="1629"/>
      <c r="BZ72" s="1629"/>
      <c r="CA72" s="1629"/>
      <c r="CB72" s="1629"/>
      <c r="CC72" s="1629"/>
      <c r="CD72" s="1629"/>
      <c r="CE72" s="1629"/>
      <c r="CF72" s="1629"/>
      <c r="CG72" s="1629"/>
      <c r="CH72" s="1629"/>
      <c r="CI72" s="1629"/>
      <c r="CJ72" s="1629"/>
      <c r="CK72" s="1629"/>
      <c r="CL72" s="1629"/>
      <c r="CM72" s="1629"/>
      <c r="CN72" s="1629"/>
      <c r="CO72" s="1629"/>
      <c r="CP72" s="1629"/>
      <c r="CQ72" s="1629"/>
      <c r="CR72" s="1629"/>
      <c r="CS72" s="1629"/>
      <c r="CT72" s="1629"/>
      <c r="CU72" s="1629"/>
      <c r="CV72" s="1629"/>
      <c r="CW72" s="1629"/>
      <c r="CX72" s="1629"/>
      <c r="CY72" s="1629"/>
      <c r="CZ72" s="1629"/>
      <c r="DA72" s="1629"/>
      <c r="DB72" s="1629"/>
      <c r="DC72" s="1629"/>
      <c r="DD72" s="1629"/>
      <c r="DE72" s="1629"/>
      <c r="DF72" s="1629"/>
      <c r="DG72" s="1629"/>
      <c r="DH72" s="1629"/>
      <c r="DI72" s="1629"/>
      <c r="DJ72" s="1629"/>
      <c r="DK72" s="1629"/>
      <c r="DL72" s="1629"/>
      <c r="DM72" s="1629"/>
      <c r="DN72" s="1629"/>
      <c r="DO72" s="1629"/>
      <c r="DP72" s="1629"/>
      <c r="DQ72" s="1629"/>
      <c r="DR72" s="1629"/>
      <c r="DS72" s="1629"/>
      <c r="DT72" s="1629"/>
      <c r="DU72" s="1629"/>
      <c r="DV72" s="1629"/>
      <c r="DW72" s="1629"/>
      <c r="DX72" s="1629"/>
      <c r="DY72" s="1629"/>
      <c r="DZ72" s="1629"/>
      <c r="EA72" s="1629"/>
      <c r="EB72" s="1629"/>
      <c r="EC72" s="1629"/>
      <c r="ED72" s="1629"/>
      <c r="EE72" s="1629"/>
      <c r="EF72" s="1629"/>
      <c r="EG72" s="1629"/>
      <c r="EH72" s="1629"/>
      <c r="EI72" s="1629"/>
      <c r="EJ72" s="1629"/>
      <c r="EK72" s="1629"/>
      <c r="EL72" s="1629"/>
      <c r="EM72" s="1629"/>
      <c r="EN72" s="1629"/>
      <c r="EO72" s="1629"/>
      <c r="EP72" s="1629"/>
      <c r="EQ72" s="1629"/>
      <c r="ER72" s="1629"/>
      <c r="ES72" s="1629"/>
      <c r="ET72" s="1629"/>
      <c r="EU72" s="1629"/>
      <c r="EV72" s="1629"/>
      <c r="EW72" s="1629"/>
      <c r="EX72" s="1629"/>
      <c r="EY72" s="1629"/>
      <c r="EZ72" s="1629"/>
      <c r="FA72" s="1629"/>
      <c r="FB72" s="1629"/>
      <c r="FC72" s="1629"/>
      <c r="FD72" s="1629"/>
      <c r="FE72" s="1629"/>
      <c r="FF72" s="1629"/>
      <c r="FG72" s="1629"/>
      <c r="FH72" s="1629"/>
      <c r="FI72" s="1629"/>
      <c r="FJ72" s="1629"/>
      <c r="FK72" s="1629"/>
      <c r="FL72" s="1629"/>
      <c r="FM72" s="1629"/>
      <c r="FN72" s="1629"/>
      <c r="FO72" s="1629"/>
      <c r="FP72" s="1629"/>
      <c r="FQ72" s="1629"/>
      <c r="FR72" s="1629"/>
      <c r="FS72" s="1629"/>
      <c r="FT72" s="1629"/>
      <c r="FU72" s="1629"/>
      <c r="FV72" s="1629"/>
      <c r="FW72" s="1629"/>
      <c r="FX72" s="1629"/>
      <c r="FY72" s="1629"/>
      <c r="FZ72" s="1629"/>
      <c r="GA72" s="1629"/>
      <c r="GB72" s="1629"/>
      <c r="GC72" s="1629"/>
      <c r="GD72" s="1629"/>
      <c r="GE72" s="1629"/>
      <c r="GF72" s="1629"/>
      <c r="GG72" s="1629"/>
      <c r="GH72" s="1629"/>
      <c r="GI72" s="1629"/>
      <c r="GJ72" s="1629"/>
      <c r="GK72" s="1629"/>
      <c r="GL72" s="1629"/>
      <c r="GM72" s="1629"/>
      <c r="GN72" s="1629"/>
      <c r="GO72" s="1629"/>
      <c r="GP72" s="1629"/>
      <c r="GQ72" s="1629"/>
      <c r="GR72" s="1629"/>
      <c r="GS72" s="1629"/>
      <c r="GT72" s="1629"/>
      <c r="GU72" s="1629"/>
      <c r="GV72" s="1629"/>
      <c r="GW72" s="1629"/>
      <c r="GX72" s="1629"/>
      <c r="GY72" s="1629"/>
      <c r="GZ72" s="1629"/>
      <c r="HA72" s="1629"/>
      <c r="HB72" s="1629"/>
      <c r="HC72" s="1629"/>
      <c r="HD72" s="1629"/>
      <c r="HE72" s="1629"/>
      <c r="HF72" s="1629"/>
      <c r="HG72" s="1629"/>
      <c r="HH72" s="1629"/>
      <c r="HI72" s="1629"/>
      <c r="HJ72" s="1629"/>
      <c r="HK72" s="1629"/>
      <c r="HL72" s="1629"/>
      <c r="HM72" s="1629"/>
      <c r="HN72" s="1629"/>
      <c r="HO72" s="1629"/>
      <c r="HP72" s="1629"/>
      <c r="HQ72" s="1629"/>
      <c r="HR72" s="1629"/>
      <c r="HS72" s="1629"/>
      <c r="HT72" s="1629"/>
      <c r="HU72" s="1629"/>
      <c r="HV72" s="1629"/>
      <c r="HW72" s="1629"/>
      <c r="HX72" s="1629"/>
      <c r="HY72" s="1629"/>
      <c r="HZ72" s="1629"/>
      <c r="IA72" s="1629"/>
      <c r="IB72" s="1629"/>
      <c r="IC72" s="1629"/>
      <c r="ID72" s="1629"/>
      <c r="IE72" s="1629"/>
      <c r="IF72" s="1629"/>
      <c r="IG72" s="1629"/>
      <c r="IH72" s="1629"/>
      <c r="II72" s="1629"/>
      <c r="IJ72" s="1629"/>
      <c r="IK72" s="1629"/>
      <c r="IL72" s="1629"/>
      <c r="IM72" s="1629"/>
      <c r="IN72" s="1629"/>
      <c r="IO72" s="1629"/>
      <c r="IP72" s="1629"/>
      <c r="IQ72" s="1629"/>
      <c r="IR72" s="1629"/>
      <c r="IS72" s="1629"/>
      <c r="IT72" s="1629"/>
      <c r="IU72" s="1629"/>
      <c r="IV72" s="1629"/>
    </row>
    <row r="73" spans="1:256" ht="13.15" hidden="1" customHeight="1" outlineLevel="1" x14ac:dyDescent="0.2">
      <c r="A73" s="4547" t="s">
        <v>1774</v>
      </c>
      <c r="B73" s="1684" t="s">
        <v>1775</v>
      </c>
      <c r="C73" s="1571" t="s">
        <v>1686</v>
      </c>
      <c r="D73" s="1553"/>
      <c r="E73" s="1552"/>
      <c r="F73" s="1553"/>
      <c r="G73" s="1552"/>
      <c r="H73" s="1554">
        <f>J73+L73+N73+P73+R73+T73+V73</f>
        <v>0</v>
      </c>
      <c r="I73" s="1552">
        <f>K73+M73+O73+Q73+S73+U73+W73</f>
        <v>0</v>
      </c>
      <c r="J73" s="1553"/>
      <c r="K73" s="1552"/>
      <c r="L73" s="1553"/>
      <c r="M73" s="1552"/>
      <c r="N73" s="1553"/>
      <c r="O73" s="1552"/>
      <c r="P73" s="1553"/>
      <c r="Q73" s="1552"/>
      <c r="R73" s="1553"/>
      <c r="S73" s="1552"/>
      <c r="T73" s="1553"/>
      <c r="U73" s="1552"/>
      <c r="V73" s="1553"/>
      <c r="W73" s="1556"/>
      <c r="X73" s="1580"/>
      <c r="Y73" s="1585"/>
      <c r="Z73" s="1630"/>
      <c r="AA73" s="1630"/>
      <c r="AB73" s="1629"/>
      <c r="AC73" s="1620"/>
      <c r="AD73" s="1620"/>
      <c r="AE73" s="1620"/>
      <c r="AF73" s="1620"/>
      <c r="AG73" s="1620"/>
      <c r="AH73" s="1620"/>
      <c r="AI73" s="1629"/>
      <c r="AJ73" s="1631"/>
      <c r="AK73" s="1631"/>
      <c r="AL73" s="1631"/>
      <c r="AM73" s="1631"/>
      <c r="AN73" s="1631"/>
      <c r="AO73" s="1631"/>
      <c r="AP73" s="1629"/>
      <c r="AQ73" s="1629"/>
      <c r="AR73" s="1629"/>
      <c r="AS73" s="1629"/>
      <c r="AT73" s="1629"/>
      <c r="AU73" s="1629"/>
      <c r="AV73" s="1629"/>
      <c r="AW73" s="1629"/>
      <c r="AX73" s="1629"/>
      <c r="AY73" s="1629"/>
      <c r="AZ73" s="1629"/>
      <c r="BA73" s="1629"/>
      <c r="BB73" s="1629"/>
      <c r="BC73" s="1629"/>
      <c r="BD73" s="1629"/>
      <c r="BE73" s="1629"/>
      <c r="BF73" s="1629"/>
      <c r="BG73" s="1629"/>
      <c r="BH73" s="1629"/>
      <c r="BI73" s="1629"/>
      <c r="BJ73" s="1629"/>
      <c r="BK73" s="1629"/>
      <c r="BL73" s="1629"/>
      <c r="BM73" s="1629"/>
      <c r="BN73" s="1629"/>
      <c r="BO73" s="1629"/>
      <c r="BP73" s="1629"/>
      <c r="BQ73" s="1629"/>
      <c r="BR73" s="1629"/>
      <c r="BS73" s="1629"/>
      <c r="BT73" s="1629"/>
      <c r="BU73" s="1629"/>
      <c r="BV73" s="1629"/>
      <c r="BW73" s="1629"/>
      <c r="BX73" s="1629"/>
      <c r="BY73" s="1629"/>
      <c r="BZ73" s="1629"/>
      <c r="CA73" s="1629"/>
      <c r="CB73" s="1629"/>
      <c r="CC73" s="1629"/>
      <c r="CD73" s="1629"/>
      <c r="CE73" s="1629"/>
      <c r="CF73" s="1629"/>
      <c r="CG73" s="1629"/>
      <c r="CH73" s="1629"/>
      <c r="CI73" s="1629"/>
      <c r="CJ73" s="1629"/>
      <c r="CK73" s="1629"/>
      <c r="CL73" s="1629"/>
      <c r="CM73" s="1629"/>
      <c r="CN73" s="1629"/>
      <c r="CO73" s="1629"/>
      <c r="CP73" s="1629"/>
      <c r="CQ73" s="1629"/>
      <c r="CR73" s="1629"/>
      <c r="CS73" s="1629"/>
      <c r="CT73" s="1629"/>
      <c r="CU73" s="1629"/>
      <c r="CV73" s="1629"/>
      <c r="CW73" s="1629"/>
      <c r="CX73" s="1629"/>
      <c r="CY73" s="1629"/>
      <c r="CZ73" s="1629"/>
      <c r="DA73" s="1629"/>
      <c r="DB73" s="1629"/>
      <c r="DC73" s="1629"/>
      <c r="DD73" s="1629"/>
      <c r="DE73" s="1629"/>
      <c r="DF73" s="1629"/>
      <c r="DG73" s="1629"/>
      <c r="DH73" s="1629"/>
      <c r="DI73" s="1629"/>
      <c r="DJ73" s="1629"/>
      <c r="DK73" s="1629"/>
      <c r="DL73" s="1629"/>
      <c r="DM73" s="1629"/>
      <c r="DN73" s="1629"/>
      <c r="DO73" s="1629"/>
      <c r="DP73" s="1629"/>
      <c r="DQ73" s="1629"/>
      <c r="DR73" s="1629"/>
      <c r="DS73" s="1629"/>
      <c r="DT73" s="1629"/>
      <c r="DU73" s="1629"/>
      <c r="DV73" s="1629"/>
      <c r="DW73" s="1629"/>
      <c r="DX73" s="1629"/>
      <c r="DY73" s="1629"/>
      <c r="DZ73" s="1629"/>
      <c r="EA73" s="1629"/>
      <c r="EB73" s="1629"/>
      <c r="EC73" s="1629"/>
      <c r="ED73" s="1629"/>
      <c r="EE73" s="1629"/>
      <c r="EF73" s="1629"/>
      <c r="EG73" s="1629"/>
      <c r="EH73" s="1629"/>
      <c r="EI73" s="1629"/>
      <c r="EJ73" s="1629"/>
      <c r="EK73" s="1629"/>
      <c r="EL73" s="1629"/>
      <c r="EM73" s="1629"/>
      <c r="EN73" s="1629"/>
      <c r="EO73" s="1629"/>
      <c r="EP73" s="1629"/>
      <c r="EQ73" s="1629"/>
      <c r="ER73" s="1629"/>
      <c r="ES73" s="1629"/>
      <c r="ET73" s="1629"/>
      <c r="EU73" s="1629"/>
      <c r="EV73" s="1629"/>
      <c r="EW73" s="1629"/>
      <c r="EX73" s="1629"/>
      <c r="EY73" s="1629"/>
      <c r="EZ73" s="1629"/>
      <c r="FA73" s="1629"/>
      <c r="FB73" s="1629"/>
      <c r="FC73" s="1629"/>
      <c r="FD73" s="1629"/>
      <c r="FE73" s="1629"/>
      <c r="FF73" s="1629"/>
      <c r="FG73" s="1629"/>
      <c r="FH73" s="1629"/>
      <c r="FI73" s="1629"/>
      <c r="FJ73" s="1629"/>
      <c r="FK73" s="1629"/>
      <c r="FL73" s="1629"/>
      <c r="FM73" s="1629"/>
      <c r="FN73" s="1629"/>
      <c r="FO73" s="1629"/>
      <c r="FP73" s="1629"/>
      <c r="FQ73" s="1629"/>
      <c r="FR73" s="1629"/>
      <c r="FS73" s="1629"/>
      <c r="FT73" s="1629"/>
      <c r="FU73" s="1629"/>
      <c r="FV73" s="1629"/>
      <c r="FW73" s="1629"/>
      <c r="FX73" s="1629"/>
      <c r="FY73" s="1629"/>
      <c r="FZ73" s="1629"/>
      <c r="GA73" s="1629"/>
      <c r="GB73" s="1629"/>
      <c r="GC73" s="1629"/>
      <c r="GD73" s="1629"/>
      <c r="GE73" s="1629"/>
      <c r="GF73" s="1629"/>
      <c r="GG73" s="1629"/>
      <c r="GH73" s="1629"/>
      <c r="GI73" s="1629"/>
      <c r="GJ73" s="1629"/>
      <c r="GK73" s="1629"/>
      <c r="GL73" s="1629"/>
      <c r="GM73" s="1629"/>
      <c r="GN73" s="1629"/>
      <c r="GO73" s="1629"/>
      <c r="GP73" s="1629"/>
      <c r="GQ73" s="1629"/>
      <c r="GR73" s="1629"/>
      <c r="GS73" s="1629"/>
      <c r="GT73" s="1629"/>
      <c r="GU73" s="1629"/>
      <c r="GV73" s="1629"/>
      <c r="GW73" s="1629"/>
      <c r="GX73" s="1629"/>
      <c r="GY73" s="1629"/>
      <c r="GZ73" s="1629"/>
      <c r="HA73" s="1629"/>
      <c r="HB73" s="1629"/>
      <c r="HC73" s="1629"/>
      <c r="HD73" s="1629"/>
      <c r="HE73" s="1629"/>
      <c r="HF73" s="1629"/>
      <c r="HG73" s="1629"/>
      <c r="HH73" s="1629"/>
      <c r="HI73" s="1629"/>
      <c r="HJ73" s="1629"/>
      <c r="HK73" s="1629"/>
      <c r="HL73" s="1629"/>
      <c r="HM73" s="1629"/>
      <c r="HN73" s="1629"/>
      <c r="HO73" s="1629"/>
      <c r="HP73" s="1629"/>
      <c r="HQ73" s="1629"/>
      <c r="HR73" s="1629"/>
      <c r="HS73" s="1629"/>
      <c r="HT73" s="1629"/>
      <c r="HU73" s="1629"/>
      <c r="HV73" s="1629"/>
      <c r="HW73" s="1629"/>
      <c r="HX73" s="1629"/>
      <c r="HY73" s="1629"/>
      <c r="HZ73" s="1629"/>
      <c r="IA73" s="1629"/>
      <c r="IB73" s="1629"/>
      <c r="IC73" s="1629"/>
      <c r="ID73" s="1629"/>
      <c r="IE73" s="1629"/>
      <c r="IF73" s="1629"/>
      <c r="IG73" s="1629"/>
      <c r="IH73" s="1629"/>
      <c r="II73" s="1629"/>
      <c r="IJ73" s="1629"/>
      <c r="IK73" s="1629"/>
      <c r="IL73" s="1629"/>
      <c r="IM73" s="1629"/>
      <c r="IN73" s="1629"/>
      <c r="IO73" s="1629"/>
      <c r="IP73" s="1629"/>
      <c r="IQ73" s="1629"/>
      <c r="IR73" s="1629"/>
      <c r="IS73" s="1629"/>
      <c r="IT73" s="1629"/>
      <c r="IU73" s="1629"/>
      <c r="IV73" s="1629"/>
    </row>
    <row r="74" spans="1:256" ht="24" hidden="1" customHeight="1" outlineLevel="1" x14ac:dyDescent="0.2">
      <c r="A74" s="4548"/>
      <c r="B74" s="1684" t="s">
        <v>1776</v>
      </c>
      <c r="C74" s="1571" t="s">
        <v>1718</v>
      </c>
      <c r="D74" s="1553">
        <f t="shared" ref="D74:I74" si="59">IF(D73=0,,D75/1000/D73)</f>
        <v>0</v>
      </c>
      <c r="E74" s="1552">
        <f t="shared" si="59"/>
        <v>0</v>
      </c>
      <c r="F74" s="1553"/>
      <c r="G74" s="1552"/>
      <c r="H74" s="1554">
        <f t="shared" si="59"/>
        <v>0</v>
      </c>
      <c r="I74" s="1552">
        <f t="shared" si="59"/>
        <v>0</v>
      </c>
      <c r="J74" s="1553"/>
      <c r="K74" s="1552"/>
      <c r="L74" s="1553"/>
      <c r="M74" s="1552"/>
      <c r="N74" s="1553"/>
      <c r="O74" s="1552"/>
      <c r="P74" s="1553"/>
      <c r="Q74" s="1552"/>
      <c r="R74" s="1553"/>
      <c r="S74" s="1552"/>
      <c r="T74" s="1553"/>
      <c r="U74" s="1552"/>
      <c r="V74" s="1553"/>
      <c r="W74" s="1556"/>
      <c r="X74" s="1580"/>
      <c r="Y74" s="1585"/>
      <c r="Z74" s="1630"/>
      <c r="AA74" s="1630"/>
      <c r="AB74" s="1629"/>
      <c r="AC74" s="1620"/>
      <c r="AD74" s="1620"/>
      <c r="AE74" s="1620"/>
      <c r="AF74" s="1620"/>
      <c r="AG74" s="1620"/>
      <c r="AH74" s="1620"/>
      <c r="AI74" s="1629"/>
      <c r="AJ74" s="1631"/>
      <c r="AK74" s="1631"/>
      <c r="AL74" s="1631"/>
      <c r="AM74" s="1631"/>
      <c r="AN74" s="1631"/>
      <c r="AO74" s="1631"/>
      <c r="AP74" s="1629"/>
      <c r="AQ74" s="1629"/>
      <c r="AR74" s="1629"/>
      <c r="AS74" s="1629"/>
      <c r="AT74" s="1629"/>
      <c r="AU74" s="1629"/>
      <c r="AV74" s="1629"/>
      <c r="AW74" s="1629"/>
      <c r="AX74" s="1629"/>
      <c r="AY74" s="1629"/>
      <c r="AZ74" s="1629"/>
      <c r="BA74" s="1629"/>
      <c r="BB74" s="1629"/>
      <c r="BC74" s="1629"/>
      <c r="BD74" s="1629"/>
      <c r="BE74" s="1629"/>
      <c r="BF74" s="1629"/>
      <c r="BG74" s="1629"/>
      <c r="BH74" s="1629"/>
      <c r="BI74" s="1629"/>
      <c r="BJ74" s="1629"/>
      <c r="BK74" s="1629"/>
      <c r="BL74" s="1629"/>
      <c r="BM74" s="1629"/>
      <c r="BN74" s="1629"/>
      <c r="BO74" s="1629"/>
      <c r="BP74" s="1629"/>
      <c r="BQ74" s="1629"/>
      <c r="BR74" s="1629"/>
      <c r="BS74" s="1629"/>
      <c r="BT74" s="1629"/>
      <c r="BU74" s="1629"/>
      <c r="BV74" s="1629"/>
      <c r="BW74" s="1629"/>
      <c r="BX74" s="1629"/>
      <c r="BY74" s="1629"/>
      <c r="BZ74" s="1629"/>
      <c r="CA74" s="1629"/>
      <c r="CB74" s="1629"/>
      <c r="CC74" s="1629"/>
      <c r="CD74" s="1629"/>
      <c r="CE74" s="1629"/>
      <c r="CF74" s="1629"/>
      <c r="CG74" s="1629"/>
      <c r="CH74" s="1629"/>
      <c r="CI74" s="1629"/>
      <c r="CJ74" s="1629"/>
      <c r="CK74" s="1629"/>
      <c r="CL74" s="1629"/>
      <c r="CM74" s="1629"/>
      <c r="CN74" s="1629"/>
      <c r="CO74" s="1629"/>
      <c r="CP74" s="1629"/>
      <c r="CQ74" s="1629"/>
      <c r="CR74" s="1629"/>
      <c r="CS74" s="1629"/>
      <c r="CT74" s="1629"/>
      <c r="CU74" s="1629"/>
      <c r="CV74" s="1629"/>
      <c r="CW74" s="1629"/>
      <c r="CX74" s="1629"/>
      <c r="CY74" s="1629"/>
      <c r="CZ74" s="1629"/>
      <c r="DA74" s="1629"/>
      <c r="DB74" s="1629"/>
      <c r="DC74" s="1629"/>
      <c r="DD74" s="1629"/>
      <c r="DE74" s="1629"/>
      <c r="DF74" s="1629"/>
      <c r="DG74" s="1629"/>
      <c r="DH74" s="1629"/>
      <c r="DI74" s="1629"/>
      <c r="DJ74" s="1629"/>
      <c r="DK74" s="1629"/>
      <c r="DL74" s="1629"/>
      <c r="DM74" s="1629"/>
      <c r="DN74" s="1629"/>
      <c r="DO74" s="1629"/>
      <c r="DP74" s="1629"/>
      <c r="DQ74" s="1629"/>
      <c r="DR74" s="1629"/>
      <c r="DS74" s="1629"/>
      <c r="DT74" s="1629"/>
      <c r="DU74" s="1629"/>
      <c r="DV74" s="1629"/>
      <c r="DW74" s="1629"/>
      <c r="DX74" s="1629"/>
      <c r="DY74" s="1629"/>
      <c r="DZ74" s="1629"/>
      <c r="EA74" s="1629"/>
      <c r="EB74" s="1629"/>
      <c r="EC74" s="1629"/>
      <c r="ED74" s="1629"/>
      <c r="EE74" s="1629"/>
      <c r="EF74" s="1629"/>
      <c r="EG74" s="1629"/>
      <c r="EH74" s="1629"/>
      <c r="EI74" s="1629"/>
      <c r="EJ74" s="1629"/>
      <c r="EK74" s="1629"/>
      <c r="EL74" s="1629"/>
      <c r="EM74" s="1629"/>
      <c r="EN74" s="1629"/>
      <c r="EO74" s="1629"/>
      <c r="EP74" s="1629"/>
      <c r="EQ74" s="1629"/>
      <c r="ER74" s="1629"/>
      <c r="ES74" s="1629"/>
      <c r="ET74" s="1629"/>
      <c r="EU74" s="1629"/>
      <c r="EV74" s="1629"/>
      <c r="EW74" s="1629"/>
      <c r="EX74" s="1629"/>
      <c r="EY74" s="1629"/>
      <c r="EZ74" s="1629"/>
      <c r="FA74" s="1629"/>
      <c r="FB74" s="1629"/>
      <c r="FC74" s="1629"/>
      <c r="FD74" s="1629"/>
      <c r="FE74" s="1629"/>
      <c r="FF74" s="1629"/>
      <c r="FG74" s="1629"/>
      <c r="FH74" s="1629"/>
      <c r="FI74" s="1629"/>
      <c r="FJ74" s="1629"/>
      <c r="FK74" s="1629"/>
      <c r="FL74" s="1629"/>
      <c r="FM74" s="1629"/>
      <c r="FN74" s="1629"/>
      <c r="FO74" s="1629"/>
      <c r="FP74" s="1629"/>
      <c r="FQ74" s="1629"/>
      <c r="FR74" s="1629"/>
      <c r="FS74" s="1629"/>
      <c r="FT74" s="1629"/>
      <c r="FU74" s="1629"/>
      <c r="FV74" s="1629"/>
      <c r="FW74" s="1629"/>
      <c r="FX74" s="1629"/>
      <c r="FY74" s="1629"/>
      <c r="FZ74" s="1629"/>
      <c r="GA74" s="1629"/>
      <c r="GB74" s="1629"/>
      <c r="GC74" s="1629"/>
      <c r="GD74" s="1629"/>
      <c r="GE74" s="1629"/>
      <c r="GF74" s="1629"/>
      <c r="GG74" s="1629"/>
      <c r="GH74" s="1629"/>
      <c r="GI74" s="1629"/>
      <c r="GJ74" s="1629"/>
      <c r="GK74" s="1629"/>
      <c r="GL74" s="1629"/>
      <c r="GM74" s="1629"/>
      <c r="GN74" s="1629"/>
      <c r="GO74" s="1629"/>
      <c r="GP74" s="1629"/>
      <c r="GQ74" s="1629"/>
      <c r="GR74" s="1629"/>
      <c r="GS74" s="1629"/>
      <c r="GT74" s="1629"/>
      <c r="GU74" s="1629"/>
      <c r="GV74" s="1629"/>
      <c r="GW74" s="1629"/>
      <c r="GX74" s="1629"/>
      <c r="GY74" s="1629"/>
      <c r="GZ74" s="1629"/>
      <c r="HA74" s="1629"/>
      <c r="HB74" s="1629"/>
      <c r="HC74" s="1629"/>
      <c r="HD74" s="1629"/>
      <c r="HE74" s="1629"/>
      <c r="HF74" s="1629"/>
      <c r="HG74" s="1629"/>
      <c r="HH74" s="1629"/>
      <c r="HI74" s="1629"/>
      <c r="HJ74" s="1629"/>
      <c r="HK74" s="1629"/>
      <c r="HL74" s="1629"/>
      <c r="HM74" s="1629"/>
      <c r="HN74" s="1629"/>
      <c r="HO74" s="1629"/>
      <c r="HP74" s="1629"/>
      <c r="HQ74" s="1629"/>
      <c r="HR74" s="1629"/>
      <c r="HS74" s="1629"/>
      <c r="HT74" s="1629"/>
      <c r="HU74" s="1629"/>
      <c r="HV74" s="1629"/>
      <c r="HW74" s="1629"/>
      <c r="HX74" s="1629"/>
      <c r="HY74" s="1629"/>
      <c r="HZ74" s="1629"/>
      <c r="IA74" s="1629"/>
      <c r="IB74" s="1629"/>
      <c r="IC74" s="1629"/>
      <c r="ID74" s="1629"/>
      <c r="IE74" s="1629"/>
      <c r="IF74" s="1629"/>
      <c r="IG74" s="1629"/>
      <c r="IH74" s="1629"/>
      <c r="II74" s="1629"/>
      <c r="IJ74" s="1629"/>
      <c r="IK74" s="1629"/>
      <c r="IL74" s="1629"/>
      <c r="IM74" s="1629"/>
      <c r="IN74" s="1629"/>
      <c r="IO74" s="1629"/>
      <c r="IP74" s="1629"/>
      <c r="IQ74" s="1629"/>
      <c r="IR74" s="1629"/>
      <c r="IS74" s="1629"/>
      <c r="IT74" s="1629"/>
      <c r="IU74" s="1629"/>
      <c r="IV74" s="1629"/>
    </row>
    <row r="75" spans="1:256" ht="24" hidden="1" customHeight="1" outlineLevel="1" x14ac:dyDescent="0.2">
      <c r="A75" s="4549"/>
      <c r="B75" s="1687" t="s">
        <v>1777</v>
      </c>
      <c r="C75" s="1572" t="s">
        <v>1721</v>
      </c>
      <c r="D75" s="1553"/>
      <c r="E75" s="1552"/>
      <c r="F75" s="1553"/>
      <c r="G75" s="1552"/>
      <c r="H75" s="1554">
        <f>J75+L75+N75+P75+R75+T75+V75</f>
        <v>0</v>
      </c>
      <c r="I75" s="1552">
        <f>K75+M75+O75+Q75+S75+U75+W75</f>
        <v>0</v>
      </c>
      <c r="J75" s="1553">
        <f>J73*J74/1000</f>
        <v>0</v>
      </c>
      <c r="K75" s="1552">
        <f t="shared" ref="K75:W75" si="60">K73*K74/1000</f>
        <v>0</v>
      </c>
      <c r="L75" s="1553">
        <f t="shared" si="60"/>
        <v>0</v>
      </c>
      <c r="M75" s="1552">
        <f t="shared" si="60"/>
        <v>0</v>
      </c>
      <c r="N75" s="1553">
        <f t="shared" si="60"/>
        <v>0</v>
      </c>
      <c r="O75" s="1552">
        <f t="shared" si="60"/>
        <v>0</v>
      </c>
      <c r="P75" s="1553">
        <f t="shared" si="60"/>
        <v>0</v>
      </c>
      <c r="Q75" s="1552">
        <f t="shared" si="60"/>
        <v>0</v>
      </c>
      <c r="R75" s="1553">
        <f t="shared" si="60"/>
        <v>0</v>
      </c>
      <c r="S75" s="1552">
        <f t="shared" si="60"/>
        <v>0</v>
      </c>
      <c r="T75" s="1553">
        <f t="shared" si="60"/>
        <v>0</v>
      </c>
      <c r="U75" s="1552">
        <f t="shared" si="60"/>
        <v>0</v>
      </c>
      <c r="V75" s="1553">
        <f t="shared" si="60"/>
        <v>0</v>
      </c>
      <c r="W75" s="1552">
        <f t="shared" si="60"/>
        <v>0</v>
      </c>
      <c r="X75" s="1580">
        <f t="shared" ref="X75:Y75" si="61">X73*X74/1000</f>
        <v>0</v>
      </c>
      <c r="Y75" s="1579">
        <f t="shared" si="61"/>
        <v>0</v>
      </c>
      <c r="Z75" s="1630"/>
      <c r="AA75" s="1630"/>
      <c r="AB75" s="1629"/>
      <c r="AC75" s="1620"/>
      <c r="AD75" s="1620"/>
      <c r="AE75" s="1620"/>
      <c r="AF75" s="1620"/>
      <c r="AG75" s="1620"/>
      <c r="AH75" s="1620"/>
      <c r="AI75" s="1629"/>
      <c r="AJ75" s="1631"/>
      <c r="AK75" s="1631"/>
      <c r="AL75" s="1631"/>
      <c r="AM75" s="1631"/>
      <c r="AN75" s="1631"/>
      <c r="AO75" s="1631"/>
      <c r="AP75" s="1629"/>
      <c r="AQ75" s="1629"/>
      <c r="AR75" s="1629"/>
      <c r="AS75" s="1629"/>
      <c r="AT75" s="1629"/>
      <c r="AU75" s="1629"/>
      <c r="AV75" s="1629"/>
      <c r="AW75" s="1629"/>
      <c r="AX75" s="1629"/>
      <c r="AY75" s="1629"/>
      <c r="AZ75" s="1629"/>
      <c r="BA75" s="1629"/>
      <c r="BB75" s="1629"/>
      <c r="BC75" s="1629"/>
      <c r="BD75" s="1629"/>
      <c r="BE75" s="1629"/>
      <c r="BF75" s="1629"/>
      <c r="BG75" s="1629"/>
      <c r="BH75" s="1629"/>
      <c r="BI75" s="1629"/>
      <c r="BJ75" s="1629"/>
      <c r="BK75" s="1629"/>
      <c r="BL75" s="1629"/>
      <c r="BM75" s="1629"/>
      <c r="BN75" s="1629"/>
      <c r="BO75" s="1629"/>
      <c r="BP75" s="1629"/>
      <c r="BQ75" s="1629"/>
      <c r="BR75" s="1629"/>
      <c r="BS75" s="1629"/>
      <c r="BT75" s="1629"/>
      <c r="BU75" s="1629"/>
      <c r="BV75" s="1629"/>
      <c r="BW75" s="1629"/>
      <c r="BX75" s="1629"/>
      <c r="BY75" s="1629"/>
      <c r="BZ75" s="1629"/>
      <c r="CA75" s="1629"/>
      <c r="CB75" s="1629"/>
      <c r="CC75" s="1629"/>
      <c r="CD75" s="1629"/>
      <c r="CE75" s="1629"/>
      <c r="CF75" s="1629"/>
      <c r="CG75" s="1629"/>
      <c r="CH75" s="1629"/>
      <c r="CI75" s="1629"/>
      <c r="CJ75" s="1629"/>
      <c r="CK75" s="1629"/>
      <c r="CL75" s="1629"/>
      <c r="CM75" s="1629"/>
      <c r="CN75" s="1629"/>
      <c r="CO75" s="1629"/>
      <c r="CP75" s="1629"/>
      <c r="CQ75" s="1629"/>
      <c r="CR75" s="1629"/>
      <c r="CS75" s="1629"/>
      <c r="CT75" s="1629"/>
      <c r="CU75" s="1629"/>
      <c r="CV75" s="1629"/>
      <c r="CW75" s="1629"/>
      <c r="CX75" s="1629"/>
      <c r="CY75" s="1629"/>
      <c r="CZ75" s="1629"/>
      <c r="DA75" s="1629"/>
      <c r="DB75" s="1629"/>
      <c r="DC75" s="1629"/>
      <c r="DD75" s="1629"/>
      <c r="DE75" s="1629"/>
      <c r="DF75" s="1629"/>
      <c r="DG75" s="1629"/>
      <c r="DH75" s="1629"/>
      <c r="DI75" s="1629"/>
      <c r="DJ75" s="1629"/>
      <c r="DK75" s="1629"/>
      <c r="DL75" s="1629"/>
      <c r="DM75" s="1629"/>
      <c r="DN75" s="1629"/>
      <c r="DO75" s="1629"/>
      <c r="DP75" s="1629"/>
      <c r="DQ75" s="1629"/>
      <c r="DR75" s="1629"/>
      <c r="DS75" s="1629"/>
      <c r="DT75" s="1629"/>
      <c r="DU75" s="1629"/>
      <c r="DV75" s="1629"/>
      <c r="DW75" s="1629"/>
      <c r="DX75" s="1629"/>
      <c r="DY75" s="1629"/>
      <c r="DZ75" s="1629"/>
      <c r="EA75" s="1629"/>
      <c r="EB75" s="1629"/>
      <c r="EC75" s="1629"/>
      <c r="ED75" s="1629"/>
      <c r="EE75" s="1629"/>
      <c r="EF75" s="1629"/>
      <c r="EG75" s="1629"/>
      <c r="EH75" s="1629"/>
      <c r="EI75" s="1629"/>
      <c r="EJ75" s="1629"/>
      <c r="EK75" s="1629"/>
      <c r="EL75" s="1629"/>
      <c r="EM75" s="1629"/>
      <c r="EN75" s="1629"/>
      <c r="EO75" s="1629"/>
      <c r="EP75" s="1629"/>
      <c r="EQ75" s="1629"/>
      <c r="ER75" s="1629"/>
      <c r="ES75" s="1629"/>
      <c r="ET75" s="1629"/>
      <c r="EU75" s="1629"/>
      <c r="EV75" s="1629"/>
      <c r="EW75" s="1629"/>
      <c r="EX75" s="1629"/>
      <c r="EY75" s="1629"/>
      <c r="EZ75" s="1629"/>
      <c r="FA75" s="1629"/>
      <c r="FB75" s="1629"/>
      <c r="FC75" s="1629"/>
      <c r="FD75" s="1629"/>
      <c r="FE75" s="1629"/>
      <c r="FF75" s="1629"/>
      <c r="FG75" s="1629"/>
      <c r="FH75" s="1629"/>
      <c r="FI75" s="1629"/>
      <c r="FJ75" s="1629"/>
      <c r="FK75" s="1629"/>
      <c r="FL75" s="1629"/>
      <c r="FM75" s="1629"/>
      <c r="FN75" s="1629"/>
      <c r="FO75" s="1629"/>
      <c r="FP75" s="1629"/>
      <c r="FQ75" s="1629"/>
      <c r="FR75" s="1629"/>
      <c r="FS75" s="1629"/>
      <c r="FT75" s="1629"/>
      <c r="FU75" s="1629"/>
      <c r="FV75" s="1629"/>
      <c r="FW75" s="1629"/>
      <c r="FX75" s="1629"/>
      <c r="FY75" s="1629"/>
      <c r="FZ75" s="1629"/>
      <c r="GA75" s="1629"/>
      <c r="GB75" s="1629"/>
      <c r="GC75" s="1629"/>
      <c r="GD75" s="1629"/>
      <c r="GE75" s="1629"/>
      <c r="GF75" s="1629"/>
      <c r="GG75" s="1629"/>
      <c r="GH75" s="1629"/>
      <c r="GI75" s="1629"/>
      <c r="GJ75" s="1629"/>
      <c r="GK75" s="1629"/>
      <c r="GL75" s="1629"/>
      <c r="GM75" s="1629"/>
      <c r="GN75" s="1629"/>
      <c r="GO75" s="1629"/>
      <c r="GP75" s="1629"/>
      <c r="GQ75" s="1629"/>
      <c r="GR75" s="1629"/>
      <c r="GS75" s="1629"/>
      <c r="GT75" s="1629"/>
      <c r="GU75" s="1629"/>
      <c r="GV75" s="1629"/>
      <c r="GW75" s="1629"/>
      <c r="GX75" s="1629"/>
      <c r="GY75" s="1629"/>
      <c r="GZ75" s="1629"/>
      <c r="HA75" s="1629"/>
      <c r="HB75" s="1629"/>
      <c r="HC75" s="1629"/>
      <c r="HD75" s="1629"/>
      <c r="HE75" s="1629"/>
      <c r="HF75" s="1629"/>
      <c r="HG75" s="1629"/>
      <c r="HH75" s="1629"/>
      <c r="HI75" s="1629"/>
      <c r="HJ75" s="1629"/>
      <c r="HK75" s="1629"/>
      <c r="HL75" s="1629"/>
      <c r="HM75" s="1629"/>
      <c r="HN75" s="1629"/>
      <c r="HO75" s="1629"/>
      <c r="HP75" s="1629"/>
      <c r="HQ75" s="1629"/>
      <c r="HR75" s="1629"/>
      <c r="HS75" s="1629"/>
      <c r="HT75" s="1629"/>
      <c r="HU75" s="1629"/>
      <c r="HV75" s="1629"/>
      <c r="HW75" s="1629"/>
      <c r="HX75" s="1629"/>
      <c r="HY75" s="1629"/>
      <c r="HZ75" s="1629"/>
      <c r="IA75" s="1629"/>
      <c r="IB75" s="1629"/>
      <c r="IC75" s="1629"/>
      <c r="ID75" s="1629"/>
      <c r="IE75" s="1629"/>
      <c r="IF75" s="1629"/>
      <c r="IG75" s="1629"/>
      <c r="IH75" s="1629"/>
      <c r="II75" s="1629"/>
      <c r="IJ75" s="1629"/>
      <c r="IK75" s="1629"/>
      <c r="IL75" s="1629"/>
      <c r="IM75" s="1629"/>
      <c r="IN75" s="1629"/>
      <c r="IO75" s="1629"/>
      <c r="IP75" s="1629"/>
      <c r="IQ75" s="1629"/>
      <c r="IR75" s="1629"/>
      <c r="IS75" s="1629"/>
      <c r="IT75" s="1629"/>
      <c r="IU75" s="1629"/>
      <c r="IV75" s="1629"/>
    </row>
    <row r="76" spans="1:256" ht="13.15" hidden="1" customHeight="1" outlineLevel="1" x14ac:dyDescent="0.2">
      <c r="A76" s="4547" t="s">
        <v>1778</v>
      </c>
      <c r="B76" s="1684" t="s">
        <v>1779</v>
      </c>
      <c r="C76" s="1571" t="s">
        <v>1686</v>
      </c>
      <c r="D76" s="1553"/>
      <c r="E76" s="1552"/>
      <c r="F76" s="1553"/>
      <c r="G76" s="1552"/>
      <c r="H76" s="1554">
        <f>J76+L76+N76+P76+R76+T76+V76</f>
        <v>0</v>
      </c>
      <c r="I76" s="1552">
        <f>K76+M76+O76+Q76+S76+U76+W76</f>
        <v>0</v>
      </c>
      <c r="J76" s="1553"/>
      <c r="K76" s="1552"/>
      <c r="L76" s="1553"/>
      <c r="M76" s="1552"/>
      <c r="N76" s="1553"/>
      <c r="O76" s="1552"/>
      <c r="P76" s="1553"/>
      <c r="Q76" s="1552"/>
      <c r="R76" s="1553"/>
      <c r="S76" s="1552"/>
      <c r="T76" s="1553"/>
      <c r="U76" s="1552"/>
      <c r="V76" s="1553"/>
      <c r="W76" s="1556"/>
      <c r="X76" s="1580"/>
      <c r="Y76" s="1585"/>
      <c r="Z76" s="1630"/>
      <c r="AA76" s="1630"/>
      <c r="AB76" s="1629"/>
      <c r="AC76" s="1620"/>
      <c r="AD76" s="1620"/>
      <c r="AE76" s="1620"/>
      <c r="AF76" s="1620"/>
      <c r="AG76" s="1620"/>
      <c r="AH76" s="1620"/>
      <c r="AI76" s="1629"/>
      <c r="AJ76" s="1631"/>
      <c r="AK76" s="1631"/>
      <c r="AL76" s="1631"/>
      <c r="AM76" s="1631"/>
      <c r="AN76" s="1631"/>
      <c r="AO76" s="1631"/>
      <c r="AP76" s="1629"/>
      <c r="AQ76" s="1629"/>
      <c r="AR76" s="1629"/>
      <c r="AS76" s="1629"/>
      <c r="AT76" s="1629"/>
      <c r="AU76" s="1629"/>
      <c r="AV76" s="1629"/>
      <c r="AW76" s="1629"/>
      <c r="AX76" s="1629"/>
      <c r="AY76" s="1629"/>
      <c r="AZ76" s="1629"/>
      <c r="BA76" s="1629"/>
      <c r="BB76" s="1629"/>
      <c r="BC76" s="1629"/>
      <c r="BD76" s="1629"/>
      <c r="BE76" s="1629"/>
      <c r="BF76" s="1629"/>
      <c r="BG76" s="1629"/>
      <c r="BH76" s="1629"/>
      <c r="BI76" s="1629"/>
      <c r="BJ76" s="1629"/>
      <c r="BK76" s="1629"/>
      <c r="BL76" s="1629"/>
      <c r="BM76" s="1629"/>
      <c r="BN76" s="1629"/>
      <c r="BO76" s="1629"/>
      <c r="BP76" s="1629"/>
      <c r="BQ76" s="1629"/>
      <c r="BR76" s="1629"/>
      <c r="BS76" s="1629"/>
      <c r="BT76" s="1629"/>
      <c r="BU76" s="1629"/>
      <c r="BV76" s="1629"/>
      <c r="BW76" s="1629"/>
      <c r="BX76" s="1629"/>
      <c r="BY76" s="1629"/>
      <c r="BZ76" s="1629"/>
      <c r="CA76" s="1629"/>
      <c r="CB76" s="1629"/>
      <c r="CC76" s="1629"/>
      <c r="CD76" s="1629"/>
      <c r="CE76" s="1629"/>
      <c r="CF76" s="1629"/>
      <c r="CG76" s="1629"/>
      <c r="CH76" s="1629"/>
      <c r="CI76" s="1629"/>
      <c r="CJ76" s="1629"/>
      <c r="CK76" s="1629"/>
      <c r="CL76" s="1629"/>
      <c r="CM76" s="1629"/>
      <c r="CN76" s="1629"/>
      <c r="CO76" s="1629"/>
      <c r="CP76" s="1629"/>
      <c r="CQ76" s="1629"/>
      <c r="CR76" s="1629"/>
      <c r="CS76" s="1629"/>
      <c r="CT76" s="1629"/>
      <c r="CU76" s="1629"/>
      <c r="CV76" s="1629"/>
      <c r="CW76" s="1629"/>
      <c r="CX76" s="1629"/>
      <c r="CY76" s="1629"/>
      <c r="CZ76" s="1629"/>
      <c r="DA76" s="1629"/>
      <c r="DB76" s="1629"/>
      <c r="DC76" s="1629"/>
      <c r="DD76" s="1629"/>
      <c r="DE76" s="1629"/>
      <c r="DF76" s="1629"/>
      <c r="DG76" s="1629"/>
      <c r="DH76" s="1629"/>
      <c r="DI76" s="1629"/>
      <c r="DJ76" s="1629"/>
      <c r="DK76" s="1629"/>
      <c r="DL76" s="1629"/>
      <c r="DM76" s="1629"/>
      <c r="DN76" s="1629"/>
      <c r="DO76" s="1629"/>
      <c r="DP76" s="1629"/>
      <c r="DQ76" s="1629"/>
      <c r="DR76" s="1629"/>
      <c r="DS76" s="1629"/>
      <c r="DT76" s="1629"/>
      <c r="DU76" s="1629"/>
      <c r="DV76" s="1629"/>
      <c r="DW76" s="1629"/>
      <c r="DX76" s="1629"/>
      <c r="DY76" s="1629"/>
      <c r="DZ76" s="1629"/>
      <c r="EA76" s="1629"/>
      <c r="EB76" s="1629"/>
      <c r="EC76" s="1629"/>
      <c r="ED76" s="1629"/>
      <c r="EE76" s="1629"/>
      <c r="EF76" s="1629"/>
      <c r="EG76" s="1629"/>
      <c r="EH76" s="1629"/>
      <c r="EI76" s="1629"/>
      <c r="EJ76" s="1629"/>
      <c r="EK76" s="1629"/>
      <c r="EL76" s="1629"/>
      <c r="EM76" s="1629"/>
      <c r="EN76" s="1629"/>
      <c r="EO76" s="1629"/>
      <c r="EP76" s="1629"/>
      <c r="EQ76" s="1629"/>
      <c r="ER76" s="1629"/>
      <c r="ES76" s="1629"/>
      <c r="ET76" s="1629"/>
      <c r="EU76" s="1629"/>
      <c r="EV76" s="1629"/>
      <c r="EW76" s="1629"/>
      <c r="EX76" s="1629"/>
      <c r="EY76" s="1629"/>
      <c r="EZ76" s="1629"/>
      <c r="FA76" s="1629"/>
      <c r="FB76" s="1629"/>
      <c r="FC76" s="1629"/>
      <c r="FD76" s="1629"/>
      <c r="FE76" s="1629"/>
      <c r="FF76" s="1629"/>
      <c r="FG76" s="1629"/>
      <c r="FH76" s="1629"/>
      <c r="FI76" s="1629"/>
      <c r="FJ76" s="1629"/>
      <c r="FK76" s="1629"/>
      <c r="FL76" s="1629"/>
      <c r="FM76" s="1629"/>
      <c r="FN76" s="1629"/>
      <c r="FO76" s="1629"/>
      <c r="FP76" s="1629"/>
      <c r="FQ76" s="1629"/>
      <c r="FR76" s="1629"/>
      <c r="FS76" s="1629"/>
      <c r="FT76" s="1629"/>
      <c r="FU76" s="1629"/>
      <c r="FV76" s="1629"/>
      <c r="FW76" s="1629"/>
      <c r="FX76" s="1629"/>
      <c r="FY76" s="1629"/>
      <c r="FZ76" s="1629"/>
      <c r="GA76" s="1629"/>
      <c r="GB76" s="1629"/>
      <c r="GC76" s="1629"/>
      <c r="GD76" s="1629"/>
      <c r="GE76" s="1629"/>
      <c r="GF76" s="1629"/>
      <c r="GG76" s="1629"/>
      <c r="GH76" s="1629"/>
      <c r="GI76" s="1629"/>
      <c r="GJ76" s="1629"/>
      <c r="GK76" s="1629"/>
      <c r="GL76" s="1629"/>
      <c r="GM76" s="1629"/>
      <c r="GN76" s="1629"/>
      <c r="GO76" s="1629"/>
      <c r="GP76" s="1629"/>
      <c r="GQ76" s="1629"/>
      <c r="GR76" s="1629"/>
      <c r="GS76" s="1629"/>
      <c r="GT76" s="1629"/>
      <c r="GU76" s="1629"/>
      <c r="GV76" s="1629"/>
      <c r="GW76" s="1629"/>
      <c r="GX76" s="1629"/>
      <c r="GY76" s="1629"/>
      <c r="GZ76" s="1629"/>
      <c r="HA76" s="1629"/>
      <c r="HB76" s="1629"/>
      <c r="HC76" s="1629"/>
      <c r="HD76" s="1629"/>
      <c r="HE76" s="1629"/>
      <c r="HF76" s="1629"/>
      <c r="HG76" s="1629"/>
      <c r="HH76" s="1629"/>
      <c r="HI76" s="1629"/>
      <c r="HJ76" s="1629"/>
      <c r="HK76" s="1629"/>
      <c r="HL76" s="1629"/>
      <c r="HM76" s="1629"/>
      <c r="HN76" s="1629"/>
      <c r="HO76" s="1629"/>
      <c r="HP76" s="1629"/>
      <c r="HQ76" s="1629"/>
      <c r="HR76" s="1629"/>
      <c r="HS76" s="1629"/>
      <c r="HT76" s="1629"/>
      <c r="HU76" s="1629"/>
      <c r="HV76" s="1629"/>
      <c r="HW76" s="1629"/>
      <c r="HX76" s="1629"/>
      <c r="HY76" s="1629"/>
      <c r="HZ76" s="1629"/>
      <c r="IA76" s="1629"/>
      <c r="IB76" s="1629"/>
      <c r="IC76" s="1629"/>
      <c r="ID76" s="1629"/>
      <c r="IE76" s="1629"/>
      <c r="IF76" s="1629"/>
      <c r="IG76" s="1629"/>
      <c r="IH76" s="1629"/>
      <c r="II76" s="1629"/>
      <c r="IJ76" s="1629"/>
      <c r="IK76" s="1629"/>
      <c r="IL76" s="1629"/>
      <c r="IM76" s="1629"/>
      <c r="IN76" s="1629"/>
      <c r="IO76" s="1629"/>
      <c r="IP76" s="1629"/>
      <c r="IQ76" s="1629"/>
      <c r="IR76" s="1629"/>
      <c r="IS76" s="1629"/>
      <c r="IT76" s="1629"/>
      <c r="IU76" s="1629"/>
      <c r="IV76" s="1629"/>
    </row>
    <row r="77" spans="1:256" ht="24" hidden="1" customHeight="1" outlineLevel="1" x14ac:dyDescent="0.2">
      <c r="A77" s="4548"/>
      <c r="B77" s="1684" t="s">
        <v>1780</v>
      </c>
      <c r="C77" s="1571" t="s">
        <v>1718</v>
      </c>
      <c r="D77" s="1553">
        <f t="shared" ref="D77:I77" si="62">IF(D76=0,,D78/1000/D76)</f>
        <v>0</v>
      </c>
      <c r="E77" s="1552">
        <f t="shared" si="62"/>
        <v>0</v>
      </c>
      <c r="F77" s="1553"/>
      <c r="G77" s="1552"/>
      <c r="H77" s="1554">
        <f t="shared" si="62"/>
        <v>0</v>
      </c>
      <c r="I77" s="1552">
        <f t="shared" si="62"/>
        <v>0</v>
      </c>
      <c r="J77" s="1553"/>
      <c r="K77" s="1552"/>
      <c r="L77" s="1553"/>
      <c r="M77" s="1552"/>
      <c r="N77" s="1553"/>
      <c r="O77" s="1552"/>
      <c r="P77" s="1553"/>
      <c r="Q77" s="1552"/>
      <c r="R77" s="1553"/>
      <c r="S77" s="1552"/>
      <c r="T77" s="1553"/>
      <c r="U77" s="1552"/>
      <c r="V77" s="1553"/>
      <c r="W77" s="1556"/>
      <c r="X77" s="1580"/>
      <c r="Y77" s="1585"/>
      <c r="Z77" s="1630"/>
      <c r="AA77" s="1630"/>
      <c r="AB77" s="1629"/>
      <c r="AC77" s="1620"/>
      <c r="AD77" s="1620"/>
      <c r="AE77" s="1620"/>
      <c r="AF77" s="1620"/>
      <c r="AG77" s="1620"/>
      <c r="AH77" s="1620"/>
      <c r="AI77" s="1629"/>
      <c r="AJ77" s="1631"/>
      <c r="AK77" s="1631"/>
      <c r="AL77" s="1631"/>
      <c r="AM77" s="1631"/>
      <c r="AN77" s="1631"/>
      <c r="AO77" s="1631"/>
      <c r="AP77" s="1629"/>
      <c r="AQ77" s="1629"/>
      <c r="AR77" s="1629"/>
      <c r="AS77" s="1629"/>
      <c r="AT77" s="1629"/>
      <c r="AU77" s="1629"/>
      <c r="AV77" s="1629"/>
      <c r="AW77" s="1629"/>
      <c r="AX77" s="1629"/>
      <c r="AY77" s="1629"/>
      <c r="AZ77" s="1629"/>
      <c r="BA77" s="1629"/>
      <c r="BB77" s="1629"/>
      <c r="BC77" s="1629"/>
      <c r="BD77" s="1629"/>
      <c r="BE77" s="1629"/>
      <c r="BF77" s="1629"/>
      <c r="BG77" s="1629"/>
      <c r="BH77" s="1629"/>
      <c r="BI77" s="1629"/>
      <c r="BJ77" s="1629"/>
      <c r="BK77" s="1629"/>
      <c r="BL77" s="1629"/>
      <c r="BM77" s="1629"/>
      <c r="BN77" s="1629"/>
      <c r="BO77" s="1629"/>
      <c r="BP77" s="1629"/>
      <c r="BQ77" s="1629"/>
      <c r="BR77" s="1629"/>
      <c r="BS77" s="1629"/>
      <c r="BT77" s="1629"/>
      <c r="BU77" s="1629"/>
      <c r="BV77" s="1629"/>
      <c r="BW77" s="1629"/>
      <c r="BX77" s="1629"/>
      <c r="BY77" s="1629"/>
      <c r="BZ77" s="1629"/>
      <c r="CA77" s="1629"/>
      <c r="CB77" s="1629"/>
      <c r="CC77" s="1629"/>
      <c r="CD77" s="1629"/>
      <c r="CE77" s="1629"/>
      <c r="CF77" s="1629"/>
      <c r="CG77" s="1629"/>
      <c r="CH77" s="1629"/>
      <c r="CI77" s="1629"/>
      <c r="CJ77" s="1629"/>
      <c r="CK77" s="1629"/>
      <c r="CL77" s="1629"/>
      <c r="CM77" s="1629"/>
      <c r="CN77" s="1629"/>
      <c r="CO77" s="1629"/>
      <c r="CP77" s="1629"/>
      <c r="CQ77" s="1629"/>
      <c r="CR77" s="1629"/>
      <c r="CS77" s="1629"/>
      <c r="CT77" s="1629"/>
      <c r="CU77" s="1629"/>
      <c r="CV77" s="1629"/>
      <c r="CW77" s="1629"/>
      <c r="CX77" s="1629"/>
      <c r="CY77" s="1629"/>
      <c r="CZ77" s="1629"/>
      <c r="DA77" s="1629"/>
      <c r="DB77" s="1629"/>
      <c r="DC77" s="1629"/>
      <c r="DD77" s="1629"/>
      <c r="DE77" s="1629"/>
      <c r="DF77" s="1629"/>
      <c r="DG77" s="1629"/>
      <c r="DH77" s="1629"/>
      <c r="DI77" s="1629"/>
      <c r="DJ77" s="1629"/>
      <c r="DK77" s="1629"/>
      <c r="DL77" s="1629"/>
      <c r="DM77" s="1629"/>
      <c r="DN77" s="1629"/>
      <c r="DO77" s="1629"/>
      <c r="DP77" s="1629"/>
      <c r="DQ77" s="1629"/>
      <c r="DR77" s="1629"/>
      <c r="DS77" s="1629"/>
      <c r="DT77" s="1629"/>
      <c r="DU77" s="1629"/>
      <c r="DV77" s="1629"/>
      <c r="DW77" s="1629"/>
      <c r="DX77" s="1629"/>
      <c r="DY77" s="1629"/>
      <c r="DZ77" s="1629"/>
      <c r="EA77" s="1629"/>
      <c r="EB77" s="1629"/>
      <c r="EC77" s="1629"/>
      <c r="ED77" s="1629"/>
      <c r="EE77" s="1629"/>
      <c r="EF77" s="1629"/>
      <c r="EG77" s="1629"/>
      <c r="EH77" s="1629"/>
      <c r="EI77" s="1629"/>
      <c r="EJ77" s="1629"/>
      <c r="EK77" s="1629"/>
      <c r="EL77" s="1629"/>
      <c r="EM77" s="1629"/>
      <c r="EN77" s="1629"/>
      <c r="EO77" s="1629"/>
      <c r="EP77" s="1629"/>
      <c r="EQ77" s="1629"/>
      <c r="ER77" s="1629"/>
      <c r="ES77" s="1629"/>
      <c r="ET77" s="1629"/>
      <c r="EU77" s="1629"/>
      <c r="EV77" s="1629"/>
      <c r="EW77" s="1629"/>
      <c r="EX77" s="1629"/>
      <c r="EY77" s="1629"/>
      <c r="EZ77" s="1629"/>
      <c r="FA77" s="1629"/>
      <c r="FB77" s="1629"/>
      <c r="FC77" s="1629"/>
      <c r="FD77" s="1629"/>
      <c r="FE77" s="1629"/>
      <c r="FF77" s="1629"/>
      <c r="FG77" s="1629"/>
      <c r="FH77" s="1629"/>
      <c r="FI77" s="1629"/>
      <c r="FJ77" s="1629"/>
      <c r="FK77" s="1629"/>
      <c r="FL77" s="1629"/>
      <c r="FM77" s="1629"/>
      <c r="FN77" s="1629"/>
      <c r="FO77" s="1629"/>
      <c r="FP77" s="1629"/>
      <c r="FQ77" s="1629"/>
      <c r="FR77" s="1629"/>
      <c r="FS77" s="1629"/>
      <c r="FT77" s="1629"/>
      <c r="FU77" s="1629"/>
      <c r="FV77" s="1629"/>
      <c r="FW77" s="1629"/>
      <c r="FX77" s="1629"/>
      <c r="FY77" s="1629"/>
      <c r="FZ77" s="1629"/>
      <c r="GA77" s="1629"/>
      <c r="GB77" s="1629"/>
      <c r="GC77" s="1629"/>
      <c r="GD77" s="1629"/>
      <c r="GE77" s="1629"/>
      <c r="GF77" s="1629"/>
      <c r="GG77" s="1629"/>
      <c r="GH77" s="1629"/>
      <c r="GI77" s="1629"/>
      <c r="GJ77" s="1629"/>
      <c r="GK77" s="1629"/>
      <c r="GL77" s="1629"/>
      <c r="GM77" s="1629"/>
      <c r="GN77" s="1629"/>
      <c r="GO77" s="1629"/>
      <c r="GP77" s="1629"/>
      <c r="GQ77" s="1629"/>
      <c r="GR77" s="1629"/>
      <c r="GS77" s="1629"/>
      <c r="GT77" s="1629"/>
      <c r="GU77" s="1629"/>
      <c r="GV77" s="1629"/>
      <c r="GW77" s="1629"/>
      <c r="GX77" s="1629"/>
      <c r="GY77" s="1629"/>
      <c r="GZ77" s="1629"/>
      <c r="HA77" s="1629"/>
      <c r="HB77" s="1629"/>
      <c r="HC77" s="1629"/>
      <c r="HD77" s="1629"/>
      <c r="HE77" s="1629"/>
      <c r="HF77" s="1629"/>
      <c r="HG77" s="1629"/>
      <c r="HH77" s="1629"/>
      <c r="HI77" s="1629"/>
      <c r="HJ77" s="1629"/>
      <c r="HK77" s="1629"/>
      <c r="HL77" s="1629"/>
      <c r="HM77" s="1629"/>
      <c r="HN77" s="1629"/>
      <c r="HO77" s="1629"/>
      <c r="HP77" s="1629"/>
      <c r="HQ77" s="1629"/>
      <c r="HR77" s="1629"/>
      <c r="HS77" s="1629"/>
      <c r="HT77" s="1629"/>
      <c r="HU77" s="1629"/>
      <c r="HV77" s="1629"/>
      <c r="HW77" s="1629"/>
      <c r="HX77" s="1629"/>
      <c r="HY77" s="1629"/>
      <c r="HZ77" s="1629"/>
      <c r="IA77" s="1629"/>
      <c r="IB77" s="1629"/>
      <c r="IC77" s="1629"/>
      <c r="ID77" s="1629"/>
      <c r="IE77" s="1629"/>
      <c r="IF77" s="1629"/>
      <c r="IG77" s="1629"/>
      <c r="IH77" s="1629"/>
      <c r="II77" s="1629"/>
      <c r="IJ77" s="1629"/>
      <c r="IK77" s="1629"/>
      <c r="IL77" s="1629"/>
      <c r="IM77" s="1629"/>
      <c r="IN77" s="1629"/>
      <c r="IO77" s="1629"/>
      <c r="IP77" s="1629"/>
      <c r="IQ77" s="1629"/>
      <c r="IR77" s="1629"/>
      <c r="IS77" s="1629"/>
      <c r="IT77" s="1629"/>
      <c r="IU77" s="1629"/>
      <c r="IV77" s="1629"/>
    </row>
    <row r="78" spans="1:256" ht="24" hidden="1" customHeight="1" outlineLevel="1" x14ac:dyDescent="0.2">
      <c r="A78" s="4549"/>
      <c r="B78" s="1687" t="s">
        <v>1781</v>
      </c>
      <c r="C78" s="1572" t="s">
        <v>1721</v>
      </c>
      <c r="D78" s="1553"/>
      <c r="E78" s="1552"/>
      <c r="F78" s="1553"/>
      <c r="G78" s="1552"/>
      <c r="H78" s="1554">
        <f>J78+L78+N78+P78+R78+T78+V78</f>
        <v>0</v>
      </c>
      <c r="I78" s="1552">
        <f>K78+M78+O78+Q78+S78+U78+W78</f>
        <v>0</v>
      </c>
      <c r="J78" s="1553">
        <f>J76*J77/1000</f>
        <v>0</v>
      </c>
      <c r="K78" s="1552">
        <f t="shared" ref="K78:W78" si="63">K76*K77/1000</f>
        <v>0</v>
      </c>
      <c r="L78" s="1553">
        <f t="shared" si="63"/>
        <v>0</v>
      </c>
      <c r="M78" s="1552">
        <f t="shared" si="63"/>
        <v>0</v>
      </c>
      <c r="N78" s="1553">
        <f t="shared" si="63"/>
        <v>0</v>
      </c>
      <c r="O78" s="1552">
        <f t="shared" si="63"/>
        <v>0</v>
      </c>
      <c r="P78" s="1553">
        <f t="shared" si="63"/>
        <v>0</v>
      </c>
      <c r="Q78" s="1552">
        <f t="shared" si="63"/>
        <v>0</v>
      </c>
      <c r="R78" s="1553">
        <f t="shared" si="63"/>
        <v>0</v>
      </c>
      <c r="S78" s="1552">
        <f t="shared" si="63"/>
        <v>0</v>
      </c>
      <c r="T78" s="1553">
        <f t="shared" si="63"/>
        <v>0</v>
      </c>
      <c r="U78" s="1552">
        <f t="shared" si="63"/>
        <v>0</v>
      </c>
      <c r="V78" s="1553">
        <f t="shared" si="63"/>
        <v>0</v>
      </c>
      <c r="W78" s="1552">
        <f t="shared" si="63"/>
        <v>0</v>
      </c>
      <c r="X78" s="1580">
        <f t="shared" ref="X78:Y78" si="64">X76*X77/1000</f>
        <v>0</v>
      </c>
      <c r="Y78" s="1579">
        <f t="shared" si="64"/>
        <v>0</v>
      </c>
      <c r="Z78" s="1630"/>
      <c r="AA78" s="1630"/>
      <c r="AB78" s="1629"/>
      <c r="AC78" s="1620"/>
      <c r="AD78" s="1620"/>
      <c r="AE78" s="1620"/>
      <c r="AF78" s="1620"/>
      <c r="AG78" s="1620"/>
      <c r="AH78" s="1620"/>
      <c r="AI78" s="1629"/>
      <c r="AJ78" s="1631"/>
      <c r="AK78" s="1631"/>
      <c r="AL78" s="1631"/>
      <c r="AM78" s="1631"/>
      <c r="AN78" s="1631"/>
      <c r="AO78" s="1631"/>
      <c r="AP78" s="1629"/>
      <c r="AQ78" s="1629"/>
      <c r="AR78" s="1629"/>
      <c r="AS78" s="1629"/>
      <c r="AT78" s="1629"/>
      <c r="AU78" s="1629"/>
      <c r="AV78" s="1629"/>
      <c r="AW78" s="1629"/>
      <c r="AX78" s="1629"/>
      <c r="AY78" s="1629"/>
      <c r="AZ78" s="1629"/>
      <c r="BA78" s="1629"/>
      <c r="BB78" s="1629"/>
      <c r="BC78" s="1629"/>
      <c r="BD78" s="1629"/>
      <c r="BE78" s="1629"/>
      <c r="BF78" s="1629"/>
      <c r="BG78" s="1629"/>
      <c r="BH78" s="1629"/>
      <c r="BI78" s="1629"/>
      <c r="BJ78" s="1629"/>
      <c r="BK78" s="1629"/>
      <c r="BL78" s="1629"/>
      <c r="BM78" s="1629"/>
      <c r="BN78" s="1629"/>
      <c r="BO78" s="1629"/>
      <c r="BP78" s="1629"/>
      <c r="BQ78" s="1629"/>
      <c r="BR78" s="1629"/>
      <c r="BS78" s="1629"/>
      <c r="BT78" s="1629"/>
      <c r="BU78" s="1629"/>
      <c r="BV78" s="1629"/>
      <c r="BW78" s="1629"/>
      <c r="BX78" s="1629"/>
      <c r="BY78" s="1629"/>
      <c r="BZ78" s="1629"/>
      <c r="CA78" s="1629"/>
      <c r="CB78" s="1629"/>
      <c r="CC78" s="1629"/>
      <c r="CD78" s="1629"/>
      <c r="CE78" s="1629"/>
      <c r="CF78" s="1629"/>
      <c r="CG78" s="1629"/>
      <c r="CH78" s="1629"/>
      <c r="CI78" s="1629"/>
      <c r="CJ78" s="1629"/>
      <c r="CK78" s="1629"/>
      <c r="CL78" s="1629"/>
      <c r="CM78" s="1629"/>
      <c r="CN78" s="1629"/>
      <c r="CO78" s="1629"/>
      <c r="CP78" s="1629"/>
      <c r="CQ78" s="1629"/>
      <c r="CR78" s="1629"/>
      <c r="CS78" s="1629"/>
      <c r="CT78" s="1629"/>
      <c r="CU78" s="1629"/>
      <c r="CV78" s="1629"/>
      <c r="CW78" s="1629"/>
      <c r="CX78" s="1629"/>
      <c r="CY78" s="1629"/>
      <c r="CZ78" s="1629"/>
      <c r="DA78" s="1629"/>
      <c r="DB78" s="1629"/>
      <c r="DC78" s="1629"/>
      <c r="DD78" s="1629"/>
      <c r="DE78" s="1629"/>
      <c r="DF78" s="1629"/>
      <c r="DG78" s="1629"/>
      <c r="DH78" s="1629"/>
      <c r="DI78" s="1629"/>
      <c r="DJ78" s="1629"/>
      <c r="DK78" s="1629"/>
      <c r="DL78" s="1629"/>
      <c r="DM78" s="1629"/>
      <c r="DN78" s="1629"/>
      <c r="DO78" s="1629"/>
      <c r="DP78" s="1629"/>
      <c r="DQ78" s="1629"/>
      <c r="DR78" s="1629"/>
      <c r="DS78" s="1629"/>
      <c r="DT78" s="1629"/>
      <c r="DU78" s="1629"/>
      <c r="DV78" s="1629"/>
      <c r="DW78" s="1629"/>
      <c r="DX78" s="1629"/>
      <c r="DY78" s="1629"/>
      <c r="DZ78" s="1629"/>
      <c r="EA78" s="1629"/>
      <c r="EB78" s="1629"/>
      <c r="EC78" s="1629"/>
      <c r="ED78" s="1629"/>
      <c r="EE78" s="1629"/>
      <c r="EF78" s="1629"/>
      <c r="EG78" s="1629"/>
      <c r="EH78" s="1629"/>
      <c r="EI78" s="1629"/>
      <c r="EJ78" s="1629"/>
      <c r="EK78" s="1629"/>
      <c r="EL78" s="1629"/>
      <c r="EM78" s="1629"/>
      <c r="EN78" s="1629"/>
      <c r="EO78" s="1629"/>
      <c r="EP78" s="1629"/>
      <c r="EQ78" s="1629"/>
      <c r="ER78" s="1629"/>
      <c r="ES78" s="1629"/>
      <c r="ET78" s="1629"/>
      <c r="EU78" s="1629"/>
      <c r="EV78" s="1629"/>
      <c r="EW78" s="1629"/>
      <c r="EX78" s="1629"/>
      <c r="EY78" s="1629"/>
      <c r="EZ78" s="1629"/>
      <c r="FA78" s="1629"/>
      <c r="FB78" s="1629"/>
      <c r="FC78" s="1629"/>
      <c r="FD78" s="1629"/>
      <c r="FE78" s="1629"/>
      <c r="FF78" s="1629"/>
      <c r="FG78" s="1629"/>
      <c r="FH78" s="1629"/>
      <c r="FI78" s="1629"/>
      <c r="FJ78" s="1629"/>
      <c r="FK78" s="1629"/>
      <c r="FL78" s="1629"/>
      <c r="FM78" s="1629"/>
      <c r="FN78" s="1629"/>
      <c r="FO78" s="1629"/>
      <c r="FP78" s="1629"/>
      <c r="FQ78" s="1629"/>
      <c r="FR78" s="1629"/>
      <c r="FS78" s="1629"/>
      <c r="FT78" s="1629"/>
      <c r="FU78" s="1629"/>
      <c r="FV78" s="1629"/>
      <c r="FW78" s="1629"/>
      <c r="FX78" s="1629"/>
      <c r="FY78" s="1629"/>
      <c r="FZ78" s="1629"/>
      <c r="GA78" s="1629"/>
      <c r="GB78" s="1629"/>
      <c r="GC78" s="1629"/>
      <c r="GD78" s="1629"/>
      <c r="GE78" s="1629"/>
      <c r="GF78" s="1629"/>
      <c r="GG78" s="1629"/>
      <c r="GH78" s="1629"/>
      <c r="GI78" s="1629"/>
      <c r="GJ78" s="1629"/>
      <c r="GK78" s="1629"/>
      <c r="GL78" s="1629"/>
      <c r="GM78" s="1629"/>
      <c r="GN78" s="1629"/>
      <c r="GO78" s="1629"/>
      <c r="GP78" s="1629"/>
      <c r="GQ78" s="1629"/>
      <c r="GR78" s="1629"/>
      <c r="GS78" s="1629"/>
      <c r="GT78" s="1629"/>
      <c r="GU78" s="1629"/>
      <c r="GV78" s="1629"/>
      <c r="GW78" s="1629"/>
      <c r="GX78" s="1629"/>
      <c r="GY78" s="1629"/>
      <c r="GZ78" s="1629"/>
      <c r="HA78" s="1629"/>
      <c r="HB78" s="1629"/>
      <c r="HC78" s="1629"/>
      <c r="HD78" s="1629"/>
      <c r="HE78" s="1629"/>
      <c r="HF78" s="1629"/>
      <c r="HG78" s="1629"/>
      <c r="HH78" s="1629"/>
      <c r="HI78" s="1629"/>
      <c r="HJ78" s="1629"/>
      <c r="HK78" s="1629"/>
      <c r="HL78" s="1629"/>
      <c r="HM78" s="1629"/>
      <c r="HN78" s="1629"/>
      <c r="HO78" s="1629"/>
      <c r="HP78" s="1629"/>
      <c r="HQ78" s="1629"/>
      <c r="HR78" s="1629"/>
      <c r="HS78" s="1629"/>
      <c r="HT78" s="1629"/>
      <c r="HU78" s="1629"/>
      <c r="HV78" s="1629"/>
      <c r="HW78" s="1629"/>
      <c r="HX78" s="1629"/>
      <c r="HY78" s="1629"/>
      <c r="HZ78" s="1629"/>
      <c r="IA78" s="1629"/>
      <c r="IB78" s="1629"/>
      <c r="IC78" s="1629"/>
      <c r="ID78" s="1629"/>
      <c r="IE78" s="1629"/>
      <c r="IF78" s="1629"/>
      <c r="IG78" s="1629"/>
      <c r="IH78" s="1629"/>
      <c r="II78" s="1629"/>
      <c r="IJ78" s="1629"/>
      <c r="IK78" s="1629"/>
      <c r="IL78" s="1629"/>
      <c r="IM78" s="1629"/>
      <c r="IN78" s="1629"/>
      <c r="IO78" s="1629"/>
      <c r="IP78" s="1629"/>
      <c r="IQ78" s="1629"/>
      <c r="IR78" s="1629"/>
      <c r="IS78" s="1629"/>
      <c r="IT78" s="1629"/>
      <c r="IU78" s="1629"/>
      <c r="IV78" s="1629"/>
    </row>
    <row r="79" spans="1:256" ht="13.15" hidden="1" customHeight="1" outlineLevel="1" x14ac:dyDescent="0.2">
      <c r="A79" s="4547" t="s">
        <v>1782</v>
      </c>
      <c r="B79" s="1684" t="s">
        <v>1783</v>
      </c>
      <c r="C79" s="1571" t="s">
        <v>1686</v>
      </c>
      <c r="D79" s="1553"/>
      <c r="E79" s="1552"/>
      <c r="F79" s="1553"/>
      <c r="G79" s="1552"/>
      <c r="H79" s="1554">
        <f>J79+L79+N79+P79+R79+T79+V79</f>
        <v>0</v>
      </c>
      <c r="I79" s="1552">
        <f>K79+M79+O79+Q79+S79+U79+W79</f>
        <v>0</v>
      </c>
      <c r="J79" s="1553"/>
      <c r="K79" s="1552"/>
      <c r="L79" s="1553"/>
      <c r="M79" s="1552"/>
      <c r="N79" s="1553"/>
      <c r="O79" s="1552"/>
      <c r="P79" s="1553"/>
      <c r="Q79" s="1552"/>
      <c r="R79" s="1553"/>
      <c r="S79" s="1552"/>
      <c r="T79" s="1553"/>
      <c r="U79" s="1552"/>
      <c r="V79" s="1553"/>
      <c r="W79" s="1556"/>
      <c r="X79" s="1580"/>
      <c r="Y79" s="1585"/>
      <c r="Z79" s="1630"/>
      <c r="AA79" s="1630"/>
      <c r="AB79" s="1629"/>
      <c r="AC79" s="1620"/>
      <c r="AD79" s="1620"/>
      <c r="AE79" s="1620"/>
      <c r="AF79" s="1620"/>
      <c r="AG79" s="1620"/>
      <c r="AH79" s="1620"/>
      <c r="AI79" s="1629"/>
      <c r="AJ79" s="1631"/>
      <c r="AK79" s="1631"/>
      <c r="AL79" s="1631"/>
      <c r="AM79" s="1631"/>
      <c r="AN79" s="1631"/>
      <c r="AO79" s="1631"/>
      <c r="AP79" s="1629"/>
      <c r="AQ79" s="1629"/>
      <c r="AR79" s="1629"/>
      <c r="AS79" s="1629"/>
      <c r="AT79" s="1629"/>
      <c r="AU79" s="1629"/>
      <c r="AV79" s="1629"/>
      <c r="AW79" s="1629"/>
      <c r="AX79" s="1629"/>
      <c r="AY79" s="1629"/>
      <c r="AZ79" s="1629"/>
      <c r="BA79" s="1629"/>
      <c r="BB79" s="1629"/>
      <c r="BC79" s="1629"/>
      <c r="BD79" s="1629"/>
      <c r="BE79" s="1629"/>
      <c r="BF79" s="1629"/>
      <c r="BG79" s="1629"/>
      <c r="BH79" s="1629"/>
      <c r="BI79" s="1629"/>
      <c r="BJ79" s="1629"/>
      <c r="BK79" s="1629"/>
      <c r="BL79" s="1629"/>
      <c r="BM79" s="1629"/>
      <c r="BN79" s="1629"/>
      <c r="BO79" s="1629"/>
      <c r="BP79" s="1629"/>
      <c r="BQ79" s="1629"/>
      <c r="BR79" s="1629"/>
      <c r="BS79" s="1629"/>
      <c r="BT79" s="1629"/>
      <c r="BU79" s="1629"/>
      <c r="BV79" s="1629"/>
      <c r="BW79" s="1629"/>
      <c r="BX79" s="1629"/>
      <c r="BY79" s="1629"/>
      <c r="BZ79" s="1629"/>
      <c r="CA79" s="1629"/>
      <c r="CB79" s="1629"/>
      <c r="CC79" s="1629"/>
      <c r="CD79" s="1629"/>
      <c r="CE79" s="1629"/>
      <c r="CF79" s="1629"/>
      <c r="CG79" s="1629"/>
      <c r="CH79" s="1629"/>
      <c r="CI79" s="1629"/>
      <c r="CJ79" s="1629"/>
      <c r="CK79" s="1629"/>
      <c r="CL79" s="1629"/>
      <c r="CM79" s="1629"/>
      <c r="CN79" s="1629"/>
      <c r="CO79" s="1629"/>
      <c r="CP79" s="1629"/>
      <c r="CQ79" s="1629"/>
      <c r="CR79" s="1629"/>
      <c r="CS79" s="1629"/>
      <c r="CT79" s="1629"/>
      <c r="CU79" s="1629"/>
      <c r="CV79" s="1629"/>
      <c r="CW79" s="1629"/>
      <c r="CX79" s="1629"/>
      <c r="CY79" s="1629"/>
      <c r="CZ79" s="1629"/>
      <c r="DA79" s="1629"/>
      <c r="DB79" s="1629"/>
      <c r="DC79" s="1629"/>
      <c r="DD79" s="1629"/>
      <c r="DE79" s="1629"/>
      <c r="DF79" s="1629"/>
      <c r="DG79" s="1629"/>
      <c r="DH79" s="1629"/>
      <c r="DI79" s="1629"/>
      <c r="DJ79" s="1629"/>
      <c r="DK79" s="1629"/>
      <c r="DL79" s="1629"/>
      <c r="DM79" s="1629"/>
      <c r="DN79" s="1629"/>
      <c r="DO79" s="1629"/>
      <c r="DP79" s="1629"/>
      <c r="DQ79" s="1629"/>
      <c r="DR79" s="1629"/>
      <c r="DS79" s="1629"/>
      <c r="DT79" s="1629"/>
      <c r="DU79" s="1629"/>
      <c r="DV79" s="1629"/>
      <c r="DW79" s="1629"/>
      <c r="DX79" s="1629"/>
      <c r="DY79" s="1629"/>
      <c r="DZ79" s="1629"/>
      <c r="EA79" s="1629"/>
      <c r="EB79" s="1629"/>
      <c r="EC79" s="1629"/>
      <c r="ED79" s="1629"/>
      <c r="EE79" s="1629"/>
      <c r="EF79" s="1629"/>
      <c r="EG79" s="1629"/>
      <c r="EH79" s="1629"/>
      <c r="EI79" s="1629"/>
      <c r="EJ79" s="1629"/>
      <c r="EK79" s="1629"/>
      <c r="EL79" s="1629"/>
      <c r="EM79" s="1629"/>
      <c r="EN79" s="1629"/>
      <c r="EO79" s="1629"/>
      <c r="EP79" s="1629"/>
      <c r="EQ79" s="1629"/>
      <c r="ER79" s="1629"/>
      <c r="ES79" s="1629"/>
      <c r="ET79" s="1629"/>
      <c r="EU79" s="1629"/>
      <c r="EV79" s="1629"/>
      <c r="EW79" s="1629"/>
      <c r="EX79" s="1629"/>
      <c r="EY79" s="1629"/>
      <c r="EZ79" s="1629"/>
      <c r="FA79" s="1629"/>
      <c r="FB79" s="1629"/>
      <c r="FC79" s="1629"/>
      <c r="FD79" s="1629"/>
      <c r="FE79" s="1629"/>
      <c r="FF79" s="1629"/>
      <c r="FG79" s="1629"/>
      <c r="FH79" s="1629"/>
      <c r="FI79" s="1629"/>
      <c r="FJ79" s="1629"/>
      <c r="FK79" s="1629"/>
      <c r="FL79" s="1629"/>
      <c r="FM79" s="1629"/>
      <c r="FN79" s="1629"/>
      <c r="FO79" s="1629"/>
      <c r="FP79" s="1629"/>
      <c r="FQ79" s="1629"/>
      <c r="FR79" s="1629"/>
      <c r="FS79" s="1629"/>
      <c r="FT79" s="1629"/>
      <c r="FU79" s="1629"/>
      <c r="FV79" s="1629"/>
      <c r="FW79" s="1629"/>
      <c r="FX79" s="1629"/>
      <c r="FY79" s="1629"/>
      <c r="FZ79" s="1629"/>
      <c r="GA79" s="1629"/>
      <c r="GB79" s="1629"/>
      <c r="GC79" s="1629"/>
      <c r="GD79" s="1629"/>
      <c r="GE79" s="1629"/>
      <c r="GF79" s="1629"/>
      <c r="GG79" s="1629"/>
      <c r="GH79" s="1629"/>
      <c r="GI79" s="1629"/>
      <c r="GJ79" s="1629"/>
      <c r="GK79" s="1629"/>
      <c r="GL79" s="1629"/>
      <c r="GM79" s="1629"/>
      <c r="GN79" s="1629"/>
      <c r="GO79" s="1629"/>
      <c r="GP79" s="1629"/>
      <c r="GQ79" s="1629"/>
      <c r="GR79" s="1629"/>
      <c r="GS79" s="1629"/>
      <c r="GT79" s="1629"/>
      <c r="GU79" s="1629"/>
      <c r="GV79" s="1629"/>
      <c r="GW79" s="1629"/>
      <c r="GX79" s="1629"/>
      <c r="GY79" s="1629"/>
      <c r="GZ79" s="1629"/>
      <c r="HA79" s="1629"/>
      <c r="HB79" s="1629"/>
      <c r="HC79" s="1629"/>
      <c r="HD79" s="1629"/>
      <c r="HE79" s="1629"/>
      <c r="HF79" s="1629"/>
      <c r="HG79" s="1629"/>
      <c r="HH79" s="1629"/>
      <c r="HI79" s="1629"/>
      <c r="HJ79" s="1629"/>
      <c r="HK79" s="1629"/>
      <c r="HL79" s="1629"/>
      <c r="HM79" s="1629"/>
      <c r="HN79" s="1629"/>
      <c r="HO79" s="1629"/>
      <c r="HP79" s="1629"/>
      <c r="HQ79" s="1629"/>
      <c r="HR79" s="1629"/>
      <c r="HS79" s="1629"/>
      <c r="HT79" s="1629"/>
      <c r="HU79" s="1629"/>
      <c r="HV79" s="1629"/>
      <c r="HW79" s="1629"/>
      <c r="HX79" s="1629"/>
      <c r="HY79" s="1629"/>
      <c r="HZ79" s="1629"/>
      <c r="IA79" s="1629"/>
      <c r="IB79" s="1629"/>
      <c r="IC79" s="1629"/>
      <c r="ID79" s="1629"/>
      <c r="IE79" s="1629"/>
      <c r="IF79" s="1629"/>
      <c r="IG79" s="1629"/>
      <c r="IH79" s="1629"/>
      <c r="II79" s="1629"/>
      <c r="IJ79" s="1629"/>
      <c r="IK79" s="1629"/>
      <c r="IL79" s="1629"/>
      <c r="IM79" s="1629"/>
      <c r="IN79" s="1629"/>
      <c r="IO79" s="1629"/>
      <c r="IP79" s="1629"/>
      <c r="IQ79" s="1629"/>
      <c r="IR79" s="1629"/>
      <c r="IS79" s="1629"/>
      <c r="IT79" s="1629"/>
      <c r="IU79" s="1629"/>
      <c r="IV79" s="1629"/>
    </row>
    <row r="80" spans="1:256" ht="24" hidden="1" customHeight="1" outlineLevel="1" x14ac:dyDescent="0.2">
      <c r="A80" s="4548"/>
      <c r="B80" s="1684" t="s">
        <v>1784</v>
      </c>
      <c r="C80" s="1571" t="s">
        <v>1718</v>
      </c>
      <c r="D80" s="1553">
        <f t="shared" ref="D80:I80" si="65">IF(D79=0,,D81/1000/D79)</f>
        <v>0</v>
      </c>
      <c r="E80" s="1552">
        <f t="shared" si="65"/>
        <v>0</v>
      </c>
      <c r="F80" s="1553"/>
      <c r="G80" s="1552"/>
      <c r="H80" s="1554">
        <f t="shared" si="65"/>
        <v>0</v>
      </c>
      <c r="I80" s="1552">
        <f t="shared" si="65"/>
        <v>0</v>
      </c>
      <c r="J80" s="1553"/>
      <c r="K80" s="1552"/>
      <c r="L80" s="1553"/>
      <c r="M80" s="1552"/>
      <c r="N80" s="1553"/>
      <c r="O80" s="1552"/>
      <c r="P80" s="1553"/>
      <c r="Q80" s="1552"/>
      <c r="R80" s="1553"/>
      <c r="S80" s="1552"/>
      <c r="T80" s="1553"/>
      <c r="U80" s="1552"/>
      <c r="V80" s="1553"/>
      <c r="W80" s="1556"/>
      <c r="X80" s="1580"/>
      <c r="Y80" s="1585"/>
      <c r="Z80" s="1630"/>
      <c r="AA80" s="1630"/>
      <c r="AB80" s="1629"/>
      <c r="AC80" s="1620"/>
      <c r="AD80" s="1620"/>
      <c r="AE80" s="1620"/>
      <c r="AF80" s="1620"/>
      <c r="AG80" s="1620"/>
      <c r="AH80" s="1620"/>
      <c r="AI80" s="1629"/>
      <c r="AJ80" s="1631"/>
      <c r="AK80" s="1631"/>
      <c r="AL80" s="1631"/>
      <c r="AM80" s="1631"/>
      <c r="AN80" s="1631"/>
      <c r="AO80" s="1631"/>
      <c r="AP80" s="1629"/>
      <c r="AQ80" s="1629"/>
      <c r="AR80" s="1629"/>
      <c r="AS80" s="1629"/>
      <c r="AT80" s="1629"/>
      <c r="AU80" s="1629"/>
      <c r="AV80" s="1629"/>
      <c r="AW80" s="1629"/>
      <c r="AX80" s="1629"/>
      <c r="AY80" s="1629"/>
      <c r="AZ80" s="1629"/>
      <c r="BA80" s="1629"/>
      <c r="BB80" s="1629"/>
      <c r="BC80" s="1629"/>
      <c r="BD80" s="1629"/>
      <c r="BE80" s="1629"/>
      <c r="BF80" s="1629"/>
      <c r="BG80" s="1629"/>
      <c r="BH80" s="1629"/>
      <c r="BI80" s="1629"/>
      <c r="BJ80" s="1629"/>
      <c r="BK80" s="1629"/>
      <c r="BL80" s="1629"/>
      <c r="BM80" s="1629"/>
      <c r="BN80" s="1629"/>
      <c r="BO80" s="1629"/>
      <c r="BP80" s="1629"/>
      <c r="BQ80" s="1629"/>
      <c r="BR80" s="1629"/>
      <c r="BS80" s="1629"/>
      <c r="BT80" s="1629"/>
      <c r="BU80" s="1629"/>
      <c r="BV80" s="1629"/>
      <c r="BW80" s="1629"/>
      <c r="BX80" s="1629"/>
      <c r="BY80" s="1629"/>
      <c r="BZ80" s="1629"/>
      <c r="CA80" s="1629"/>
      <c r="CB80" s="1629"/>
      <c r="CC80" s="1629"/>
      <c r="CD80" s="1629"/>
      <c r="CE80" s="1629"/>
      <c r="CF80" s="1629"/>
      <c r="CG80" s="1629"/>
      <c r="CH80" s="1629"/>
      <c r="CI80" s="1629"/>
      <c r="CJ80" s="1629"/>
      <c r="CK80" s="1629"/>
      <c r="CL80" s="1629"/>
      <c r="CM80" s="1629"/>
      <c r="CN80" s="1629"/>
      <c r="CO80" s="1629"/>
      <c r="CP80" s="1629"/>
      <c r="CQ80" s="1629"/>
      <c r="CR80" s="1629"/>
      <c r="CS80" s="1629"/>
      <c r="CT80" s="1629"/>
      <c r="CU80" s="1629"/>
      <c r="CV80" s="1629"/>
      <c r="CW80" s="1629"/>
      <c r="CX80" s="1629"/>
      <c r="CY80" s="1629"/>
      <c r="CZ80" s="1629"/>
      <c r="DA80" s="1629"/>
      <c r="DB80" s="1629"/>
      <c r="DC80" s="1629"/>
      <c r="DD80" s="1629"/>
      <c r="DE80" s="1629"/>
      <c r="DF80" s="1629"/>
      <c r="DG80" s="1629"/>
      <c r="DH80" s="1629"/>
      <c r="DI80" s="1629"/>
      <c r="DJ80" s="1629"/>
      <c r="DK80" s="1629"/>
      <c r="DL80" s="1629"/>
      <c r="DM80" s="1629"/>
      <c r="DN80" s="1629"/>
      <c r="DO80" s="1629"/>
      <c r="DP80" s="1629"/>
      <c r="DQ80" s="1629"/>
      <c r="DR80" s="1629"/>
      <c r="DS80" s="1629"/>
      <c r="DT80" s="1629"/>
      <c r="DU80" s="1629"/>
      <c r="DV80" s="1629"/>
      <c r="DW80" s="1629"/>
      <c r="DX80" s="1629"/>
      <c r="DY80" s="1629"/>
      <c r="DZ80" s="1629"/>
      <c r="EA80" s="1629"/>
      <c r="EB80" s="1629"/>
      <c r="EC80" s="1629"/>
      <c r="ED80" s="1629"/>
      <c r="EE80" s="1629"/>
      <c r="EF80" s="1629"/>
      <c r="EG80" s="1629"/>
      <c r="EH80" s="1629"/>
      <c r="EI80" s="1629"/>
      <c r="EJ80" s="1629"/>
      <c r="EK80" s="1629"/>
      <c r="EL80" s="1629"/>
      <c r="EM80" s="1629"/>
      <c r="EN80" s="1629"/>
      <c r="EO80" s="1629"/>
      <c r="EP80" s="1629"/>
      <c r="EQ80" s="1629"/>
      <c r="ER80" s="1629"/>
      <c r="ES80" s="1629"/>
      <c r="ET80" s="1629"/>
      <c r="EU80" s="1629"/>
      <c r="EV80" s="1629"/>
      <c r="EW80" s="1629"/>
      <c r="EX80" s="1629"/>
      <c r="EY80" s="1629"/>
      <c r="EZ80" s="1629"/>
      <c r="FA80" s="1629"/>
      <c r="FB80" s="1629"/>
      <c r="FC80" s="1629"/>
      <c r="FD80" s="1629"/>
      <c r="FE80" s="1629"/>
      <c r="FF80" s="1629"/>
      <c r="FG80" s="1629"/>
      <c r="FH80" s="1629"/>
      <c r="FI80" s="1629"/>
      <c r="FJ80" s="1629"/>
      <c r="FK80" s="1629"/>
      <c r="FL80" s="1629"/>
      <c r="FM80" s="1629"/>
      <c r="FN80" s="1629"/>
      <c r="FO80" s="1629"/>
      <c r="FP80" s="1629"/>
      <c r="FQ80" s="1629"/>
      <c r="FR80" s="1629"/>
      <c r="FS80" s="1629"/>
      <c r="FT80" s="1629"/>
      <c r="FU80" s="1629"/>
      <c r="FV80" s="1629"/>
      <c r="FW80" s="1629"/>
      <c r="FX80" s="1629"/>
      <c r="FY80" s="1629"/>
      <c r="FZ80" s="1629"/>
      <c r="GA80" s="1629"/>
      <c r="GB80" s="1629"/>
      <c r="GC80" s="1629"/>
      <c r="GD80" s="1629"/>
      <c r="GE80" s="1629"/>
      <c r="GF80" s="1629"/>
      <c r="GG80" s="1629"/>
      <c r="GH80" s="1629"/>
      <c r="GI80" s="1629"/>
      <c r="GJ80" s="1629"/>
      <c r="GK80" s="1629"/>
      <c r="GL80" s="1629"/>
      <c r="GM80" s="1629"/>
      <c r="GN80" s="1629"/>
      <c r="GO80" s="1629"/>
      <c r="GP80" s="1629"/>
      <c r="GQ80" s="1629"/>
      <c r="GR80" s="1629"/>
      <c r="GS80" s="1629"/>
      <c r="GT80" s="1629"/>
      <c r="GU80" s="1629"/>
      <c r="GV80" s="1629"/>
      <c r="GW80" s="1629"/>
      <c r="GX80" s="1629"/>
      <c r="GY80" s="1629"/>
      <c r="GZ80" s="1629"/>
      <c r="HA80" s="1629"/>
      <c r="HB80" s="1629"/>
      <c r="HC80" s="1629"/>
      <c r="HD80" s="1629"/>
      <c r="HE80" s="1629"/>
      <c r="HF80" s="1629"/>
      <c r="HG80" s="1629"/>
      <c r="HH80" s="1629"/>
      <c r="HI80" s="1629"/>
      <c r="HJ80" s="1629"/>
      <c r="HK80" s="1629"/>
      <c r="HL80" s="1629"/>
      <c r="HM80" s="1629"/>
      <c r="HN80" s="1629"/>
      <c r="HO80" s="1629"/>
      <c r="HP80" s="1629"/>
      <c r="HQ80" s="1629"/>
      <c r="HR80" s="1629"/>
      <c r="HS80" s="1629"/>
      <c r="HT80" s="1629"/>
      <c r="HU80" s="1629"/>
      <c r="HV80" s="1629"/>
      <c r="HW80" s="1629"/>
      <c r="HX80" s="1629"/>
      <c r="HY80" s="1629"/>
      <c r="HZ80" s="1629"/>
      <c r="IA80" s="1629"/>
      <c r="IB80" s="1629"/>
      <c r="IC80" s="1629"/>
      <c r="ID80" s="1629"/>
      <c r="IE80" s="1629"/>
      <c r="IF80" s="1629"/>
      <c r="IG80" s="1629"/>
      <c r="IH80" s="1629"/>
      <c r="II80" s="1629"/>
      <c r="IJ80" s="1629"/>
      <c r="IK80" s="1629"/>
      <c r="IL80" s="1629"/>
      <c r="IM80" s="1629"/>
      <c r="IN80" s="1629"/>
      <c r="IO80" s="1629"/>
      <c r="IP80" s="1629"/>
      <c r="IQ80" s="1629"/>
      <c r="IR80" s="1629"/>
      <c r="IS80" s="1629"/>
      <c r="IT80" s="1629"/>
      <c r="IU80" s="1629"/>
      <c r="IV80" s="1629"/>
    </row>
    <row r="81" spans="1:256" ht="24" hidden="1" customHeight="1" outlineLevel="1" x14ac:dyDescent="0.2">
      <c r="A81" s="4548"/>
      <c r="B81" s="1688" t="s">
        <v>1785</v>
      </c>
      <c r="C81" s="1573" t="s">
        <v>1721</v>
      </c>
      <c r="D81" s="1557"/>
      <c r="E81" s="1558"/>
      <c r="F81" s="1553"/>
      <c r="G81" s="1552"/>
      <c r="H81" s="1667">
        <f>J81+L81+N81+P81+R81+T81+V81</f>
        <v>0</v>
      </c>
      <c r="I81" s="1552">
        <f>K81+M81+O81+Q81+S81+U81+W81</f>
        <v>0</v>
      </c>
      <c r="J81" s="1553">
        <f>J79*J80/1000</f>
        <v>0</v>
      </c>
      <c r="K81" s="1552">
        <f t="shared" ref="K81:W81" si="66">K79*K80/1000</f>
        <v>0</v>
      </c>
      <c r="L81" s="1553">
        <f t="shared" si="66"/>
        <v>0</v>
      </c>
      <c r="M81" s="1552">
        <f t="shared" si="66"/>
        <v>0</v>
      </c>
      <c r="N81" s="1553">
        <f t="shared" si="66"/>
        <v>0</v>
      </c>
      <c r="O81" s="1552">
        <f t="shared" si="66"/>
        <v>0</v>
      </c>
      <c r="P81" s="1553">
        <f t="shared" si="66"/>
        <v>0</v>
      </c>
      <c r="Q81" s="1552">
        <f t="shared" si="66"/>
        <v>0</v>
      </c>
      <c r="R81" s="1553">
        <f t="shared" si="66"/>
        <v>0</v>
      </c>
      <c r="S81" s="1552">
        <f t="shared" si="66"/>
        <v>0</v>
      </c>
      <c r="T81" s="1553">
        <f t="shared" si="66"/>
        <v>0</v>
      </c>
      <c r="U81" s="1552">
        <f t="shared" si="66"/>
        <v>0</v>
      </c>
      <c r="V81" s="1553">
        <f t="shared" si="66"/>
        <v>0</v>
      </c>
      <c r="W81" s="1668">
        <f t="shared" si="66"/>
        <v>0</v>
      </c>
      <c r="X81" s="1586">
        <f t="shared" ref="X81:Y81" si="67">X79*X80/1000</f>
        <v>0</v>
      </c>
      <c r="Y81" s="1587">
        <f t="shared" si="67"/>
        <v>0</v>
      </c>
      <c r="Z81" s="1630"/>
      <c r="AA81" s="1630"/>
      <c r="AB81" s="1629"/>
      <c r="AC81" s="1620"/>
      <c r="AD81" s="1620"/>
      <c r="AE81" s="1620"/>
      <c r="AF81" s="1620"/>
      <c r="AG81" s="1620"/>
      <c r="AH81" s="1620"/>
      <c r="AI81" s="1629"/>
      <c r="AJ81" s="1631"/>
      <c r="AK81" s="1631"/>
      <c r="AL81" s="1631"/>
      <c r="AM81" s="1631"/>
      <c r="AN81" s="1631"/>
      <c r="AO81" s="1631"/>
      <c r="AP81" s="1629"/>
      <c r="AQ81" s="1629"/>
      <c r="AR81" s="1629"/>
      <c r="AS81" s="1629"/>
      <c r="AT81" s="1629"/>
      <c r="AU81" s="1629"/>
      <c r="AV81" s="1629"/>
      <c r="AW81" s="1629"/>
      <c r="AX81" s="1629"/>
      <c r="AY81" s="1629"/>
      <c r="AZ81" s="1629"/>
      <c r="BA81" s="1629"/>
      <c r="BB81" s="1629"/>
      <c r="BC81" s="1629"/>
      <c r="BD81" s="1629"/>
      <c r="BE81" s="1629"/>
      <c r="BF81" s="1629"/>
      <c r="BG81" s="1629"/>
      <c r="BH81" s="1629"/>
      <c r="BI81" s="1629"/>
      <c r="BJ81" s="1629"/>
      <c r="BK81" s="1629"/>
      <c r="BL81" s="1629"/>
      <c r="BM81" s="1629"/>
      <c r="BN81" s="1629"/>
      <c r="BO81" s="1629"/>
      <c r="BP81" s="1629"/>
      <c r="BQ81" s="1629"/>
      <c r="BR81" s="1629"/>
      <c r="BS81" s="1629"/>
      <c r="BT81" s="1629"/>
      <c r="BU81" s="1629"/>
      <c r="BV81" s="1629"/>
      <c r="BW81" s="1629"/>
      <c r="BX81" s="1629"/>
      <c r="BY81" s="1629"/>
      <c r="BZ81" s="1629"/>
      <c r="CA81" s="1629"/>
      <c r="CB81" s="1629"/>
      <c r="CC81" s="1629"/>
      <c r="CD81" s="1629"/>
      <c r="CE81" s="1629"/>
      <c r="CF81" s="1629"/>
      <c r="CG81" s="1629"/>
      <c r="CH81" s="1629"/>
      <c r="CI81" s="1629"/>
      <c r="CJ81" s="1629"/>
      <c r="CK81" s="1629"/>
      <c r="CL81" s="1629"/>
      <c r="CM81" s="1629"/>
      <c r="CN81" s="1629"/>
      <c r="CO81" s="1629"/>
      <c r="CP81" s="1629"/>
      <c r="CQ81" s="1629"/>
      <c r="CR81" s="1629"/>
      <c r="CS81" s="1629"/>
      <c r="CT81" s="1629"/>
      <c r="CU81" s="1629"/>
      <c r="CV81" s="1629"/>
      <c r="CW81" s="1629"/>
      <c r="CX81" s="1629"/>
      <c r="CY81" s="1629"/>
      <c r="CZ81" s="1629"/>
      <c r="DA81" s="1629"/>
      <c r="DB81" s="1629"/>
      <c r="DC81" s="1629"/>
      <c r="DD81" s="1629"/>
      <c r="DE81" s="1629"/>
      <c r="DF81" s="1629"/>
      <c r="DG81" s="1629"/>
      <c r="DH81" s="1629"/>
      <c r="DI81" s="1629"/>
      <c r="DJ81" s="1629"/>
      <c r="DK81" s="1629"/>
      <c r="DL81" s="1629"/>
      <c r="DM81" s="1629"/>
      <c r="DN81" s="1629"/>
      <c r="DO81" s="1629"/>
      <c r="DP81" s="1629"/>
      <c r="DQ81" s="1629"/>
      <c r="DR81" s="1629"/>
      <c r="DS81" s="1629"/>
      <c r="DT81" s="1629"/>
      <c r="DU81" s="1629"/>
      <c r="DV81" s="1629"/>
      <c r="DW81" s="1629"/>
      <c r="DX81" s="1629"/>
      <c r="DY81" s="1629"/>
      <c r="DZ81" s="1629"/>
      <c r="EA81" s="1629"/>
      <c r="EB81" s="1629"/>
      <c r="EC81" s="1629"/>
      <c r="ED81" s="1629"/>
      <c r="EE81" s="1629"/>
      <c r="EF81" s="1629"/>
      <c r="EG81" s="1629"/>
      <c r="EH81" s="1629"/>
      <c r="EI81" s="1629"/>
      <c r="EJ81" s="1629"/>
      <c r="EK81" s="1629"/>
      <c r="EL81" s="1629"/>
      <c r="EM81" s="1629"/>
      <c r="EN81" s="1629"/>
      <c r="EO81" s="1629"/>
      <c r="EP81" s="1629"/>
      <c r="EQ81" s="1629"/>
      <c r="ER81" s="1629"/>
      <c r="ES81" s="1629"/>
      <c r="ET81" s="1629"/>
      <c r="EU81" s="1629"/>
      <c r="EV81" s="1629"/>
      <c r="EW81" s="1629"/>
      <c r="EX81" s="1629"/>
      <c r="EY81" s="1629"/>
      <c r="EZ81" s="1629"/>
      <c r="FA81" s="1629"/>
      <c r="FB81" s="1629"/>
      <c r="FC81" s="1629"/>
      <c r="FD81" s="1629"/>
      <c r="FE81" s="1629"/>
      <c r="FF81" s="1629"/>
      <c r="FG81" s="1629"/>
      <c r="FH81" s="1629"/>
      <c r="FI81" s="1629"/>
      <c r="FJ81" s="1629"/>
      <c r="FK81" s="1629"/>
      <c r="FL81" s="1629"/>
      <c r="FM81" s="1629"/>
      <c r="FN81" s="1629"/>
      <c r="FO81" s="1629"/>
      <c r="FP81" s="1629"/>
      <c r="FQ81" s="1629"/>
      <c r="FR81" s="1629"/>
      <c r="FS81" s="1629"/>
      <c r="FT81" s="1629"/>
      <c r="FU81" s="1629"/>
      <c r="FV81" s="1629"/>
      <c r="FW81" s="1629"/>
      <c r="FX81" s="1629"/>
      <c r="FY81" s="1629"/>
      <c r="FZ81" s="1629"/>
      <c r="GA81" s="1629"/>
      <c r="GB81" s="1629"/>
      <c r="GC81" s="1629"/>
      <c r="GD81" s="1629"/>
      <c r="GE81" s="1629"/>
      <c r="GF81" s="1629"/>
      <c r="GG81" s="1629"/>
      <c r="GH81" s="1629"/>
      <c r="GI81" s="1629"/>
      <c r="GJ81" s="1629"/>
      <c r="GK81" s="1629"/>
      <c r="GL81" s="1629"/>
      <c r="GM81" s="1629"/>
      <c r="GN81" s="1629"/>
      <c r="GO81" s="1629"/>
      <c r="GP81" s="1629"/>
      <c r="GQ81" s="1629"/>
      <c r="GR81" s="1629"/>
      <c r="GS81" s="1629"/>
      <c r="GT81" s="1629"/>
      <c r="GU81" s="1629"/>
      <c r="GV81" s="1629"/>
      <c r="GW81" s="1629"/>
      <c r="GX81" s="1629"/>
      <c r="GY81" s="1629"/>
      <c r="GZ81" s="1629"/>
      <c r="HA81" s="1629"/>
      <c r="HB81" s="1629"/>
      <c r="HC81" s="1629"/>
      <c r="HD81" s="1629"/>
      <c r="HE81" s="1629"/>
      <c r="HF81" s="1629"/>
      <c r="HG81" s="1629"/>
      <c r="HH81" s="1629"/>
      <c r="HI81" s="1629"/>
      <c r="HJ81" s="1629"/>
      <c r="HK81" s="1629"/>
      <c r="HL81" s="1629"/>
      <c r="HM81" s="1629"/>
      <c r="HN81" s="1629"/>
      <c r="HO81" s="1629"/>
      <c r="HP81" s="1629"/>
      <c r="HQ81" s="1629"/>
      <c r="HR81" s="1629"/>
      <c r="HS81" s="1629"/>
      <c r="HT81" s="1629"/>
      <c r="HU81" s="1629"/>
      <c r="HV81" s="1629"/>
      <c r="HW81" s="1629"/>
      <c r="HX81" s="1629"/>
      <c r="HY81" s="1629"/>
      <c r="HZ81" s="1629"/>
      <c r="IA81" s="1629"/>
      <c r="IB81" s="1629"/>
      <c r="IC81" s="1629"/>
      <c r="ID81" s="1629"/>
      <c r="IE81" s="1629"/>
      <c r="IF81" s="1629"/>
      <c r="IG81" s="1629"/>
      <c r="IH81" s="1629"/>
      <c r="II81" s="1629"/>
      <c r="IJ81" s="1629"/>
      <c r="IK81" s="1629"/>
      <c r="IL81" s="1629"/>
      <c r="IM81" s="1629"/>
      <c r="IN81" s="1629"/>
      <c r="IO81" s="1629"/>
      <c r="IP81" s="1629"/>
      <c r="IQ81" s="1629"/>
      <c r="IR81" s="1629"/>
      <c r="IS81" s="1629"/>
      <c r="IT81" s="1629"/>
      <c r="IU81" s="1629"/>
      <c r="IV81" s="1629"/>
    </row>
    <row r="82" spans="1:256" ht="36" hidden="1" customHeight="1" x14ac:dyDescent="0.2">
      <c r="A82" s="1696" t="s">
        <v>1786</v>
      </c>
      <c r="B82" s="657" t="s">
        <v>1787</v>
      </c>
      <c r="C82" s="1571" t="s">
        <v>1686</v>
      </c>
      <c r="D82" s="1553">
        <v>0</v>
      </c>
      <c r="E82" s="1666">
        <v>0</v>
      </c>
      <c r="F82" s="1553"/>
      <c r="G82" s="1552"/>
      <c r="H82" s="1554">
        <v>0</v>
      </c>
      <c r="I82" s="1552">
        <v>0</v>
      </c>
      <c r="J82" s="1553">
        <v>0</v>
      </c>
      <c r="K82" s="1552">
        <v>0</v>
      </c>
      <c r="L82" s="1553">
        <v>0</v>
      </c>
      <c r="M82" s="1552">
        <v>0</v>
      </c>
      <c r="N82" s="1553">
        <v>0</v>
      </c>
      <c r="O82" s="1552">
        <v>0</v>
      </c>
      <c r="P82" s="1553">
        <v>0</v>
      </c>
      <c r="Q82" s="1552">
        <v>0</v>
      </c>
      <c r="R82" s="1553">
        <v>0</v>
      </c>
      <c r="S82" s="1552">
        <v>0</v>
      </c>
      <c r="T82" s="1553">
        <v>0</v>
      </c>
      <c r="U82" s="1552">
        <v>0</v>
      </c>
      <c r="V82" s="1553">
        <v>0</v>
      </c>
      <c r="W82" s="1555">
        <v>0</v>
      </c>
      <c r="X82" s="1580">
        <v>0</v>
      </c>
      <c r="Y82" s="1588">
        <v>0</v>
      </c>
      <c r="Z82" s="1628"/>
      <c r="AA82" s="1628"/>
      <c r="AC82" s="1620"/>
      <c r="AD82" s="1620"/>
      <c r="AE82" s="1620"/>
      <c r="AF82" s="1620"/>
      <c r="AG82" s="1620"/>
      <c r="AH82" s="1620"/>
      <c r="AJ82" s="1620"/>
      <c r="AK82" s="1620"/>
      <c r="AL82" s="1620"/>
      <c r="AM82" s="1620"/>
      <c r="AN82" s="1620"/>
      <c r="AO82" s="1620"/>
    </row>
    <row r="83" spans="1:256" ht="24" hidden="1" customHeight="1" x14ac:dyDescent="0.2">
      <c r="A83" s="1696" t="s">
        <v>1788</v>
      </c>
      <c r="B83" s="657" t="s">
        <v>1789</v>
      </c>
      <c r="C83" s="1571" t="s">
        <v>1718</v>
      </c>
      <c r="D83" s="1553">
        <v>0</v>
      </c>
      <c r="E83" s="1666">
        <v>0</v>
      </c>
      <c r="F83" s="1553"/>
      <c r="G83" s="1552"/>
      <c r="H83" s="1554">
        <v>0</v>
      </c>
      <c r="I83" s="1552">
        <v>0</v>
      </c>
      <c r="J83" s="1553">
        <v>0</v>
      </c>
      <c r="K83" s="1552">
        <v>0</v>
      </c>
      <c r="L83" s="1553">
        <v>0</v>
      </c>
      <c r="M83" s="1552">
        <v>0</v>
      </c>
      <c r="N83" s="1553">
        <v>0</v>
      </c>
      <c r="O83" s="1552">
        <v>0</v>
      </c>
      <c r="P83" s="1553">
        <v>0</v>
      </c>
      <c r="Q83" s="1552">
        <v>0</v>
      </c>
      <c r="R83" s="1553">
        <v>0</v>
      </c>
      <c r="S83" s="1552">
        <v>0</v>
      </c>
      <c r="T83" s="1553">
        <v>0</v>
      </c>
      <c r="U83" s="1552">
        <v>0</v>
      </c>
      <c r="V83" s="1553">
        <v>0</v>
      </c>
      <c r="W83" s="1555">
        <v>0</v>
      </c>
      <c r="X83" s="1580">
        <v>0</v>
      </c>
      <c r="Y83" s="1588">
        <v>0</v>
      </c>
      <c r="Z83" s="1628"/>
      <c r="AA83" s="1628"/>
      <c r="AC83" s="1620"/>
      <c r="AD83" s="1620"/>
      <c r="AE83" s="1620"/>
      <c r="AF83" s="1620"/>
      <c r="AG83" s="1620"/>
      <c r="AH83" s="1620"/>
      <c r="AJ83" s="1620"/>
      <c r="AK83" s="1620"/>
      <c r="AL83" s="1620"/>
      <c r="AM83" s="1620"/>
      <c r="AN83" s="1620"/>
      <c r="AO83" s="1620"/>
    </row>
    <row r="84" spans="1:256" ht="36" hidden="1" customHeight="1" x14ac:dyDescent="0.2">
      <c r="A84" s="1701" t="s">
        <v>1790</v>
      </c>
      <c r="B84" s="1682" t="s">
        <v>1791</v>
      </c>
      <c r="C84" s="1572" t="s">
        <v>1721</v>
      </c>
      <c r="D84" s="1553">
        <f t="shared" ref="D84:W84" si="68">D82*D83/1000</f>
        <v>0</v>
      </c>
      <c r="E84" s="1552">
        <f t="shared" si="68"/>
        <v>0</v>
      </c>
      <c r="F84" s="1553"/>
      <c r="G84" s="1552"/>
      <c r="H84" s="1554">
        <f t="shared" si="68"/>
        <v>0</v>
      </c>
      <c r="I84" s="1552">
        <f t="shared" si="68"/>
        <v>0</v>
      </c>
      <c r="J84" s="1553">
        <f t="shared" si="68"/>
        <v>0</v>
      </c>
      <c r="K84" s="1552">
        <f t="shared" si="68"/>
        <v>0</v>
      </c>
      <c r="L84" s="1553">
        <f t="shared" si="68"/>
        <v>0</v>
      </c>
      <c r="M84" s="1552">
        <f t="shared" si="68"/>
        <v>0</v>
      </c>
      <c r="N84" s="1553">
        <f t="shared" si="68"/>
        <v>0</v>
      </c>
      <c r="O84" s="1552">
        <f t="shared" si="68"/>
        <v>0</v>
      </c>
      <c r="P84" s="1553">
        <f t="shared" si="68"/>
        <v>0</v>
      </c>
      <c r="Q84" s="1552">
        <f t="shared" si="68"/>
        <v>0</v>
      </c>
      <c r="R84" s="1553">
        <f t="shared" si="68"/>
        <v>0</v>
      </c>
      <c r="S84" s="1552">
        <f t="shared" si="68"/>
        <v>0</v>
      </c>
      <c r="T84" s="1553">
        <f t="shared" si="68"/>
        <v>0</v>
      </c>
      <c r="U84" s="1552">
        <f t="shared" si="68"/>
        <v>0</v>
      </c>
      <c r="V84" s="1553">
        <f t="shared" si="68"/>
        <v>0</v>
      </c>
      <c r="W84" s="1552">
        <f t="shared" si="68"/>
        <v>0</v>
      </c>
      <c r="X84" s="1580">
        <f t="shared" ref="X84:Y84" si="69">X82*X83/1000</f>
        <v>0</v>
      </c>
      <c r="Y84" s="1579">
        <f t="shared" si="69"/>
        <v>0</v>
      </c>
      <c r="Z84" s="1630"/>
      <c r="AA84" s="1630"/>
      <c r="AB84" s="1629"/>
      <c r="AC84" s="1620"/>
      <c r="AD84" s="1620"/>
      <c r="AE84" s="1620"/>
      <c r="AF84" s="1620"/>
      <c r="AG84" s="1620"/>
      <c r="AH84" s="1620"/>
      <c r="AI84" s="1629"/>
      <c r="AJ84" s="1631"/>
      <c r="AK84" s="1631"/>
      <c r="AL84" s="1631"/>
      <c r="AM84" s="1631"/>
      <c r="AN84" s="1631"/>
      <c r="AO84" s="1631"/>
      <c r="AP84" s="1629"/>
      <c r="AQ84" s="1629"/>
      <c r="AR84" s="1629"/>
      <c r="AS84" s="1629"/>
      <c r="AT84" s="1629"/>
      <c r="AU84" s="1629"/>
      <c r="AV84" s="1629"/>
      <c r="AW84" s="1629"/>
      <c r="AX84" s="1629"/>
      <c r="AY84" s="1629"/>
      <c r="AZ84" s="1629"/>
      <c r="BA84" s="1629"/>
      <c r="BB84" s="1629"/>
      <c r="BC84" s="1629"/>
      <c r="BD84" s="1629"/>
      <c r="BE84" s="1629"/>
      <c r="BF84" s="1629"/>
      <c r="BG84" s="1629"/>
      <c r="BH84" s="1629"/>
      <c r="BI84" s="1629"/>
      <c r="BJ84" s="1629"/>
      <c r="BK84" s="1629"/>
      <c r="BL84" s="1629"/>
      <c r="BM84" s="1629"/>
      <c r="BN84" s="1629"/>
      <c r="BO84" s="1629"/>
      <c r="BP84" s="1629"/>
      <c r="BQ84" s="1629"/>
      <c r="BR84" s="1629"/>
      <c r="BS84" s="1629"/>
      <c r="BT84" s="1629"/>
      <c r="BU84" s="1629"/>
      <c r="BV84" s="1629"/>
      <c r="BW84" s="1629"/>
      <c r="BX84" s="1629"/>
      <c r="BY84" s="1629"/>
      <c r="BZ84" s="1629"/>
      <c r="CA84" s="1629"/>
      <c r="CB84" s="1629"/>
      <c r="CC84" s="1629"/>
      <c r="CD84" s="1629"/>
      <c r="CE84" s="1629"/>
      <c r="CF84" s="1629"/>
      <c r="CG84" s="1629"/>
      <c r="CH84" s="1629"/>
      <c r="CI84" s="1629"/>
      <c r="CJ84" s="1629"/>
      <c r="CK84" s="1629"/>
      <c r="CL84" s="1629"/>
      <c r="CM84" s="1629"/>
      <c r="CN84" s="1629"/>
      <c r="CO84" s="1629"/>
      <c r="CP84" s="1629"/>
      <c r="CQ84" s="1629"/>
      <c r="CR84" s="1629"/>
      <c r="CS84" s="1629"/>
      <c r="CT84" s="1629"/>
      <c r="CU84" s="1629"/>
      <c r="CV84" s="1629"/>
      <c r="CW84" s="1629"/>
      <c r="CX84" s="1629"/>
      <c r="CY84" s="1629"/>
      <c r="CZ84" s="1629"/>
      <c r="DA84" s="1629"/>
      <c r="DB84" s="1629"/>
      <c r="DC84" s="1629"/>
      <c r="DD84" s="1629"/>
      <c r="DE84" s="1629"/>
      <c r="DF84" s="1629"/>
      <c r="DG84" s="1629"/>
      <c r="DH84" s="1629"/>
      <c r="DI84" s="1629"/>
      <c r="DJ84" s="1629"/>
      <c r="DK84" s="1629"/>
      <c r="DL84" s="1629"/>
      <c r="DM84" s="1629"/>
      <c r="DN84" s="1629"/>
      <c r="DO84" s="1629"/>
      <c r="DP84" s="1629"/>
      <c r="DQ84" s="1629"/>
      <c r="DR84" s="1629"/>
      <c r="DS84" s="1629"/>
      <c r="DT84" s="1629"/>
      <c r="DU84" s="1629"/>
      <c r="DV84" s="1629"/>
      <c r="DW84" s="1629"/>
      <c r="DX84" s="1629"/>
      <c r="DY84" s="1629"/>
      <c r="DZ84" s="1629"/>
      <c r="EA84" s="1629"/>
      <c r="EB84" s="1629"/>
      <c r="EC84" s="1629"/>
      <c r="ED84" s="1629"/>
      <c r="EE84" s="1629"/>
      <c r="EF84" s="1629"/>
      <c r="EG84" s="1629"/>
      <c r="EH84" s="1629"/>
      <c r="EI84" s="1629"/>
      <c r="EJ84" s="1629"/>
      <c r="EK84" s="1629"/>
      <c r="EL84" s="1629"/>
      <c r="EM84" s="1629"/>
      <c r="EN84" s="1629"/>
      <c r="EO84" s="1629"/>
      <c r="EP84" s="1629"/>
      <c r="EQ84" s="1629"/>
      <c r="ER84" s="1629"/>
      <c r="ES84" s="1629"/>
      <c r="ET84" s="1629"/>
      <c r="EU84" s="1629"/>
      <c r="EV84" s="1629"/>
      <c r="EW84" s="1629"/>
      <c r="EX84" s="1629"/>
      <c r="EY84" s="1629"/>
      <c r="EZ84" s="1629"/>
      <c r="FA84" s="1629"/>
      <c r="FB84" s="1629"/>
      <c r="FC84" s="1629"/>
      <c r="FD84" s="1629"/>
      <c r="FE84" s="1629"/>
      <c r="FF84" s="1629"/>
      <c r="FG84" s="1629"/>
      <c r="FH84" s="1629"/>
      <c r="FI84" s="1629"/>
      <c r="FJ84" s="1629"/>
      <c r="FK84" s="1629"/>
      <c r="FL84" s="1629"/>
      <c r="FM84" s="1629"/>
      <c r="FN84" s="1629"/>
      <c r="FO84" s="1629"/>
      <c r="FP84" s="1629"/>
      <c r="FQ84" s="1629"/>
      <c r="FR84" s="1629"/>
      <c r="FS84" s="1629"/>
      <c r="FT84" s="1629"/>
      <c r="FU84" s="1629"/>
      <c r="FV84" s="1629"/>
      <c r="FW84" s="1629"/>
      <c r="FX84" s="1629"/>
      <c r="FY84" s="1629"/>
      <c r="FZ84" s="1629"/>
      <c r="GA84" s="1629"/>
      <c r="GB84" s="1629"/>
      <c r="GC84" s="1629"/>
      <c r="GD84" s="1629"/>
      <c r="GE84" s="1629"/>
      <c r="GF84" s="1629"/>
      <c r="GG84" s="1629"/>
      <c r="GH84" s="1629"/>
      <c r="GI84" s="1629"/>
      <c r="GJ84" s="1629"/>
      <c r="GK84" s="1629"/>
      <c r="GL84" s="1629"/>
      <c r="GM84" s="1629"/>
      <c r="GN84" s="1629"/>
      <c r="GO84" s="1629"/>
      <c r="GP84" s="1629"/>
      <c r="GQ84" s="1629"/>
      <c r="GR84" s="1629"/>
      <c r="GS84" s="1629"/>
      <c r="GT84" s="1629"/>
      <c r="GU84" s="1629"/>
      <c r="GV84" s="1629"/>
      <c r="GW84" s="1629"/>
      <c r="GX84" s="1629"/>
      <c r="GY84" s="1629"/>
      <c r="GZ84" s="1629"/>
      <c r="HA84" s="1629"/>
      <c r="HB84" s="1629"/>
      <c r="HC84" s="1629"/>
      <c r="HD84" s="1629"/>
      <c r="HE84" s="1629"/>
      <c r="HF84" s="1629"/>
      <c r="HG84" s="1629"/>
      <c r="HH84" s="1629"/>
      <c r="HI84" s="1629"/>
      <c r="HJ84" s="1629"/>
      <c r="HK84" s="1629"/>
      <c r="HL84" s="1629"/>
      <c r="HM84" s="1629"/>
      <c r="HN84" s="1629"/>
      <c r="HO84" s="1629"/>
      <c r="HP84" s="1629"/>
      <c r="HQ84" s="1629"/>
      <c r="HR84" s="1629"/>
      <c r="HS84" s="1629"/>
      <c r="HT84" s="1629"/>
      <c r="HU84" s="1629"/>
      <c r="HV84" s="1629"/>
      <c r="HW84" s="1629"/>
      <c r="HX84" s="1629"/>
      <c r="HY84" s="1629"/>
      <c r="HZ84" s="1629"/>
      <c r="IA84" s="1629"/>
      <c r="IB84" s="1629"/>
      <c r="IC84" s="1629"/>
      <c r="ID84" s="1629"/>
      <c r="IE84" s="1629"/>
      <c r="IF84" s="1629"/>
      <c r="IG84" s="1629"/>
      <c r="IH84" s="1629"/>
      <c r="II84" s="1629"/>
      <c r="IJ84" s="1629"/>
      <c r="IK84" s="1629"/>
      <c r="IL84" s="1629"/>
      <c r="IM84" s="1629"/>
      <c r="IN84" s="1629"/>
      <c r="IO84" s="1629"/>
      <c r="IP84" s="1629"/>
      <c r="IQ84" s="1629"/>
      <c r="IR84" s="1629"/>
      <c r="IS84" s="1629"/>
      <c r="IT84" s="1629"/>
      <c r="IU84" s="1629"/>
      <c r="IV84" s="1629"/>
    </row>
    <row r="85" spans="1:256" ht="24" hidden="1" customHeight="1" x14ac:dyDescent="0.2">
      <c r="A85" s="1696" t="s">
        <v>1792</v>
      </c>
      <c r="B85" s="657" t="s">
        <v>1793</v>
      </c>
      <c r="C85" s="1571" t="s">
        <v>1686</v>
      </c>
      <c r="D85" s="1553">
        <v>0</v>
      </c>
      <c r="E85" s="1666">
        <v>0</v>
      </c>
      <c r="F85" s="1553"/>
      <c r="G85" s="1552"/>
      <c r="H85" s="1554">
        <v>0</v>
      </c>
      <c r="I85" s="1552">
        <v>0</v>
      </c>
      <c r="J85" s="1553">
        <v>0</v>
      </c>
      <c r="K85" s="1552">
        <v>0</v>
      </c>
      <c r="L85" s="1553">
        <v>0</v>
      </c>
      <c r="M85" s="1552">
        <v>0</v>
      </c>
      <c r="N85" s="1553">
        <v>0</v>
      </c>
      <c r="O85" s="1552">
        <v>0</v>
      </c>
      <c r="P85" s="1553">
        <v>0</v>
      </c>
      <c r="Q85" s="1552">
        <v>0</v>
      </c>
      <c r="R85" s="1553">
        <v>0</v>
      </c>
      <c r="S85" s="1552">
        <v>0</v>
      </c>
      <c r="T85" s="1553">
        <v>0</v>
      </c>
      <c r="U85" s="1552">
        <v>0</v>
      </c>
      <c r="V85" s="1553">
        <v>0</v>
      </c>
      <c r="W85" s="1555">
        <v>0</v>
      </c>
      <c r="X85" s="1580">
        <v>0</v>
      </c>
      <c r="Y85" s="1588">
        <v>0</v>
      </c>
      <c r="Z85" s="1628"/>
      <c r="AA85" s="1628"/>
      <c r="AC85" s="1620"/>
      <c r="AD85" s="1620"/>
      <c r="AE85" s="1620"/>
      <c r="AF85" s="1620"/>
      <c r="AG85" s="1620"/>
      <c r="AH85" s="1620"/>
      <c r="AJ85" s="1620"/>
      <c r="AK85" s="1620"/>
      <c r="AL85" s="1620"/>
      <c r="AM85" s="1620"/>
      <c r="AN85" s="1620"/>
      <c r="AO85" s="1620"/>
    </row>
    <row r="86" spans="1:256" ht="24" hidden="1" customHeight="1" x14ac:dyDescent="0.2">
      <c r="A86" s="1696" t="s">
        <v>1794</v>
      </c>
      <c r="B86" s="657" t="s">
        <v>1795</v>
      </c>
      <c r="C86" s="1571" t="s">
        <v>1718</v>
      </c>
      <c r="D86" s="1553">
        <v>0</v>
      </c>
      <c r="E86" s="1666">
        <v>0</v>
      </c>
      <c r="F86" s="1553"/>
      <c r="G86" s="1552"/>
      <c r="H86" s="1554">
        <v>0</v>
      </c>
      <c r="I86" s="1552">
        <v>0</v>
      </c>
      <c r="J86" s="1553">
        <v>0</v>
      </c>
      <c r="K86" s="1552">
        <v>0</v>
      </c>
      <c r="L86" s="1553">
        <v>0</v>
      </c>
      <c r="M86" s="1552">
        <v>0</v>
      </c>
      <c r="N86" s="1553">
        <v>0</v>
      </c>
      <c r="O86" s="1552">
        <v>0</v>
      </c>
      <c r="P86" s="1553">
        <v>0</v>
      </c>
      <c r="Q86" s="1552">
        <v>0</v>
      </c>
      <c r="R86" s="1553">
        <v>0</v>
      </c>
      <c r="S86" s="1552">
        <v>0</v>
      </c>
      <c r="T86" s="1553">
        <v>0</v>
      </c>
      <c r="U86" s="1552">
        <v>0</v>
      </c>
      <c r="V86" s="1553">
        <v>0</v>
      </c>
      <c r="W86" s="1555">
        <v>0</v>
      </c>
      <c r="X86" s="1580">
        <v>0</v>
      </c>
      <c r="Y86" s="1588">
        <v>0</v>
      </c>
      <c r="Z86" s="1628"/>
      <c r="AA86" s="1628"/>
      <c r="AC86" s="1620"/>
      <c r="AD86" s="1620"/>
      <c r="AE86" s="1620"/>
      <c r="AF86" s="1620"/>
      <c r="AG86" s="1620"/>
      <c r="AH86" s="1620"/>
      <c r="AJ86" s="1620"/>
      <c r="AK86" s="1620"/>
      <c r="AL86" s="1620"/>
      <c r="AM86" s="1620"/>
      <c r="AN86" s="1620"/>
      <c r="AO86" s="1620"/>
    </row>
    <row r="87" spans="1:256" ht="24" hidden="1" customHeight="1" x14ac:dyDescent="0.2">
      <c r="A87" s="1701" t="s">
        <v>1796</v>
      </c>
      <c r="B87" s="1682" t="s">
        <v>1797</v>
      </c>
      <c r="C87" s="1572" t="s">
        <v>1721</v>
      </c>
      <c r="D87" s="1553">
        <f t="shared" ref="D87:S87" si="70">D85*D86</f>
        <v>0</v>
      </c>
      <c r="E87" s="1552">
        <f t="shared" si="70"/>
        <v>0</v>
      </c>
      <c r="F87" s="1553"/>
      <c r="G87" s="1552"/>
      <c r="H87" s="1554">
        <f t="shared" si="70"/>
        <v>0</v>
      </c>
      <c r="I87" s="1552">
        <f t="shared" si="70"/>
        <v>0</v>
      </c>
      <c r="J87" s="1553">
        <f t="shared" si="70"/>
        <v>0</v>
      </c>
      <c r="K87" s="1552">
        <f t="shared" si="70"/>
        <v>0</v>
      </c>
      <c r="L87" s="1553">
        <f t="shared" si="70"/>
        <v>0</v>
      </c>
      <c r="M87" s="1552">
        <f t="shared" si="70"/>
        <v>0</v>
      </c>
      <c r="N87" s="1553">
        <f t="shared" si="70"/>
        <v>0</v>
      </c>
      <c r="O87" s="1552">
        <f t="shared" si="70"/>
        <v>0</v>
      </c>
      <c r="P87" s="1553">
        <f t="shared" si="70"/>
        <v>0</v>
      </c>
      <c r="Q87" s="1552">
        <f t="shared" si="70"/>
        <v>0</v>
      </c>
      <c r="R87" s="1553">
        <f t="shared" si="70"/>
        <v>0</v>
      </c>
      <c r="S87" s="1552">
        <f t="shared" si="70"/>
        <v>0</v>
      </c>
      <c r="T87" s="1553">
        <f t="shared" ref="T87:Y87" si="71">T85*T86</f>
        <v>0</v>
      </c>
      <c r="U87" s="1552">
        <f t="shared" si="71"/>
        <v>0</v>
      </c>
      <c r="V87" s="1553">
        <f t="shared" si="71"/>
        <v>0</v>
      </c>
      <c r="W87" s="1552">
        <f t="shared" si="71"/>
        <v>0</v>
      </c>
      <c r="X87" s="1580">
        <f t="shared" si="71"/>
        <v>0</v>
      </c>
      <c r="Y87" s="1579">
        <f t="shared" si="71"/>
        <v>0</v>
      </c>
      <c r="Z87" s="1630"/>
      <c r="AA87" s="1630"/>
      <c r="AB87" s="1629"/>
      <c r="AC87" s="1620"/>
      <c r="AD87" s="1620"/>
      <c r="AE87" s="1620"/>
      <c r="AF87" s="1620"/>
      <c r="AG87" s="1620"/>
      <c r="AH87" s="1620"/>
      <c r="AI87" s="1629"/>
      <c r="AJ87" s="1631"/>
      <c r="AK87" s="1631"/>
      <c r="AL87" s="1631"/>
      <c r="AM87" s="1631"/>
      <c r="AN87" s="1631"/>
      <c r="AO87" s="1631"/>
      <c r="AP87" s="1629"/>
      <c r="AQ87" s="1629"/>
      <c r="AR87" s="1629"/>
      <c r="AS87" s="1629"/>
      <c r="AT87" s="1629"/>
      <c r="AU87" s="1629"/>
      <c r="AV87" s="1629"/>
      <c r="AW87" s="1629"/>
      <c r="AX87" s="1629"/>
      <c r="AY87" s="1629"/>
      <c r="AZ87" s="1629"/>
      <c r="BA87" s="1629"/>
      <c r="BB87" s="1629"/>
      <c r="BC87" s="1629"/>
      <c r="BD87" s="1629"/>
      <c r="BE87" s="1629"/>
      <c r="BF87" s="1629"/>
      <c r="BG87" s="1629"/>
      <c r="BH87" s="1629"/>
      <c r="BI87" s="1629"/>
      <c r="BJ87" s="1629"/>
      <c r="BK87" s="1629"/>
      <c r="BL87" s="1629"/>
      <c r="BM87" s="1629"/>
      <c r="BN87" s="1629"/>
      <c r="BO87" s="1629"/>
      <c r="BP87" s="1629"/>
      <c r="BQ87" s="1629"/>
      <c r="BR87" s="1629"/>
      <c r="BS87" s="1629"/>
      <c r="BT87" s="1629"/>
      <c r="BU87" s="1629"/>
      <c r="BV87" s="1629"/>
      <c r="BW87" s="1629"/>
      <c r="BX87" s="1629"/>
      <c r="BY87" s="1629"/>
      <c r="BZ87" s="1629"/>
      <c r="CA87" s="1629"/>
      <c r="CB87" s="1629"/>
      <c r="CC87" s="1629"/>
      <c r="CD87" s="1629"/>
      <c r="CE87" s="1629"/>
      <c r="CF87" s="1629"/>
      <c r="CG87" s="1629"/>
      <c r="CH87" s="1629"/>
      <c r="CI87" s="1629"/>
      <c r="CJ87" s="1629"/>
      <c r="CK87" s="1629"/>
      <c r="CL87" s="1629"/>
      <c r="CM87" s="1629"/>
      <c r="CN87" s="1629"/>
      <c r="CO87" s="1629"/>
      <c r="CP87" s="1629"/>
      <c r="CQ87" s="1629"/>
      <c r="CR87" s="1629"/>
      <c r="CS87" s="1629"/>
      <c r="CT87" s="1629"/>
      <c r="CU87" s="1629"/>
      <c r="CV87" s="1629"/>
      <c r="CW87" s="1629"/>
      <c r="CX87" s="1629"/>
      <c r="CY87" s="1629"/>
      <c r="CZ87" s="1629"/>
      <c r="DA87" s="1629"/>
      <c r="DB87" s="1629"/>
      <c r="DC87" s="1629"/>
      <c r="DD87" s="1629"/>
      <c r="DE87" s="1629"/>
      <c r="DF87" s="1629"/>
      <c r="DG87" s="1629"/>
      <c r="DH87" s="1629"/>
      <c r="DI87" s="1629"/>
      <c r="DJ87" s="1629"/>
      <c r="DK87" s="1629"/>
      <c r="DL87" s="1629"/>
      <c r="DM87" s="1629"/>
      <c r="DN87" s="1629"/>
      <c r="DO87" s="1629"/>
      <c r="DP87" s="1629"/>
      <c r="DQ87" s="1629"/>
      <c r="DR87" s="1629"/>
      <c r="DS87" s="1629"/>
      <c r="DT87" s="1629"/>
      <c r="DU87" s="1629"/>
      <c r="DV87" s="1629"/>
      <c r="DW87" s="1629"/>
      <c r="DX87" s="1629"/>
      <c r="DY87" s="1629"/>
      <c r="DZ87" s="1629"/>
      <c r="EA87" s="1629"/>
      <c r="EB87" s="1629"/>
      <c r="EC87" s="1629"/>
      <c r="ED87" s="1629"/>
      <c r="EE87" s="1629"/>
      <c r="EF87" s="1629"/>
      <c r="EG87" s="1629"/>
      <c r="EH87" s="1629"/>
      <c r="EI87" s="1629"/>
      <c r="EJ87" s="1629"/>
      <c r="EK87" s="1629"/>
      <c r="EL87" s="1629"/>
      <c r="EM87" s="1629"/>
      <c r="EN87" s="1629"/>
      <c r="EO87" s="1629"/>
      <c r="EP87" s="1629"/>
      <c r="EQ87" s="1629"/>
      <c r="ER87" s="1629"/>
      <c r="ES87" s="1629"/>
      <c r="ET87" s="1629"/>
      <c r="EU87" s="1629"/>
      <c r="EV87" s="1629"/>
      <c r="EW87" s="1629"/>
      <c r="EX87" s="1629"/>
      <c r="EY87" s="1629"/>
      <c r="EZ87" s="1629"/>
      <c r="FA87" s="1629"/>
      <c r="FB87" s="1629"/>
      <c r="FC87" s="1629"/>
      <c r="FD87" s="1629"/>
      <c r="FE87" s="1629"/>
      <c r="FF87" s="1629"/>
      <c r="FG87" s="1629"/>
      <c r="FH87" s="1629"/>
      <c r="FI87" s="1629"/>
      <c r="FJ87" s="1629"/>
      <c r="FK87" s="1629"/>
      <c r="FL87" s="1629"/>
      <c r="FM87" s="1629"/>
      <c r="FN87" s="1629"/>
      <c r="FO87" s="1629"/>
      <c r="FP87" s="1629"/>
      <c r="FQ87" s="1629"/>
      <c r="FR87" s="1629"/>
      <c r="FS87" s="1629"/>
      <c r="FT87" s="1629"/>
      <c r="FU87" s="1629"/>
      <c r="FV87" s="1629"/>
      <c r="FW87" s="1629"/>
      <c r="FX87" s="1629"/>
      <c r="FY87" s="1629"/>
      <c r="FZ87" s="1629"/>
      <c r="GA87" s="1629"/>
      <c r="GB87" s="1629"/>
      <c r="GC87" s="1629"/>
      <c r="GD87" s="1629"/>
      <c r="GE87" s="1629"/>
      <c r="GF87" s="1629"/>
      <c r="GG87" s="1629"/>
      <c r="GH87" s="1629"/>
      <c r="GI87" s="1629"/>
      <c r="GJ87" s="1629"/>
      <c r="GK87" s="1629"/>
      <c r="GL87" s="1629"/>
      <c r="GM87" s="1629"/>
      <c r="GN87" s="1629"/>
      <c r="GO87" s="1629"/>
      <c r="GP87" s="1629"/>
      <c r="GQ87" s="1629"/>
      <c r="GR87" s="1629"/>
      <c r="GS87" s="1629"/>
      <c r="GT87" s="1629"/>
      <c r="GU87" s="1629"/>
      <c r="GV87" s="1629"/>
      <c r="GW87" s="1629"/>
      <c r="GX87" s="1629"/>
      <c r="GY87" s="1629"/>
      <c r="GZ87" s="1629"/>
      <c r="HA87" s="1629"/>
      <c r="HB87" s="1629"/>
      <c r="HC87" s="1629"/>
      <c r="HD87" s="1629"/>
      <c r="HE87" s="1629"/>
      <c r="HF87" s="1629"/>
      <c r="HG87" s="1629"/>
      <c r="HH87" s="1629"/>
      <c r="HI87" s="1629"/>
      <c r="HJ87" s="1629"/>
      <c r="HK87" s="1629"/>
      <c r="HL87" s="1629"/>
      <c r="HM87" s="1629"/>
      <c r="HN87" s="1629"/>
      <c r="HO87" s="1629"/>
      <c r="HP87" s="1629"/>
      <c r="HQ87" s="1629"/>
      <c r="HR87" s="1629"/>
      <c r="HS87" s="1629"/>
      <c r="HT87" s="1629"/>
      <c r="HU87" s="1629"/>
      <c r="HV87" s="1629"/>
      <c r="HW87" s="1629"/>
      <c r="HX87" s="1629"/>
      <c r="HY87" s="1629"/>
      <c r="HZ87" s="1629"/>
      <c r="IA87" s="1629"/>
      <c r="IB87" s="1629"/>
      <c r="IC87" s="1629"/>
      <c r="ID87" s="1629"/>
      <c r="IE87" s="1629"/>
      <c r="IF87" s="1629"/>
      <c r="IG87" s="1629"/>
      <c r="IH87" s="1629"/>
      <c r="II87" s="1629"/>
      <c r="IJ87" s="1629"/>
      <c r="IK87" s="1629"/>
      <c r="IL87" s="1629"/>
      <c r="IM87" s="1629"/>
      <c r="IN87" s="1629"/>
      <c r="IO87" s="1629"/>
      <c r="IP87" s="1629"/>
      <c r="IQ87" s="1629"/>
      <c r="IR87" s="1629"/>
      <c r="IS87" s="1629"/>
      <c r="IT87" s="1629"/>
      <c r="IU87" s="1629"/>
      <c r="IV87" s="1629"/>
    </row>
    <row r="88" spans="1:256" s="1598" customFormat="1" ht="24" x14ac:dyDescent="0.2">
      <c r="A88" s="1702" t="s">
        <v>1798</v>
      </c>
      <c r="B88" s="1689" t="s">
        <v>1799</v>
      </c>
      <c r="C88" s="1572" t="s">
        <v>1721</v>
      </c>
      <c r="D88" s="1879">
        <f t="shared" ref="D88:S88" si="72">D33+D84+D87</f>
        <v>432.04204999999996</v>
      </c>
      <c r="E88" s="1879">
        <f t="shared" si="72"/>
        <v>98.063059999999993</v>
      </c>
      <c r="F88" s="1880">
        <f t="shared" si="72"/>
        <v>436.42899999999997</v>
      </c>
      <c r="G88" s="1881">
        <f t="shared" si="72"/>
        <v>103.536</v>
      </c>
      <c r="H88" s="1880">
        <f t="shared" si="72"/>
        <v>682.89317396693582</v>
      </c>
      <c r="I88" s="1881">
        <f t="shared" si="72"/>
        <v>184.05095905771148</v>
      </c>
      <c r="J88" s="1882">
        <f t="shared" si="72"/>
        <v>40.354423774035773</v>
      </c>
      <c r="K88" s="1881">
        <f t="shared" si="72"/>
        <v>10.425614594734061</v>
      </c>
      <c r="L88" s="1882">
        <f t="shared" si="72"/>
        <v>637.98851894289999</v>
      </c>
      <c r="M88" s="1881">
        <f t="shared" si="72"/>
        <v>169.58562696297739</v>
      </c>
      <c r="N88" s="1882">
        <f t="shared" si="72"/>
        <v>0.12564450000000002</v>
      </c>
      <c r="O88" s="1881">
        <f t="shared" si="72"/>
        <v>0.11154779999999999</v>
      </c>
      <c r="P88" s="1882">
        <f t="shared" si="72"/>
        <v>1.5885449999999999</v>
      </c>
      <c r="Q88" s="1881">
        <f t="shared" si="72"/>
        <v>1.4103179999999997</v>
      </c>
      <c r="R88" s="1882">
        <f t="shared" si="72"/>
        <v>0.94233374999999997</v>
      </c>
      <c r="S88" s="1881">
        <f t="shared" si="72"/>
        <v>0.83660850000000009</v>
      </c>
      <c r="T88" s="1882">
        <f t="shared" ref="T88:Y88" si="73">T33+T84+T87</f>
        <v>1.1260034999999997</v>
      </c>
      <c r="U88" s="1881">
        <f t="shared" si="73"/>
        <v>0.99967139999999988</v>
      </c>
      <c r="V88" s="1882">
        <f t="shared" si="73"/>
        <v>0.7677044999999999</v>
      </c>
      <c r="W88" s="1881">
        <f t="shared" si="73"/>
        <v>0.68157179999999995</v>
      </c>
      <c r="X88" s="1649">
        <f t="shared" si="73"/>
        <v>39.965470466935649</v>
      </c>
      <c r="Y88" s="1590">
        <f t="shared" si="73"/>
        <v>9.7510678377114353</v>
      </c>
      <c r="Z88" s="1632"/>
      <c r="AA88" s="1632"/>
      <c r="AB88" s="1633"/>
      <c r="AC88" s="1634"/>
      <c r="AD88" s="1634"/>
      <c r="AE88" s="1634"/>
      <c r="AF88" s="1634"/>
      <c r="AG88" s="1634"/>
      <c r="AH88" s="1634"/>
      <c r="AI88" s="1633"/>
      <c r="AJ88" s="1635"/>
      <c r="AK88" s="1635"/>
      <c r="AL88" s="1635"/>
      <c r="AM88" s="1635"/>
      <c r="AN88" s="1635"/>
      <c r="AO88" s="1635"/>
      <c r="AP88" s="1633"/>
      <c r="AQ88" s="1633"/>
      <c r="AR88" s="1633"/>
      <c r="AS88" s="1633"/>
      <c r="AT88" s="1633"/>
      <c r="AU88" s="1633"/>
      <c r="AV88" s="1633"/>
      <c r="AW88" s="1633"/>
      <c r="AX88" s="1633"/>
      <c r="AY88" s="1633"/>
      <c r="AZ88" s="1633"/>
      <c r="BA88" s="1633"/>
      <c r="BB88" s="1633"/>
      <c r="BC88" s="1633"/>
      <c r="BD88" s="1633"/>
      <c r="BE88" s="1633"/>
      <c r="BF88" s="1633"/>
      <c r="BG88" s="1633"/>
      <c r="BH88" s="1633"/>
      <c r="BI88" s="1633"/>
      <c r="BJ88" s="1633"/>
      <c r="BK88" s="1633"/>
      <c r="BL88" s="1633"/>
      <c r="BM88" s="1633"/>
      <c r="BN88" s="1633"/>
      <c r="BO88" s="1633"/>
      <c r="BP88" s="1633"/>
      <c r="BQ88" s="1633"/>
      <c r="BR88" s="1633"/>
      <c r="BS88" s="1633"/>
      <c r="BT88" s="1633"/>
      <c r="BU88" s="1633"/>
      <c r="BV88" s="1633"/>
      <c r="BW88" s="1633"/>
      <c r="BX88" s="1633"/>
      <c r="BY88" s="1633"/>
      <c r="BZ88" s="1633"/>
      <c r="CA88" s="1633"/>
      <c r="CB88" s="1633"/>
      <c r="CC88" s="1633"/>
      <c r="CD88" s="1633"/>
      <c r="CE88" s="1633"/>
      <c r="CF88" s="1633"/>
      <c r="CG88" s="1633"/>
      <c r="CH88" s="1633"/>
      <c r="CI88" s="1633"/>
      <c r="CJ88" s="1633"/>
      <c r="CK88" s="1633"/>
      <c r="CL88" s="1633"/>
      <c r="CM88" s="1633"/>
      <c r="CN88" s="1633"/>
      <c r="CO88" s="1633"/>
      <c r="CP88" s="1633"/>
      <c r="CQ88" s="1633"/>
      <c r="CR88" s="1633"/>
      <c r="CS88" s="1633"/>
      <c r="CT88" s="1633"/>
      <c r="CU88" s="1633"/>
      <c r="CV88" s="1633"/>
      <c r="CW88" s="1633"/>
      <c r="CX88" s="1633"/>
      <c r="CY88" s="1633"/>
      <c r="CZ88" s="1633"/>
      <c r="DA88" s="1633"/>
      <c r="DB88" s="1633"/>
      <c r="DC88" s="1633"/>
      <c r="DD88" s="1633"/>
      <c r="DE88" s="1633"/>
      <c r="DF88" s="1633"/>
      <c r="DG88" s="1633"/>
      <c r="DH88" s="1633"/>
      <c r="DI88" s="1633"/>
      <c r="DJ88" s="1633"/>
      <c r="DK88" s="1633"/>
      <c r="DL88" s="1633"/>
      <c r="DM88" s="1633"/>
      <c r="DN88" s="1633"/>
      <c r="DO88" s="1633"/>
      <c r="DP88" s="1633"/>
      <c r="DQ88" s="1633"/>
      <c r="DR88" s="1633"/>
      <c r="DS88" s="1633"/>
      <c r="DT88" s="1633"/>
      <c r="DU88" s="1633"/>
      <c r="DV88" s="1633"/>
      <c r="DW88" s="1633"/>
      <c r="DX88" s="1633"/>
      <c r="DY88" s="1633"/>
      <c r="DZ88" s="1633"/>
      <c r="EA88" s="1633"/>
      <c r="EB88" s="1633"/>
      <c r="EC88" s="1633"/>
      <c r="ED88" s="1633"/>
      <c r="EE88" s="1633"/>
      <c r="EF88" s="1633"/>
      <c r="EG88" s="1633"/>
      <c r="EH88" s="1633"/>
      <c r="EI88" s="1633"/>
      <c r="EJ88" s="1633"/>
      <c r="EK88" s="1633"/>
      <c r="EL88" s="1633"/>
      <c r="EM88" s="1633"/>
      <c r="EN88" s="1633"/>
      <c r="EO88" s="1633"/>
      <c r="EP88" s="1633"/>
      <c r="EQ88" s="1633"/>
      <c r="ER88" s="1633"/>
      <c r="ES88" s="1633"/>
      <c r="ET88" s="1633"/>
      <c r="EU88" s="1633"/>
      <c r="EV88" s="1633"/>
      <c r="EW88" s="1633"/>
      <c r="EX88" s="1633"/>
      <c r="EY88" s="1633"/>
      <c r="EZ88" s="1633"/>
      <c r="FA88" s="1633"/>
      <c r="FB88" s="1633"/>
      <c r="FC88" s="1633"/>
      <c r="FD88" s="1633"/>
      <c r="FE88" s="1633"/>
      <c r="FF88" s="1633"/>
      <c r="FG88" s="1633"/>
      <c r="FH88" s="1633"/>
      <c r="FI88" s="1633"/>
      <c r="FJ88" s="1633"/>
      <c r="FK88" s="1633"/>
      <c r="FL88" s="1633"/>
      <c r="FM88" s="1633"/>
      <c r="FN88" s="1633"/>
      <c r="FO88" s="1633"/>
      <c r="FP88" s="1633"/>
      <c r="FQ88" s="1633"/>
      <c r="FR88" s="1633"/>
      <c r="FS88" s="1633"/>
      <c r="FT88" s="1633"/>
      <c r="FU88" s="1633"/>
      <c r="FV88" s="1633"/>
      <c r="FW88" s="1633"/>
      <c r="FX88" s="1633"/>
      <c r="FY88" s="1633"/>
      <c r="FZ88" s="1633"/>
      <c r="GA88" s="1633"/>
      <c r="GB88" s="1633"/>
      <c r="GC88" s="1633"/>
      <c r="GD88" s="1633"/>
      <c r="GE88" s="1633"/>
      <c r="GF88" s="1633"/>
      <c r="GG88" s="1633"/>
      <c r="GH88" s="1633"/>
      <c r="GI88" s="1633"/>
      <c r="GJ88" s="1633"/>
      <c r="GK88" s="1633"/>
      <c r="GL88" s="1633"/>
      <c r="GM88" s="1633"/>
      <c r="GN88" s="1633"/>
      <c r="GO88" s="1633"/>
      <c r="GP88" s="1633"/>
      <c r="GQ88" s="1633"/>
      <c r="GR88" s="1633"/>
      <c r="GS88" s="1633"/>
      <c r="GT88" s="1633"/>
      <c r="GU88" s="1633"/>
      <c r="GV88" s="1633"/>
      <c r="GW88" s="1633"/>
      <c r="GX88" s="1633"/>
      <c r="GY88" s="1633"/>
      <c r="GZ88" s="1633"/>
      <c r="HA88" s="1633"/>
      <c r="HB88" s="1633"/>
      <c r="HC88" s="1633"/>
      <c r="HD88" s="1633"/>
      <c r="HE88" s="1633"/>
      <c r="HF88" s="1633"/>
      <c r="HG88" s="1633"/>
      <c r="HH88" s="1633"/>
      <c r="HI88" s="1633"/>
      <c r="HJ88" s="1633"/>
      <c r="HK88" s="1633"/>
      <c r="HL88" s="1633"/>
      <c r="HM88" s="1633"/>
      <c r="HN88" s="1633"/>
      <c r="HO88" s="1633"/>
      <c r="HP88" s="1633"/>
      <c r="HQ88" s="1633"/>
      <c r="HR88" s="1633"/>
      <c r="HS88" s="1633"/>
      <c r="HT88" s="1633"/>
      <c r="HU88" s="1633"/>
      <c r="HV88" s="1633"/>
      <c r="HW88" s="1633"/>
      <c r="HX88" s="1633"/>
      <c r="HY88" s="1633"/>
      <c r="HZ88" s="1633"/>
      <c r="IA88" s="1633"/>
      <c r="IB88" s="1633"/>
      <c r="IC88" s="1633"/>
      <c r="ID88" s="1633"/>
      <c r="IE88" s="1633"/>
      <c r="IF88" s="1633"/>
      <c r="IG88" s="1633"/>
      <c r="IH88" s="1633"/>
      <c r="II88" s="1633"/>
      <c r="IJ88" s="1633"/>
      <c r="IK88" s="1633"/>
      <c r="IL88" s="1633"/>
      <c r="IM88" s="1633"/>
      <c r="IN88" s="1633"/>
      <c r="IO88" s="1633"/>
      <c r="IP88" s="1633"/>
      <c r="IQ88" s="1633"/>
      <c r="IR88" s="1633"/>
      <c r="IS88" s="1633"/>
      <c r="IT88" s="1633"/>
      <c r="IU88" s="1633"/>
      <c r="IV88" s="1633"/>
    </row>
    <row r="89" spans="1:256" ht="36" customHeight="1" x14ac:dyDescent="0.2">
      <c r="A89" s="1703" t="s">
        <v>1800</v>
      </c>
      <c r="B89" s="1690" t="s">
        <v>1801</v>
      </c>
      <c r="C89" s="1545" t="s">
        <v>74</v>
      </c>
      <c r="D89" s="1669">
        <f t="shared" ref="D89:U89" si="74">D88/D90</f>
        <v>5.053361875031178</v>
      </c>
      <c r="E89" s="1670">
        <f t="shared" si="74"/>
        <v>1.1469905041717465</v>
      </c>
      <c r="F89" s="1671">
        <f t="shared" si="74"/>
        <v>5.0606331168831167</v>
      </c>
      <c r="G89" s="1552">
        <f t="shared" si="74"/>
        <v>1.200556586270872</v>
      </c>
      <c r="H89" s="1671">
        <f>J89+L89+N89+P89+R89+T89+V89</f>
        <v>173.75782717324068</v>
      </c>
      <c r="I89" s="1671">
        <f>K89+M89+O89+Q89+S89+U89+W89</f>
        <v>46.845831886083815</v>
      </c>
      <c r="J89" s="1553">
        <f t="shared" si="74"/>
        <v>8.9840322841935976</v>
      </c>
      <c r="K89" s="1552">
        <f t="shared" si="74"/>
        <v>2.3210356967583476</v>
      </c>
      <c r="L89" s="1553">
        <f t="shared" si="74"/>
        <v>163.60692538824244</v>
      </c>
      <c r="M89" s="1552">
        <f t="shared" si="74"/>
        <v>43.48884375446476</v>
      </c>
      <c r="N89" s="1553">
        <f t="shared" si="74"/>
        <v>3.2220501978630155E-2</v>
      </c>
      <c r="O89" s="1552">
        <f t="shared" si="74"/>
        <v>2.8605518829808229E-2</v>
      </c>
      <c r="P89" s="1553">
        <f t="shared" si="74"/>
        <v>0.40736934219677767</v>
      </c>
      <c r="Q89" s="1552">
        <f t="shared" si="74"/>
        <v>0.36166448916982208</v>
      </c>
      <c r="R89" s="1553">
        <f t="shared" si="74"/>
        <v>0.24165376483972612</v>
      </c>
      <c r="S89" s="1552">
        <f t="shared" si="74"/>
        <v>0.21454139122356175</v>
      </c>
      <c r="T89" s="1553">
        <f t="shared" si="74"/>
        <v>0.28875436648396441</v>
      </c>
      <c r="U89" s="1552">
        <f t="shared" si="74"/>
        <v>0.25635753512234893</v>
      </c>
      <c r="V89" s="1553">
        <f>V88/V90</f>
        <v>0.19687152530555072</v>
      </c>
      <c r="W89" s="1552">
        <f>W88/W90</f>
        <v>0.17478350051517186</v>
      </c>
      <c r="X89" s="1650">
        <f>X88/X90</f>
        <v>10.248817260260378</v>
      </c>
      <c r="Y89" s="1546">
        <f>Y88/Y90</f>
        <v>2.5005814067367704</v>
      </c>
      <c r="Z89" s="1631"/>
      <c r="AA89" s="1631"/>
      <c r="AB89" s="1629"/>
      <c r="AC89" s="1620"/>
      <c r="AD89" s="1620"/>
      <c r="AE89" s="1620"/>
      <c r="AF89" s="1620"/>
      <c r="AG89" s="1620"/>
      <c r="AH89" s="1620"/>
      <c r="AI89" s="1629"/>
      <c r="AJ89" s="1631"/>
      <c r="AK89" s="1631"/>
      <c r="AL89" s="1631"/>
      <c r="AM89" s="1631"/>
      <c r="AN89" s="1631"/>
      <c r="AO89" s="1631"/>
      <c r="AP89" s="1629"/>
      <c r="AQ89" s="1629"/>
      <c r="AR89" s="1629"/>
      <c r="AS89" s="1629"/>
      <c r="AT89" s="1629"/>
      <c r="AU89" s="1629"/>
      <c r="AV89" s="1629"/>
      <c r="AW89" s="1629"/>
      <c r="AX89" s="1629"/>
      <c r="AY89" s="1629"/>
      <c r="AZ89" s="1629"/>
      <c r="BA89" s="1629"/>
      <c r="BB89" s="1629"/>
      <c r="BC89" s="1629"/>
      <c r="BD89" s="1629"/>
      <c r="BE89" s="1629"/>
      <c r="BF89" s="1629"/>
      <c r="BG89" s="1629"/>
      <c r="BH89" s="1629"/>
      <c r="BI89" s="1629"/>
      <c r="BJ89" s="1629"/>
      <c r="BK89" s="1629"/>
      <c r="BL89" s="1629"/>
      <c r="BM89" s="1629"/>
      <c r="BN89" s="1629"/>
      <c r="BO89" s="1629"/>
      <c r="BP89" s="1629"/>
      <c r="BQ89" s="1629"/>
      <c r="BR89" s="1629"/>
      <c r="BS89" s="1629"/>
      <c r="BT89" s="1629"/>
      <c r="BU89" s="1629"/>
      <c r="BV89" s="1629"/>
      <c r="BW89" s="1629"/>
      <c r="BX89" s="1629"/>
      <c r="BY89" s="1629"/>
      <c r="BZ89" s="1629"/>
      <c r="CA89" s="1629"/>
      <c r="CB89" s="1629"/>
      <c r="CC89" s="1629"/>
      <c r="CD89" s="1629"/>
      <c r="CE89" s="1629"/>
      <c r="CF89" s="1629"/>
      <c r="CG89" s="1629"/>
      <c r="CH89" s="1629"/>
      <c r="CI89" s="1629"/>
      <c r="CJ89" s="1629"/>
      <c r="CK89" s="1629"/>
      <c r="CL89" s="1629"/>
      <c r="CM89" s="1629"/>
      <c r="CN89" s="1629"/>
      <c r="CO89" s="1629"/>
      <c r="CP89" s="1629"/>
      <c r="CQ89" s="1629"/>
      <c r="CR89" s="1629"/>
      <c r="CS89" s="1629"/>
      <c r="CT89" s="1629"/>
      <c r="CU89" s="1629"/>
      <c r="CV89" s="1629"/>
      <c r="CW89" s="1629"/>
      <c r="CX89" s="1629"/>
      <c r="CY89" s="1629"/>
      <c r="CZ89" s="1629"/>
      <c r="DA89" s="1629"/>
      <c r="DB89" s="1629"/>
      <c r="DC89" s="1629"/>
      <c r="DD89" s="1629"/>
      <c r="DE89" s="1629"/>
      <c r="DF89" s="1629"/>
      <c r="DG89" s="1629"/>
      <c r="DH89" s="1629"/>
      <c r="DI89" s="1629"/>
      <c r="DJ89" s="1629"/>
      <c r="DK89" s="1629"/>
      <c r="DL89" s="1629"/>
      <c r="DM89" s="1629"/>
      <c r="DN89" s="1629"/>
      <c r="DO89" s="1629"/>
      <c r="DP89" s="1629"/>
      <c r="DQ89" s="1629"/>
      <c r="DR89" s="1629"/>
      <c r="DS89" s="1629"/>
      <c r="DT89" s="1629"/>
      <c r="DU89" s="1629"/>
      <c r="DV89" s="1629"/>
      <c r="DW89" s="1629"/>
      <c r="DX89" s="1629"/>
      <c r="DY89" s="1629"/>
      <c r="DZ89" s="1629"/>
      <c r="EA89" s="1629"/>
      <c r="EB89" s="1629"/>
      <c r="EC89" s="1629"/>
      <c r="ED89" s="1629"/>
      <c r="EE89" s="1629"/>
      <c r="EF89" s="1629"/>
      <c r="EG89" s="1629"/>
      <c r="EH89" s="1629"/>
      <c r="EI89" s="1629"/>
      <c r="EJ89" s="1629"/>
      <c r="EK89" s="1629"/>
      <c r="EL89" s="1629"/>
      <c r="EM89" s="1629"/>
      <c r="EN89" s="1629"/>
      <c r="EO89" s="1629"/>
      <c r="EP89" s="1629"/>
      <c r="EQ89" s="1629"/>
      <c r="ER89" s="1629"/>
      <c r="ES89" s="1629"/>
      <c r="ET89" s="1629"/>
      <c r="EU89" s="1629"/>
      <c r="EV89" s="1629"/>
      <c r="EW89" s="1629"/>
      <c r="EX89" s="1629"/>
      <c r="EY89" s="1629"/>
      <c r="EZ89" s="1629"/>
      <c r="FA89" s="1629"/>
      <c r="FB89" s="1629"/>
      <c r="FC89" s="1629"/>
      <c r="FD89" s="1629"/>
      <c r="FE89" s="1629"/>
      <c r="FF89" s="1629"/>
      <c r="FG89" s="1629"/>
      <c r="FH89" s="1629"/>
      <c r="FI89" s="1629"/>
      <c r="FJ89" s="1629"/>
      <c r="FK89" s="1629"/>
      <c r="FL89" s="1629"/>
      <c r="FM89" s="1629"/>
      <c r="FN89" s="1629"/>
      <c r="FO89" s="1629"/>
      <c r="FP89" s="1629"/>
      <c r="FQ89" s="1629"/>
      <c r="FR89" s="1629"/>
      <c r="FS89" s="1629"/>
      <c r="FT89" s="1629"/>
      <c r="FU89" s="1629"/>
      <c r="FV89" s="1629"/>
      <c r="FW89" s="1629"/>
      <c r="FX89" s="1629"/>
      <c r="FY89" s="1629"/>
      <c r="FZ89" s="1629"/>
      <c r="GA89" s="1629"/>
      <c r="GB89" s="1629"/>
      <c r="GC89" s="1629"/>
      <c r="GD89" s="1629"/>
      <c r="GE89" s="1629"/>
      <c r="GF89" s="1629"/>
      <c r="GG89" s="1629"/>
      <c r="GH89" s="1629"/>
      <c r="GI89" s="1629"/>
      <c r="GJ89" s="1629"/>
      <c r="GK89" s="1629"/>
      <c r="GL89" s="1629"/>
      <c r="GM89" s="1629"/>
      <c r="GN89" s="1629"/>
      <c r="GO89" s="1629"/>
      <c r="GP89" s="1629"/>
      <c r="GQ89" s="1629"/>
      <c r="GR89" s="1629"/>
      <c r="GS89" s="1629"/>
      <c r="GT89" s="1629"/>
      <c r="GU89" s="1629"/>
      <c r="GV89" s="1629"/>
      <c r="GW89" s="1629"/>
      <c r="GX89" s="1629"/>
      <c r="GY89" s="1629"/>
      <c r="GZ89" s="1629"/>
      <c r="HA89" s="1629"/>
      <c r="HB89" s="1629"/>
      <c r="HC89" s="1629"/>
      <c r="HD89" s="1629"/>
      <c r="HE89" s="1629"/>
      <c r="HF89" s="1629"/>
      <c r="HG89" s="1629"/>
      <c r="HH89" s="1629"/>
      <c r="HI89" s="1629"/>
      <c r="HJ89" s="1629"/>
      <c r="HK89" s="1629"/>
      <c r="HL89" s="1629"/>
      <c r="HM89" s="1629"/>
      <c r="HN89" s="1629"/>
      <c r="HO89" s="1629"/>
      <c r="HP89" s="1629"/>
      <c r="HQ89" s="1629"/>
      <c r="HR89" s="1629"/>
      <c r="HS89" s="1629"/>
      <c r="HT89" s="1629"/>
      <c r="HU89" s="1629"/>
      <c r="HV89" s="1629"/>
      <c r="HW89" s="1629"/>
      <c r="HX89" s="1629"/>
      <c r="HY89" s="1629"/>
      <c r="HZ89" s="1629"/>
      <c r="IA89" s="1629"/>
      <c r="IB89" s="1629"/>
      <c r="IC89" s="1629"/>
      <c r="ID89" s="1629"/>
      <c r="IE89" s="1629"/>
      <c r="IF89" s="1629"/>
      <c r="IG89" s="1629"/>
      <c r="IH89" s="1629"/>
      <c r="II89" s="1629"/>
      <c r="IJ89" s="1629"/>
      <c r="IK89" s="1629"/>
      <c r="IL89" s="1629"/>
      <c r="IM89" s="1629"/>
      <c r="IN89" s="1629"/>
      <c r="IO89" s="1629"/>
      <c r="IP89" s="1629"/>
      <c r="IQ89" s="1629"/>
      <c r="IR89" s="1629"/>
      <c r="IS89" s="1629"/>
      <c r="IT89" s="1629"/>
      <c r="IU89" s="1629"/>
      <c r="IV89" s="1629"/>
    </row>
    <row r="90" spans="1:256" ht="24.6" customHeight="1" thickBot="1" x14ac:dyDescent="0.25">
      <c r="A90" s="1704" t="s">
        <v>1802</v>
      </c>
      <c r="B90" s="1691" t="s">
        <v>1803</v>
      </c>
      <c r="C90" s="1547" t="s">
        <v>1804</v>
      </c>
      <c r="D90" s="1672">
        <f>85495.965/1000</f>
        <v>85.495964999999998</v>
      </c>
      <c r="E90" s="1673">
        <f>D90</f>
        <v>85.495964999999998</v>
      </c>
      <c r="F90" s="1672">
        <v>86.24</v>
      </c>
      <c r="G90" s="1674">
        <f>F90</f>
        <v>86.24</v>
      </c>
      <c r="H90" s="1675"/>
      <c r="I90" s="1674"/>
      <c r="J90" s="1672">
        <f>'Д 2_Т на В'!H58/1000</f>
        <v>4.4917941629656521</v>
      </c>
      <c r="K90" s="1674">
        <f t="shared" ref="K90:W90" si="75">J90</f>
        <v>4.4917941629656521</v>
      </c>
      <c r="L90" s="1672">
        <f>'Д 2_Т на В'!H55/1000</f>
        <v>3.8995202521466661</v>
      </c>
      <c r="M90" s="1674">
        <f t="shared" si="75"/>
        <v>3.8995202521466661</v>
      </c>
      <c r="N90" s="1672">
        <f t="shared" si="75"/>
        <v>3.8995202521466661</v>
      </c>
      <c r="O90" s="1674">
        <f t="shared" si="75"/>
        <v>3.8995202521466661</v>
      </c>
      <c r="P90" s="1672">
        <f t="shared" si="75"/>
        <v>3.8995202521466661</v>
      </c>
      <c r="Q90" s="1674">
        <f t="shared" si="75"/>
        <v>3.8995202521466661</v>
      </c>
      <c r="R90" s="1672">
        <f t="shared" si="75"/>
        <v>3.8995202521466661</v>
      </c>
      <c r="S90" s="1674">
        <f t="shared" si="75"/>
        <v>3.8995202521466661</v>
      </c>
      <c r="T90" s="1672">
        <f t="shared" si="75"/>
        <v>3.8995202521466661</v>
      </c>
      <c r="U90" s="1674">
        <f t="shared" si="75"/>
        <v>3.8995202521466661</v>
      </c>
      <c r="V90" s="1672">
        <f t="shared" si="75"/>
        <v>3.8995202521466661</v>
      </c>
      <c r="W90" s="1674">
        <f t="shared" si="75"/>
        <v>3.8995202521466661</v>
      </c>
      <c r="X90" s="1548">
        <f t="shared" ref="X90:Y90" si="76">W90</f>
        <v>3.8995202521466661</v>
      </c>
      <c r="Y90" s="1549">
        <f t="shared" si="76"/>
        <v>3.8995202521466661</v>
      </c>
      <c r="Z90" s="1631"/>
      <c r="AA90" s="1631"/>
      <c r="AB90" s="1626"/>
      <c r="AC90" s="1620"/>
      <c r="AD90" s="1620"/>
      <c r="AE90" s="1620"/>
      <c r="AF90" s="1620"/>
      <c r="AG90" s="1620"/>
      <c r="AH90" s="1620"/>
      <c r="AI90" s="1626"/>
      <c r="AJ90" s="1631"/>
      <c r="AK90" s="1631"/>
      <c r="AL90" s="1631"/>
      <c r="AM90" s="1631"/>
      <c r="AN90" s="1631"/>
      <c r="AO90" s="1631"/>
      <c r="AP90" s="1626"/>
      <c r="AQ90" s="1626"/>
      <c r="AR90" s="1626"/>
      <c r="AS90" s="1626"/>
      <c r="AT90" s="1626"/>
      <c r="AU90" s="1626"/>
      <c r="AV90" s="1626"/>
      <c r="AW90" s="1626"/>
      <c r="AX90" s="1626"/>
      <c r="AY90" s="1626"/>
      <c r="AZ90" s="1626"/>
      <c r="BA90" s="1626"/>
      <c r="BB90" s="1626"/>
      <c r="BC90" s="1626"/>
      <c r="BD90" s="1626"/>
      <c r="BE90" s="1626"/>
      <c r="BF90" s="1626"/>
      <c r="BG90" s="1626"/>
      <c r="BH90" s="1626"/>
      <c r="BI90" s="1626"/>
      <c r="BJ90" s="1626"/>
      <c r="BK90" s="1626"/>
      <c r="BL90" s="1626"/>
      <c r="BM90" s="1626"/>
      <c r="BN90" s="1626"/>
      <c r="BO90" s="1626"/>
      <c r="BP90" s="1626"/>
      <c r="BQ90" s="1626"/>
      <c r="BR90" s="1626"/>
      <c r="BS90" s="1626"/>
      <c r="BT90" s="1626"/>
      <c r="BU90" s="1626"/>
      <c r="BV90" s="1626"/>
      <c r="BW90" s="1626"/>
      <c r="BX90" s="1626"/>
      <c r="BY90" s="1626"/>
      <c r="BZ90" s="1626"/>
      <c r="CA90" s="1626"/>
      <c r="CB90" s="1626"/>
      <c r="CC90" s="1626"/>
      <c r="CD90" s="1626"/>
      <c r="CE90" s="1626"/>
      <c r="CF90" s="1626"/>
      <c r="CG90" s="1626"/>
      <c r="CH90" s="1626"/>
      <c r="CI90" s="1626"/>
      <c r="CJ90" s="1626"/>
      <c r="CK90" s="1626"/>
      <c r="CL90" s="1626"/>
      <c r="CM90" s="1626"/>
      <c r="CN90" s="1626"/>
      <c r="CO90" s="1626"/>
      <c r="CP90" s="1626"/>
      <c r="CQ90" s="1626"/>
      <c r="CR90" s="1626"/>
      <c r="CS90" s="1626"/>
      <c r="CT90" s="1626"/>
      <c r="CU90" s="1626"/>
      <c r="CV90" s="1626"/>
      <c r="CW90" s="1626"/>
      <c r="CX90" s="1626"/>
      <c r="CY90" s="1626"/>
      <c r="CZ90" s="1626"/>
      <c r="DA90" s="1626"/>
      <c r="DB90" s="1626"/>
      <c r="DC90" s="1626"/>
      <c r="DD90" s="1626"/>
      <c r="DE90" s="1626"/>
      <c r="DF90" s="1626"/>
      <c r="DG90" s="1626"/>
      <c r="DH90" s="1626"/>
      <c r="DI90" s="1626"/>
      <c r="DJ90" s="1626"/>
      <c r="DK90" s="1626"/>
      <c r="DL90" s="1626"/>
      <c r="DM90" s="1626"/>
      <c r="DN90" s="1626"/>
      <c r="DO90" s="1626"/>
      <c r="DP90" s="1626"/>
      <c r="DQ90" s="1626"/>
      <c r="DR90" s="1626"/>
      <c r="DS90" s="1626"/>
      <c r="DT90" s="1626"/>
      <c r="DU90" s="1626"/>
      <c r="DV90" s="1626"/>
      <c r="DW90" s="1626"/>
      <c r="DX90" s="1626"/>
      <c r="DY90" s="1626"/>
      <c r="DZ90" s="1626"/>
      <c r="EA90" s="1626"/>
      <c r="EB90" s="1626"/>
      <c r="EC90" s="1626"/>
      <c r="ED90" s="1626"/>
      <c r="EE90" s="1626"/>
      <c r="EF90" s="1626"/>
      <c r="EG90" s="1626"/>
      <c r="EH90" s="1626"/>
      <c r="EI90" s="1626"/>
      <c r="EJ90" s="1626"/>
      <c r="EK90" s="1626"/>
      <c r="EL90" s="1626"/>
      <c r="EM90" s="1626"/>
      <c r="EN90" s="1626"/>
      <c r="EO90" s="1626"/>
      <c r="EP90" s="1626"/>
      <c r="EQ90" s="1626"/>
      <c r="ER90" s="1626"/>
      <c r="ES90" s="1626"/>
      <c r="ET90" s="1626"/>
      <c r="EU90" s="1626"/>
      <c r="EV90" s="1626"/>
      <c r="EW90" s="1626"/>
      <c r="EX90" s="1626"/>
      <c r="EY90" s="1626"/>
      <c r="EZ90" s="1626"/>
      <c r="FA90" s="1626"/>
      <c r="FB90" s="1626"/>
      <c r="FC90" s="1626"/>
      <c r="FD90" s="1626"/>
      <c r="FE90" s="1626"/>
      <c r="FF90" s="1626"/>
      <c r="FG90" s="1626"/>
      <c r="FH90" s="1626"/>
      <c r="FI90" s="1626"/>
      <c r="FJ90" s="1626"/>
      <c r="FK90" s="1626"/>
      <c r="FL90" s="1626"/>
      <c r="FM90" s="1626"/>
      <c r="FN90" s="1626"/>
      <c r="FO90" s="1626"/>
      <c r="FP90" s="1626"/>
      <c r="FQ90" s="1626"/>
      <c r="FR90" s="1626"/>
      <c r="FS90" s="1626"/>
      <c r="FT90" s="1626"/>
      <c r="FU90" s="1626"/>
      <c r="FV90" s="1626"/>
      <c r="FW90" s="1626"/>
      <c r="FX90" s="1626"/>
      <c r="FY90" s="1626"/>
      <c r="FZ90" s="1626"/>
      <c r="GA90" s="1626"/>
      <c r="GB90" s="1626"/>
      <c r="GC90" s="1626"/>
      <c r="GD90" s="1626"/>
      <c r="GE90" s="1626"/>
      <c r="GF90" s="1626"/>
      <c r="GG90" s="1626"/>
      <c r="GH90" s="1626"/>
      <c r="GI90" s="1626"/>
      <c r="GJ90" s="1626"/>
      <c r="GK90" s="1626"/>
      <c r="GL90" s="1626"/>
      <c r="GM90" s="1626"/>
      <c r="GN90" s="1626"/>
      <c r="GO90" s="1626"/>
      <c r="GP90" s="1626"/>
      <c r="GQ90" s="1626"/>
      <c r="GR90" s="1626"/>
      <c r="GS90" s="1626"/>
      <c r="GT90" s="1626"/>
      <c r="GU90" s="1626"/>
      <c r="GV90" s="1626"/>
      <c r="GW90" s="1626"/>
      <c r="GX90" s="1626"/>
      <c r="GY90" s="1626"/>
      <c r="GZ90" s="1626"/>
      <c r="HA90" s="1626"/>
      <c r="HB90" s="1626"/>
      <c r="HC90" s="1626"/>
      <c r="HD90" s="1626"/>
      <c r="HE90" s="1626"/>
      <c r="HF90" s="1626"/>
      <c r="HG90" s="1626"/>
      <c r="HH90" s="1626"/>
      <c r="HI90" s="1626"/>
      <c r="HJ90" s="1626"/>
      <c r="HK90" s="1626"/>
      <c r="HL90" s="1626"/>
      <c r="HM90" s="1626"/>
      <c r="HN90" s="1626"/>
      <c r="HO90" s="1626"/>
      <c r="HP90" s="1626"/>
      <c r="HQ90" s="1626"/>
      <c r="HR90" s="1626"/>
      <c r="HS90" s="1626"/>
      <c r="HT90" s="1626"/>
      <c r="HU90" s="1626"/>
      <c r="HV90" s="1626"/>
      <c r="HW90" s="1626"/>
      <c r="HX90" s="1626"/>
      <c r="HY90" s="1626"/>
      <c r="HZ90" s="1626"/>
      <c r="IA90" s="1626"/>
      <c r="IB90" s="1626"/>
      <c r="IC90" s="1626"/>
      <c r="ID90" s="1626"/>
      <c r="IE90" s="1626"/>
      <c r="IF90" s="1626"/>
      <c r="IG90" s="1626"/>
      <c r="IH90" s="1626"/>
      <c r="II90" s="1626"/>
      <c r="IJ90" s="1626"/>
      <c r="IK90" s="1626"/>
      <c r="IL90" s="1626"/>
      <c r="IM90" s="1626"/>
      <c r="IN90" s="1626"/>
      <c r="IO90" s="1626"/>
      <c r="IP90" s="1626"/>
      <c r="IQ90" s="1626"/>
      <c r="IR90" s="1626"/>
      <c r="IS90" s="1626"/>
      <c r="IT90" s="1626"/>
      <c r="IU90" s="1626"/>
      <c r="IV90" s="1626"/>
    </row>
    <row r="91" spans="1:256" ht="13.5" thickBot="1" x14ac:dyDescent="0.25">
      <c r="A91" s="4550" t="s">
        <v>1805</v>
      </c>
      <c r="B91" s="4551"/>
      <c r="C91" s="4551"/>
      <c r="D91" s="4551"/>
      <c r="E91" s="4551"/>
      <c r="F91" s="4551"/>
      <c r="G91" s="4551"/>
      <c r="H91" s="4551"/>
      <c r="I91" s="4551"/>
      <c r="J91" s="4551"/>
      <c r="K91" s="4551"/>
      <c r="L91" s="4551"/>
      <c r="M91" s="4551"/>
      <c r="N91" s="4551"/>
      <c r="O91" s="4551"/>
      <c r="P91" s="4551"/>
      <c r="Q91" s="4551"/>
      <c r="R91" s="4551"/>
      <c r="S91" s="4551"/>
      <c r="T91" s="4551"/>
      <c r="U91" s="4551"/>
      <c r="V91" s="1626"/>
      <c r="W91" s="1626"/>
      <c r="X91" s="1626"/>
      <c r="Y91" s="1626"/>
      <c r="Z91" s="1631"/>
      <c r="AA91" s="1631"/>
      <c r="AB91" s="1626"/>
      <c r="AC91" s="1620"/>
      <c r="AD91" s="1620"/>
      <c r="AE91" s="1620"/>
      <c r="AF91" s="1620"/>
      <c r="AG91" s="1620"/>
      <c r="AH91" s="1620"/>
      <c r="AI91" s="1626"/>
      <c r="AJ91" s="1631"/>
      <c r="AK91" s="1631"/>
      <c r="AL91" s="1631"/>
      <c r="AM91" s="1631"/>
      <c r="AN91" s="1631"/>
      <c r="AO91" s="1631"/>
      <c r="AP91" s="1626"/>
      <c r="AQ91" s="1626"/>
      <c r="AR91" s="1626"/>
      <c r="AS91" s="1626"/>
      <c r="AT91" s="1626"/>
      <c r="AU91" s="1626"/>
      <c r="AV91" s="1626"/>
      <c r="AW91" s="1626"/>
      <c r="AX91" s="1626"/>
      <c r="AY91" s="1626"/>
      <c r="AZ91" s="1626"/>
      <c r="BA91" s="1626"/>
      <c r="BB91" s="1626"/>
      <c r="BC91" s="1626"/>
      <c r="BD91" s="1626"/>
      <c r="BE91" s="1626"/>
      <c r="BF91" s="1626"/>
      <c r="BG91" s="1626"/>
      <c r="BH91" s="1626"/>
      <c r="BI91" s="1626"/>
      <c r="BJ91" s="1626"/>
      <c r="BK91" s="1626"/>
      <c r="BL91" s="1626"/>
      <c r="BM91" s="1626"/>
      <c r="BN91" s="1626"/>
      <c r="BO91" s="1626"/>
      <c r="BP91" s="1626"/>
      <c r="BQ91" s="1626"/>
      <c r="BR91" s="1626"/>
      <c r="BS91" s="1626"/>
      <c r="BT91" s="1626"/>
      <c r="BU91" s="1626"/>
      <c r="BV91" s="1626"/>
      <c r="BW91" s="1626"/>
      <c r="BX91" s="1626"/>
      <c r="BY91" s="1626"/>
      <c r="BZ91" s="1626"/>
      <c r="CA91" s="1626"/>
      <c r="CB91" s="1626"/>
      <c r="CC91" s="1626"/>
      <c r="CD91" s="1626"/>
      <c r="CE91" s="1626"/>
      <c r="CF91" s="1626"/>
      <c r="CG91" s="1626"/>
      <c r="CH91" s="1626"/>
      <c r="CI91" s="1626"/>
      <c r="CJ91" s="1626"/>
      <c r="CK91" s="1626"/>
      <c r="CL91" s="1626"/>
      <c r="CM91" s="1626"/>
      <c r="CN91" s="1626"/>
      <c r="CO91" s="1626"/>
      <c r="CP91" s="1626"/>
      <c r="CQ91" s="1626"/>
      <c r="CR91" s="1626"/>
      <c r="CS91" s="1626"/>
      <c r="CT91" s="1626"/>
      <c r="CU91" s="1626"/>
      <c r="CV91" s="1626"/>
      <c r="CW91" s="1626"/>
      <c r="CX91" s="1626"/>
      <c r="CY91" s="1626"/>
      <c r="CZ91" s="1626"/>
      <c r="DA91" s="1626"/>
      <c r="DB91" s="1626"/>
      <c r="DC91" s="1626"/>
      <c r="DD91" s="1626"/>
      <c r="DE91" s="1626"/>
      <c r="DF91" s="1626"/>
      <c r="DG91" s="1626"/>
      <c r="DH91" s="1626"/>
      <c r="DI91" s="1626"/>
      <c r="DJ91" s="1626"/>
      <c r="DK91" s="1626"/>
      <c r="DL91" s="1626"/>
      <c r="DM91" s="1626"/>
      <c r="DN91" s="1626"/>
      <c r="DO91" s="1626"/>
      <c r="DP91" s="1626"/>
      <c r="DQ91" s="1626"/>
      <c r="DR91" s="1626"/>
      <c r="DS91" s="1626"/>
      <c r="DT91" s="1626"/>
      <c r="DU91" s="1626"/>
      <c r="DV91" s="1626"/>
      <c r="DW91" s="1626"/>
      <c r="DX91" s="1626"/>
      <c r="DY91" s="1626"/>
      <c r="DZ91" s="1626"/>
      <c r="EA91" s="1626"/>
      <c r="EB91" s="1626"/>
      <c r="EC91" s="1626"/>
      <c r="ED91" s="1626"/>
      <c r="EE91" s="1626"/>
      <c r="EF91" s="1626"/>
      <c r="EG91" s="1626"/>
      <c r="EH91" s="1626"/>
      <c r="EI91" s="1626"/>
      <c r="EJ91" s="1626"/>
      <c r="EK91" s="1626"/>
      <c r="EL91" s="1626"/>
      <c r="EM91" s="1626"/>
      <c r="EN91" s="1626"/>
      <c r="EO91" s="1626"/>
      <c r="EP91" s="1626"/>
      <c r="EQ91" s="1626"/>
      <c r="ER91" s="1626"/>
      <c r="ES91" s="1626"/>
      <c r="ET91" s="1626"/>
      <c r="EU91" s="1626"/>
      <c r="EV91" s="1626"/>
      <c r="EW91" s="1626"/>
      <c r="EX91" s="1626"/>
      <c r="EY91" s="1626"/>
      <c r="EZ91" s="1626"/>
      <c r="FA91" s="1626"/>
      <c r="FB91" s="1626"/>
      <c r="FC91" s="1626"/>
      <c r="FD91" s="1626"/>
      <c r="FE91" s="1626"/>
      <c r="FF91" s="1626"/>
      <c r="FG91" s="1626"/>
      <c r="FH91" s="1626"/>
      <c r="FI91" s="1626"/>
      <c r="FJ91" s="1626"/>
      <c r="FK91" s="1626"/>
      <c r="FL91" s="1626"/>
      <c r="FM91" s="1626"/>
      <c r="FN91" s="1626"/>
      <c r="FO91" s="1626"/>
      <c r="FP91" s="1626"/>
      <c r="FQ91" s="1626"/>
      <c r="FR91" s="1626"/>
      <c r="FS91" s="1626"/>
      <c r="FT91" s="1626"/>
      <c r="FU91" s="1626"/>
      <c r="FV91" s="1626"/>
      <c r="FW91" s="1626"/>
      <c r="FX91" s="1626"/>
      <c r="FY91" s="1626"/>
      <c r="FZ91" s="1626"/>
      <c r="GA91" s="1626"/>
      <c r="GB91" s="1626"/>
      <c r="GC91" s="1626"/>
      <c r="GD91" s="1626"/>
      <c r="GE91" s="1626"/>
      <c r="GF91" s="1626"/>
      <c r="GG91" s="1626"/>
      <c r="GH91" s="1626"/>
      <c r="GI91" s="1626"/>
      <c r="GJ91" s="1626"/>
      <c r="GK91" s="1626"/>
      <c r="GL91" s="1626"/>
      <c r="GM91" s="1626"/>
      <c r="GN91" s="1626"/>
      <c r="GO91" s="1626"/>
      <c r="GP91" s="1626"/>
      <c r="GQ91" s="1626"/>
      <c r="GR91" s="1626"/>
      <c r="GS91" s="1626"/>
      <c r="GT91" s="1626"/>
      <c r="GU91" s="1626"/>
      <c r="GV91" s="1626"/>
      <c r="GW91" s="1626"/>
      <c r="GX91" s="1626"/>
      <c r="GY91" s="1626"/>
      <c r="GZ91" s="1626"/>
      <c r="HA91" s="1626"/>
      <c r="HB91" s="1626"/>
      <c r="HC91" s="1626"/>
      <c r="HD91" s="1626"/>
      <c r="HE91" s="1626"/>
      <c r="HF91" s="1626"/>
      <c r="HG91" s="1626"/>
      <c r="HH91" s="1626"/>
      <c r="HI91" s="1626"/>
      <c r="HJ91" s="1626"/>
      <c r="HK91" s="1626"/>
      <c r="HL91" s="1626"/>
      <c r="HM91" s="1626"/>
      <c r="HN91" s="1626"/>
      <c r="HO91" s="1626"/>
      <c r="HP91" s="1626"/>
      <c r="HQ91" s="1626"/>
      <c r="HR91" s="1626"/>
      <c r="HS91" s="1626"/>
      <c r="HT91" s="1626"/>
      <c r="HU91" s="1626"/>
      <c r="HV91" s="1626"/>
      <c r="HW91" s="1626"/>
      <c r="HX91" s="1626"/>
      <c r="HY91" s="1626"/>
      <c r="HZ91" s="1626"/>
      <c r="IA91" s="1626"/>
      <c r="IB91" s="1626"/>
      <c r="IC91" s="1626"/>
      <c r="ID91" s="1626"/>
      <c r="IE91" s="1626"/>
      <c r="IF91" s="1626"/>
      <c r="IG91" s="1626"/>
      <c r="IH91" s="1626"/>
      <c r="II91" s="1626"/>
      <c r="IJ91" s="1626"/>
      <c r="IK91" s="1626"/>
      <c r="IL91" s="1626"/>
      <c r="IM91" s="1626"/>
      <c r="IN91" s="1626"/>
      <c r="IO91" s="1626"/>
      <c r="IP91" s="1626"/>
      <c r="IQ91" s="1626"/>
      <c r="IR91" s="1626"/>
      <c r="IS91" s="1626"/>
      <c r="IT91" s="1626"/>
      <c r="IU91" s="1626"/>
      <c r="IV91" s="1626"/>
    </row>
    <row r="92" spans="1:256" ht="36" x14ac:dyDescent="0.2">
      <c r="A92" s="1705" t="s">
        <v>1806</v>
      </c>
      <c r="B92" s="659" t="s">
        <v>1807</v>
      </c>
      <c r="C92" s="660" t="s">
        <v>1686</v>
      </c>
      <c r="D92" s="4542">
        <v>4193.84</v>
      </c>
      <c r="E92" s="4540"/>
      <c r="F92" s="4542">
        <v>4194.4229999999998</v>
      </c>
      <c r="G92" s="4540"/>
      <c r="H92" s="4552">
        <f>'[50]1. Додаток + економ'!$J$92</f>
        <v>0</v>
      </c>
      <c r="I92" s="4553"/>
      <c r="J92" s="1591">
        <f>(J17*J38+K17*K38)/1000</f>
        <v>40.408321461019831</v>
      </c>
      <c r="K92" s="1648">
        <f>J88+L88+N88+P88+R88+T88+V88</f>
        <v>682.89317396693582</v>
      </c>
      <c r="L92" s="1592"/>
      <c r="M92" s="1592"/>
      <c r="N92" s="1592"/>
      <c r="O92" s="1592"/>
      <c r="P92" s="1636"/>
      <c r="Q92" s="1637"/>
      <c r="R92" s="1637"/>
      <c r="S92" s="1637"/>
      <c r="T92" s="1637"/>
      <c r="U92" s="1637"/>
      <c r="V92" s="1637"/>
      <c r="W92" s="1637"/>
      <c r="X92" s="1637"/>
      <c r="Y92" s="1638"/>
      <c r="Z92" s="1631"/>
      <c r="AA92" s="1631"/>
      <c r="AB92" s="1629"/>
      <c r="AC92" s="1620"/>
      <c r="AD92" s="1620"/>
      <c r="AE92" s="1620"/>
      <c r="AF92" s="1620"/>
      <c r="AG92" s="1620"/>
      <c r="AH92" s="1620"/>
      <c r="AI92" s="1629"/>
      <c r="AJ92" s="1631"/>
      <c r="AK92" s="1631"/>
      <c r="AL92" s="1631"/>
      <c r="AM92" s="1631"/>
      <c r="AN92" s="1631"/>
      <c r="AO92" s="1631"/>
      <c r="AP92" s="1629"/>
      <c r="AQ92" s="1629"/>
      <c r="AR92" s="1629"/>
      <c r="AS92" s="1629"/>
      <c r="AT92" s="1629"/>
      <c r="AU92" s="1629"/>
      <c r="AV92" s="1629"/>
      <c r="AW92" s="1629"/>
      <c r="AX92" s="1629"/>
      <c r="AY92" s="1629"/>
      <c r="AZ92" s="1629"/>
      <c r="BA92" s="1629"/>
      <c r="BB92" s="1629"/>
      <c r="BC92" s="1629"/>
      <c r="BD92" s="1629"/>
      <c r="BE92" s="1629"/>
      <c r="BF92" s="1629"/>
      <c r="BG92" s="1629"/>
      <c r="BH92" s="1629"/>
      <c r="BI92" s="1629"/>
      <c r="BJ92" s="1629"/>
      <c r="BK92" s="1629"/>
      <c r="BL92" s="1629"/>
      <c r="BM92" s="1629"/>
      <c r="BN92" s="1629"/>
      <c r="BO92" s="1629"/>
      <c r="BP92" s="1629"/>
      <c r="BQ92" s="1629"/>
      <c r="BR92" s="1629"/>
      <c r="BS92" s="1629"/>
      <c r="BT92" s="1629"/>
      <c r="BU92" s="1629"/>
      <c r="BV92" s="1629"/>
      <c r="BW92" s="1629"/>
      <c r="BX92" s="1629"/>
      <c r="BY92" s="1629"/>
      <c r="BZ92" s="1629"/>
      <c r="CA92" s="1629"/>
      <c r="CB92" s="1629"/>
      <c r="CC92" s="1629"/>
      <c r="CD92" s="1629"/>
      <c r="CE92" s="1629"/>
      <c r="CF92" s="1629"/>
      <c r="CG92" s="1629"/>
      <c r="CH92" s="1629"/>
      <c r="CI92" s="1629"/>
      <c r="CJ92" s="1629"/>
      <c r="CK92" s="1629"/>
      <c r="CL92" s="1629"/>
      <c r="CM92" s="1629"/>
      <c r="CN92" s="1629"/>
      <c r="CO92" s="1629"/>
      <c r="CP92" s="1629"/>
      <c r="CQ92" s="1629"/>
      <c r="CR92" s="1629"/>
      <c r="CS92" s="1629"/>
      <c r="CT92" s="1629"/>
      <c r="CU92" s="1629"/>
      <c r="CV92" s="1629"/>
      <c r="CW92" s="1629"/>
      <c r="CX92" s="1629"/>
      <c r="CY92" s="1629"/>
      <c r="CZ92" s="1629"/>
      <c r="DA92" s="1629"/>
      <c r="DB92" s="1629"/>
      <c r="DC92" s="1629"/>
      <c r="DD92" s="1629"/>
      <c r="DE92" s="1629"/>
      <c r="DF92" s="1629"/>
      <c r="DG92" s="1629"/>
      <c r="DH92" s="1629"/>
      <c r="DI92" s="1629"/>
      <c r="DJ92" s="1629"/>
      <c r="DK92" s="1629"/>
      <c r="DL92" s="1629"/>
      <c r="DM92" s="1629"/>
      <c r="DN92" s="1629"/>
      <c r="DO92" s="1629"/>
      <c r="DP92" s="1629"/>
      <c r="DQ92" s="1629"/>
      <c r="DR92" s="1629"/>
      <c r="DS92" s="1629"/>
      <c r="DT92" s="1629"/>
      <c r="DU92" s="1629"/>
      <c r="DV92" s="1629"/>
      <c r="DW92" s="1629"/>
      <c r="DX92" s="1629"/>
      <c r="DY92" s="1629"/>
      <c r="DZ92" s="1629"/>
      <c r="EA92" s="1629"/>
      <c r="EB92" s="1629"/>
      <c r="EC92" s="1629"/>
      <c r="ED92" s="1629"/>
      <c r="EE92" s="1629"/>
      <c r="EF92" s="1629"/>
      <c r="EG92" s="1629"/>
      <c r="EH92" s="1629"/>
      <c r="EI92" s="1629"/>
      <c r="EJ92" s="1629"/>
      <c r="EK92" s="1629"/>
      <c r="EL92" s="1629"/>
      <c r="EM92" s="1629"/>
      <c r="EN92" s="1629"/>
      <c r="EO92" s="1629"/>
      <c r="EP92" s="1629"/>
      <c r="EQ92" s="1629"/>
      <c r="ER92" s="1629"/>
      <c r="ES92" s="1629"/>
      <c r="ET92" s="1629"/>
      <c r="EU92" s="1629"/>
      <c r="EV92" s="1629"/>
      <c r="EW92" s="1629"/>
      <c r="EX92" s="1629"/>
      <c r="EY92" s="1629"/>
      <c r="EZ92" s="1629"/>
      <c r="FA92" s="1629"/>
      <c r="FB92" s="1629"/>
      <c r="FC92" s="1629"/>
      <c r="FD92" s="1629"/>
      <c r="FE92" s="1629"/>
      <c r="FF92" s="1629"/>
      <c r="FG92" s="1629"/>
      <c r="FH92" s="1629"/>
      <c r="FI92" s="1629"/>
      <c r="FJ92" s="1629"/>
      <c r="FK92" s="1629"/>
      <c r="FL92" s="1629"/>
      <c r="FM92" s="1629"/>
      <c r="FN92" s="1629"/>
      <c r="FO92" s="1629"/>
      <c r="FP92" s="1629"/>
      <c r="FQ92" s="1629"/>
      <c r="FR92" s="1629"/>
      <c r="FS92" s="1629"/>
      <c r="FT92" s="1629"/>
      <c r="FU92" s="1629"/>
      <c r="FV92" s="1629"/>
      <c r="FW92" s="1629"/>
      <c r="FX92" s="1629"/>
      <c r="FY92" s="1629"/>
      <c r="FZ92" s="1629"/>
      <c r="GA92" s="1629"/>
      <c r="GB92" s="1629"/>
      <c r="GC92" s="1629"/>
      <c r="GD92" s="1629"/>
      <c r="GE92" s="1629"/>
      <c r="GF92" s="1629"/>
      <c r="GG92" s="1629"/>
      <c r="GH92" s="1629"/>
      <c r="GI92" s="1629"/>
      <c r="GJ92" s="1629"/>
      <c r="GK92" s="1629"/>
      <c r="GL92" s="1629"/>
      <c r="GM92" s="1629"/>
      <c r="GN92" s="1629"/>
      <c r="GO92" s="1629"/>
      <c r="GP92" s="1629"/>
      <c r="GQ92" s="1629"/>
      <c r="GR92" s="1629"/>
      <c r="GS92" s="1629"/>
      <c r="GT92" s="1629"/>
      <c r="GU92" s="1629"/>
      <c r="GV92" s="1629"/>
      <c r="GW92" s="1629"/>
      <c r="GX92" s="1629"/>
      <c r="GY92" s="1629"/>
      <c r="GZ92" s="1629"/>
      <c r="HA92" s="1629"/>
      <c r="HB92" s="1629"/>
      <c r="HC92" s="1629"/>
      <c r="HD92" s="1629"/>
      <c r="HE92" s="1629"/>
      <c r="HF92" s="1629"/>
      <c r="HG92" s="1629"/>
      <c r="HH92" s="1629"/>
      <c r="HI92" s="1629"/>
      <c r="HJ92" s="1629"/>
      <c r="HK92" s="1629"/>
      <c r="HL92" s="1629"/>
      <c r="HM92" s="1629"/>
      <c r="HN92" s="1629"/>
      <c r="HO92" s="1629"/>
      <c r="HP92" s="1629"/>
      <c r="HQ92" s="1629"/>
      <c r="HR92" s="1629"/>
      <c r="HS92" s="1629"/>
      <c r="HT92" s="1629"/>
      <c r="HU92" s="1629"/>
      <c r="HV92" s="1629"/>
      <c r="HW92" s="1629"/>
      <c r="HX92" s="1629"/>
      <c r="HY92" s="1629"/>
      <c r="HZ92" s="1629"/>
      <c r="IA92" s="1629"/>
      <c r="IB92" s="1629"/>
      <c r="IC92" s="1629"/>
      <c r="ID92" s="1629"/>
      <c r="IE92" s="1629"/>
      <c r="IF92" s="1629"/>
      <c r="IG92" s="1629"/>
      <c r="IH92" s="1629"/>
      <c r="II92" s="1629"/>
      <c r="IJ92" s="1629"/>
      <c r="IK92" s="1629"/>
      <c r="IL92" s="1629"/>
      <c r="IM92" s="1629"/>
      <c r="IN92" s="1629"/>
      <c r="IO92" s="1629"/>
      <c r="IP92" s="1629"/>
      <c r="IQ92" s="1629"/>
      <c r="IR92" s="1629"/>
      <c r="IS92" s="1629"/>
      <c r="IT92" s="1629"/>
      <c r="IU92" s="1629"/>
      <c r="IV92" s="1629"/>
    </row>
    <row r="93" spans="1:256" ht="20.25" customHeight="1" x14ac:dyDescent="0.2">
      <c r="A93" s="1706" t="s">
        <v>1808</v>
      </c>
      <c r="B93" s="658" t="s">
        <v>1809</v>
      </c>
      <c r="C93" s="661"/>
      <c r="D93" s="4542">
        <v>149</v>
      </c>
      <c r="E93" s="4540"/>
      <c r="F93" s="4542">
        <v>156</v>
      </c>
      <c r="G93" s="4540"/>
      <c r="H93" s="4545">
        <f>'[50]1. Додаток + економ'!$J$93</f>
        <v>0</v>
      </c>
      <c r="I93" s="4546"/>
      <c r="J93" s="1593">
        <f>(J31*J32+K31*K32)/1000</f>
        <v>50.780038368769837</v>
      </c>
      <c r="K93" s="1592"/>
      <c r="L93" s="1592"/>
      <c r="M93" s="1592"/>
      <c r="N93" s="1592"/>
      <c r="O93" s="1592"/>
      <c r="P93" s="4537"/>
      <c r="Q93" s="4537"/>
      <c r="R93" s="4537"/>
      <c r="S93" s="4537"/>
      <c r="T93" s="4537"/>
      <c r="U93" s="4537"/>
      <c r="V93" s="4537"/>
      <c r="W93" s="4537"/>
      <c r="X93" s="4537"/>
      <c r="Y93" s="4538"/>
      <c r="Z93" s="1631"/>
      <c r="AA93" s="1631"/>
      <c r="AB93" s="1629"/>
      <c r="AC93" s="1620"/>
      <c r="AD93" s="1620"/>
      <c r="AE93" s="1620"/>
      <c r="AF93" s="1620"/>
      <c r="AG93" s="1620"/>
      <c r="AH93" s="1620"/>
      <c r="AI93" s="1629"/>
      <c r="AJ93" s="1631"/>
      <c r="AK93" s="1631"/>
      <c r="AL93" s="1631"/>
      <c r="AM93" s="1631"/>
      <c r="AN93" s="1631"/>
      <c r="AO93" s="1631"/>
      <c r="AP93" s="1629"/>
      <c r="AQ93" s="1629"/>
      <c r="AR93" s="1629"/>
      <c r="AS93" s="1629"/>
      <c r="AT93" s="1629"/>
      <c r="AU93" s="1629"/>
      <c r="AV93" s="1629"/>
      <c r="AW93" s="1629"/>
      <c r="AX93" s="1629"/>
      <c r="AY93" s="1629"/>
      <c r="AZ93" s="1629"/>
      <c r="BA93" s="1629"/>
      <c r="BB93" s="1629"/>
      <c r="BC93" s="1629"/>
      <c r="BD93" s="1629"/>
      <c r="BE93" s="1629"/>
      <c r="BF93" s="1629"/>
      <c r="BG93" s="1629"/>
      <c r="BH93" s="1629"/>
      <c r="BI93" s="1629"/>
      <c r="BJ93" s="1629"/>
      <c r="BK93" s="1629"/>
      <c r="BL93" s="1629"/>
      <c r="BM93" s="1629"/>
      <c r="BN93" s="1629"/>
      <c r="BO93" s="1629"/>
      <c r="BP93" s="1629"/>
      <c r="BQ93" s="1629"/>
      <c r="BR93" s="1629"/>
      <c r="BS93" s="1629"/>
      <c r="BT93" s="1629"/>
      <c r="BU93" s="1629"/>
      <c r="BV93" s="1629"/>
      <c r="BW93" s="1629"/>
      <c r="BX93" s="1629"/>
      <c r="BY93" s="1629"/>
      <c r="BZ93" s="1629"/>
      <c r="CA93" s="1629"/>
      <c r="CB93" s="1629"/>
      <c r="CC93" s="1629"/>
      <c r="CD93" s="1629"/>
      <c r="CE93" s="1629"/>
      <c r="CF93" s="1629"/>
      <c r="CG93" s="1629"/>
      <c r="CH93" s="1629"/>
      <c r="CI93" s="1629"/>
      <c r="CJ93" s="1629"/>
      <c r="CK93" s="1629"/>
      <c r="CL93" s="1629"/>
      <c r="CM93" s="1629"/>
      <c r="CN93" s="1629"/>
      <c r="CO93" s="1629"/>
      <c r="CP93" s="1629"/>
      <c r="CQ93" s="1629"/>
      <c r="CR93" s="1629"/>
      <c r="CS93" s="1629"/>
      <c r="CT93" s="1629"/>
      <c r="CU93" s="1629"/>
      <c r="CV93" s="1629"/>
      <c r="CW93" s="1629"/>
      <c r="CX93" s="1629"/>
      <c r="CY93" s="1629"/>
      <c r="CZ93" s="1629"/>
      <c r="DA93" s="1629"/>
      <c r="DB93" s="1629"/>
      <c r="DC93" s="1629"/>
      <c r="DD93" s="1629"/>
      <c r="DE93" s="1629"/>
      <c r="DF93" s="1629"/>
      <c r="DG93" s="1629"/>
      <c r="DH93" s="1629"/>
      <c r="DI93" s="1629"/>
      <c r="DJ93" s="1629"/>
      <c r="DK93" s="1629"/>
      <c r="DL93" s="1629"/>
      <c r="DM93" s="1629"/>
      <c r="DN93" s="1629"/>
      <c r="DO93" s="1629"/>
      <c r="DP93" s="1629"/>
      <c r="DQ93" s="1629"/>
      <c r="DR93" s="1629"/>
      <c r="DS93" s="1629"/>
      <c r="DT93" s="1629"/>
      <c r="DU93" s="1629"/>
      <c r="DV93" s="1629"/>
      <c r="DW93" s="1629"/>
      <c r="DX93" s="1629"/>
      <c r="DY93" s="1629"/>
      <c r="DZ93" s="1629"/>
      <c r="EA93" s="1629"/>
      <c r="EB93" s="1629"/>
      <c r="EC93" s="1629"/>
      <c r="ED93" s="1629"/>
      <c r="EE93" s="1629"/>
      <c r="EF93" s="1629"/>
      <c r="EG93" s="1629"/>
      <c r="EH93" s="1629"/>
      <c r="EI93" s="1629"/>
      <c r="EJ93" s="1629"/>
      <c r="EK93" s="1629"/>
      <c r="EL93" s="1629"/>
      <c r="EM93" s="1629"/>
      <c r="EN93" s="1629"/>
      <c r="EO93" s="1629"/>
      <c r="EP93" s="1629"/>
      <c r="EQ93" s="1629"/>
      <c r="ER93" s="1629"/>
      <c r="ES93" s="1629"/>
      <c r="ET93" s="1629"/>
      <c r="EU93" s="1629"/>
      <c r="EV93" s="1629"/>
      <c r="EW93" s="1629"/>
      <c r="EX93" s="1629"/>
      <c r="EY93" s="1629"/>
      <c r="EZ93" s="1629"/>
      <c r="FA93" s="1629"/>
      <c r="FB93" s="1629"/>
      <c r="FC93" s="1629"/>
      <c r="FD93" s="1629"/>
      <c r="FE93" s="1629"/>
      <c r="FF93" s="1629"/>
      <c r="FG93" s="1629"/>
      <c r="FH93" s="1629"/>
      <c r="FI93" s="1629"/>
      <c r="FJ93" s="1629"/>
      <c r="FK93" s="1629"/>
      <c r="FL93" s="1629"/>
      <c r="FM93" s="1629"/>
      <c r="FN93" s="1629"/>
      <c r="FO93" s="1629"/>
      <c r="FP93" s="1629"/>
      <c r="FQ93" s="1629"/>
      <c r="FR93" s="1629"/>
      <c r="FS93" s="1629"/>
      <c r="FT93" s="1629"/>
      <c r="FU93" s="1629"/>
      <c r="FV93" s="1629"/>
      <c r="FW93" s="1629"/>
      <c r="FX93" s="1629"/>
      <c r="FY93" s="1629"/>
      <c r="FZ93" s="1629"/>
      <c r="GA93" s="1629"/>
      <c r="GB93" s="1629"/>
      <c r="GC93" s="1629"/>
      <c r="GD93" s="1629"/>
      <c r="GE93" s="1629"/>
      <c r="GF93" s="1629"/>
      <c r="GG93" s="1629"/>
      <c r="GH93" s="1629"/>
      <c r="GI93" s="1629"/>
      <c r="GJ93" s="1629"/>
      <c r="GK93" s="1629"/>
      <c r="GL93" s="1629"/>
      <c r="GM93" s="1629"/>
      <c r="GN93" s="1629"/>
      <c r="GO93" s="1629"/>
      <c r="GP93" s="1629"/>
      <c r="GQ93" s="1629"/>
      <c r="GR93" s="1629"/>
      <c r="GS93" s="1629"/>
      <c r="GT93" s="1629"/>
      <c r="GU93" s="1629"/>
      <c r="GV93" s="1629"/>
      <c r="GW93" s="1629"/>
      <c r="GX93" s="1629"/>
      <c r="GY93" s="1629"/>
      <c r="GZ93" s="1629"/>
      <c r="HA93" s="1629"/>
      <c r="HB93" s="1629"/>
      <c r="HC93" s="1629"/>
      <c r="HD93" s="1629"/>
      <c r="HE93" s="1629"/>
      <c r="HF93" s="1629"/>
      <c r="HG93" s="1629"/>
      <c r="HH93" s="1629"/>
      <c r="HI93" s="1629"/>
      <c r="HJ93" s="1629"/>
      <c r="HK93" s="1629"/>
      <c r="HL93" s="1629"/>
      <c r="HM93" s="1629"/>
      <c r="HN93" s="1629"/>
      <c r="HO93" s="1629"/>
      <c r="HP93" s="1629"/>
      <c r="HQ93" s="1629"/>
      <c r="HR93" s="1629"/>
      <c r="HS93" s="1629"/>
      <c r="HT93" s="1629"/>
      <c r="HU93" s="1629"/>
      <c r="HV93" s="1629"/>
      <c r="HW93" s="1629"/>
      <c r="HX93" s="1629"/>
      <c r="HY93" s="1629"/>
      <c r="HZ93" s="1629"/>
      <c r="IA93" s="1629"/>
      <c r="IB93" s="1629"/>
      <c r="IC93" s="1629"/>
      <c r="ID93" s="1629"/>
      <c r="IE93" s="1629"/>
      <c r="IF93" s="1629"/>
      <c r="IG93" s="1629"/>
      <c r="IH93" s="1629"/>
      <c r="II93" s="1629"/>
      <c r="IJ93" s="1629"/>
      <c r="IK93" s="1629"/>
      <c r="IL93" s="1629"/>
      <c r="IM93" s="1629"/>
      <c r="IN93" s="1629"/>
      <c r="IO93" s="1629"/>
      <c r="IP93" s="1629"/>
      <c r="IQ93" s="1629"/>
      <c r="IR93" s="1629"/>
      <c r="IS93" s="1629"/>
      <c r="IT93" s="1629"/>
      <c r="IU93" s="1629"/>
      <c r="IV93" s="1629"/>
    </row>
    <row r="94" spans="1:256" ht="48" x14ac:dyDescent="0.2">
      <c r="A94" s="1706" t="s">
        <v>1810</v>
      </c>
      <c r="B94" s="658" t="s">
        <v>1811</v>
      </c>
      <c r="C94" s="661" t="s">
        <v>1686</v>
      </c>
      <c r="D94" s="4542">
        <v>4193.84</v>
      </c>
      <c r="E94" s="4540"/>
      <c r="F94" s="4542">
        <v>4194.43</v>
      </c>
      <c r="G94" s="4540"/>
      <c r="H94" s="4539">
        <f>'[50]1. Додаток + економ'!$J$94</f>
        <v>0</v>
      </c>
      <c r="I94" s="4540"/>
      <c r="J94" s="1594"/>
      <c r="K94" s="1595"/>
      <c r="L94" s="1595"/>
      <c r="M94" s="1595"/>
      <c r="N94" s="1595"/>
      <c r="O94" s="1595"/>
      <c r="P94" s="4537"/>
      <c r="Q94" s="4537"/>
      <c r="R94" s="4537"/>
      <c r="S94" s="4537"/>
      <c r="T94" s="4537"/>
      <c r="U94" s="4537"/>
      <c r="V94" s="4537"/>
      <c r="W94" s="4537"/>
      <c r="X94" s="4537"/>
      <c r="Y94" s="4538"/>
      <c r="Z94" s="1631"/>
      <c r="AA94" s="1631"/>
      <c r="AB94" s="1629"/>
      <c r="AC94" s="1620"/>
      <c r="AD94" s="1620"/>
      <c r="AE94" s="1620"/>
      <c r="AF94" s="1620"/>
      <c r="AG94" s="1620"/>
      <c r="AH94" s="1620"/>
      <c r="AI94" s="1629"/>
      <c r="AJ94" s="1631"/>
      <c r="AK94" s="1631"/>
      <c r="AL94" s="1631"/>
      <c r="AM94" s="1631"/>
      <c r="AN94" s="1631"/>
      <c r="AO94" s="1631"/>
      <c r="AP94" s="1629"/>
      <c r="AQ94" s="1629"/>
      <c r="AR94" s="1629"/>
      <c r="AS94" s="1629"/>
      <c r="AT94" s="1629"/>
      <c r="AU94" s="1629"/>
      <c r="AV94" s="1629"/>
      <c r="AW94" s="1629"/>
      <c r="AX94" s="1629"/>
      <c r="AY94" s="1629"/>
      <c r="AZ94" s="1629"/>
      <c r="BA94" s="1629"/>
      <c r="BB94" s="1629"/>
      <c r="BC94" s="1629"/>
      <c r="BD94" s="1629"/>
      <c r="BE94" s="1629"/>
      <c r="BF94" s="1629"/>
      <c r="BG94" s="1629"/>
      <c r="BH94" s="1629"/>
      <c r="BI94" s="1629"/>
      <c r="BJ94" s="1629"/>
      <c r="BK94" s="1629"/>
      <c r="BL94" s="1629"/>
      <c r="BM94" s="1629"/>
      <c r="BN94" s="1629"/>
      <c r="BO94" s="1629"/>
      <c r="BP94" s="1629"/>
      <c r="BQ94" s="1629"/>
      <c r="BR94" s="1629"/>
      <c r="BS94" s="1629"/>
      <c r="BT94" s="1629"/>
      <c r="BU94" s="1629"/>
      <c r="BV94" s="1629"/>
      <c r="BW94" s="1629"/>
      <c r="BX94" s="1629"/>
      <c r="BY94" s="1629"/>
      <c r="BZ94" s="1629"/>
      <c r="CA94" s="1629"/>
      <c r="CB94" s="1629"/>
      <c r="CC94" s="1629"/>
      <c r="CD94" s="1629"/>
      <c r="CE94" s="1629"/>
      <c r="CF94" s="1629"/>
      <c r="CG94" s="1629"/>
      <c r="CH94" s="1629"/>
      <c r="CI94" s="1629"/>
      <c r="CJ94" s="1629"/>
      <c r="CK94" s="1629"/>
      <c r="CL94" s="1629"/>
      <c r="CM94" s="1629"/>
      <c r="CN94" s="1629"/>
      <c r="CO94" s="1629"/>
      <c r="CP94" s="1629"/>
      <c r="CQ94" s="1629"/>
      <c r="CR94" s="1629"/>
      <c r="CS94" s="1629"/>
      <c r="CT94" s="1629"/>
      <c r="CU94" s="1629"/>
      <c r="CV94" s="1629"/>
      <c r="CW94" s="1629"/>
      <c r="CX94" s="1629"/>
      <c r="CY94" s="1629"/>
      <c r="CZ94" s="1629"/>
      <c r="DA94" s="1629"/>
      <c r="DB94" s="1629"/>
      <c r="DC94" s="1629"/>
      <c r="DD94" s="1629"/>
      <c r="DE94" s="1629"/>
      <c r="DF94" s="1629"/>
      <c r="DG94" s="1629"/>
      <c r="DH94" s="1629"/>
      <c r="DI94" s="1629"/>
      <c r="DJ94" s="1629"/>
      <c r="DK94" s="1629"/>
      <c r="DL94" s="1629"/>
      <c r="DM94" s="1629"/>
      <c r="DN94" s="1629"/>
      <c r="DO94" s="1629"/>
      <c r="DP94" s="1629"/>
      <c r="DQ94" s="1629"/>
      <c r="DR94" s="1629"/>
      <c r="DS94" s="1629"/>
      <c r="DT94" s="1629"/>
      <c r="DU94" s="1629"/>
      <c r="DV94" s="1629"/>
      <c r="DW94" s="1629"/>
      <c r="DX94" s="1629"/>
      <c r="DY94" s="1629"/>
      <c r="DZ94" s="1629"/>
      <c r="EA94" s="1629"/>
      <c r="EB94" s="1629"/>
      <c r="EC94" s="1629"/>
      <c r="ED94" s="1629"/>
      <c r="EE94" s="1629"/>
      <c r="EF94" s="1629"/>
      <c r="EG94" s="1629"/>
      <c r="EH94" s="1629"/>
      <c r="EI94" s="1629"/>
      <c r="EJ94" s="1629"/>
      <c r="EK94" s="1629"/>
      <c r="EL94" s="1629"/>
      <c r="EM94" s="1629"/>
      <c r="EN94" s="1629"/>
      <c r="EO94" s="1629"/>
      <c r="EP94" s="1629"/>
      <c r="EQ94" s="1629"/>
      <c r="ER94" s="1629"/>
      <c r="ES94" s="1629"/>
      <c r="ET94" s="1629"/>
      <c r="EU94" s="1629"/>
      <c r="EV94" s="1629"/>
      <c r="EW94" s="1629"/>
      <c r="EX94" s="1629"/>
      <c r="EY94" s="1629"/>
      <c r="EZ94" s="1629"/>
      <c r="FA94" s="1629"/>
      <c r="FB94" s="1629"/>
      <c r="FC94" s="1629"/>
      <c r="FD94" s="1629"/>
      <c r="FE94" s="1629"/>
      <c r="FF94" s="1629"/>
      <c r="FG94" s="1629"/>
      <c r="FH94" s="1629"/>
      <c r="FI94" s="1629"/>
      <c r="FJ94" s="1629"/>
      <c r="FK94" s="1629"/>
      <c r="FL94" s="1629"/>
      <c r="FM94" s="1629"/>
      <c r="FN94" s="1629"/>
      <c r="FO94" s="1629"/>
      <c r="FP94" s="1629"/>
      <c r="FQ94" s="1629"/>
      <c r="FR94" s="1629"/>
      <c r="FS94" s="1629"/>
      <c r="FT94" s="1629"/>
      <c r="FU94" s="1629"/>
      <c r="FV94" s="1629"/>
      <c r="FW94" s="1629"/>
      <c r="FX94" s="1629"/>
      <c r="FY94" s="1629"/>
      <c r="FZ94" s="1629"/>
      <c r="GA94" s="1629"/>
      <c r="GB94" s="1629"/>
      <c r="GC94" s="1629"/>
      <c r="GD94" s="1629"/>
      <c r="GE94" s="1629"/>
      <c r="GF94" s="1629"/>
      <c r="GG94" s="1629"/>
      <c r="GH94" s="1629"/>
      <c r="GI94" s="1629"/>
      <c r="GJ94" s="1629"/>
      <c r="GK94" s="1629"/>
      <c r="GL94" s="1629"/>
      <c r="GM94" s="1629"/>
      <c r="GN94" s="1629"/>
      <c r="GO94" s="1629"/>
      <c r="GP94" s="1629"/>
      <c r="GQ94" s="1629"/>
      <c r="GR94" s="1629"/>
      <c r="GS94" s="1629"/>
      <c r="GT94" s="1629"/>
      <c r="GU94" s="1629"/>
      <c r="GV94" s="1629"/>
      <c r="GW94" s="1629"/>
      <c r="GX94" s="1629"/>
      <c r="GY94" s="1629"/>
      <c r="GZ94" s="1629"/>
      <c r="HA94" s="1629"/>
      <c r="HB94" s="1629"/>
      <c r="HC94" s="1629"/>
      <c r="HD94" s="1629"/>
      <c r="HE94" s="1629"/>
      <c r="HF94" s="1629"/>
      <c r="HG94" s="1629"/>
      <c r="HH94" s="1629"/>
      <c r="HI94" s="1629"/>
      <c r="HJ94" s="1629"/>
      <c r="HK94" s="1629"/>
      <c r="HL94" s="1629"/>
      <c r="HM94" s="1629"/>
      <c r="HN94" s="1629"/>
      <c r="HO94" s="1629"/>
      <c r="HP94" s="1629"/>
      <c r="HQ94" s="1629"/>
      <c r="HR94" s="1629"/>
      <c r="HS94" s="1629"/>
      <c r="HT94" s="1629"/>
      <c r="HU94" s="1629"/>
      <c r="HV94" s="1629"/>
      <c r="HW94" s="1629"/>
      <c r="HX94" s="1629"/>
      <c r="HY94" s="1629"/>
      <c r="HZ94" s="1629"/>
      <c r="IA94" s="1629"/>
      <c r="IB94" s="1629"/>
      <c r="IC94" s="1629"/>
      <c r="ID94" s="1629"/>
      <c r="IE94" s="1629"/>
      <c r="IF94" s="1629"/>
      <c r="IG94" s="1629"/>
      <c r="IH94" s="1629"/>
      <c r="II94" s="1629"/>
      <c r="IJ94" s="1629"/>
      <c r="IK94" s="1629"/>
      <c r="IL94" s="1629"/>
      <c r="IM94" s="1629"/>
      <c r="IN94" s="1629"/>
      <c r="IO94" s="1629"/>
      <c r="IP94" s="1629"/>
      <c r="IQ94" s="1629"/>
      <c r="IR94" s="1629"/>
      <c r="IS94" s="1629"/>
      <c r="IT94" s="1629"/>
      <c r="IU94" s="1629"/>
      <c r="IV94" s="1629"/>
    </row>
    <row r="95" spans="1:256" ht="24" customHeight="1" x14ac:dyDescent="0.2">
      <c r="A95" s="1706" t="s">
        <v>1812</v>
      </c>
      <c r="B95" s="658" t="s">
        <v>1813</v>
      </c>
      <c r="C95" s="661"/>
      <c r="D95" s="4542">
        <v>149</v>
      </c>
      <c r="E95" s="4540"/>
      <c r="F95" s="4542">
        <v>156</v>
      </c>
      <c r="G95" s="4540"/>
      <c r="H95" s="4545">
        <f>'[50]1. Додаток + економ'!$J$95</f>
        <v>0</v>
      </c>
      <c r="I95" s="4546"/>
      <c r="J95" s="1593"/>
      <c r="K95" s="1592"/>
      <c r="L95" s="1592"/>
      <c r="M95" s="1592"/>
      <c r="N95" s="1592"/>
      <c r="O95" s="1592"/>
      <c r="P95" s="1629"/>
      <c r="Q95" s="1629"/>
      <c r="R95" s="1629"/>
      <c r="S95" s="1629"/>
      <c r="T95" s="1629"/>
      <c r="U95" s="1629"/>
      <c r="V95" s="1629"/>
      <c r="W95" s="1629"/>
      <c r="X95" s="1629"/>
      <c r="Y95" s="1629"/>
      <c r="Z95" s="1631"/>
      <c r="AA95" s="1631"/>
      <c r="AB95" s="1629"/>
      <c r="AC95" s="1620"/>
      <c r="AD95" s="1620"/>
      <c r="AE95" s="1620"/>
      <c r="AF95" s="1620"/>
      <c r="AG95" s="1620"/>
      <c r="AH95" s="1620"/>
      <c r="AI95" s="1629"/>
      <c r="AJ95" s="1631"/>
      <c r="AK95" s="1631"/>
      <c r="AL95" s="1631"/>
      <c r="AM95" s="1631"/>
      <c r="AN95" s="1631"/>
      <c r="AO95" s="1631"/>
      <c r="AP95" s="1629"/>
      <c r="AQ95" s="1629"/>
      <c r="AR95" s="1629"/>
      <c r="AS95" s="1629"/>
      <c r="AT95" s="1629"/>
      <c r="AU95" s="1629"/>
      <c r="AV95" s="1629"/>
      <c r="AW95" s="1629"/>
      <c r="AX95" s="1629"/>
      <c r="AY95" s="1629"/>
      <c r="AZ95" s="1629"/>
      <c r="BA95" s="1629"/>
      <c r="BB95" s="1629"/>
      <c r="BC95" s="1629"/>
      <c r="BD95" s="1629"/>
      <c r="BE95" s="1629"/>
      <c r="BF95" s="1629"/>
      <c r="BG95" s="1629"/>
      <c r="BH95" s="1629"/>
      <c r="BI95" s="1629"/>
      <c r="BJ95" s="1629"/>
      <c r="BK95" s="1629"/>
      <c r="BL95" s="1629"/>
      <c r="BM95" s="1629"/>
      <c r="BN95" s="1629"/>
      <c r="BO95" s="1629"/>
      <c r="BP95" s="1629"/>
      <c r="BQ95" s="1629"/>
      <c r="BR95" s="1629"/>
      <c r="BS95" s="1629"/>
      <c r="BT95" s="1629"/>
      <c r="BU95" s="1629"/>
      <c r="BV95" s="1629"/>
      <c r="BW95" s="1629"/>
      <c r="BX95" s="1629"/>
      <c r="BY95" s="1629"/>
      <c r="BZ95" s="1629"/>
      <c r="CA95" s="1629"/>
      <c r="CB95" s="1629"/>
      <c r="CC95" s="1629"/>
      <c r="CD95" s="1629"/>
      <c r="CE95" s="1629"/>
      <c r="CF95" s="1629"/>
      <c r="CG95" s="1629"/>
      <c r="CH95" s="1629"/>
      <c r="CI95" s="1629"/>
      <c r="CJ95" s="1629"/>
      <c r="CK95" s="1629"/>
      <c r="CL95" s="1629"/>
      <c r="CM95" s="1629"/>
      <c r="CN95" s="1629"/>
      <c r="CO95" s="1629"/>
      <c r="CP95" s="1629"/>
      <c r="CQ95" s="1629"/>
      <c r="CR95" s="1629"/>
      <c r="CS95" s="1629"/>
      <c r="CT95" s="1629"/>
      <c r="CU95" s="1629"/>
      <c r="CV95" s="1629"/>
      <c r="CW95" s="1629"/>
      <c r="CX95" s="1629"/>
      <c r="CY95" s="1629"/>
      <c r="CZ95" s="1629"/>
      <c r="DA95" s="1629"/>
      <c r="DB95" s="1629"/>
      <c r="DC95" s="1629"/>
      <c r="DD95" s="1629"/>
      <c r="DE95" s="1629"/>
      <c r="DF95" s="1629"/>
      <c r="DG95" s="1629"/>
      <c r="DH95" s="1629"/>
      <c r="DI95" s="1629"/>
      <c r="DJ95" s="1629"/>
      <c r="DK95" s="1629"/>
      <c r="DL95" s="1629"/>
      <c r="DM95" s="1629"/>
      <c r="DN95" s="1629"/>
      <c r="DO95" s="1629"/>
      <c r="DP95" s="1629"/>
      <c r="DQ95" s="1629"/>
      <c r="DR95" s="1629"/>
      <c r="DS95" s="1629"/>
      <c r="DT95" s="1629"/>
      <c r="DU95" s="1629"/>
      <c r="DV95" s="1629"/>
      <c r="DW95" s="1629"/>
      <c r="DX95" s="1629"/>
      <c r="DY95" s="1629"/>
      <c r="DZ95" s="1629"/>
      <c r="EA95" s="1629"/>
      <c r="EB95" s="1629"/>
      <c r="EC95" s="1629"/>
      <c r="ED95" s="1629"/>
      <c r="EE95" s="1629"/>
      <c r="EF95" s="1629"/>
      <c r="EG95" s="1629"/>
      <c r="EH95" s="1629"/>
      <c r="EI95" s="1629"/>
      <c r="EJ95" s="1629"/>
      <c r="EK95" s="1629"/>
      <c r="EL95" s="1629"/>
      <c r="EM95" s="1629"/>
      <c r="EN95" s="1629"/>
      <c r="EO95" s="1629"/>
      <c r="EP95" s="1629"/>
      <c r="EQ95" s="1629"/>
      <c r="ER95" s="1629"/>
      <c r="ES95" s="1629"/>
      <c r="ET95" s="1629"/>
      <c r="EU95" s="1629"/>
      <c r="EV95" s="1629"/>
      <c r="EW95" s="1629"/>
      <c r="EX95" s="1629"/>
      <c r="EY95" s="1629"/>
      <c r="EZ95" s="1629"/>
      <c r="FA95" s="1629"/>
      <c r="FB95" s="1629"/>
      <c r="FC95" s="1629"/>
      <c r="FD95" s="1629"/>
      <c r="FE95" s="1629"/>
      <c r="FF95" s="1629"/>
      <c r="FG95" s="1629"/>
      <c r="FH95" s="1629"/>
      <c r="FI95" s="1629"/>
      <c r="FJ95" s="1629"/>
      <c r="FK95" s="1629"/>
      <c r="FL95" s="1629"/>
      <c r="FM95" s="1629"/>
      <c r="FN95" s="1629"/>
      <c r="FO95" s="1629"/>
      <c r="FP95" s="1629"/>
      <c r="FQ95" s="1629"/>
      <c r="FR95" s="1629"/>
      <c r="FS95" s="1629"/>
      <c r="FT95" s="1629"/>
      <c r="FU95" s="1629"/>
      <c r="FV95" s="1629"/>
      <c r="FW95" s="1629"/>
      <c r="FX95" s="1629"/>
      <c r="FY95" s="1629"/>
      <c r="FZ95" s="1629"/>
      <c r="GA95" s="1629"/>
      <c r="GB95" s="1629"/>
      <c r="GC95" s="1629"/>
      <c r="GD95" s="1629"/>
      <c r="GE95" s="1629"/>
      <c r="GF95" s="1629"/>
      <c r="GG95" s="1629"/>
      <c r="GH95" s="1629"/>
      <c r="GI95" s="1629"/>
      <c r="GJ95" s="1629"/>
      <c r="GK95" s="1629"/>
      <c r="GL95" s="1629"/>
      <c r="GM95" s="1629"/>
      <c r="GN95" s="1629"/>
      <c r="GO95" s="1629"/>
      <c r="GP95" s="1629"/>
      <c r="GQ95" s="1629"/>
      <c r="GR95" s="1629"/>
      <c r="GS95" s="1629"/>
      <c r="GT95" s="1629"/>
      <c r="GU95" s="1629"/>
      <c r="GV95" s="1629"/>
      <c r="GW95" s="1629"/>
      <c r="GX95" s="1629"/>
      <c r="GY95" s="1629"/>
      <c r="GZ95" s="1629"/>
      <c r="HA95" s="1629"/>
      <c r="HB95" s="1629"/>
      <c r="HC95" s="1629"/>
      <c r="HD95" s="1629"/>
      <c r="HE95" s="1629"/>
      <c r="HF95" s="1629"/>
      <c r="HG95" s="1629"/>
      <c r="HH95" s="1629"/>
      <c r="HI95" s="1629"/>
      <c r="HJ95" s="1629"/>
      <c r="HK95" s="1629"/>
      <c r="HL95" s="1629"/>
      <c r="HM95" s="1629"/>
      <c r="HN95" s="1629"/>
      <c r="HO95" s="1629"/>
      <c r="HP95" s="1629"/>
      <c r="HQ95" s="1629"/>
      <c r="HR95" s="1629"/>
      <c r="HS95" s="1629"/>
      <c r="HT95" s="1629"/>
      <c r="HU95" s="1629"/>
      <c r="HV95" s="1629"/>
      <c r="HW95" s="1629"/>
      <c r="HX95" s="1629"/>
      <c r="HY95" s="1629"/>
      <c r="HZ95" s="1629"/>
      <c r="IA95" s="1629"/>
      <c r="IB95" s="1629"/>
      <c r="IC95" s="1629"/>
      <c r="ID95" s="1629"/>
      <c r="IE95" s="1629"/>
      <c r="IF95" s="1629"/>
      <c r="IG95" s="1629"/>
      <c r="IH95" s="1629"/>
      <c r="II95" s="1629"/>
      <c r="IJ95" s="1629"/>
      <c r="IK95" s="1629"/>
      <c r="IL95" s="1629"/>
      <c r="IM95" s="1629"/>
      <c r="IN95" s="1629"/>
      <c r="IO95" s="1629"/>
      <c r="IP95" s="1629"/>
      <c r="IQ95" s="1629"/>
      <c r="IR95" s="1629"/>
      <c r="IS95" s="1629"/>
      <c r="IT95" s="1629"/>
      <c r="IU95" s="1629"/>
      <c r="IV95" s="1629"/>
    </row>
    <row r="96" spans="1:256" ht="36.75" thickBot="1" x14ac:dyDescent="0.25">
      <c r="A96" s="1707" t="s">
        <v>1814</v>
      </c>
      <c r="B96" s="662" t="s">
        <v>1815</v>
      </c>
      <c r="C96" s="663" t="s">
        <v>1686</v>
      </c>
      <c r="D96" s="4543"/>
      <c r="E96" s="4544"/>
      <c r="F96" s="4543"/>
      <c r="G96" s="4544"/>
      <c r="H96" s="4543"/>
      <c r="I96" s="4544"/>
      <c r="J96" s="1593"/>
      <c r="K96" s="1592"/>
      <c r="L96" s="1592"/>
      <c r="M96" s="1592"/>
      <c r="N96" s="1592"/>
      <c r="O96" s="1592"/>
      <c r="P96" s="1629"/>
      <c r="Q96" s="1629"/>
      <c r="R96" s="1629"/>
      <c r="S96" s="1629"/>
      <c r="T96" s="1629"/>
      <c r="U96" s="1629"/>
      <c r="V96" s="1629"/>
      <c r="W96" s="1629"/>
      <c r="X96" s="1629"/>
      <c r="Y96" s="1629"/>
      <c r="Z96" s="1631"/>
      <c r="AA96" s="1631"/>
      <c r="AB96" s="1629"/>
      <c r="AC96" s="1620"/>
      <c r="AD96" s="1620"/>
      <c r="AE96" s="1620"/>
      <c r="AF96" s="1620"/>
      <c r="AG96" s="1620"/>
      <c r="AH96" s="1620"/>
      <c r="AI96" s="1629"/>
      <c r="AJ96" s="1631"/>
      <c r="AK96" s="1631"/>
      <c r="AL96" s="1631"/>
      <c r="AM96" s="1631"/>
      <c r="AN96" s="1631"/>
      <c r="AO96" s="1631"/>
      <c r="AP96" s="1629"/>
      <c r="AQ96" s="1629"/>
      <c r="AR96" s="1629"/>
      <c r="AS96" s="1629"/>
      <c r="AT96" s="1629"/>
      <c r="AU96" s="1629"/>
      <c r="AV96" s="1629"/>
      <c r="AW96" s="1629"/>
      <c r="AX96" s="1629"/>
      <c r="AY96" s="1629"/>
      <c r="AZ96" s="1629"/>
      <c r="BA96" s="1629"/>
      <c r="BB96" s="1629"/>
      <c r="BC96" s="1629"/>
      <c r="BD96" s="1629"/>
      <c r="BE96" s="1629"/>
      <c r="BF96" s="1629"/>
      <c r="BG96" s="1629"/>
      <c r="BH96" s="1629"/>
      <c r="BI96" s="1629"/>
      <c r="BJ96" s="1629"/>
      <c r="BK96" s="1629"/>
      <c r="BL96" s="1629"/>
      <c r="BM96" s="1629"/>
      <c r="BN96" s="1629"/>
      <c r="BO96" s="1629"/>
      <c r="BP96" s="1629"/>
      <c r="BQ96" s="1629"/>
      <c r="BR96" s="1629"/>
      <c r="BS96" s="1629"/>
      <c r="BT96" s="1629"/>
      <c r="BU96" s="1629"/>
      <c r="BV96" s="1629"/>
      <c r="BW96" s="1629"/>
      <c r="BX96" s="1629"/>
      <c r="BY96" s="1629"/>
      <c r="BZ96" s="1629"/>
      <c r="CA96" s="1629"/>
      <c r="CB96" s="1629"/>
      <c r="CC96" s="1629"/>
      <c r="CD96" s="1629"/>
      <c r="CE96" s="1629"/>
      <c r="CF96" s="1629"/>
      <c r="CG96" s="1629"/>
      <c r="CH96" s="1629"/>
      <c r="CI96" s="1629"/>
      <c r="CJ96" s="1629"/>
      <c r="CK96" s="1629"/>
      <c r="CL96" s="1629"/>
      <c r="CM96" s="1629"/>
      <c r="CN96" s="1629"/>
      <c r="CO96" s="1629"/>
      <c r="CP96" s="1629"/>
      <c r="CQ96" s="1629"/>
      <c r="CR96" s="1629"/>
      <c r="CS96" s="1629"/>
      <c r="CT96" s="1629"/>
      <c r="CU96" s="1629"/>
      <c r="CV96" s="1629"/>
      <c r="CW96" s="1629"/>
      <c r="CX96" s="1629"/>
      <c r="CY96" s="1629"/>
      <c r="CZ96" s="1629"/>
      <c r="DA96" s="1629"/>
      <c r="DB96" s="1629"/>
      <c r="DC96" s="1629"/>
      <c r="DD96" s="1629"/>
      <c r="DE96" s="1629"/>
      <c r="DF96" s="1629"/>
      <c r="DG96" s="1629"/>
      <c r="DH96" s="1629"/>
      <c r="DI96" s="1629"/>
      <c r="DJ96" s="1629"/>
      <c r="DK96" s="1629"/>
      <c r="DL96" s="1629"/>
      <c r="DM96" s="1629"/>
      <c r="DN96" s="1629"/>
      <c r="DO96" s="1629"/>
      <c r="DP96" s="1629"/>
      <c r="DQ96" s="1629"/>
      <c r="DR96" s="1629"/>
      <c r="DS96" s="1629"/>
      <c r="DT96" s="1629"/>
      <c r="DU96" s="1629"/>
      <c r="DV96" s="1629"/>
      <c r="DW96" s="1629"/>
      <c r="DX96" s="1629"/>
      <c r="DY96" s="1629"/>
      <c r="DZ96" s="1629"/>
      <c r="EA96" s="1629"/>
      <c r="EB96" s="1629"/>
      <c r="EC96" s="1629"/>
      <c r="ED96" s="1629"/>
      <c r="EE96" s="1629"/>
      <c r="EF96" s="1629"/>
      <c r="EG96" s="1629"/>
      <c r="EH96" s="1629"/>
      <c r="EI96" s="1629"/>
      <c r="EJ96" s="1629"/>
      <c r="EK96" s="1629"/>
      <c r="EL96" s="1629"/>
      <c r="EM96" s="1629"/>
      <c r="EN96" s="1629"/>
      <c r="EO96" s="1629"/>
      <c r="EP96" s="1629"/>
      <c r="EQ96" s="1629"/>
      <c r="ER96" s="1629"/>
      <c r="ES96" s="1629"/>
      <c r="ET96" s="1629"/>
      <c r="EU96" s="1629"/>
      <c r="EV96" s="1629"/>
      <c r="EW96" s="1629"/>
      <c r="EX96" s="1629"/>
      <c r="EY96" s="1629"/>
      <c r="EZ96" s="1629"/>
      <c r="FA96" s="1629"/>
      <c r="FB96" s="1629"/>
      <c r="FC96" s="1629"/>
      <c r="FD96" s="1629"/>
      <c r="FE96" s="1629"/>
      <c r="FF96" s="1629"/>
      <c r="FG96" s="1629"/>
      <c r="FH96" s="1629"/>
      <c r="FI96" s="1629"/>
      <c r="FJ96" s="1629"/>
      <c r="FK96" s="1629"/>
      <c r="FL96" s="1629"/>
      <c r="FM96" s="1629"/>
      <c r="FN96" s="1629"/>
      <c r="FO96" s="1629"/>
      <c r="FP96" s="1629"/>
      <c r="FQ96" s="1629"/>
      <c r="FR96" s="1629"/>
      <c r="FS96" s="1629"/>
      <c r="FT96" s="1629"/>
      <c r="FU96" s="1629"/>
      <c r="FV96" s="1629"/>
      <c r="FW96" s="1629"/>
      <c r="FX96" s="1629"/>
      <c r="FY96" s="1629"/>
      <c r="FZ96" s="1629"/>
      <c r="GA96" s="1629"/>
      <c r="GB96" s="1629"/>
      <c r="GC96" s="1629"/>
      <c r="GD96" s="1629"/>
      <c r="GE96" s="1629"/>
      <c r="GF96" s="1629"/>
      <c r="GG96" s="1629"/>
      <c r="GH96" s="1629"/>
      <c r="GI96" s="1629"/>
      <c r="GJ96" s="1629"/>
      <c r="GK96" s="1629"/>
      <c r="GL96" s="1629"/>
      <c r="GM96" s="1629"/>
      <c r="GN96" s="1629"/>
      <c r="GO96" s="1629"/>
      <c r="GP96" s="1629"/>
      <c r="GQ96" s="1629"/>
      <c r="GR96" s="1629"/>
      <c r="GS96" s="1629"/>
      <c r="GT96" s="1629"/>
      <c r="GU96" s="1629"/>
      <c r="GV96" s="1629"/>
      <c r="GW96" s="1629"/>
      <c r="GX96" s="1629"/>
      <c r="GY96" s="1629"/>
      <c r="GZ96" s="1629"/>
      <c r="HA96" s="1629"/>
      <c r="HB96" s="1629"/>
      <c r="HC96" s="1629"/>
      <c r="HD96" s="1629"/>
      <c r="HE96" s="1629"/>
      <c r="HF96" s="1629"/>
      <c r="HG96" s="1629"/>
      <c r="HH96" s="1629"/>
      <c r="HI96" s="1629"/>
      <c r="HJ96" s="1629"/>
      <c r="HK96" s="1629"/>
      <c r="HL96" s="1629"/>
      <c r="HM96" s="1629"/>
      <c r="HN96" s="1629"/>
      <c r="HO96" s="1629"/>
      <c r="HP96" s="1629"/>
      <c r="HQ96" s="1629"/>
      <c r="HR96" s="1629"/>
      <c r="HS96" s="1629"/>
      <c r="HT96" s="1629"/>
      <c r="HU96" s="1629"/>
      <c r="HV96" s="1629"/>
      <c r="HW96" s="1629"/>
      <c r="HX96" s="1629"/>
      <c r="HY96" s="1629"/>
      <c r="HZ96" s="1629"/>
      <c r="IA96" s="1629"/>
      <c r="IB96" s="1629"/>
      <c r="IC96" s="1629"/>
      <c r="ID96" s="1629"/>
      <c r="IE96" s="1629"/>
      <c r="IF96" s="1629"/>
      <c r="IG96" s="1629"/>
      <c r="IH96" s="1629"/>
      <c r="II96" s="1629"/>
      <c r="IJ96" s="1629"/>
      <c r="IK96" s="1629"/>
      <c r="IL96" s="1629"/>
      <c r="IM96" s="1629"/>
      <c r="IN96" s="1629"/>
      <c r="IO96" s="1629"/>
      <c r="IP96" s="1629"/>
      <c r="IQ96" s="1629"/>
      <c r="IR96" s="1629"/>
      <c r="IS96" s="1629"/>
      <c r="IT96" s="1629"/>
      <c r="IU96" s="1629"/>
      <c r="IV96" s="1629"/>
    </row>
    <row r="97" spans="1:256" x14ac:dyDescent="0.2">
      <c r="A97" s="1708"/>
      <c r="B97" s="1629"/>
      <c r="C97" s="1639"/>
      <c r="D97" s="1629"/>
      <c r="E97" s="1629"/>
      <c r="F97" s="1629"/>
      <c r="G97" s="1629"/>
      <c r="H97" s="1629"/>
      <c r="I97" s="1629"/>
      <c r="P97" s="1629"/>
      <c r="Q97" s="1629"/>
      <c r="R97" s="1629"/>
      <c r="S97" s="1629"/>
      <c r="T97" s="1629"/>
      <c r="U97" s="1629"/>
      <c r="V97" s="1629"/>
      <c r="W97" s="1629"/>
      <c r="X97" s="1631"/>
      <c r="Y97" s="1631"/>
      <c r="Z97" s="1631"/>
      <c r="AA97" s="1631"/>
      <c r="AB97" s="1629"/>
      <c r="AC97" s="1620"/>
      <c r="AD97" s="1620"/>
      <c r="AE97" s="1620"/>
      <c r="AF97" s="1620"/>
      <c r="AG97" s="1620"/>
      <c r="AH97" s="1620"/>
      <c r="AI97" s="1629"/>
      <c r="AJ97" s="1631"/>
      <c r="AK97" s="1631"/>
      <c r="AL97" s="1631"/>
      <c r="AM97" s="1631"/>
      <c r="AN97" s="1631"/>
      <c r="AO97" s="1631"/>
      <c r="AP97" s="1629"/>
      <c r="AQ97" s="1629"/>
      <c r="AR97" s="1629"/>
      <c r="AS97" s="1629"/>
      <c r="AT97" s="1629"/>
      <c r="AU97" s="1629"/>
      <c r="AV97" s="1629"/>
      <c r="AW97" s="1629"/>
      <c r="AX97" s="1629"/>
      <c r="AY97" s="1629"/>
      <c r="AZ97" s="1629"/>
      <c r="BA97" s="1629"/>
      <c r="BB97" s="1629"/>
      <c r="BC97" s="1629"/>
      <c r="BD97" s="1629"/>
      <c r="BE97" s="1629"/>
      <c r="BF97" s="1629"/>
      <c r="BG97" s="1629"/>
      <c r="BH97" s="1629"/>
      <c r="BI97" s="1629"/>
      <c r="BJ97" s="1629"/>
      <c r="BK97" s="1629"/>
      <c r="BL97" s="1629"/>
      <c r="BM97" s="1629"/>
      <c r="BN97" s="1629"/>
      <c r="BO97" s="1629"/>
      <c r="BP97" s="1629"/>
      <c r="BQ97" s="1629"/>
      <c r="BR97" s="1629"/>
      <c r="BS97" s="1629"/>
      <c r="BT97" s="1629"/>
      <c r="BU97" s="1629"/>
      <c r="BV97" s="1629"/>
      <c r="BW97" s="1629"/>
      <c r="BX97" s="1629"/>
      <c r="BY97" s="1629"/>
      <c r="BZ97" s="1629"/>
      <c r="CA97" s="1629"/>
      <c r="CB97" s="1629"/>
      <c r="CC97" s="1629"/>
      <c r="CD97" s="1629"/>
      <c r="CE97" s="1629"/>
      <c r="CF97" s="1629"/>
      <c r="CG97" s="1629"/>
      <c r="CH97" s="1629"/>
      <c r="CI97" s="1629"/>
      <c r="CJ97" s="1629"/>
      <c r="CK97" s="1629"/>
      <c r="CL97" s="1629"/>
      <c r="CM97" s="1629"/>
      <c r="CN97" s="1629"/>
      <c r="CO97" s="1629"/>
      <c r="CP97" s="1629"/>
      <c r="CQ97" s="1629"/>
      <c r="CR97" s="1629"/>
      <c r="CS97" s="1629"/>
      <c r="CT97" s="1629"/>
      <c r="CU97" s="1629"/>
      <c r="CV97" s="1629"/>
      <c r="CW97" s="1629"/>
      <c r="CX97" s="1629"/>
      <c r="CY97" s="1629"/>
      <c r="CZ97" s="1629"/>
      <c r="DA97" s="1629"/>
      <c r="DB97" s="1629"/>
      <c r="DC97" s="1629"/>
      <c r="DD97" s="1629"/>
      <c r="DE97" s="1629"/>
      <c r="DF97" s="1629"/>
      <c r="DG97" s="1629"/>
      <c r="DH97" s="1629"/>
      <c r="DI97" s="1629"/>
      <c r="DJ97" s="1629"/>
      <c r="DK97" s="1629"/>
      <c r="DL97" s="1629"/>
      <c r="DM97" s="1629"/>
      <c r="DN97" s="1629"/>
      <c r="DO97" s="1629"/>
      <c r="DP97" s="1629"/>
      <c r="DQ97" s="1629"/>
      <c r="DR97" s="1629"/>
      <c r="DS97" s="1629"/>
      <c r="DT97" s="1629"/>
      <c r="DU97" s="1629"/>
      <c r="DV97" s="1629"/>
      <c r="DW97" s="1629"/>
      <c r="DX97" s="1629"/>
      <c r="DY97" s="1629"/>
      <c r="DZ97" s="1629"/>
      <c r="EA97" s="1629"/>
      <c r="EB97" s="1629"/>
      <c r="EC97" s="1629"/>
      <c r="ED97" s="1629"/>
      <c r="EE97" s="1629"/>
      <c r="EF97" s="1629"/>
      <c r="EG97" s="1629"/>
      <c r="EH97" s="1629"/>
      <c r="EI97" s="1629"/>
      <c r="EJ97" s="1629"/>
      <c r="EK97" s="1629"/>
      <c r="EL97" s="1629"/>
      <c r="EM97" s="1629"/>
      <c r="EN97" s="1629"/>
      <c r="EO97" s="1629"/>
      <c r="EP97" s="1629"/>
      <c r="EQ97" s="1629"/>
      <c r="ER97" s="1629"/>
      <c r="ES97" s="1629"/>
      <c r="ET97" s="1629"/>
      <c r="EU97" s="1629"/>
      <c r="EV97" s="1629"/>
      <c r="EW97" s="1629"/>
      <c r="EX97" s="1629"/>
      <c r="EY97" s="1629"/>
      <c r="EZ97" s="1629"/>
      <c r="FA97" s="1629"/>
      <c r="FB97" s="1629"/>
      <c r="FC97" s="1629"/>
      <c r="FD97" s="1629"/>
      <c r="FE97" s="1629"/>
      <c r="FF97" s="1629"/>
      <c r="FG97" s="1629"/>
      <c r="FH97" s="1629"/>
      <c r="FI97" s="1629"/>
      <c r="FJ97" s="1629"/>
      <c r="FK97" s="1629"/>
      <c r="FL97" s="1629"/>
      <c r="FM97" s="1629"/>
      <c r="FN97" s="1629"/>
      <c r="FO97" s="1629"/>
      <c r="FP97" s="1629"/>
      <c r="FQ97" s="1629"/>
      <c r="FR97" s="1629"/>
      <c r="FS97" s="1629"/>
      <c r="FT97" s="1629"/>
      <c r="FU97" s="1629"/>
      <c r="FV97" s="1629"/>
      <c r="FW97" s="1629"/>
      <c r="FX97" s="1629"/>
      <c r="FY97" s="1629"/>
      <c r="FZ97" s="1629"/>
      <c r="GA97" s="1629"/>
      <c r="GB97" s="1629"/>
      <c r="GC97" s="1629"/>
      <c r="GD97" s="1629"/>
      <c r="GE97" s="1629"/>
      <c r="GF97" s="1629"/>
      <c r="GG97" s="1629"/>
      <c r="GH97" s="1629"/>
      <c r="GI97" s="1629"/>
      <c r="GJ97" s="1629"/>
      <c r="GK97" s="1629"/>
      <c r="GL97" s="1629"/>
      <c r="GM97" s="1629"/>
      <c r="GN97" s="1629"/>
      <c r="GO97" s="1629"/>
      <c r="GP97" s="1629"/>
      <c r="GQ97" s="1629"/>
      <c r="GR97" s="1629"/>
      <c r="GS97" s="1629"/>
      <c r="GT97" s="1629"/>
      <c r="GU97" s="1629"/>
      <c r="GV97" s="1629"/>
      <c r="GW97" s="1629"/>
      <c r="GX97" s="1629"/>
      <c r="GY97" s="1629"/>
      <c r="GZ97" s="1629"/>
      <c r="HA97" s="1629"/>
      <c r="HB97" s="1629"/>
      <c r="HC97" s="1629"/>
      <c r="HD97" s="1629"/>
      <c r="HE97" s="1629"/>
      <c r="HF97" s="1629"/>
      <c r="HG97" s="1629"/>
      <c r="HH97" s="1629"/>
      <c r="HI97" s="1629"/>
      <c r="HJ97" s="1629"/>
      <c r="HK97" s="1629"/>
      <c r="HL97" s="1629"/>
      <c r="HM97" s="1629"/>
      <c r="HN97" s="1629"/>
      <c r="HO97" s="1629"/>
      <c r="HP97" s="1629"/>
      <c r="HQ97" s="1629"/>
      <c r="HR97" s="1629"/>
      <c r="HS97" s="1629"/>
      <c r="HT97" s="1629"/>
      <c r="HU97" s="1629"/>
      <c r="HV97" s="1629"/>
      <c r="HW97" s="1629"/>
      <c r="HX97" s="1629"/>
      <c r="HY97" s="1629"/>
      <c r="HZ97" s="1629"/>
      <c r="IA97" s="1629"/>
      <c r="IB97" s="1629"/>
      <c r="IC97" s="1629"/>
      <c r="ID97" s="1629"/>
      <c r="IE97" s="1629"/>
      <c r="IF97" s="1629"/>
      <c r="IG97" s="1629"/>
      <c r="IH97" s="1629"/>
      <c r="II97" s="1629"/>
      <c r="IJ97" s="1629"/>
      <c r="IK97" s="1629"/>
      <c r="IL97" s="1629"/>
      <c r="IM97" s="1629"/>
      <c r="IN97" s="1629"/>
      <c r="IO97" s="1629"/>
      <c r="IP97" s="1629"/>
      <c r="IQ97" s="1629"/>
      <c r="IR97" s="1629"/>
      <c r="IS97" s="1629"/>
      <c r="IT97" s="1629"/>
      <c r="IU97" s="1629"/>
      <c r="IV97" s="1629"/>
    </row>
    <row r="98" spans="1:256" x14ac:dyDescent="0.2">
      <c r="X98" s="1620"/>
      <c r="Y98" s="1620"/>
      <c r="Z98" s="1620"/>
      <c r="AA98" s="1620"/>
      <c r="AC98" s="1620"/>
      <c r="AD98" s="1620"/>
      <c r="AE98" s="1620"/>
      <c r="AF98" s="1620"/>
      <c r="AG98" s="1620"/>
      <c r="AH98" s="1620"/>
      <c r="AJ98" s="1620"/>
      <c r="AK98" s="1620"/>
      <c r="AL98" s="1620"/>
      <c r="AM98" s="1620"/>
      <c r="AN98" s="1620"/>
      <c r="AO98" s="1620"/>
    </row>
    <row r="101" spans="1:256" x14ac:dyDescent="0.2">
      <c r="D101" s="4541" t="s">
        <v>1816</v>
      </c>
      <c r="E101" s="4541"/>
      <c r="F101" s="4541"/>
      <c r="G101" s="4541"/>
      <c r="H101" s="4541"/>
      <c r="I101" s="4541"/>
      <c r="P101" s="4541" t="s">
        <v>626</v>
      </c>
      <c r="Q101" s="4541"/>
      <c r="R101" s="4541"/>
      <c r="S101" s="4541"/>
      <c r="T101" s="4541"/>
    </row>
    <row r="102" spans="1:256" ht="15.75" x14ac:dyDescent="0.25">
      <c r="D102" s="1640"/>
      <c r="E102" s="1641"/>
      <c r="F102" s="1641"/>
      <c r="G102" s="1641"/>
      <c r="H102" s="1641"/>
      <c r="I102" s="1641"/>
      <c r="J102" s="1641"/>
      <c r="K102" s="1641"/>
      <c r="L102" s="1641"/>
      <c r="M102" s="1641"/>
      <c r="N102" s="1641"/>
      <c r="O102" s="1641"/>
      <c r="P102" s="1641"/>
      <c r="Q102" s="1641"/>
      <c r="R102" s="1641"/>
      <c r="S102" s="1641"/>
      <c r="T102" s="1641"/>
    </row>
    <row r="103" spans="1:256" ht="15.75" x14ac:dyDescent="0.25">
      <c r="B103" s="1642" t="s">
        <v>627</v>
      </c>
      <c r="C103" s="1643"/>
      <c r="D103" s="1642"/>
      <c r="E103" s="1641"/>
      <c r="F103" s="1641"/>
      <c r="G103" s="1641"/>
      <c r="H103" s="1641"/>
      <c r="I103" s="1641"/>
      <c r="J103" s="1641"/>
      <c r="K103" s="1641"/>
      <c r="L103" s="1641"/>
      <c r="M103" s="1641"/>
      <c r="N103" s="1641"/>
      <c r="O103" s="1641"/>
      <c r="P103" s="1641"/>
      <c r="Q103" s="1641"/>
      <c r="R103" s="1641"/>
      <c r="S103" s="1641"/>
      <c r="T103" s="1641"/>
    </row>
    <row r="104" spans="1:256" ht="15.75" x14ac:dyDescent="0.25">
      <c r="D104" s="1641"/>
      <c r="E104" s="1641"/>
      <c r="F104" s="1641"/>
      <c r="G104" s="1641"/>
      <c r="H104" s="1641"/>
      <c r="I104" s="1641"/>
      <c r="J104" s="1641"/>
      <c r="K104" s="1641"/>
      <c r="L104" s="1641"/>
      <c r="M104" s="1641"/>
      <c r="N104" s="1641"/>
      <c r="O104" s="1641"/>
      <c r="P104" s="1641"/>
      <c r="Q104" s="1641"/>
      <c r="R104" s="1641"/>
      <c r="S104" s="1641"/>
      <c r="T104" s="1641"/>
    </row>
    <row r="105" spans="1:256" ht="15.75" x14ac:dyDescent="0.25">
      <c r="D105" s="1641"/>
      <c r="E105" s="1641"/>
      <c r="F105" s="1641"/>
      <c r="G105" s="1641"/>
      <c r="H105" s="1641"/>
      <c r="I105" s="1641"/>
      <c r="J105" s="1641"/>
      <c r="K105" s="1641"/>
      <c r="L105" s="1641"/>
      <c r="M105" s="1641"/>
      <c r="N105" s="1641"/>
      <c r="O105" s="1641"/>
      <c r="P105" s="1641"/>
      <c r="Q105" s="1641"/>
      <c r="R105" s="1641"/>
      <c r="S105" s="1641"/>
      <c r="T105" s="1641"/>
    </row>
    <row r="106" spans="1:256" ht="15.75" x14ac:dyDescent="0.25">
      <c r="D106" s="1641"/>
      <c r="E106" s="1641"/>
      <c r="F106" s="1641"/>
      <c r="G106" s="1641"/>
      <c r="H106" s="1641"/>
      <c r="I106" s="1641"/>
      <c r="J106" s="1641"/>
      <c r="K106" s="1641"/>
      <c r="L106" s="1641"/>
      <c r="M106" s="1641"/>
      <c r="N106" s="1641"/>
      <c r="O106" s="1641"/>
      <c r="P106" s="1641"/>
      <c r="Q106" s="1641"/>
      <c r="R106" s="1641"/>
      <c r="S106" s="1641"/>
      <c r="T106" s="1641"/>
    </row>
    <row r="107" spans="1:256" x14ac:dyDescent="0.2">
      <c r="G107" s="1596" t="s">
        <v>1381</v>
      </c>
      <c r="H107" s="1596" t="s">
        <v>2384</v>
      </c>
      <c r="I107" s="1596" t="s">
        <v>2726</v>
      </c>
      <c r="J107" s="1603">
        <f>J108+K108</f>
        <v>50.780038368769823</v>
      </c>
      <c r="L107" s="1603">
        <f>L108+M108</f>
        <v>807.57414590587723</v>
      </c>
      <c r="N107" s="1603">
        <f>N108+O108</f>
        <v>0.23719230000000002</v>
      </c>
      <c r="P107" s="1603">
        <f>P108+Q108</f>
        <v>2.9988629999999996</v>
      </c>
      <c r="R107" s="1603">
        <f>R108+S108</f>
        <v>1.7789422500000001</v>
      </c>
      <c r="T107" s="1603">
        <f>T108+U108</f>
        <v>2.1256748999999995</v>
      </c>
      <c r="V107" s="1603">
        <f>V108+W108</f>
        <v>1.4492762999999998E-6</v>
      </c>
    </row>
    <row r="108" spans="1:256" x14ac:dyDescent="0.2">
      <c r="B108" s="1596" t="s">
        <v>2725</v>
      </c>
      <c r="G108" s="2034">
        <f>H108+I108</f>
        <v>866.94413302464716</v>
      </c>
      <c r="H108" s="2034">
        <f>SUM(H109:H110)</f>
        <v>682.89317396693571</v>
      </c>
      <c r="I108" s="2034">
        <f>SUM(I109:I110)</f>
        <v>184.05095905771145</v>
      </c>
      <c r="J108" s="2034">
        <f t="shared" ref="J108:W108" si="77">SUM(J109:J110)</f>
        <v>40.354423774035766</v>
      </c>
      <c r="K108" s="2034">
        <f t="shared" si="77"/>
        <v>10.425614594734061</v>
      </c>
      <c r="L108" s="2034">
        <f t="shared" si="77"/>
        <v>637.98851894289987</v>
      </c>
      <c r="M108" s="2034">
        <f t="shared" si="77"/>
        <v>169.58562696297739</v>
      </c>
      <c r="N108" s="2034">
        <f t="shared" si="77"/>
        <v>0.12564450000000002</v>
      </c>
      <c r="O108" s="2034">
        <f t="shared" si="77"/>
        <v>0.11154779999999999</v>
      </c>
      <c r="P108" s="2034">
        <f t="shared" si="77"/>
        <v>1.5885449999999999</v>
      </c>
      <c r="Q108" s="2034">
        <f t="shared" si="77"/>
        <v>1.4103179999999997</v>
      </c>
      <c r="R108" s="2034">
        <f t="shared" si="77"/>
        <v>0.94233374999999997</v>
      </c>
      <c r="S108" s="2034">
        <f t="shared" si="77"/>
        <v>0.83660850000000009</v>
      </c>
      <c r="T108" s="2034">
        <f t="shared" si="77"/>
        <v>1.1260034999999997</v>
      </c>
      <c r="U108" s="2034">
        <f t="shared" si="77"/>
        <v>0.99967139999999988</v>
      </c>
      <c r="V108" s="2034">
        <f t="shared" si="77"/>
        <v>7.6770449999999988E-7</v>
      </c>
      <c r="W108" s="2034">
        <f t="shared" si="77"/>
        <v>6.8157179999999995E-7</v>
      </c>
    </row>
    <row r="109" spans="1:256" x14ac:dyDescent="0.2">
      <c r="B109" s="1596" t="s">
        <v>2723</v>
      </c>
      <c r="G109" s="1603">
        <f>H109+I109</f>
        <v>833.70512791689714</v>
      </c>
      <c r="H109" s="1603">
        <f>H17*H32/1000</f>
        <v>662.53770409193567</v>
      </c>
      <c r="I109" s="1603">
        <f>I17*I32/1000</f>
        <v>171.16742382496145</v>
      </c>
      <c r="J109" s="1603">
        <f t="shared" ref="J109:W109" si="78">J17*J32/1000</f>
        <v>32.112116899035769</v>
      </c>
      <c r="K109" s="1603">
        <f t="shared" si="78"/>
        <v>8.2962045619840605</v>
      </c>
      <c r="L109" s="1603">
        <f t="shared" si="78"/>
        <v>630.42558719289991</v>
      </c>
      <c r="M109" s="1603">
        <f t="shared" si="78"/>
        <v>162.87121926297738</v>
      </c>
      <c r="N109" s="1603">
        <f t="shared" si="78"/>
        <v>0</v>
      </c>
      <c r="O109" s="1603">
        <f t="shared" si="78"/>
        <v>0</v>
      </c>
      <c r="P109" s="1603">
        <f t="shared" si="78"/>
        <v>0</v>
      </c>
      <c r="Q109" s="1603">
        <f t="shared" si="78"/>
        <v>0</v>
      </c>
      <c r="R109" s="1603">
        <f t="shared" si="78"/>
        <v>0</v>
      </c>
      <c r="S109" s="1603">
        <f t="shared" si="78"/>
        <v>0</v>
      </c>
      <c r="T109" s="1603">
        <f t="shared" si="78"/>
        <v>0</v>
      </c>
      <c r="U109" s="1603">
        <f t="shared" si="78"/>
        <v>0</v>
      </c>
      <c r="V109" s="1603">
        <f t="shared" si="78"/>
        <v>0</v>
      </c>
      <c r="W109" s="1603">
        <f t="shared" si="78"/>
        <v>0</v>
      </c>
    </row>
    <row r="110" spans="1:256" x14ac:dyDescent="0.2">
      <c r="B110" s="1596" t="s">
        <v>2724</v>
      </c>
      <c r="G110" s="1603">
        <f>H110+I110</f>
        <v>33.239005107749996</v>
      </c>
      <c r="H110" s="1603">
        <f>H28*H32/1000</f>
        <v>20.355469874999997</v>
      </c>
      <c r="I110" s="1603">
        <f>I28*I32/1000</f>
        <v>12.883535232749999</v>
      </c>
      <c r="J110" s="1603">
        <f t="shared" ref="J110:W110" si="79">J28*J32/1000</f>
        <v>8.2423068750000006</v>
      </c>
      <c r="K110" s="1603">
        <f t="shared" si="79"/>
        <v>2.1294100327499996</v>
      </c>
      <c r="L110" s="1603">
        <f t="shared" si="79"/>
        <v>7.5629317499999988</v>
      </c>
      <c r="M110" s="1603">
        <f t="shared" si="79"/>
        <v>6.7144076999999989</v>
      </c>
      <c r="N110" s="1603">
        <f t="shared" si="79"/>
        <v>0.12564450000000002</v>
      </c>
      <c r="O110" s="1603">
        <f t="shared" si="79"/>
        <v>0.11154779999999999</v>
      </c>
      <c r="P110" s="1603">
        <f t="shared" si="79"/>
        <v>1.5885449999999999</v>
      </c>
      <c r="Q110" s="1603">
        <f t="shared" si="79"/>
        <v>1.4103179999999997</v>
      </c>
      <c r="R110" s="1603">
        <f t="shared" si="79"/>
        <v>0.94233374999999997</v>
      </c>
      <c r="S110" s="1603">
        <f t="shared" si="79"/>
        <v>0.83660850000000009</v>
      </c>
      <c r="T110" s="1603">
        <f t="shared" si="79"/>
        <v>1.1260034999999997</v>
      </c>
      <c r="U110" s="1603">
        <f t="shared" si="79"/>
        <v>0.99967139999999988</v>
      </c>
      <c r="V110" s="1603">
        <f t="shared" si="79"/>
        <v>7.6770449999999988E-7</v>
      </c>
      <c r="W110" s="1603">
        <f t="shared" si="79"/>
        <v>6.8157179999999995E-7</v>
      </c>
    </row>
  </sheetData>
  <mergeCells count="61">
    <mergeCell ref="U6:W6"/>
    <mergeCell ref="U3:W3"/>
    <mergeCell ref="U4:W4"/>
    <mergeCell ref="F5:G5"/>
    <mergeCell ref="M5:N5"/>
    <mergeCell ref="U5:W5"/>
    <mergeCell ref="A34:A36"/>
    <mergeCell ref="J12:K12"/>
    <mergeCell ref="L12:M12"/>
    <mergeCell ref="N12:O12"/>
    <mergeCell ref="P12:Q12"/>
    <mergeCell ref="A11:A13"/>
    <mergeCell ref="B11:B13"/>
    <mergeCell ref="C11:C13"/>
    <mergeCell ref="D11:E11"/>
    <mergeCell ref="F11:G11"/>
    <mergeCell ref="H11:W11"/>
    <mergeCell ref="D12:E12"/>
    <mergeCell ref="F12:G12"/>
    <mergeCell ref="H12:I12"/>
    <mergeCell ref="V12:W12"/>
    <mergeCell ref="A30:Y30"/>
    <mergeCell ref="AC12:AH12"/>
    <mergeCell ref="AJ12:AO12"/>
    <mergeCell ref="A15:W15"/>
    <mergeCell ref="R12:S12"/>
    <mergeCell ref="T12:U12"/>
    <mergeCell ref="A70:A72"/>
    <mergeCell ref="A37:A39"/>
    <mergeCell ref="A40:A42"/>
    <mergeCell ref="A43:A45"/>
    <mergeCell ref="A46:A48"/>
    <mergeCell ref="A49:A51"/>
    <mergeCell ref="A52:A54"/>
    <mergeCell ref="A55:A57"/>
    <mergeCell ref="A58:A60"/>
    <mergeCell ref="A61:A63"/>
    <mergeCell ref="A64:A66"/>
    <mergeCell ref="A67:A69"/>
    <mergeCell ref="A73:A75"/>
    <mergeCell ref="A76:A78"/>
    <mergeCell ref="A79:A81"/>
    <mergeCell ref="D92:E92"/>
    <mergeCell ref="F92:G92"/>
    <mergeCell ref="A91:U91"/>
    <mergeCell ref="H92:I92"/>
    <mergeCell ref="P93:Y94"/>
    <mergeCell ref="H94:I94"/>
    <mergeCell ref="D101:I101"/>
    <mergeCell ref="P101:T101"/>
    <mergeCell ref="D95:E95"/>
    <mergeCell ref="F95:G95"/>
    <mergeCell ref="D96:E96"/>
    <mergeCell ref="F96:G96"/>
    <mergeCell ref="H95:I95"/>
    <mergeCell ref="H96:I96"/>
    <mergeCell ref="D93:E93"/>
    <mergeCell ref="F93:G93"/>
    <mergeCell ref="D94:E94"/>
    <mergeCell ref="F94:G94"/>
    <mergeCell ref="H93:I93"/>
  </mergeCells>
  <conditionalFormatting sqref="F1:G4 M1:N4 H1:L33 O1:W33 A1:E81 X1:IV96 M6:N33 F6:G81 D16:Y86 A16:C93 D31:W90 A82:W86 O87:Y91 A87:E93 G87:P93 F87:F95 H93:I95 A94:D95 J94:J95 N95:Y96 A96:J96 G97:W107 A97:F65541 X97:XFD65541 G108 G109:W65541">
    <cfRule type="cellIs" dxfId="0" priority="8" operator="equal">
      <formula>0</formula>
    </cfRule>
  </conditionalFormatting>
  <pageMargins left="0.39370078740157483" right="0.19685039370078741" top="0.19685039370078741" bottom="0.19685039370078741" header="0" footer="0"/>
  <pageSetup paperSize="9" scale="62" fitToHeight="0"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2" tint="-0.499984740745262"/>
    <pageSetUpPr fitToPage="1"/>
  </sheetPr>
  <dimension ref="B1:L45"/>
  <sheetViews>
    <sheetView topLeftCell="B25" workbookViewId="0">
      <selection activeCell="I42" sqref="I42"/>
    </sheetView>
  </sheetViews>
  <sheetFormatPr defaultColWidth="8.85546875" defaultRowHeight="15.75" x14ac:dyDescent="0.25"/>
  <cols>
    <col min="1" max="1" width="3.7109375" style="550" customWidth="1"/>
    <col min="2" max="2" width="4.7109375" style="550" customWidth="1"/>
    <col min="3" max="3" width="8.140625" style="550" customWidth="1"/>
    <col min="4" max="4" width="23.28515625" style="550" customWidth="1"/>
    <col min="5" max="5" width="9.7109375" style="550" customWidth="1"/>
    <col min="6" max="6" width="9.28515625" style="550" customWidth="1"/>
    <col min="7" max="7" width="17.28515625" style="550" customWidth="1"/>
    <col min="8" max="8" width="11.7109375" style="550" customWidth="1"/>
    <col min="9" max="9" width="11.28515625" style="550" customWidth="1"/>
    <col min="10" max="10" width="47.5703125" style="550" customWidth="1"/>
    <col min="11" max="11" width="19.28515625" style="1794" customWidth="1"/>
    <col min="12" max="16384" width="8.85546875" style="550"/>
  </cols>
  <sheetData>
    <row r="1" spans="2:12" x14ac:dyDescent="0.25">
      <c r="I1" s="550" t="s">
        <v>1083</v>
      </c>
    </row>
    <row r="3" spans="2:12" x14ac:dyDescent="0.25">
      <c r="B3" s="4589" t="s">
        <v>1837</v>
      </c>
      <c r="C3" s="4589"/>
      <c r="D3" s="4589"/>
      <c r="E3" s="4589"/>
      <c r="F3" s="4589"/>
      <c r="G3" s="4589"/>
      <c r="H3" s="4589"/>
      <c r="I3" s="4589"/>
    </row>
    <row r="4" spans="2:12" x14ac:dyDescent="0.25">
      <c r="B4" s="597"/>
      <c r="C4" s="597"/>
      <c r="D4" s="4605" t="str">
        <f>'Вхідні дані'!$F$5</f>
        <v>ЧФ ДП "АМПУ"</v>
      </c>
      <c r="E4" s="4605"/>
      <c r="F4" s="4605"/>
      <c r="G4" s="597" t="s">
        <v>461</v>
      </c>
      <c r="H4" s="982" t="str">
        <f>'Вхідні дані'!$F$6</f>
        <v>2023-2024</v>
      </c>
      <c r="I4" s="597" t="s">
        <v>648</v>
      </c>
    </row>
    <row r="5" spans="2:12" x14ac:dyDescent="0.25">
      <c r="B5" s="597"/>
      <c r="C5" s="597"/>
      <c r="D5" s="597"/>
      <c r="E5" s="597"/>
      <c r="F5" s="597"/>
      <c r="G5" s="597"/>
      <c r="H5" s="597"/>
      <c r="I5" s="597"/>
    </row>
    <row r="6" spans="2:12" ht="16.5" thickBot="1" x14ac:dyDescent="0.3"/>
    <row r="7" spans="2:12" ht="15.75" customHeight="1" x14ac:dyDescent="0.25">
      <c r="B7" s="4590" t="s">
        <v>997</v>
      </c>
      <c r="C7" s="4593" t="s">
        <v>1543</v>
      </c>
      <c r="D7" s="4596" t="s">
        <v>1544</v>
      </c>
      <c r="E7" s="4599" t="s">
        <v>1545</v>
      </c>
      <c r="F7" s="4599" t="s">
        <v>1546</v>
      </c>
      <c r="G7" s="4593" t="s">
        <v>1547</v>
      </c>
      <c r="H7" s="4593" t="s">
        <v>1838</v>
      </c>
      <c r="I7" s="4602" t="s">
        <v>1548</v>
      </c>
      <c r="J7" s="551"/>
    </row>
    <row r="8" spans="2:12" x14ac:dyDescent="0.25">
      <c r="B8" s="4591"/>
      <c r="C8" s="4594"/>
      <c r="D8" s="4597"/>
      <c r="E8" s="4600"/>
      <c r="F8" s="4600"/>
      <c r="G8" s="4594"/>
      <c r="H8" s="4594"/>
      <c r="I8" s="4603"/>
      <c r="J8" s="551"/>
    </row>
    <row r="9" spans="2:12" x14ac:dyDescent="0.25">
      <c r="B9" s="4591"/>
      <c r="C9" s="4594"/>
      <c r="D9" s="4597"/>
      <c r="E9" s="4600"/>
      <c r="F9" s="4600"/>
      <c r="G9" s="4594"/>
      <c r="H9" s="4594"/>
      <c r="I9" s="4603"/>
      <c r="J9" s="551"/>
    </row>
    <row r="10" spans="2:12" ht="16.5" thickBot="1" x14ac:dyDescent="0.3">
      <c r="B10" s="4592"/>
      <c r="C10" s="4595"/>
      <c r="D10" s="4598"/>
      <c r="E10" s="4601"/>
      <c r="F10" s="4601"/>
      <c r="G10" s="4595"/>
      <c r="H10" s="4595"/>
      <c r="I10" s="4604"/>
      <c r="J10" s="551"/>
    </row>
    <row r="11" spans="2:12" ht="16.5" thickBot="1" x14ac:dyDescent="0.3">
      <c r="B11" s="771">
        <v>1</v>
      </c>
      <c r="C11" s="799">
        <v>2</v>
      </c>
      <c r="D11" s="799">
        <v>3</v>
      </c>
      <c r="E11" s="799">
        <v>4</v>
      </c>
      <c r="F11" s="799">
        <v>5</v>
      </c>
      <c r="G11" s="799">
        <v>6</v>
      </c>
      <c r="H11" s="799">
        <v>7</v>
      </c>
      <c r="I11" s="1353">
        <v>8</v>
      </c>
      <c r="J11" s="551"/>
    </row>
    <row r="12" spans="2:12" ht="22.5" x14ac:dyDescent="0.25">
      <c r="B12" s="770">
        <v>1</v>
      </c>
      <c r="C12" s="560">
        <v>1045</v>
      </c>
      <c r="D12" s="561" t="s">
        <v>1549</v>
      </c>
      <c r="E12" s="562" t="s">
        <v>1550</v>
      </c>
      <c r="F12" s="562">
        <v>2005</v>
      </c>
      <c r="G12" s="562" t="s">
        <v>993</v>
      </c>
      <c r="H12" s="772"/>
      <c r="I12" s="1354">
        <f>8500+2000+2500</f>
        <v>13000</v>
      </c>
      <c r="J12" s="551" t="s">
        <v>2514</v>
      </c>
      <c r="K12" s="1794" t="s">
        <v>2512</v>
      </c>
      <c r="L12" s="1807" t="s">
        <v>2513</v>
      </c>
    </row>
    <row r="13" spans="2:12" ht="22.5" x14ac:dyDescent="0.25">
      <c r="B13" s="763">
        <f>B12+1</f>
        <v>2</v>
      </c>
      <c r="C13" s="552">
        <v>3</v>
      </c>
      <c r="D13" s="553" t="s">
        <v>1551</v>
      </c>
      <c r="E13" s="554" t="s">
        <v>1552</v>
      </c>
      <c r="F13" s="554">
        <v>2004</v>
      </c>
      <c r="G13" s="554" t="s">
        <v>992</v>
      </c>
      <c r="H13" s="773"/>
      <c r="I13" s="1355">
        <f>1000+2500+3000+5000</f>
        <v>11500</v>
      </c>
      <c r="J13" s="551" t="s">
        <v>2515</v>
      </c>
    </row>
    <row r="14" spans="2:12" ht="22.5" x14ac:dyDescent="0.25">
      <c r="B14" s="763">
        <f t="shared" ref="B14:B38" si="0">B13+1</f>
        <v>3</v>
      </c>
      <c r="C14" s="552"/>
      <c r="D14" s="553" t="s">
        <v>2475</v>
      </c>
      <c r="E14" s="554"/>
      <c r="F14" s="554"/>
      <c r="G14" s="562" t="s">
        <v>993</v>
      </c>
      <c r="H14" s="773"/>
      <c r="I14" s="1355">
        <v>20000</v>
      </c>
      <c r="J14" s="551" t="s">
        <v>2516</v>
      </c>
    </row>
    <row r="15" spans="2:12" ht="22.5" x14ac:dyDescent="0.25">
      <c r="B15" s="763">
        <f t="shared" si="0"/>
        <v>4</v>
      </c>
      <c r="C15" s="552">
        <v>10358</v>
      </c>
      <c r="D15" s="553" t="s">
        <v>1553</v>
      </c>
      <c r="E15" s="554" t="s">
        <v>1554</v>
      </c>
      <c r="F15" s="554">
        <v>1994</v>
      </c>
      <c r="G15" s="554" t="s">
        <v>992</v>
      </c>
      <c r="H15" s="773"/>
      <c r="I15" s="1355">
        <f>2500+5000</f>
        <v>7500</v>
      </c>
      <c r="J15" s="551" t="s">
        <v>2517</v>
      </c>
    </row>
    <row r="16" spans="2:12" x14ac:dyDescent="0.25">
      <c r="B16" s="763">
        <f t="shared" si="0"/>
        <v>5</v>
      </c>
      <c r="C16" s="552">
        <v>1038</v>
      </c>
      <c r="D16" s="553" t="s">
        <v>1555</v>
      </c>
      <c r="E16" s="554" t="s">
        <v>1556</v>
      </c>
      <c r="F16" s="554">
        <v>1994</v>
      </c>
      <c r="G16" s="554" t="s">
        <v>988</v>
      </c>
      <c r="H16" s="773"/>
      <c r="I16" s="1355">
        <f>10000+4000</f>
        <v>14000</v>
      </c>
      <c r="J16" s="551" t="s">
        <v>2518</v>
      </c>
    </row>
    <row r="17" spans="2:11" x14ac:dyDescent="0.25">
      <c r="B17" s="763">
        <f t="shared" si="0"/>
        <v>6</v>
      </c>
      <c r="C17" s="552">
        <v>1042</v>
      </c>
      <c r="D17" s="553" t="s">
        <v>1557</v>
      </c>
      <c r="E17" s="554" t="s">
        <v>1558</v>
      </c>
      <c r="F17" s="554">
        <v>1996</v>
      </c>
      <c r="G17" s="554" t="s">
        <v>988</v>
      </c>
      <c r="H17" s="773"/>
      <c r="I17" s="1355"/>
      <c r="J17" s="551"/>
    </row>
    <row r="18" spans="2:11" x14ac:dyDescent="0.25">
      <c r="B18" s="763">
        <f t="shared" si="0"/>
        <v>7</v>
      </c>
      <c r="C18" s="552">
        <v>5</v>
      </c>
      <c r="D18" s="553" t="s">
        <v>1559</v>
      </c>
      <c r="E18" s="554" t="s">
        <v>1560</v>
      </c>
      <c r="F18" s="554">
        <v>2008</v>
      </c>
      <c r="G18" s="554" t="s">
        <v>988</v>
      </c>
      <c r="H18" s="773"/>
      <c r="I18" s="1355">
        <v>7000</v>
      </c>
      <c r="J18" s="551" t="s">
        <v>2516</v>
      </c>
    </row>
    <row r="19" spans="2:11" ht="25.5" x14ac:dyDescent="0.25">
      <c r="B19" s="763">
        <f t="shared" si="0"/>
        <v>8</v>
      </c>
      <c r="C19" s="552">
        <v>2197</v>
      </c>
      <c r="D19" s="553" t="s">
        <v>2521</v>
      </c>
      <c r="E19" s="554" t="s">
        <v>1561</v>
      </c>
      <c r="F19" s="554">
        <v>1991</v>
      </c>
      <c r="G19" s="554" t="s">
        <v>988</v>
      </c>
      <c r="H19" s="773"/>
      <c r="I19" s="1355"/>
      <c r="J19" s="551"/>
    </row>
    <row r="20" spans="2:11" ht="25.5" x14ac:dyDescent="0.25">
      <c r="B20" s="763">
        <f t="shared" si="0"/>
        <v>9</v>
      </c>
      <c r="C20" s="552">
        <v>3441</v>
      </c>
      <c r="D20" s="553" t="s">
        <v>1562</v>
      </c>
      <c r="E20" s="554" t="s">
        <v>1563</v>
      </c>
      <c r="F20" s="554">
        <v>2019</v>
      </c>
      <c r="G20" s="554" t="s">
        <v>988</v>
      </c>
      <c r="H20" s="773"/>
      <c r="I20" s="1355">
        <f>6201.59/1.2</f>
        <v>5167.9916666666668</v>
      </c>
      <c r="J20" s="551"/>
    </row>
    <row r="21" spans="2:11" x14ac:dyDescent="0.25">
      <c r="B21" s="763">
        <f t="shared" si="0"/>
        <v>10</v>
      </c>
      <c r="C21" s="552">
        <v>3005</v>
      </c>
      <c r="D21" s="553" t="s">
        <v>1564</v>
      </c>
      <c r="E21" s="554"/>
      <c r="F21" s="554">
        <v>2010</v>
      </c>
      <c r="G21" s="554" t="s">
        <v>988</v>
      </c>
      <c r="H21" s="773"/>
      <c r="I21" s="1355">
        <f>H21</f>
        <v>0</v>
      </c>
      <c r="J21" s="551"/>
    </row>
    <row r="22" spans="2:11" x14ac:dyDescent="0.25">
      <c r="B22" s="763">
        <f t="shared" si="0"/>
        <v>11</v>
      </c>
      <c r="C22" s="552" t="s">
        <v>1565</v>
      </c>
      <c r="D22" s="553" t="s">
        <v>1566</v>
      </c>
      <c r="E22" s="554"/>
      <c r="F22" s="554"/>
      <c r="G22" s="554" t="s">
        <v>988</v>
      </c>
      <c r="H22" s="773"/>
      <c r="I22" s="1355">
        <f>H22</f>
        <v>0</v>
      </c>
      <c r="J22" s="551"/>
    </row>
    <row r="23" spans="2:11" x14ac:dyDescent="0.25">
      <c r="B23" s="763">
        <f t="shared" si="0"/>
        <v>12</v>
      </c>
      <c r="C23" s="552">
        <v>2</v>
      </c>
      <c r="D23" s="553" t="s">
        <v>1567</v>
      </c>
      <c r="E23" s="554" t="s">
        <v>1568</v>
      </c>
      <c r="F23" s="554">
        <v>2004</v>
      </c>
      <c r="G23" s="554" t="s">
        <v>988</v>
      </c>
      <c r="H23" s="773"/>
      <c r="I23" s="773">
        <f>4963.15/1.2+7000</f>
        <v>11135.958333333332</v>
      </c>
      <c r="J23" s="551" t="s">
        <v>2520</v>
      </c>
      <c r="K23" s="1794" t="s">
        <v>2476</v>
      </c>
    </row>
    <row r="24" spans="2:11" x14ac:dyDescent="0.25">
      <c r="B24" s="763">
        <f t="shared" si="0"/>
        <v>13</v>
      </c>
      <c r="C24" s="552">
        <v>1036</v>
      </c>
      <c r="D24" s="557" t="s">
        <v>1569</v>
      </c>
      <c r="E24" s="558">
        <v>641700</v>
      </c>
      <c r="F24" s="554">
        <v>1994</v>
      </c>
      <c r="G24" s="554" t="s">
        <v>988</v>
      </c>
      <c r="H24" s="773"/>
      <c r="I24" s="773">
        <f>8740+2000</f>
        <v>10740</v>
      </c>
      <c r="J24" s="551" t="s">
        <v>2519</v>
      </c>
      <c r="K24" s="1794" t="s">
        <v>2477</v>
      </c>
    </row>
    <row r="25" spans="2:11" x14ac:dyDescent="0.25">
      <c r="B25" s="763">
        <f t="shared" si="0"/>
        <v>14</v>
      </c>
      <c r="C25" s="552">
        <v>2959</v>
      </c>
      <c r="D25" s="557" t="s">
        <v>1570</v>
      </c>
      <c r="E25" s="558"/>
      <c r="F25" s="554">
        <v>1989</v>
      </c>
      <c r="G25" s="554" t="s">
        <v>988</v>
      </c>
      <c r="H25" s="773"/>
      <c r="I25" s="1355"/>
      <c r="J25" s="551"/>
    </row>
    <row r="26" spans="2:11" x14ac:dyDescent="0.25">
      <c r="B26" s="763">
        <f t="shared" si="0"/>
        <v>15</v>
      </c>
      <c r="C26" s="552">
        <v>1044</v>
      </c>
      <c r="D26" s="557" t="s">
        <v>1571</v>
      </c>
      <c r="E26" s="558"/>
      <c r="F26" s="554">
        <v>2003</v>
      </c>
      <c r="G26" s="554" t="s">
        <v>988</v>
      </c>
      <c r="H26" s="773"/>
      <c r="I26" s="1355"/>
      <c r="J26" s="551"/>
    </row>
    <row r="27" spans="2:11" ht="13.5" customHeight="1" x14ac:dyDescent="0.25">
      <c r="B27" s="763">
        <f t="shared" si="0"/>
        <v>16</v>
      </c>
      <c r="C27" s="552">
        <v>1043</v>
      </c>
      <c r="D27" s="553" t="s">
        <v>1572</v>
      </c>
      <c r="E27" s="554" t="s">
        <v>1573</v>
      </c>
      <c r="F27" s="554">
        <v>2002</v>
      </c>
      <c r="G27" s="554" t="s">
        <v>988</v>
      </c>
      <c r="H27" s="773"/>
      <c r="I27" s="1355">
        <v>20000</v>
      </c>
      <c r="J27" s="551" t="s">
        <v>2516</v>
      </c>
    </row>
    <row r="28" spans="2:11" ht="25.5" x14ac:dyDescent="0.25">
      <c r="B28" s="763">
        <f t="shared" si="0"/>
        <v>17</v>
      </c>
      <c r="C28" s="552">
        <v>1039</v>
      </c>
      <c r="D28" s="553" t="s">
        <v>1574</v>
      </c>
      <c r="E28" s="554"/>
      <c r="F28" s="554">
        <v>1989</v>
      </c>
      <c r="G28" s="554" t="s">
        <v>992</v>
      </c>
      <c r="H28" s="773"/>
      <c r="I28" s="1355">
        <v>30000</v>
      </c>
      <c r="J28" s="551" t="s">
        <v>2516</v>
      </c>
    </row>
    <row r="29" spans="2:11" ht="25.5" x14ac:dyDescent="0.25">
      <c r="B29" s="763">
        <f t="shared" si="0"/>
        <v>18</v>
      </c>
      <c r="C29" s="552">
        <v>4</v>
      </c>
      <c r="D29" s="553" t="s">
        <v>1575</v>
      </c>
      <c r="E29" s="554"/>
      <c r="F29" s="554">
        <v>2007</v>
      </c>
      <c r="G29" s="554" t="s">
        <v>988</v>
      </c>
      <c r="H29" s="773"/>
      <c r="I29" s="1355"/>
      <c r="J29" s="551"/>
    </row>
    <row r="30" spans="2:11" ht="25.5" x14ac:dyDescent="0.25">
      <c r="B30" s="763">
        <f t="shared" si="0"/>
        <v>19</v>
      </c>
      <c r="C30" s="552" t="s">
        <v>1576</v>
      </c>
      <c r="D30" s="553" t="s">
        <v>1577</v>
      </c>
      <c r="E30" s="554"/>
      <c r="F30" s="554">
        <v>2010</v>
      </c>
      <c r="G30" s="554" t="s">
        <v>988</v>
      </c>
      <c r="H30" s="773"/>
      <c r="I30" s="1355"/>
      <c r="J30" s="551"/>
    </row>
    <row r="31" spans="2:11" ht="25.5" x14ac:dyDescent="0.25">
      <c r="B31" s="763">
        <f t="shared" si="0"/>
        <v>20</v>
      </c>
      <c r="C31" s="552" t="s">
        <v>1578</v>
      </c>
      <c r="D31" s="553" t="s">
        <v>1579</v>
      </c>
      <c r="E31" s="554"/>
      <c r="F31" s="554"/>
      <c r="G31" s="800" t="s">
        <v>987</v>
      </c>
      <c r="H31" s="773"/>
      <c r="I31" s="1355"/>
      <c r="J31" s="551"/>
    </row>
    <row r="32" spans="2:11" x14ac:dyDescent="0.25">
      <c r="B32" s="763">
        <f t="shared" si="0"/>
        <v>21</v>
      </c>
      <c r="C32" s="552">
        <v>3123</v>
      </c>
      <c r="D32" s="553" t="s">
        <v>1580</v>
      </c>
      <c r="E32" s="554"/>
      <c r="F32" s="554">
        <v>2013</v>
      </c>
      <c r="G32" s="800" t="s">
        <v>987</v>
      </c>
      <c r="H32" s="773"/>
      <c r="I32" s="1355">
        <f>H32</f>
        <v>0</v>
      </c>
      <c r="J32" s="551"/>
    </row>
    <row r="33" spans="2:11" x14ac:dyDescent="0.25">
      <c r="B33" s="763">
        <f t="shared" si="0"/>
        <v>22</v>
      </c>
      <c r="C33" s="552">
        <v>1037</v>
      </c>
      <c r="D33" s="553" t="s">
        <v>1581</v>
      </c>
      <c r="E33" s="554"/>
      <c r="F33" s="554">
        <v>1994</v>
      </c>
      <c r="G33" s="554" t="s">
        <v>988</v>
      </c>
      <c r="H33" s="773"/>
      <c r="I33" s="1355"/>
      <c r="J33" s="551"/>
    </row>
    <row r="34" spans="2:11" x14ac:dyDescent="0.25">
      <c r="B34" s="763">
        <f t="shared" si="0"/>
        <v>23</v>
      </c>
      <c r="C34" s="552">
        <v>23</v>
      </c>
      <c r="D34" s="553" t="s">
        <v>1582</v>
      </c>
      <c r="E34" s="554"/>
      <c r="F34" s="554">
        <v>1997</v>
      </c>
      <c r="G34" s="554" t="s">
        <v>988</v>
      </c>
      <c r="H34" s="773"/>
      <c r="I34" s="1355"/>
      <c r="J34" s="551"/>
    </row>
    <row r="35" spans="2:11" x14ac:dyDescent="0.25">
      <c r="B35" s="763">
        <f t="shared" si="0"/>
        <v>24</v>
      </c>
      <c r="C35" s="560">
        <v>22215</v>
      </c>
      <c r="D35" s="561" t="s">
        <v>1582</v>
      </c>
      <c r="E35" s="562"/>
      <c r="F35" s="562">
        <v>1997</v>
      </c>
      <c r="G35" s="562" t="s">
        <v>988</v>
      </c>
      <c r="H35" s="773"/>
      <c r="I35" s="1355"/>
      <c r="J35" s="551"/>
    </row>
    <row r="36" spans="2:11" ht="25.5" x14ac:dyDescent="0.25">
      <c r="B36" s="763">
        <f t="shared" si="0"/>
        <v>25</v>
      </c>
      <c r="C36" s="552">
        <v>2065</v>
      </c>
      <c r="D36" s="553" t="s">
        <v>2510</v>
      </c>
      <c r="E36" s="554"/>
      <c r="F36" s="554">
        <v>1983</v>
      </c>
      <c r="G36" s="554" t="s">
        <v>988</v>
      </c>
      <c r="H36" s="773"/>
      <c r="I36" s="1355"/>
      <c r="J36" s="551"/>
    </row>
    <row r="37" spans="2:11" ht="25.5" x14ac:dyDescent="0.25">
      <c r="B37" s="763">
        <f t="shared" si="0"/>
        <v>26</v>
      </c>
      <c r="C37" s="552">
        <v>3127</v>
      </c>
      <c r="D37" s="553" t="s">
        <v>1584</v>
      </c>
      <c r="E37" s="554"/>
      <c r="F37" s="554">
        <v>2013</v>
      </c>
      <c r="G37" s="554" t="s">
        <v>988</v>
      </c>
      <c r="H37" s="773"/>
      <c r="I37" s="1355"/>
      <c r="J37" s="551"/>
    </row>
    <row r="38" spans="2:11" ht="16.5" thickBot="1" x14ac:dyDescent="0.3">
      <c r="B38" s="763">
        <f t="shared" si="0"/>
        <v>27</v>
      </c>
      <c r="C38" s="924">
        <v>3128</v>
      </c>
      <c r="D38" s="925" t="s">
        <v>1585</v>
      </c>
      <c r="E38" s="926"/>
      <c r="F38" s="926">
        <v>2013</v>
      </c>
      <c r="G38" s="983" t="s">
        <v>988</v>
      </c>
      <c r="H38" s="984"/>
      <c r="I38" s="1356"/>
      <c r="J38" s="551"/>
    </row>
    <row r="39" spans="2:11" ht="16.5" thickBot="1" x14ac:dyDescent="0.3">
      <c r="B39" s="985"/>
      <c r="C39" s="934"/>
      <c r="D39" s="934" t="s">
        <v>498</v>
      </c>
      <c r="E39" s="935"/>
      <c r="F39" s="935"/>
      <c r="G39" s="986"/>
      <c r="H39" s="987"/>
      <c r="I39" s="1357">
        <f>SUM(I12:I38)</f>
        <v>150043.95000000001</v>
      </c>
      <c r="J39" s="551"/>
    </row>
    <row r="40" spans="2:11" x14ac:dyDescent="0.25">
      <c r="B40" s="927"/>
      <c r="C40" s="928"/>
      <c r="D40" s="928" t="s">
        <v>1839</v>
      </c>
      <c r="E40" s="929"/>
      <c r="F40" s="929"/>
      <c r="G40" s="929"/>
      <c r="H40" s="772"/>
      <c r="I40" s="1354">
        <f>I31+I32</f>
        <v>0</v>
      </c>
      <c r="J40" s="551"/>
    </row>
    <row r="41" spans="2:11" x14ac:dyDescent="0.25">
      <c r="B41" s="764"/>
      <c r="C41" s="556"/>
      <c r="D41" s="556" t="s">
        <v>1840</v>
      </c>
      <c r="E41" s="551"/>
      <c r="F41" s="551"/>
      <c r="G41" s="551"/>
      <c r="H41" s="773"/>
      <c r="I41" s="1355">
        <f>I16+I17+I18+I19+I20+I21+I22+I23+I24+I25+I26+I27+I29+I30+I33+I34+I35+I36+I37+I38</f>
        <v>68043.95</v>
      </c>
      <c r="J41" s="551"/>
    </row>
    <row r="42" spans="2:11" x14ac:dyDescent="0.25">
      <c r="B42" s="764"/>
      <c r="C42" s="556"/>
      <c r="D42" s="556" t="s">
        <v>1841</v>
      </c>
      <c r="E42" s="551"/>
      <c r="F42" s="551"/>
      <c r="G42" s="551"/>
      <c r="H42" s="773"/>
      <c r="I42" s="1355">
        <f>I13+I15+I28</f>
        <v>49000</v>
      </c>
      <c r="J42" s="551"/>
    </row>
    <row r="43" spans="2:11" ht="16.5" thickBot="1" x14ac:dyDescent="0.3">
      <c r="B43" s="765"/>
      <c r="C43" s="766"/>
      <c r="D43" s="766" t="s">
        <v>1842</v>
      </c>
      <c r="E43" s="767"/>
      <c r="F43" s="767"/>
      <c r="G43" s="767"/>
      <c r="H43" s="774"/>
      <c r="I43" s="1355">
        <f>I12+I14</f>
        <v>33000</v>
      </c>
      <c r="J43" s="551"/>
    </row>
    <row r="45" spans="2:11" s="564" customFormat="1" ht="13.15" customHeight="1" x14ac:dyDescent="0.2">
      <c r="C45" s="4588" t="s">
        <v>2474</v>
      </c>
      <c r="D45" s="4588"/>
      <c r="E45" s="4588"/>
      <c r="F45" s="4588"/>
      <c r="H45" s="564" t="s">
        <v>1587</v>
      </c>
      <c r="K45" s="1794"/>
    </row>
  </sheetData>
  <mergeCells count="11">
    <mergeCell ref="C45:F45"/>
    <mergeCell ref="B3:I3"/>
    <mergeCell ref="B7:B10"/>
    <mergeCell ref="C7:C10"/>
    <mergeCell ref="D7:D10"/>
    <mergeCell ref="E7:E10"/>
    <mergeCell ref="F7:F10"/>
    <mergeCell ref="G7:G10"/>
    <mergeCell ref="H7:H10"/>
    <mergeCell ref="I7:I10"/>
    <mergeCell ref="D4:F4"/>
  </mergeCells>
  <dataValidations count="1">
    <dataValidation type="list" allowBlank="1" showInputMessage="1" showErrorMessage="1" sqref="G12:G39" xr:uid="{00000000-0002-0000-4800-000000000000}">
      <formula1>$G$20:$G$26</formula1>
    </dataValidation>
  </dataValidations>
  <pageMargins left="0.53" right="0.15748031496062992" top="0.35433070866141736" bottom="0.35433070866141736" header="0.31496062992125984" footer="0.31496062992125984"/>
  <pageSetup paperSize="9" scale="97" orientation="portrait" horizontalDpi="0"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2" tint="-0.499984740745262"/>
  </sheetPr>
  <dimension ref="B1:M49"/>
  <sheetViews>
    <sheetView topLeftCell="A5" workbookViewId="0">
      <selection activeCell="I15" sqref="I15"/>
    </sheetView>
  </sheetViews>
  <sheetFormatPr defaultColWidth="8.85546875" defaultRowHeight="15.75" x14ac:dyDescent="0.25"/>
  <cols>
    <col min="1" max="1" width="3.85546875" style="550" customWidth="1"/>
    <col min="2" max="2" width="4.7109375" style="550" customWidth="1"/>
    <col min="3" max="3" width="8.140625" style="550" customWidth="1"/>
    <col min="4" max="4" width="22.42578125" style="550" customWidth="1"/>
    <col min="5" max="5" width="9.7109375" style="550" customWidth="1"/>
    <col min="6" max="6" width="9.28515625" style="550" customWidth="1"/>
    <col min="7" max="7" width="16.140625" style="550" customWidth="1"/>
    <col min="8" max="8" width="11.7109375" style="550" customWidth="1"/>
    <col min="9" max="16384" width="8.85546875" style="550"/>
  </cols>
  <sheetData>
    <row r="1" spans="2:13" x14ac:dyDescent="0.25">
      <c r="H1" s="550" t="s">
        <v>956</v>
      </c>
    </row>
    <row r="3" spans="2:13" x14ac:dyDescent="0.25">
      <c r="B3" s="4589" t="s">
        <v>1936</v>
      </c>
      <c r="C3" s="4589"/>
      <c r="D3" s="4589"/>
      <c r="E3" s="4589"/>
      <c r="F3" s="4589"/>
      <c r="G3" s="4589"/>
      <c r="H3" s="4589"/>
      <c r="I3" s="4589"/>
    </row>
    <row r="4" spans="2:13" x14ac:dyDescent="0.25">
      <c r="B4" s="597"/>
      <c r="C4" s="980" t="str">
        <f>'Вхідні дані'!$F$5</f>
        <v>ЧФ ДП "АМПУ"</v>
      </c>
      <c r="D4" s="980"/>
      <c r="E4" s="980"/>
      <c r="F4" s="890"/>
      <c r="G4" s="802" t="s">
        <v>461</v>
      </c>
      <c r="H4" s="981" t="str">
        <f>'Вхідні дані'!$F$6</f>
        <v>2023-2024</v>
      </c>
      <c r="I4" s="550" t="s">
        <v>648</v>
      </c>
      <c r="J4" s="889"/>
    </row>
    <row r="5" spans="2:13" ht="16.5" thickBot="1" x14ac:dyDescent="0.3"/>
    <row r="6" spans="2:13" x14ac:dyDescent="0.25">
      <c r="B6" s="4590" t="s">
        <v>997</v>
      </c>
      <c r="C6" s="4593" t="s">
        <v>1543</v>
      </c>
      <c r="D6" s="4596" t="s">
        <v>1544</v>
      </c>
      <c r="E6" s="4599" t="s">
        <v>1545</v>
      </c>
      <c r="F6" s="4599" t="s">
        <v>1546</v>
      </c>
      <c r="G6" s="4602" t="s">
        <v>1547</v>
      </c>
      <c r="H6" s="4606" t="s">
        <v>1588</v>
      </c>
      <c r="I6" s="4609" t="s">
        <v>1548</v>
      </c>
    </row>
    <row r="7" spans="2:13" x14ac:dyDescent="0.25">
      <c r="B7" s="4591"/>
      <c r="C7" s="4594"/>
      <c r="D7" s="4597"/>
      <c r="E7" s="4600"/>
      <c r="F7" s="4600"/>
      <c r="G7" s="4603"/>
      <c r="H7" s="4607"/>
      <c r="I7" s="4610"/>
    </row>
    <row r="8" spans="2:13" x14ac:dyDescent="0.25">
      <c r="B8" s="4591"/>
      <c r="C8" s="4594"/>
      <c r="D8" s="4597"/>
      <c r="E8" s="4600"/>
      <c r="F8" s="4600"/>
      <c r="G8" s="4603"/>
      <c r="H8" s="4607"/>
      <c r="I8" s="4610"/>
    </row>
    <row r="9" spans="2:13" ht="16.5" thickBot="1" x14ac:dyDescent="0.3">
      <c r="B9" s="4592"/>
      <c r="C9" s="4595"/>
      <c r="D9" s="4598"/>
      <c r="E9" s="4601"/>
      <c r="F9" s="4601"/>
      <c r="G9" s="4604"/>
      <c r="H9" s="4608"/>
      <c r="I9" s="4611"/>
    </row>
    <row r="10" spans="2:13" ht="16.5" thickBot="1" x14ac:dyDescent="0.3">
      <c r="B10" s="768">
        <v>1</v>
      </c>
      <c r="C10" s="769">
        <v>2</v>
      </c>
      <c r="D10" s="769">
        <v>3</v>
      </c>
      <c r="E10" s="769">
        <v>4</v>
      </c>
      <c r="F10" s="769">
        <v>5</v>
      </c>
      <c r="G10" s="769">
        <v>6</v>
      </c>
      <c r="H10" s="918">
        <v>7</v>
      </c>
      <c r="I10" s="921">
        <v>8</v>
      </c>
    </row>
    <row r="11" spans="2:13" ht="16.5" thickBot="1" x14ac:dyDescent="0.3">
      <c r="B11" s="932"/>
      <c r="C11" s="933"/>
      <c r="D11" s="934" t="s">
        <v>498</v>
      </c>
      <c r="E11" s="935"/>
      <c r="F11" s="935"/>
      <c r="G11" s="936"/>
      <c r="H11" s="937"/>
      <c r="I11" s="938">
        <f>SUM(I16:I42)</f>
        <v>11700</v>
      </c>
      <c r="J11" s="1798">
        <v>11700</v>
      </c>
      <c r="K11" s="1799" t="s">
        <v>2495</v>
      </c>
    </row>
    <row r="12" spans="2:13" x14ac:dyDescent="0.25">
      <c r="B12" s="927"/>
      <c r="C12" s="928"/>
      <c r="D12" s="928" t="s">
        <v>1839</v>
      </c>
      <c r="E12" s="929"/>
      <c r="F12" s="929"/>
      <c r="G12" s="929"/>
      <c r="H12" s="930"/>
      <c r="I12" s="931">
        <f>I35+I36</f>
        <v>0</v>
      </c>
    </row>
    <row r="13" spans="2:13" x14ac:dyDescent="0.25">
      <c r="B13" s="764"/>
      <c r="C13" s="556"/>
      <c r="D13" s="556" t="s">
        <v>1840</v>
      </c>
      <c r="E13" s="551"/>
      <c r="F13" s="551"/>
      <c r="G13" s="551"/>
      <c r="H13" s="919"/>
      <c r="I13" s="922">
        <f>I20+I21+I22+I31</f>
        <v>5200</v>
      </c>
    </row>
    <row r="14" spans="2:13" x14ac:dyDescent="0.25">
      <c r="B14" s="764"/>
      <c r="C14" s="556"/>
      <c r="D14" s="556" t="s">
        <v>1841</v>
      </c>
      <c r="E14" s="551"/>
      <c r="F14" s="551"/>
      <c r="G14" s="551"/>
      <c r="H14" s="919"/>
      <c r="I14" s="922">
        <f>I19</f>
        <v>1300</v>
      </c>
    </row>
    <row r="15" spans="2:13" ht="16.5" thickBot="1" x14ac:dyDescent="0.3">
      <c r="B15" s="765"/>
      <c r="C15" s="766"/>
      <c r="D15" s="766" t="s">
        <v>1842</v>
      </c>
      <c r="E15" s="767"/>
      <c r="F15" s="767"/>
      <c r="G15" s="767"/>
      <c r="H15" s="920"/>
      <c r="I15" s="923">
        <f>I17</f>
        <v>1300</v>
      </c>
    </row>
    <row r="16" spans="2:13" ht="22.5" x14ac:dyDescent="0.25">
      <c r="B16" s="763">
        <v>1</v>
      </c>
      <c r="C16" s="552">
        <v>1045</v>
      </c>
      <c r="D16" s="553" t="s">
        <v>1549</v>
      </c>
      <c r="E16" s="554" t="s">
        <v>1550</v>
      </c>
      <c r="F16" s="554">
        <v>2005</v>
      </c>
      <c r="G16" s="555" t="s">
        <v>993</v>
      </c>
      <c r="H16" s="1374"/>
      <c r="I16" s="922"/>
      <c r="J16" s="565" t="s">
        <v>1589</v>
      </c>
      <c r="K16" s="565"/>
      <c r="L16" s="565" t="s">
        <v>1590</v>
      </c>
      <c r="M16" s="565"/>
    </row>
    <row r="17" spans="2:13" ht="22.5" x14ac:dyDescent="0.25">
      <c r="B17" s="763">
        <f>B16+1</f>
        <v>2</v>
      </c>
      <c r="C17" s="552"/>
      <c r="D17" s="553" t="s">
        <v>2511</v>
      </c>
      <c r="E17" s="554"/>
      <c r="F17" s="554"/>
      <c r="G17" s="555" t="s">
        <v>993</v>
      </c>
      <c r="H17" s="1374">
        <v>2021</v>
      </c>
      <c r="I17" s="922">
        <v>1300</v>
      </c>
      <c r="J17" s="565"/>
      <c r="K17" s="565"/>
      <c r="L17" s="565"/>
      <c r="M17" s="565"/>
    </row>
    <row r="18" spans="2:13" ht="22.5" x14ac:dyDescent="0.25">
      <c r="B18" s="763">
        <f t="shared" ref="B18:B42" si="0">B17+1</f>
        <v>3</v>
      </c>
      <c r="C18" s="552">
        <v>3</v>
      </c>
      <c r="D18" s="553" t="s">
        <v>1551</v>
      </c>
      <c r="E18" s="554" t="s">
        <v>1552</v>
      </c>
      <c r="F18" s="554">
        <v>2004</v>
      </c>
      <c r="G18" s="555" t="s">
        <v>992</v>
      </c>
      <c r="H18" s="1374"/>
      <c r="I18" s="922"/>
    </row>
    <row r="19" spans="2:13" ht="22.5" x14ac:dyDescent="0.25">
      <c r="B19" s="763">
        <f t="shared" si="0"/>
        <v>4</v>
      </c>
      <c r="C19" s="552">
        <v>10358</v>
      </c>
      <c r="D19" s="553" t="s">
        <v>1553</v>
      </c>
      <c r="E19" s="554" t="s">
        <v>1554</v>
      </c>
      <c r="F19" s="554">
        <v>1994</v>
      </c>
      <c r="G19" s="555" t="s">
        <v>992</v>
      </c>
      <c r="H19" s="1374">
        <v>2021</v>
      </c>
      <c r="I19" s="922">
        <v>1300</v>
      </c>
    </row>
    <row r="20" spans="2:13" x14ac:dyDescent="0.25">
      <c r="B20" s="763">
        <f t="shared" si="0"/>
        <v>5</v>
      </c>
      <c r="C20" s="552">
        <v>1038</v>
      </c>
      <c r="D20" s="553" t="s">
        <v>1555</v>
      </c>
      <c r="E20" s="554" t="s">
        <v>1556</v>
      </c>
      <c r="F20" s="554">
        <v>1994</v>
      </c>
      <c r="G20" s="555" t="s">
        <v>988</v>
      </c>
      <c r="H20" s="1374">
        <v>2021</v>
      </c>
      <c r="I20" s="922">
        <v>1300</v>
      </c>
    </row>
    <row r="21" spans="2:13" x14ac:dyDescent="0.25">
      <c r="B21" s="763">
        <f t="shared" si="0"/>
        <v>6</v>
      </c>
      <c r="C21" s="552">
        <v>1042</v>
      </c>
      <c r="D21" s="553" t="s">
        <v>1557</v>
      </c>
      <c r="E21" s="554" t="s">
        <v>1558</v>
      </c>
      <c r="F21" s="554">
        <v>1996</v>
      </c>
      <c r="G21" s="555" t="s">
        <v>988</v>
      </c>
      <c r="H21" s="1374">
        <v>2021</v>
      </c>
      <c r="I21" s="922">
        <v>1300</v>
      </c>
    </row>
    <row r="22" spans="2:13" x14ac:dyDescent="0.25">
      <c r="B22" s="763">
        <f t="shared" si="0"/>
        <v>7</v>
      </c>
      <c r="C22" s="552">
        <v>5</v>
      </c>
      <c r="D22" s="553" t="s">
        <v>1559</v>
      </c>
      <c r="E22" s="554" t="s">
        <v>1560</v>
      </c>
      <c r="F22" s="554">
        <v>2008</v>
      </c>
      <c r="G22" s="555" t="s">
        <v>988</v>
      </c>
      <c r="H22" s="1374">
        <v>2021</v>
      </c>
      <c r="I22" s="922">
        <v>1300</v>
      </c>
    </row>
    <row r="23" spans="2:13" ht="25.5" x14ac:dyDescent="0.25">
      <c r="B23" s="763">
        <f t="shared" si="0"/>
        <v>8</v>
      </c>
      <c r="C23" s="552">
        <v>2197</v>
      </c>
      <c r="D23" s="553" t="s">
        <v>2521</v>
      </c>
      <c r="E23" s="554" t="s">
        <v>1561</v>
      </c>
      <c r="F23" s="554">
        <v>1991</v>
      </c>
      <c r="G23" s="555" t="s">
        <v>988</v>
      </c>
      <c r="H23" s="1374">
        <v>2021</v>
      </c>
      <c r="I23" s="922">
        <v>1300</v>
      </c>
    </row>
    <row r="24" spans="2:13" ht="25.5" x14ac:dyDescent="0.25">
      <c r="B24" s="763">
        <f t="shared" si="0"/>
        <v>9</v>
      </c>
      <c r="C24" s="552">
        <v>3441</v>
      </c>
      <c r="D24" s="553" t="s">
        <v>1562</v>
      </c>
      <c r="E24" s="554" t="s">
        <v>1563</v>
      </c>
      <c r="F24" s="554">
        <v>2019</v>
      </c>
      <c r="G24" s="555" t="s">
        <v>988</v>
      </c>
      <c r="H24" s="1374"/>
      <c r="I24" s="922"/>
    </row>
    <row r="25" spans="2:13" x14ac:dyDescent="0.25">
      <c r="B25" s="763">
        <f t="shared" si="0"/>
        <v>10</v>
      </c>
      <c r="C25" s="552">
        <v>3005</v>
      </c>
      <c r="D25" s="553" t="s">
        <v>1564</v>
      </c>
      <c r="E25" s="554"/>
      <c r="F25" s="554">
        <v>2010</v>
      </c>
      <c r="G25" s="555" t="s">
        <v>988</v>
      </c>
      <c r="H25" s="1374"/>
      <c r="I25" s="922"/>
    </row>
    <row r="26" spans="2:13" x14ac:dyDescent="0.25">
      <c r="B26" s="763">
        <f t="shared" si="0"/>
        <v>11</v>
      </c>
      <c r="C26" s="552" t="s">
        <v>1565</v>
      </c>
      <c r="D26" s="553" t="s">
        <v>1566</v>
      </c>
      <c r="E26" s="554"/>
      <c r="F26" s="554"/>
      <c r="G26" s="555" t="s">
        <v>988</v>
      </c>
      <c r="H26" s="1374"/>
      <c r="I26" s="922"/>
    </row>
    <row r="27" spans="2:13" ht="13.15" customHeight="1" x14ac:dyDescent="0.25">
      <c r="B27" s="763">
        <f t="shared" si="0"/>
        <v>12</v>
      </c>
      <c r="C27" s="552">
        <v>2</v>
      </c>
      <c r="D27" s="553" t="s">
        <v>1567</v>
      </c>
      <c r="E27" s="554" t="s">
        <v>1568</v>
      </c>
      <c r="F27" s="554">
        <v>2004</v>
      </c>
      <c r="G27" s="555" t="s">
        <v>988</v>
      </c>
      <c r="H27" s="1374">
        <v>2021</v>
      </c>
      <c r="I27" s="922">
        <v>1300</v>
      </c>
      <c r="J27" s="550" t="s">
        <v>1591</v>
      </c>
    </row>
    <row r="28" spans="2:13" x14ac:dyDescent="0.25">
      <c r="B28" s="763">
        <f t="shared" si="0"/>
        <v>13</v>
      </c>
      <c r="C28" s="552">
        <v>1036</v>
      </c>
      <c r="D28" s="557" t="s">
        <v>1569</v>
      </c>
      <c r="E28" s="558">
        <v>641700</v>
      </c>
      <c r="F28" s="554">
        <v>1994</v>
      </c>
      <c r="G28" s="555" t="s">
        <v>988</v>
      </c>
      <c r="H28" s="1374">
        <v>2021</v>
      </c>
      <c r="I28" s="922">
        <v>1300</v>
      </c>
    </row>
    <row r="29" spans="2:13" ht="14.45" customHeight="1" x14ac:dyDescent="0.25">
      <c r="B29" s="763">
        <f t="shared" si="0"/>
        <v>14</v>
      </c>
      <c r="C29" s="552">
        <v>2959</v>
      </c>
      <c r="D29" s="557" t="s">
        <v>1570</v>
      </c>
      <c r="E29" s="558"/>
      <c r="F29" s="554">
        <v>1989</v>
      </c>
      <c r="G29" s="555" t="s">
        <v>988</v>
      </c>
      <c r="H29" s="1374"/>
      <c r="I29" s="922"/>
    </row>
    <row r="30" spans="2:13" ht="12.6" customHeight="1" x14ac:dyDescent="0.25">
      <c r="B30" s="763">
        <f t="shared" si="0"/>
        <v>15</v>
      </c>
      <c r="C30" s="552">
        <v>1044</v>
      </c>
      <c r="D30" s="557" t="s">
        <v>1571</v>
      </c>
      <c r="E30" s="558"/>
      <c r="F30" s="554">
        <v>2003</v>
      </c>
      <c r="G30" s="555" t="s">
        <v>988</v>
      </c>
      <c r="H30" s="1374"/>
      <c r="I30" s="922"/>
    </row>
    <row r="31" spans="2:13" ht="25.5" x14ac:dyDescent="0.25">
      <c r="B31" s="763">
        <f t="shared" si="0"/>
        <v>16</v>
      </c>
      <c r="C31" s="552">
        <v>1043</v>
      </c>
      <c r="D31" s="553" t="s">
        <v>1572</v>
      </c>
      <c r="E31" s="554" t="s">
        <v>1573</v>
      </c>
      <c r="F31" s="554">
        <v>2002</v>
      </c>
      <c r="G31" s="555" t="s">
        <v>988</v>
      </c>
      <c r="H31" s="1374">
        <v>2021</v>
      </c>
      <c r="I31" s="922">
        <v>1300</v>
      </c>
    </row>
    <row r="32" spans="2:13" ht="25.5" x14ac:dyDescent="0.25">
      <c r="B32" s="763">
        <f t="shared" si="0"/>
        <v>17</v>
      </c>
      <c r="C32" s="552">
        <v>1039</v>
      </c>
      <c r="D32" s="553" t="s">
        <v>1574</v>
      </c>
      <c r="E32" s="554"/>
      <c r="F32" s="554">
        <v>1989</v>
      </c>
      <c r="G32" s="555" t="s">
        <v>992</v>
      </c>
      <c r="H32" s="1375"/>
      <c r="I32" s="922"/>
    </row>
    <row r="33" spans="2:9" ht="25.5" x14ac:dyDescent="0.25">
      <c r="B33" s="763">
        <f t="shared" si="0"/>
        <v>18</v>
      </c>
      <c r="C33" s="552">
        <v>4</v>
      </c>
      <c r="D33" s="553" t="s">
        <v>1575</v>
      </c>
      <c r="E33" s="554"/>
      <c r="F33" s="554">
        <v>2007</v>
      </c>
      <c r="G33" s="555" t="s">
        <v>988</v>
      </c>
      <c r="H33" s="1375"/>
      <c r="I33" s="922"/>
    </row>
    <row r="34" spans="2:9" ht="25.5" x14ac:dyDescent="0.25">
      <c r="B34" s="763">
        <f t="shared" si="0"/>
        <v>19</v>
      </c>
      <c r="C34" s="552" t="s">
        <v>1576</v>
      </c>
      <c r="D34" s="553" t="s">
        <v>1577</v>
      </c>
      <c r="E34" s="554"/>
      <c r="F34" s="554">
        <v>2010</v>
      </c>
      <c r="G34" s="555" t="s">
        <v>988</v>
      </c>
      <c r="H34" s="1375"/>
      <c r="I34" s="922"/>
    </row>
    <row r="35" spans="2:9" ht="25.5" x14ac:dyDescent="0.25">
      <c r="B35" s="763">
        <f t="shared" si="0"/>
        <v>20</v>
      </c>
      <c r="C35" s="552" t="s">
        <v>1578</v>
      </c>
      <c r="D35" s="553" t="s">
        <v>1579</v>
      </c>
      <c r="E35" s="554"/>
      <c r="F35" s="554"/>
      <c r="G35" s="559" t="s">
        <v>987</v>
      </c>
      <c r="H35" s="1375"/>
      <c r="I35" s="922"/>
    </row>
    <row r="36" spans="2:9" x14ac:dyDescent="0.25">
      <c r="B36" s="763">
        <f t="shared" si="0"/>
        <v>21</v>
      </c>
      <c r="C36" s="552">
        <v>3123</v>
      </c>
      <c r="D36" s="553" t="s">
        <v>1580</v>
      </c>
      <c r="E36" s="554"/>
      <c r="F36" s="554">
        <v>2013</v>
      </c>
      <c r="G36" s="559" t="s">
        <v>987</v>
      </c>
      <c r="H36" s="919"/>
      <c r="I36" s="922"/>
    </row>
    <row r="37" spans="2:9" x14ac:dyDescent="0.25">
      <c r="B37" s="763">
        <f t="shared" si="0"/>
        <v>22</v>
      </c>
      <c r="C37" s="552">
        <v>1037</v>
      </c>
      <c r="D37" s="553" t="s">
        <v>1581</v>
      </c>
      <c r="E37" s="554"/>
      <c r="F37" s="554">
        <v>1994</v>
      </c>
      <c r="G37" s="555" t="s">
        <v>988</v>
      </c>
      <c r="H37" s="919"/>
      <c r="I37" s="922"/>
    </row>
    <row r="38" spans="2:9" x14ac:dyDescent="0.25">
      <c r="B38" s="763">
        <f t="shared" si="0"/>
        <v>23</v>
      </c>
      <c r="C38" s="552">
        <v>23</v>
      </c>
      <c r="D38" s="553" t="s">
        <v>1582</v>
      </c>
      <c r="E38" s="554"/>
      <c r="F38" s="554">
        <v>1997</v>
      </c>
      <c r="G38" s="555" t="s">
        <v>988</v>
      </c>
      <c r="H38" s="919"/>
      <c r="I38" s="922"/>
    </row>
    <row r="39" spans="2:9" x14ac:dyDescent="0.25">
      <c r="B39" s="763">
        <f t="shared" si="0"/>
        <v>24</v>
      </c>
      <c r="C39" s="560">
        <v>22215</v>
      </c>
      <c r="D39" s="561" t="s">
        <v>1582</v>
      </c>
      <c r="E39" s="562"/>
      <c r="F39" s="562">
        <v>1997</v>
      </c>
      <c r="G39" s="563" t="s">
        <v>988</v>
      </c>
      <c r="H39" s="919"/>
      <c r="I39" s="922"/>
    </row>
    <row r="40" spans="2:9" ht="25.5" x14ac:dyDescent="0.25">
      <c r="B40" s="763">
        <f t="shared" si="0"/>
        <v>25</v>
      </c>
      <c r="C40" s="552">
        <v>2065</v>
      </c>
      <c r="D40" s="553" t="s">
        <v>1583</v>
      </c>
      <c r="E40" s="554"/>
      <c r="F40" s="554">
        <v>1983</v>
      </c>
      <c r="G40" s="555" t="s">
        <v>988</v>
      </c>
      <c r="H40" s="919"/>
      <c r="I40" s="922"/>
    </row>
    <row r="41" spans="2:9" ht="25.5" x14ac:dyDescent="0.25">
      <c r="B41" s="763">
        <f t="shared" si="0"/>
        <v>26</v>
      </c>
      <c r="C41" s="552">
        <v>3127</v>
      </c>
      <c r="D41" s="553" t="s">
        <v>1584</v>
      </c>
      <c r="E41" s="554"/>
      <c r="F41" s="554">
        <v>2013</v>
      </c>
      <c r="G41" s="555" t="s">
        <v>988</v>
      </c>
      <c r="H41" s="919"/>
      <c r="I41" s="922"/>
    </row>
    <row r="42" spans="2:9" ht="16.5" thickBot="1" x14ac:dyDescent="0.3">
      <c r="B42" s="763">
        <f t="shared" si="0"/>
        <v>27</v>
      </c>
      <c r="C42" s="1803">
        <v>3128</v>
      </c>
      <c r="D42" s="1804" t="s">
        <v>1585</v>
      </c>
      <c r="E42" s="1805"/>
      <c r="F42" s="1805">
        <v>2013</v>
      </c>
      <c r="G42" s="1806" t="s">
        <v>988</v>
      </c>
      <c r="H42" s="920"/>
      <c r="I42" s="923"/>
    </row>
    <row r="43" spans="2:9" hidden="1" x14ac:dyDescent="0.25"/>
    <row r="44" spans="2:9" hidden="1" x14ac:dyDescent="0.25"/>
    <row r="45" spans="2:9" hidden="1" x14ac:dyDescent="0.25"/>
    <row r="46" spans="2:9" hidden="1" x14ac:dyDescent="0.25"/>
    <row r="47" spans="2:9" hidden="1" x14ac:dyDescent="0.25"/>
    <row r="49" spans="3:8" s="564" customFormat="1" ht="12.75" x14ac:dyDescent="0.2">
      <c r="C49" s="4588" t="s">
        <v>1586</v>
      </c>
      <c r="D49" s="4588"/>
      <c r="E49" s="4588"/>
      <c r="F49" s="4588"/>
      <c r="G49" s="4588"/>
      <c r="H49" s="564" t="s">
        <v>1587</v>
      </c>
    </row>
  </sheetData>
  <mergeCells count="10">
    <mergeCell ref="C49:G49"/>
    <mergeCell ref="B3:I3"/>
    <mergeCell ref="B6:B9"/>
    <mergeCell ref="C6:C9"/>
    <mergeCell ref="D6:D9"/>
    <mergeCell ref="E6:E9"/>
    <mergeCell ref="F6:F9"/>
    <mergeCell ref="G6:G9"/>
    <mergeCell ref="H6:H9"/>
    <mergeCell ref="I6:I9"/>
  </mergeCells>
  <dataValidations count="1">
    <dataValidation type="list" allowBlank="1" showInputMessage="1" showErrorMessage="1" sqref="G11 G16:G42" xr:uid="{00000000-0002-0000-4900-000000000000}">
      <formula1>$G$24:$G$30</formula1>
    </dataValidation>
  </dataValidations>
  <pageMargins left="0.7" right="0.23" top="0.39" bottom="0.28999999999999998" header="0.3" footer="0.3"/>
  <pageSetup paperSize="9" orientation="portrait" horizontalDpi="0"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EC20C5"/>
    <pageSetUpPr fitToPage="1"/>
  </sheetPr>
  <dimension ref="A1:L51"/>
  <sheetViews>
    <sheetView tabSelected="1" zoomScaleNormal="100" workbookViewId="0">
      <selection activeCell="E1" sqref="E1:G1"/>
    </sheetView>
  </sheetViews>
  <sheetFormatPr defaultColWidth="9.140625" defaultRowHeight="15" x14ac:dyDescent="0.25"/>
  <cols>
    <col min="1" max="1" width="7.85546875" style="1734" customWidth="1"/>
    <col min="2" max="2" width="56.42578125" style="18" customWidth="1"/>
    <col min="3" max="3" width="14.7109375" style="18" customWidth="1"/>
    <col min="4" max="4" width="14.42578125" style="1734" customWidth="1"/>
    <col min="5" max="7" width="14.42578125" style="18" customWidth="1"/>
    <col min="8" max="8" width="7.7109375" style="18" customWidth="1"/>
    <col min="9" max="16384" width="9.140625" style="18"/>
  </cols>
  <sheetData>
    <row r="1" spans="1:12" ht="60" customHeight="1" x14ac:dyDescent="0.25">
      <c r="A1" s="3491"/>
      <c r="E1" s="4059" t="s">
        <v>3454</v>
      </c>
      <c r="F1" s="4059"/>
      <c r="G1" s="4059"/>
    </row>
    <row r="2" spans="1:12" ht="35.25" customHeight="1" x14ac:dyDescent="0.25">
      <c r="A2" s="3491"/>
      <c r="F2" s="3480"/>
      <c r="G2" s="3480"/>
    </row>
    <row r="3" spans="1:12" ht="45.75" customHeight="1" x14ac:dyDescent="0.25">
      <c r="A3" s="18"/>
      <c r="B3" s="4060" t="s">
        <v>3452</v>
      </c>
      <c r="C3" s="4060"/>
      <c r="D3" s="4060"/>
      <c r="E3" s="4060"/>
      <c r="F3" s="4060"/>
      <c r="G3" s="1819"/>
    </row>
    <row r="4" spans="1:12" ht="15.75" thickBot="1" x14ac:dyDescent="0.3">
      <c r="G4" s="18" t="s">
        <v>1666</v>
      </c>
    </row>
    <row r="5" spans="1:12" ht="30" customHeight="1" thickBot="1" x14ac:dyDescent="0.3">
      <c r="A5" s="4061" t="s">
        <v>7</v>
      </c>
      <c r="B5" s="4061" t="s">
        <v>620</v>
      </c>
      <c r="C5" s="4061" t="s">
        <v>2788</v>
      </c>
      <c r="D5" s="4064" t="s">
        <v>2789</v>
      </c>
      <c r="E5" s="4065"/>
      <c r="F5" s="4065"/>
      <c r="G5" s="4066"/>
      <c r="H5" s="110"/>
      <c r="I5" s="110"/>
    </row>
    <row r="6" spans="1:12" ht="75" customHeight="1" thickBot="1" x14ac:dyDescent="0.3">
      <c r="A6" s="4062"/>
      <c r="B6" s="4063"/>
      <c r="C6" s="4063"/>
      <c r="D6" s="2127" t="s">
        <v>2790</v>
      </c>
      <c r="E6" s="2127" t="s">
        <v>2791</v>
      </c>
      <c r="F6" s="2127" t="s">
        <v>2792</v>
      </c>
      <c r="G6" s="2127" t="s">
        <v>2793</v>
      </c>
      <c r="H6" s="110"/>
      <c r="I6" s="110"/>
    </row>
    <row r="7" spans="1:12" ht="15.75" thickBot="1" x14ac:dyDescent="0.3">
      <c r="A7" s="2128">
        <v>1</v>
      </c>
      <c r="B7" s="2129">
        <v>2</v>
      </c>
      <c r="C7" s="2114">
        <v>3</v>
      </c>
      <c r="D7" s="2128">
        <v>4</v>
      </c>
      <c r="E7" s="2114">
        <v>5</v>
      </c>
      <c r="F7" s="2129">
        <v>6</v>
      </c>
      <c r="G7" s="2115">
        <v>7</v>
      </c>
    </row>
    <row r="8" spans="1:12" ht="15.75" thickBot="1" x14ac:dyDescent="0.3">
      <c r="A8" s="2156" t="s">
        <v>3081</v>
      </c>
      <c r="B8" s="4049" t="s">
        <v>2794</v>
      </c>
      <c r="C8" s="4050"/>
      <c r="D8" s="4050"/>
      <c r="E8" s="4050"/>
      <c r="F8" s="4050"/>
      <c r="G8" s="4051"/>
    </row>
    <row r="9" spans="1:12" ht="16.899999999999999" customHeight="1" x14ac:dyDescent="0.25">
      <c r="A9" s="2131" t="s">
        <v>2795</v>
      </c>
      <c r="B9" s="2132" t="s">
        <v>2796</v>
      </c>
      <c r="C9" s="2131" t="s">
        <v>234</v>
      </c>
      <c r="D9" s="2131">
        <f>SUM(D10:D12)</f>
        <v>0</v>
      </c>
      <c r="E9" s="2133">
        <f t="shared" ref="E9:G9" si="0">SUM(E10:E12)</f>
        <v>0</v>
      </c>
      <c r="F9" s="2131">
        <f t="shared" si="0"/>
        <v>0</v>
      </c>
      <c r="G9" s="2134">
        <f t="shared" si="0"/>
        <v>9104.877715093302</v>
      </c>
      <c r="H9" s="828"/>
      <c r="I9" s="828"/>
      <c r="J9" s="828"/>
      <c r="K9" s="828"/>
      <c r="L9" s="828"/>
    </row>
    <row r="10" spans="1:12" ht="27.75" customHeight="1" x14ac:dyDescent="0.25">
      <c r="A10" s="2135" t="s">
        <v>1689</v>
      </c>
      <c r="B10" s="2136" t="s">
        <v>2797</v>
      </c>
      <c r="C10" s="2135" t="s">
        <v>234</v>
      </c>
      <c r="D10" s="2135">
        <f>'Додаток 3 до рішення'!D8</f>
        <v>0</v>
      </c>
      <c r="E10" s="2135">
        <f>IF(E11=0,0,'Додаток 3 до рішення'!E8)</f>
        <v>0</v>
      </c>
      <c r="F10" s="2135">
        <f>'Додаток 3 до рішення'!F8</f>
        <v>0</v>
      </c>
      <c r="G10" s="2135">
        <f>'Додаток 3 до рішення'!G8</f>
        <v>5701.3545558892911</v>
      </c>
      <c r="H10" s="828"/>
      <c r="I10" s="828"/>
      <c r="J10" s="828"/>
      <c r="K10" s="828"/>
      <c r="L10" s="828"/>
    </row>
    <row r="11" spans="1:12" ht="42" customHeight="1" x14ac:dyDescent="0.25">
      <c r="A11" s="2135" t="s">
        <v>1691</v>
      </c>
      <c r="B11" s="2137" t="s">
        <v>2798</v>
      </c>
      <c r="C11" s="2135" t="s">
        <v>234</v>
      </c>
      <c r="D11" s="2135">
        <f>'Додаток 4 до рішення'!D8</f>
        <v>0</v>
      </c>
      <c r="E11" s="2135">
        <f>'Додаток 4 до рішення'!E8</f>
        <v>0</v>
      </c>
      <c r="F11" s="2135">
        <f>'Додаток 4 до рішення'!F8</f>
        <v>0</v>
      </c>
      <c r="G11" s="2135">
        <f>'Додаток 4 до рішення'!G8</f>
        <v>3254.4828485840603</v>
      </c>
      <c r="H11" s="828"/>
      <c r="I11" s="828"/>
      <c r="J11" s="828"/>
      <c r="K11" s="828"/>
      <c r="L11" s="828"/>
    </row>
    <row r="12" spans="1:12" ht="16.899999999999999" customHeight="1" thickBot="1" x14ac:dyDescent="0.3">
      <c r="A12" s="2138" t="s">
        <v>1694</v>
      </c>
      <c r="B12" s="2139" t="s">
        <v>2799</v>
      </c>
      <c r="C12" s="2138" t="s">
        <v>234</v>
      </c>
      <c r="D12" s="2138">
        <f>'Додаток 6 до рішення'!D8</f>
        <v>0</v>
      </c>
      <c r="E12" s="2138">
        <f>IF(E11=0,0,'Додаток 6 до рішення'!E8)</f>
        <v>0</v>
      </c>
      <c r="F12" s="2138">
        <f>'Додаток 6 до рішення'!F8</f>
        <v>0</v>
      </c>
      <c r="G12" s="2138">
        <f>'Додаток 6 до рішення'!G8</f>
        <v>149.04031061994922</v>
      </c>
      <c r="H12" s="828"/>
      <c r="I12" s="828"/>
      <c r="J12" s="828"/>
      <c r="K12" s="828"/>
      <c r="L12" s="828"/>
    </row>
    <row r="13" spans="1:12" ht="18.75" customHeight="1" thickBot="1" x14ac:dyDescent="0.3">
      <c r="A13" s="2140" t="s">
        <v>2800</v>
      </c>
      <c r="B13" s="4049" t="s">
        <v>3083</v>
      </c>
      <c r="C13" s="4052"/>
      <c r="D13" s="4052"/>
      <c r="E13" s="4052"/>
      <c r="F13" s="4052"/>
      <c r="G13" s="4053"/>
      <c r="H13" s="2096"/>
    </row>
    <row r="14" spans="1:12" s="23" customFormat="1" ht="14.25" x14ac:dyDescent="0.2">
      <c r="A14" s="2141" t="s">
        <v>1687</v>
      </c>
      <c r="B14" s="2142" t="s">
        <v>2802</v>
      </c>
      <c r="C14" s="2135">
        <f>C15+C20+C21+C25</f>
        <v>9130.1492231436732</v>
      </c>
      <c r="D14" s="2135">
        <f t="shared" ref="D14:G14" si="1">D15+D20+D21+D25</f>
        <v>0</v>
      </c>
      <c r="E14" s="2135">
        <f t="shared" si="1"/>
        <v>0</v>
      </c>
      <c r="F14" s="2135">
        <f t="shared" si="1"/>
        <v>0</v>
      </c>
      <c r="G14" s="2135">
        <f t="shared" si="1"/>
        <v>7249.3975837799208</v>
      </c>
      <c r="H14" s="2096"/>
    </row>
    <row r="15" spans="1:12" x14ac:dyDescent="0.25">
      <c r="A15" s="2143" t="s">
        <v>1689</v>
      </c>
      <c r="B15" s="91" t="s">
        <v>2803</v>
      </c>
      <c r="C15" s="2144">
        <f>SUM(C16:C19)</f>
        <v>3699.8217719659278</v>
      </c>
      <c r="D15" s="2144">
        <f t="shared" ref="D15:G15" si="2">SUM(D16:D19)</f>
        <v>0</v>
      </c>
      <c r="E15" s="2144">
        <f t="shared" si="2"/>
        <v>0</v>
      </c>
      <c r="F15" s="2144">
        <f t="shared" si="2"/>
        <v>0</v>
      </c>
      <c r="G15" s="2144">
        <f t="shared" si="2"/>
        <v>2849.2322555683481</v>
      </c>
      <c r="H15" s="2096"/>
      <c r="I15" s="828"/>
    </row>
    <row r="16" spans="1:12" x14ac:dyDescent="0.25">
      <c r="A16" s="2143" t="s">
        <v>2804</v>
      </c>
      <c r="B16" s="91" t="s">
        <v>2805</v>
      </c>
      <c r="C16" s="2144">
        <f>'Додаток 3 до рішення'!I12</f>
        <v>3313.8510790037099</v>
      </c>
      <c r="D16" s="2144">
        <f>'Додаток 3 до рішення'!D12</f>
        <v>0</v>
      </c>
      <c r="E16" s="2144">
        <f>IF(E11=0,0,'Додаток 3 до рішення'!E12)</f>
        <v>0</v>
      </c>
      <c r="F16" s="2144">
        <f>'Додаток 3 до рішення'!F12</f>
        <v>0</v>
      </c>
      <c r="G16" s="2144">
        <f>'Додаток 3 до рішення'!G12</f>
        <v>2520.9609284603375</v>
      </c>
      <c r="H16" s="2096"/>
    </row>
    <row r="17" spans="1:8" x14ac:dyDescent="0.25">
      <c r="A17" s="2143" t="s">
        <v>2806</v>
      </c>
      <c r="B17" s="91" t="s">
        <v>2807</v>
      </c>
      <c r="C17" s="2144">
        <f>'Додаток 3 до рішення'!I13+'Додаток 4 до рішення'!C12</f>
        <v>281.44664100082019</v>
      </c>
      <c r="D17" s="2144">
        <f>'Додаток 3 до рішення'!D13+'Додаток 4 до рішення'!D12</f>
        <v>0</v>
      </c>
      <c r="E17" s="2144">
        <f>IF(E11=0,0,'Додаток 3 до рішення'!E13+'Додаток 4 до рішення'!E12)</f>
        <v>0</v>
      </c>
      <c r="F17" s="2144">
        <f>'Додаток 3 до рішення'!F13+'Додаток 4 до рішення'!F12</f>
        <v>0</v>
      </c>
      <c r="G17" s="2144">
        <f>'Додаток 3 до рішення'!G13+'Додаток 4 до рішення'!G12</f>
        <v>242.27867571532622</v>
      </c>
      <c r="H17" s="2096"/>
    </row>
    <row r="18" spans="1:8" x14ac:dyDescent="0.25">
      <c r="A18" s="2143" t="s">
        <v>2808</v>
      </c>
      <c r="B18" s="91" t="s">
        <v>2809</v>
      </c>
      <c r="C18" s="2144">
        <f>'Додаток 3 до рішення'!I14+'Додаток 4 до рішення'!C13</f>
        <v>46.760103246133433</v>
      </c>
      <c r="D18" s="2144">
        <f>'Додаток 3 до рішення'!D14+'Додаток 4 до рішення'!D13</f>
        <v>0</v>
      </c>
      <c r="E18" s="2144">
        <f>IF(E11=0,0,'Додаток 3 до рішення'!E14+'Додаток 4 до рішення'!E13)</f>
        <v>0</v>
      </c>
      <c r="F18" s="2144">
        <f>'Додаток 3 до рішення'!F14+'Додаток 4 до рішення'!F13</f>
        <v>0</v>
      </c>
      <c r="G18" s="2144">
        <f>'Додаток 3 до рішення'!G14+'Додаток 4 до рішення'!G13</f>
        <v>40.136726956737604</v>
      </c>
      <c r="H18" s="2096"/>
    </row>
    <row r="19" spans="1:8" x14ac:dyDescent="0.25">
      <c r="A19" s="2143" t="s">
        <v>2810</v>
      </c>
      <c r="B19" s="91" t="s">
        <v>2173</v>
      </c>
      <c r="C19" s="2144">
        <f>'Додаток 3 до рішення'!I15+'Додаток 4 до рішення'!C14+'Додаток 6 до рішення'!I11</f>
        <v>57.76394871526432</v>
      </c>
      <c r="D19" s="2144">
        <f>'Додаток 3 до рішення'!D15+'Додаток 4 до рішення'!D14+'Додаток 6 до рішення'!D11</f>
        <v>0</v>
      </c>
      <c r="E19" s="2144">
        <f>IF(E11=0,0,'Додаток 3 до рішення'!E15+'Додаток 4 до рішення'!E14+'Додаток 6 до рішення'!E11)</f>
        <v>0</v>
      </c>
      <c r="F19" s="2144">
        <f>'Додаток 3 до рішення'!F15+'Додаток 4 до рішення'!F14+'Додаток 6 до рішення'!F11</f>
        <v>0</v>
      </c>
      <c r="G19" s="2144">
        <f>'Додаток 3 до рішення'!G15+'Додаток 4 до рішення'!G14+'Додаток 6 до рішення'!G11</f>
        <v>45.855924435946719</v>
      </c>
      <c r="H19" s="2096"/>
    </row>
    <row r="20" spans="1:8" x14ac:dyDescent="0.25">
      <c r="A20" s="2145" t="s">
        <v>1691</v>
      </c>
      <c r="B20" s="178" t="s">
        <v>2811</v>
      </c>
      <c r="C20" s="2135">
        <f>'Додаток 3 до рішення'!I16+'Додаток 4 до рішення'!C15+'Додаток 6 до рішення'!I12</f>
        <v>1992.0546616507556</v>
      </c>
      <c r="D20" s="2135">
        <f>'Додаток 3 до рішення'!D16+'Додаток 4 до рішення'!D15+'Додаток 6 до рішення'!D12</f>
        <v>0</v>
      </c>
      <c r="E20" s="2135">
        <f>IF(E11=0,0,'Додаток 3 до рішення'!E16+'Додаток 4 до рішення'!E15+'Додаток 6 до рішення'!E12)</f>
        <v>0</v>
      </c>
      <c r="F20" s="2135">
        <f>'Додаток 3 до рішення'!F16+'Додаток 4 до рішення'!F15+'Додаток 6 до рішення'!F12</f>
        <v>0</v>
      </c>
      <c r="G20" s="2135">
        <f>'Додаток 3 до рішення'!G16+'Додаток 4 до рішення'!G15+'Додаток 6 до рішення'!G12</f>
        <v>1656.5903579954852</v>
      </c>
      <c r="H20" s="2096"/>
    </row>
    <row r="21" spans="1:8" x14ac:dyDescent="0.25">
      <c r="A21" s="2145" t="s">
        <v>1694</v>
      </c>
      <c r="B21" s="178" t="s">
        <v>2812</v>
      </c>
      <c r="C21" s="2135">
        <f>C22+C23+C24</f>
        <v>2243.1239058449032</v>
      </c>
      <c r="D21" s="2135">
        <f t="shared" ref="D21:G21" si="3">D22+D23+D24</f>
        <v>0</v>
      </c>
      <c r="E21" s="2135">
        <f t="shared" si="3"/>
        <v>0</v>
      </c>
      <c r="F21" s="2135">
        <f t="shared" si="3"/>
        <v>0</v>
      </c>
      <c r="G21" s="2135">
        <f t="shared" si="3"/>
        <v>1794.6190202235227</v>
      </c>
      <c r="H21" s="2096"/>
    </row>
    <row r="22" spans="1:8" x14ac:dyDescent="0.25">
      <c r="A22" s="2143" t="s">
        <v>2813</v>
      </c>
      <c r="B22" s="91" t="s">
        <v>2814</v>
      </c>
      <c r="C22" s="2144">
        <f>'Додаток 3 до рішення'!I18+'Додаток 4 до рішення'!C17+'Додаток 6 до рішення'!I14</f>
        <v>438.25202556316623</v>
      </c>
      <c r="D22" s="2144">
        <f>'Додаток 3 до рішення'!D18+'Додаток 4 до рішення'!D17+'Додаток 6 до рішення'!D14</f>
        <v>0</v>
      </c>
      <c r="E22" s="2144">
        <f>IF(E11=0,0,'Додаток 3 до рішення'!E18+'Додаток 4 до рішення'!E17+'Додаток 6 до рішення'!E14)</f>
        <v>0</v>
      </c>
      <c r="F22" s="2144">
        <f>'Додаток 3 до рішення'!F18+'Додаток 4 до рішення'!F17+'Додаток 6 до рішення'!F14</f>
        <v>0</v>
      </c>
      <c r="G22" s="2144">
        <f>'Додаток 3 до рішення'!G18+'Додаток 4 до рішення'!G17+'Додаток 6 до рішення'!G14</f>
        <v>364.44987875900676</v>
      </c>
      <c r="H22" s="2096"/>
    </row>
    <row r="23" spans="1:8" x14ac:dyDescent="0.25">
      <c r="A23" s="2143" t="s">
        <v>2815</v>
      </c>
      <c r="B23" s="91" t="s">
        <v>2816</v>
      </c>
      <c r="C23" s="2144">
        <f>'Додаток 3 до рішення'!I19+'Додаток 4 до рішення'!C18+'Додаток 6 до рішення'!I15</f>
        <v>579.1042088362567</v>
      </c>
      <c r="D23" s="2144">
        <f>'Додаток 3 до рішення'!D19+'Додаток 4 до рішення'!D18+'Додаток 6 до рішення'!D15</f>
        <v>0</v>
      </c>
      <c r="E23" s="2144">
        <f>IF(E11=0,0,'Додаток 3 до рішення'!E19+'Додаток 4 до рішення'!E18+'Додаток 6 до рішення'!E15)</f>
        <v>0</v>
      </c>
      <c r="F23" s="2144">
        <f>'Додаток 3 до рішення'!F19+'Додаток 4 до рішення'!F18+'Додаток 6 до рішення'!F15</f>
        <v>0</v>
      </c>
      <c r="G23" s="2144">
        <f>'Додаток 3 до рішення'!G19+'Додаток 4 до рішення'!G18+'Додаток 6 до рішення'!G15</f>
        <v>443.28213340370218</v>
      </c>
      <c r="H23" s="2096"/>
    </row>
    <row r="24" spans="1:8" x14ac:dyDescent="0.25">
      <c r="A24" s="2143" t="s">
        <v>2817</v>
      </c>
      <c r="B24" s="91" t="s">
        <v>82</v>
      </c>
      <c r="C24" s="2144">
        <f>'Додаток 3 до рішення'!I20+'Додаток 4 до рішення'!C19+'Додаток 6 до рішення'!I16</f>
        <v>1225.7676714454803</v>
      </c>
      <c r="D24" s="2144">
        <f>'Додаток 3 до рішення'!D20+'Додаток 4 до рішення'!D19+'Додаток 6 до рішення'!D16</f>
        <v>0</v>
      </c>
      <c r="E24" s="2144">
        <f>IF(E11=0,0,'Додаток 3 до рішення'!E20+'Додаток 4 до рішення'!E19+'Додаток 6 до рішення'!E16)</f>
        <v>0</v>
      </c>
      <c r="F24" s="2144">
        <f>'Додаток 3 до рішення'!F20+'Додаток 4 до рішення'!F19+'Додаток 6 до рішення'!F16</f>
        <v>0</v>
      </c>
      <c r="G24" s="2144">
        <f>'Додаток 3 до рішення'!G20+'Додаток 4 до рішення'!G19+'Додаток 6 до рішення'!G16</f>
        <v>986.88700806081374</v>
      </c>
      <c r="H24" s="2096"/>
    </row>
    <row r="25" spans="1:8" s="23" customFormat="1" ht="14.25" x14ac:dyDescent="0.2">
      <c r="A25" s="2145" t="s">
        <v>1696</v>
      </c>
      <c r="B25" s="178" t="s">
        <v>2818</v>
      </c>
      <c r="C25" s="2135">
        <f>C26+C27+C28+C29</f>
        <v>1195.1488836820856</v>
      </c>
      <c r="D25" s="2135">
        <f t="shared" ref="D25:G25" si="4">D26+D27+D28+D29</f>
        <v>0</v>
      </c>
      <c r="E25" s="2135">
        <f t="shared" si="4"/>
        <v>0</v>
      </c>
      <c r="F25" s="2135">
        <f t="shared" si="4"/>
        <v>0</v>
      </c>
      <c r="G25" s="2135">
        <f t="shared" si="4"/>
        <v>948.9559499925648</v>
      </c>
      <c r="H25" s="2096"/>
    </row>
    <row r="26" spans="1:8" x14ac:dyDescent="0.25">
      <c r="A26" s="2146" t="s">
        <v>2819</v>
      </c>
      <c r="B26" s="91" t="s">
        <v>2820</v>
      </c>
      <c r="C26" s="2144">
        <f>'Додаток 3 до рішення'!I22+'Додаток 4 до рішення'!C21+'Додаток 6 до рішення'!I18</f>
        <v>865.52550276269415</v>
      </c>
      <c r="D26" s="2144">
        <f>'Додаток 3 до рішення'!D22+'Додаток 4 до рішення'!D21+'Додаток 6 до рішення'!D18</f>
        <v>0</v>
      </c>
      <c r="E26" s="2144">
        <f>IF(E11=0,0,'Додаток 3 до рішення'!E22+'Додаток 4 до рішення'!E21+'Додаток 6 до рішення'!E18)</f>
        <v>0</v>
      </c>
      <c r="F26" s="2144">
        <f>'Додаток 3 до рішення'!F22+'Додаток 4 до рішення'!F21+'Додаток 6 до рішення'!F18</f>
        <v>0</v>
      </c>
      <c r="G26" s="2144">
        <f>'Додаток 3 до рішення'!G22+'Додаток 4 до рішення'!G21+'Додаток 6 до рішення'!G18</f>
        <v>687.23285184898009</v>
      </c>
      <c r="H26" s="2096"/>
    </row>
    <row r="27" spans="1:8" x14ac:dyDescent="0.25">
      <c r="A27" s="2146" t="s">
        <v>2821</v>
      </c>
      <c r="B27" s="91" t="s">
        <v>2175</v>
      </c>
      <c r="C27" s="2144">
        <f>'Додаток 3 до рішення'!I23+'Додаток 4 до рішення'!C22+'Додаток 6 до рішення'!I19</f>
        <v>190.41561060779273</v>
      </c>
      <c r="D27" s="2144">
        <f>'Додаток 3 до рішення'!D23+'Додаток 4 до рішення'!D22+'Додаток 6 до рішення'!D19</f>
        <v>0</v>
      </c>
      <c r="E27" s="2144">
        <f>IF(E11=0,0,'Додаток 3 до рішення'!E23+'Додаток 4 до рішення'!E22+'Додаток 6 до рішення'!E19)</f>
        <v>0</v>
      </c>
      <c r="F27" s="2144">
        <f>'Додаток 3 до рішення'!F23+'Додаток 4 до рішення'!F22+'Додаток 6 до рішення'!F19</f>
        <v>0</v>
      </c>
      <c r="G27" s="2144">
        <f>'Додаток 3 до рішення'!G23+'Додаток 4 до рішення'!G22+'Додаток 6 до рішення'!G19</f>
        <v>151.19122740677565</v>
      </c>
      <c r="H27" s="2096"/>
    </row>
    <row r="28" spans="1:8" x14ac:dyDescent="0.25">
      <c r="A28" s="2146" t="s">
        <v>2822</v>
      </c>
      <c r="B28" s="91" t="s">
        <v>2816</v>
      </c>
      <c r="C28" s="2144">
        <f>'Додаток 3 до рішення'!I24+'Додаток 4 до рішення'!C23+'Додаток 6 до рішення'!I20</f>
        <v>7.4652070449808088</v>
      </c>
      <c r="D28" s="2144">
        <f>'Додаток 3 до рішення'!D24+'Додаток 4 до рішення'!D23+'Додаток 6 до рішення'!D20</f>
        <v>0</v>
      </c>
      <c r="E28" s="2144">
        <f>IF(E11=0,0,'Додаток 3 до рішення'!E24+'Додаток 4 до рішення'!E23+'Додаток 6 до рішення'!E20)</f>
        <v>0</v>
      </c>
      <c r="F28" s="2144">
        <f>'Додаток 3 до рішення'!F24+'Додаток 4 до рішення'!F23+'Додаток 6 до рішення'!F20</f>
        <v>0</v>
      </c>
      <c r="G28" s="2144">
        <f>'Додаток 3 до рішення'!G24+'Додаток 4 до рішення'!G23+'Додаток 6 до рішення'!G20</f>
        <v>5.9274227169385583</v>
      </c>
      <c r="H28" s="2096"/>
    </row>
    <row r="29" spans="1:8" x14ac:dyDescent="0.25">
      <c r="A29" s="2146" t="s">
        <v>2823</v>
      </c>
      <c r="B29" s="91" t="s">
        <v>58</v>
      </c>
      <c r="C29" s="2144">
        <f>'Додаток 3 до рішення'!I25+'Додаток 4 до рішення'!C24+'Додаток 6 до рішення'!I21</f>
        <v>131.74256326661796</v>
      </c>
      <c r="D29" s="2144">
        <f>'Додаток 3 до рішення'!D25+'Додаток 4 до рішення'!D24+'Додаток 6 до рішення'!D21</f>
        <v>0</v>
      </c>
      <c r="E29" s="2144">
        <f>IF(E11=0,0,'Додаток 3 до рішення'!E25+'Додаток 4 до рішення'!E24+'Додаток 6 до рішення'!E21)</f>
        <v>0</v>
      </c>
      <c r="F29" s="2144">
        <f>'Додаток 3 до рішення'!F25+'Додаток 4 до рішення'!F24+'Додаток 6 до рішення'!F21</f>
        <v>0</v>
      </c>
      <c r="G29" s="2144">
        <f>'Додаток 3 до рішення'!G25+'Додаток 4 до рішення'!G24+'Додаток 6 до рішення'!G21</f>
        <v>104.60444801987056</v>
      </c>
      <c r="H29" s="2096"/>
    </row>
    <row r="30" spans="1:8" s="23" customFormat="1" ht="14.25" x14ac:dyDescent="0.2">
      <c r="A30" s="2141" t="s">
        <v>1709</v>
      </c>
      <c r="B30" s="178" t="s">
        <v>2824</v>
      </c>
      <c r="C30" s="2135">
        <f>C31+C32+C33+C34</f>
        <v>366.36534723597924</v>
      </c>
      <c r="D30" s="2135">
        <f t="shared" ref="D30:G30" si="5">D31+D32+D33+D34</f>
        <v>0</v>
      </c>
      <c r="E30" s="2135">
        <f t="shared" si="5"/>
        <v>0</v>
      </c>
      <c r="F30" s="2135">
        <f t="shared" si="5"/>
        <v>0</v>
      </c>
      <c r="G30" s="2135">
        <f t="shared" si="5"/>
        <v>290.8864572343229</v>
      </c>
      <c r="H30" s="2096"/>
    </row>
    <row r="31" spans="1:8" x14ac:dyDescent="0.25">
      <c r="A31" s="2146" t="s">
        <v>2825</v>
      </c>
      <c r="B31" s="91" t="s">
        <v>55</v>
      </c>
      <c r="C31" s="2144">
        <f>'Додаток 3 до рішення'!I27+'Додаток 4 до рішення'!C26+'Додаток 6 до рішення'!I23</f>
        <v>202.74870783368098</v>
      </c>
      <c r="D31" s="2144">
        <f>'Додаток 3 до рішення'!D27+'Додаток 4 до рішення'!D26+'Додаток 6 до рішення'!D23</f>
        <v>0</v>
      </c>
      <c r="E31" s="2144">
        <f>IF(E11=0,0,'Додаток 3 до рішення'!E27+'Додаток 4 до рішення'!E26+'Додаток 6 до рішення'!E23)</f>
        <v>0</v>
      </c>
      <c r="F31" s="2144">
        <f>'Додаток 3 до рішення'!F27+'Додаток 4 до рішення'!F26+'Додаток 6 до рішення'!F23</f>
        <v>0</v>
      </c>
      <c r="G31" s="2144">
        <f>'Додаток 3 до рішення'!G27+'Додаток 4 до рішення'!G26+'Додаток 6 до рішення'!G23</f>
        <v>160.9837864378199</v>
      </c>
      <c r="H31" s="2096"/>
    </row>
    <row r="32" spans="1:8" x14ac:dyDescent="0.25">
      <c r="A32" s="2146" t="s">
        <v>2826</v>
      </c>
      <c r="B32" s="91" t="s">
        <v>2827</v>
      </c>
      <c r="C32" s="2144">
        <f>'Додаток 3 до рішення'!I28+'Додаток 4 до рішення'!C27+'Додаток 6 до рішення'!I24</f>
        <v>44.604715723409825</v>
      </c>
      <c r="D32" s="2144">
        <f>'Додаток 3 до рішення'!D28+'Додаток 4 до рішення'!D27+'Додаток 6 до рішення'!D24</f>
        <v>0</v>
      </c>
      <c r="E32" s="2144">
        <f>IF(E11=0,0,'Додаток 3 до рішення'!E28+'Додаток 4 до рішення'!E27+'Додаток 6 до рішення'!E24)</f>
        <v>0</v>
      </c>
      <c r="F32" s="2144">
        <f>'Додаток 3 до рішення'!F28+'Додаток 4 до рішення'!F27+'Додаток 6 до рішення'!F24</f>
        <v>0</v>
      </c>
      <c r="G32" s="2144">
        <f>'Додаток 3 до рішення'!G28+'Додаток 4 до рішення'!G27+'Додаток 6 до рішення'!G24</f>
        <v>35.416433016320369</v>
      </c>
      <c r="H32" s="2096"/>
    </row>
    <row r="33" spans="1:9" x14ac:dyDescent="0.25">
      <c r="A33" s="2146" t="s">
        <v>2828</v>
      </c>
      <c r="B33" s="91" t="s">
        <v>2816</v>
      </c>
      <c r="C33" s="2144">
        <f>'Додаток 3 до рішення'!I29+'Додаток 4 до рішення'!C28+'Додаток 6 до рішення'!I25</f>
        <v>6.5622891618902157</v>
      </c>
      <c r="D33" s="2144">
        <f>'Додаток 3 до рішення'!D29+'Додаток 4 до рішення'!D28+'Додаток 6 до рішення'!D25</f>
        <v>0</v>
      </c>
      <c r="E33" s="2144">
        <f>IF(E11=0,0,'Додаток 3 до рішення'!E29+'Додаток 4 до рішення'!E28+'Додаток 6 до рішення'!E25)</f>
        <v>0</v>
      </c>
      <c r="F33" s="2144">
        <f>'Додаток 3 до рішення'!F29+'Додаток 4 до рішення'!F28+'Додаток 6 до рішення'!F25</f>
        <v>0</v>
      </c>
      <c r="G33" s="2144">
        <f>'Додаток 3 до рішення'!G29+'Додаток 4 до рішення'!G28+'Додаток 6 до рішення'!G25</f>
        <v>5.2105000730636464</v>
      </c>
      <c r="H33" s="2096"/>
    </row>
    <row r="34" spans="1:9" x14ac:dyDescent="0.25">
      <c r="A34" s="2146" t="s">
        <v>2829</v>
      </c>
      <c r="B34" s="91" t="s">
        <v>2830</v>
      </c>
      <c r="C34" s="2144">
        <f>'Додаток 3 до рішення'!I30+'Додаток 4 до рішення'!C29+'Додаток 6 до рішення'!I26</f>
        <v>112.44963451699823</v>
      </c>
      <c r="D34" s="2144">
        <f>'Додаток 3 до рішення'!D30+'Додаток 4 до рішення'!D29+'Додаток 6 до рішення'!D26</f>
        <v>0</v>
      </c>
      <c r="E34" s="2144">
        <f>IF(E11=0,0,'Додаток 3 до рішення'!E30+'Додаток 4 до рішення'!E29+'Додаток 6 до рішення'!E26)</f>
        <v>0</v>
      </c>
      <c r="F34" s="2144">
        <f>'Додаток 3 до рішення'!F30+'Додаток 4 до рішення'!F29+'Додаток 6 до рішення'!F26</f>
        <v>0</v>
      </c>
      <c r="G34" s="2144">
        <f>'Додаток 3 до рішення'!G30+'Додаток 4 до рішення'!G29+'Додаток 6 до рішення'!G26</f>
        <v>89.275737707118992</v>
      </c>
      <c r="H34" s="2096"/>
    </row>
    <row r="35" spans="1:9" s="23" customFormat="1" ht="14.25" x14ac:dyDescent="0.2">
      <c r="A35" s="2141" t="s">
        <v>1711</v>
      </c>
      <c r="B35" s="178" t="s">
        <v>2831</v>
      </c>
      <c r="C35" s="2141">
        <v>0</v>
      </c>
      <c r="D35" s="2141">
        <v>0</v>
      </c>
      <c r="E35" s="2141">
        <v>0</v>
      </c>
      <c r="F35" s="2141">
        <v>0</v>
      </c>
      <c r="G35" s="2141">
        <v>0</v>
      </c>
      <c r="H35" s="2096"/>
    </row>
    <row r="36" spans="1:9" s="23" customFormat="1" ht="42.75" x14ac:dyDescent="0.2">
      <c r="A36" s="2141" t="s">
        <v>1714</v>
      </c>
      <c r="B36" s="2147" t="s">
        <v>2832</v>
      </c>
      <c r="C36" s="2135">
        <f>'Додаток 4 до рішення'!C32</f>
        <v>1062.3733038807425</v>
      </c>
      <c r="D36" s="2135">
        <f>'Додаток 4 до рішення'!D32</f>
        <v>0</v>
      </c>
      <c r="E36" s="2135">
        <f>IF(E11=0,0,'Додаток 4 до рішення'!E32)</f>
        <v>0</v>
      </c>
      <c r="F36" s="2135">
        <f>'Додаток 4 до рішення'!F32</f>
        <v>0</v>
      </c>
      <c r="G36" s="2135">
        <f>'Додаток 4 до рішення'!G32</f>
        <v>941.66835566680038</v>
      </c>
      <c r="H36" s="2096"/>
      <c r="I36" s="2583">
        <f>G36*C47-C36</f>
        <v>0</v>
      </c>
    </row>
    <row r="37" spans="1:9" s="23" customFormat="1" ht="14.25" x14ac:dyDescent="0.2">
      <c r="A37" s="2141" t="s">
        <v>1786</v>
      </c>
      <c r="B37" s="178" t="s">
        <v>2833</v>
      </c>
      <c r="C37" s="2135">
        <f>'Додаток 3 до рішення'!I32+'Додаток 4 до рішення'!C33+'Додаток 6 до рішення'!I28</f>
        <v>0</v>
      </c>
      <c r="D37" s="2135">
        <f>'Додаток 3 до рішення'!D32+'Додаток 4 до рішення'!D33+'Додаток 6 до рішення'!D28</f>
        <v>0</v>
      </c>
      <c r="E37" s="2135">
        <f>IF(E11=0,0,'Додаток 3 до рішення'!E32+'Додаток 4 до рішення'!E33+'Додаток 6 до рішення'!E28)</f>
        <v>0</v>
      </c>
      <c r="F37" s="2135">
        <f>'Додаток 3 до рішення'!F32+'Додаток 4 до рішення'!F33+'Додаток 6 до рішення'!F28</f>
        <v>0</v>
      </c>
      <c r="G37" s="2135">
        <f>'Додаток 3 до рішення'!G32+'Додаток 4 до рішення'!G33+'Додаток 6 до рішення'!G28</f>
        <v>0</v>
      </c>
      <c r="H37" s="2096"/>
    </row>
    <row r="38" spans="1:9" s="23" customFormat="1" ht="14.25" x14ac:dyDescent="0.2">
      <c r="A38" s="2141" t="s">
        <v>1792</v>
      </c>
      <c r="B38" s="178" t="s">
        <v>2834</v>
      </c>
      <c r="C38" s="2141">
        <v>0</v>
      </c>
      <c r="D38" s="2141">
        <v>0</v>
      </c>
      <c r="E38" s="2141">
        <v>0</v>
      </c>
      <c r="F38" s="2141">
        <v>0</v>
      </c>
      <c r="G38" s="2141">
        <v>0</v>
      </c>
      <c r="H38" s="2096"/>
    </row>
    <row r="39" spans="1:9" s="2175" customFormat="1" ht="14.25" x14ac:dyDescent="0.2">
      <c r="A39" s="2171" t="s">
        <v>1798</v>
      </c>
      <c r="B39" s="2172" t="s">
        <v>2835</v>
      </c>
      <c r="C39" s="2173">
        <f>'Додаток 3 до рішення'!I34</f>
        <v>0</v>
      </c>
      <c r="D39" s="2173">
        <f>'Додаток 3 до рішення'!D34</f>
        <v>0</v>
      </c>
      <c r="E39" s="2173">
        <f>IF(E11=0,0,'Додаток 3 до рішення'!E34)</f>
        <v>0</v>
      </c>
      <c r="F39" s="2173">
        <f>'Додаток 3 до рішення'!F34</f>
        <v>0</v>
      </c>
      <c r="G39" s="2173">
        <f>'Додаток 3 до рішення'!G34</f>
        <v>0</v>
      </c>
      <c r="H39" s="2174"/>
    </row>
    <row r="40" spans="1:9" s="23" customFormat="1" ht="14.25" x14ac:dyDescent="0.2">
      <c r="A40" s="2141" t="s">
        <v>1800</v>
      </c>
      <c r="B40" s="178" t="s">
        <v>2836</v>
      </c>
      <c r="C40" s="2135">
        <f>SUM(C41:C44)</f>
        <v>775.44472548568353</v>
      </c>
      <c r="D40" s="2135">
        <f t="shared" ref="D40:G40" si="6">SUM(D41:D44)</f>
        <v>0</v>
      </c>
      <c r="E40" s="2135">
        <f t="shared" si="6"/>
        <v>0</v>
      </c>
      <c r="F40" s="2135">
        <v>0</v>
      </c>
      <c r="G40" s="2135">
        <f t="shared" si="6"/>
        <v>622.91531841225606</v>
      </c>
      <c r="H40" s="2096"/>
    </row>
    <row r="41" spans="1:9" x14ac:dyDescent="0.25">
      <c r="A41" s="2146" t="s">
        <v>1102</v>
      </c>
      <c r="B41" s="91" t="s">
        <v>65</v>
      </c>
      <c r="C41" s="2144">
        <f>'Додаток 3 до рішення'!I36+'Додаток 4 до рішення'!C37+'Додаток 6 до рішення'!I32</f>
        <v>76.023992694674845</v>
      </c>
      <c r="D41" s="2144">
        <f>'Додаток 3 до рішення'!D36+'Додаток 4 до рішення'!D37+'Додаток 6 до рішення'!D32</f>
        <v>0</v>
      </c>
      <c r="E41" s="2144">
        <f>IF(E11=0,0,'Додаток 3 до рішення'!E36+'Додаток 4 до рішення'!E37+'Додаток 6 до рішення'!E32)</f>
        <v>0</v>
      </c>
      <c r="F41" s="2144">
        <v>0</v>
      </c>
      <c r="G41" s="2144">
        <f>'Додаток 3 до рішення'!G36+'Додаток 4 до рішення'!G37+'Додаток 6 до рішення'!G32</f>
        <v>61.070129256103534</v>
      </c>
      <c r="H41" s="2096"/>
    </row>
    <row r="42" spans="1:9" x14ac:dyDescent="0.25">
      <c r="A42" s="2146" t="s">
        <v>2837</v>
      </c>
      <c r="B42" s="91" t="s">
        <v>85</v>
      </c>
      <c r="C42" s="2144">
        <f>'Додаток 3 до рішення'!I37+'Додаток 4 до рішення'!C38+'Додаток 6 до рішення'!I33</f>
        <v>277.06521782059281</v>
      </c>
      <c r="D42" s="2144">
        <f>'Додаток 3 до рішення'!D37+'Додаток 4 до рішення'!D38+'Додаток 6 до рішення'!D33</f>
        <v>0</v>
      </c>
      <c r="E42" s="2144">
        <f>IF(E11=0,0,'Додаток 3 до рішення'!E37+'Додаток 4 до рішення'!E38+'Додаток 6 до рішення'!E33)</f>
        <v>0</v>
      </c>
      <c r="F42" s="2144">
        <v>0</v>
      </c>
      <c r="G42" s="2144">
        <f>'Додаток 3 до рішення'!G37+'Додаток 4 до рішення'!G38+'Додаток 6 до рішення'!G33</f>
        <v>222.56669328891064</v>
      </c>
      <c r="H42" s="2096"/>
    </row>
    <row r="43" spans="1:9" x14ac:dyDescent="0.25">
      <c r="A43" s="2146" t="s">
        <v>2838</v>
      </c>
      <c r="B43" s="91" t="s">
        <v>71</v>
      </c>
      <c r="C43" s="2144">
        <f>'Додаток 3 до рішення'!I38+'Додаток 4 до рішення'!C39+'Додаток 6 до рішення'!I34</f>
        <v>0</v>
      </c>
      <c r="D43" s="2144">
        <f>'Додаток 3 до рішення'!D38+'Додаток 4 до рішення'!D39+'Додаток 6 до рішення'!D34</f>
        <v>0</v>
      </c>
      <c r="E43" s="2144">
        <f>IF(E11=0,0,'Додаток 3 до рішення'!E38+'Додаток 4 до рішення'!E39+'Додаток 6 до рішення'!E34)</f>
        <v>0</v>
      </c>
      <c r="F43" s="2144">
        <v>0</v>
      </c>
      <c r="G43" s="2144">
        <f>'Додаток 3 до рішення'!G38+'Додаток 4 до рішення'!G39+'Додаток 6 до рішення'!G34</f>
        <v>0</v>
      </c>
      <c r="H43" s="2096"/>
    </row>
    <row r="44" spans="1:9" ht="15.75" thickBot="1" x14ac:dyDescent="0.3">
      <c r="A44" s="2148" t="s">
        <v>2839</v>
      </c>
      <c r="B44" s="2149" t="s">
        <v>2394</v>
      </c>
      <c r="C44" s="2150">
        <f>'Додаток 3 до рішення'!I39+'Додаток 4 до рішення'!C40+'Додаток 6 до рішення'!I35</f>
        <v>422.35551497041587</v>
      </c>
      <c r="D44" s="2150">
        <f>'Додаток 3 до рішення'!D39+'Додаток 4 до рішення'!D40+'Додаток 6 до рішення'!D35</f>
        <v>0</v>
      </c>
      <c r="E44" s="2150">
        <f>IF(E11=0,0,'Додаток 3 до рішення'!E39+'Додаток 4 до рішення'!E40+'Додаток 6 до рішення'!E35)</f>
        <v>0</v>
      </c>
      <c r="F44" s="2150">
        <v>0</v>
      </c>
      <c r="G44" s="2150">
        <f>'Додаток 3 до рішення'!G39+'Додаток 4 до рішення'!G40+'Додаток 6 до рішення'!G35</f>
        <v>339.27849586724182</v>
      </c>
      <c r="H44" s="2096"/>
    </row>
    <row r="45" spans="1:9" ht="15.75" thickBot="1" x14ac:dyDescent="0.3">
      <c r="A45" s="2140" t="s">
        <v>1802</v>
      </c>
      <c r="B45" s="2151" t="s">
        <v>2840</v>
      </c>
      <c r="C45" s="2152">
        <f>C14+C30+C35+C36+C37+C38+C39+C40</f>
        <v>11334.332599746078</v>
      </c>
      <c r="D45" s="2152">
        <f t="shared" ref="D45:G45" si="7">D14+D30+D35+D36+D37+D38+D39+D40</f>
        <v>0</v>
      </c>
      <c r="E45" s="2152">
        <f t="shared" si="7"/>
        <v>0</v>
      </c>
      <c r="F45" s="2152">
        <v>0</v>
      </c>
      <c r="G45" s="2152">
        <f t="shared" si="7"/>
        <v>9104.8677150932999</v>
      </c>
      <c r="H45" s="2096"/>
    </row>
    <row r="46" spans="1:9" s="23" customFormat="1" ht="32.25" thickBot="1" x14ac:dyDescent="0.25">
      <c r="A46" s="2140" t="s">
        <v>1806</v>
      </c>
      <c r="B46" s="1176" t="s">
        <v>3112</v>
      </c>
      <c r="C46" s="2582">
        <f>'Додаток 3 до рішення'!I8</f>
        <v>1.3145190159799998</v>
      </c>
      <c r="D46" s="2152">
        <f>'Додаток 3 до рішення'!J8</f>
        <v>0</v>
      </c>
      <c r="E46" s="2152">
        <f>'Додаток 3 до рішення'!K8</f>
        <v>0</v>
      </c>
      <c r="F46" s="2152">
        <f>'Додаток 3 до рішення'!L8</f>
        <v>0</v>
      </c>
      <c r="G46" s="2582">
        <f>'Додаток 3 до рішення'!M8</f>
        <v>1.3145190159799998</v>
      </c>
      <c r="H46" s="2096"/>
    </row>
    <row r="47" spans="1:9" s="23" customFormat="1" ht="30.75" customHeight="1" thickBot="1" x14ac:dyDescent="0.25">
      <c r="A47" s="2140" t="s">
        <v>1808</v>
      </c>
      <c r="B47" s="92" t="s">
        <v>3358</v>
      </c>
      <c r="C47" s="2582">
        <f>'Додаток 6 до рішення'!I8</f>
        <v>1.12818201598</v>
      </c>
      <c r="D47" s="2152">
        <f>'Додаток 6 до рішення'!J8</f>
        <v>0</v>
      </c>
      <c r="E47" s="2152">
        <f>'Додаток 6 до рішення'!K8</f>
        <v>0</v>
      </c>
      <c r="F47" s="2152">
        <f>'Додаток 6 до рішення'!L8</f>
        <v>0</v>
      </c>
      <c r="G47" s="2582">
        <f>'Додаток 6 до рішення'!M8</f>
        <v>1.12818201598</v>
      </c>
      <c r="H47" s="2096"/>
    </row>
    <row r="48" spans="1:9" x14ac:dyDescent="0.25">
      <c r="B48" s="828"/>
      <c r="C48" s="3499"/>
      <c r="D48" s="2153"/>
      <c r="E48" s="2153"/>
      <c r="F48" s="2153"/>
      <c r="G48" s="2153"/>
    </row>
    <row r="49" spans="2:7" x14ac:dyDescent="0.25">
      <c r="C49" s="3500"/>
      <c r="D49" s="2155"/>
      <c r="E49" s="2153"/>
      <c r="F49" s="2153"/>
      <c r="G49" s="2153"/>
    </row>
    <row r="50" spans="2:7" x14ac:dyDescent="0.25">
      <c r="B50" s="18" t="s">
        <v>3444</v>
      </c>
      <c r="C50" s="3499"/>
      <c r="D50" s="2153"/>
      <c r="E50" s="2153" t="s">
        <v>3445</v>
      </c>
      <c r="F50" s="2353"/>
      <c r="G50" s="2153"/>
    </row>
    <row r="51" spans="2:7" x14ac:dyDescent="0.25">
      <c r="B51" s="1209"/>
      <c r="C51" s="171"/>
    </row>
  </sheetData>
  <mergeCells count="8">
    <mergeCell ref="E1:G1"/>
    <mergeCell ref="B13:G13"/>
    <mergeCell ref="B3:F3"/>
    <mergeCell ref="A5:A6"/>
    <mergeCell ref="B5:B6"/>
    <mergeCell ref="C5:C6"/>
    <mergeCell ref="D5:G5"/>
    <mergeCell ref="B8:G8"/>
  </mergeCells>
  <pageMargins left="0.78740157480314965" right="0.23622047244094491" top="0.78740157480314965" bottom="0.74803149606299213" header="0.31496062992125984" footer="0.31496062992125984"/>
  <pageSetup paperSize="9" scale="67" fitToHeight="2"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EC20C5"/>
    <pageSetUpPr fitToPage="1"/>
  </sheetPr>
  <dimension ref="A1:L54"/>
  <sheetViews>
    <sheetView topLeftCell="B1" zoomScaleNormal="100" workbookViewId="0">
      <selection activeCell="E1" sqref="E1:G1"/>
    </sheetView>
  </sheetViews>
  <sheetFormatPr defaultColWidth="9.140625" defaultRowHeight="15" x14ac:dyDescent="0.25"/>
  <cols>
    <col min="1" max="1" width="7.85546875" style="1734" customWidth="1"/>
    <col min="2" max="2" width="56.42578125" style="18" customWidth="1"/>
    <col min="3" max="3" width="14.7109375" style="18" customWidth="1"/>
    <col min="4" max="4" width="14.42578125" style="1734" customWidth="1"/>
    <col min="5" max="8" width="14.42578125" style="18" customWidth="1"/>
    <col min="9" max="16384" width="9.140625" style="18"/>
  </cols>
  <sheetData>
    <row r="1" spans="1:12" ht="81" customHeight="1" x14ac:dyDescent="0.25">
      <c r="A1" s="3491"/>
      <c r="E1" s="4059" t="s">
        <v>3455</v>
      </c>
      <c r="F1" s="4059"/>
      <c r="G1" s="4059"/>
    </row>
    <row r="2" spans="1:12" ht="23.45" customHeight="1" x14ac:dyDescent="0.25">
      <c r="A2" s="3491"/>
      <c r="F2" s="3480"/>
      <c r="G2" s="3480"/>
    </row>
    <row r="3" spans="1:12" ht="45.75" customHeight="1" x14ac:dyDescent="0.25">
      <c r="A3" s="18"/>
      <c r="B3" s="4060" t="s">
        <v>3453</v>
      </c>
      <c r="C3" s="4060"/>
      <c r="D3" s="4060"/>
      <c r="E3" s="4060"/>
      <c r="F3" s="4060"/>
      <c r="G3" s="1819"/>
    </row>
    <row r="4" spans="1:12" ht="15.75" thickBot="1" x14ac:dyDescent="0.3">
      <c r="G4" s="18" t="s">
        <v>1666</v>
      </c>
    </row>
    <row r="5" spans="1:12" ht="30" customHeight="1" thickBot="1" x14ac:dyDescent="0.3">
      <c r="A5" s="4061" t="s">
        <v>7</v>
      </c>
      <c r="B5" s="4061" t="s">
        <v>620</v>
      </c>
      <c r="C5" s="4061" t="s">
        <v>2788</v>
      </c>
      <c r="D5" s="4064" t="s">
        <v>2789</v>
      </c>
      <c r="E5" s="4065"/>
      <c r="F5" s="4065"/>
      <c r="G5" s="4066"/>
      <c r="H5" s="110"/>
      <c r="I5" s="110"/>
    </row>
    <row r="6" spans="1:12" ht="75" customHeight="1" thickBot="1" x14ac:dyDescent="0.3">
      <c r="A6" s="4062"/>
      <c r="B6" s="4063"/>
      <c r="C6" s="4063"/>
      <c r="D6" s="2127" t="s">
        <v>2790</v>
      </c>
      <c r="E6" s="2127" t="s">
        <v>2791</v>
      </c>
      <c r="F6" s="2127" t="s">
        <v>2792</v>
      </c>
      <c r="G6" s="2127" t="s">
        <v>2793</v>
      </c>
      <c r="H6" s="110"/>
      <c r="I6" s="110"/>
    </row>
    <row r="7" spans="1:12" ht="15.75" thickBot="1" x14ac:dyDescent="0.3">
      <c r="A7" s="2128">
        <v>1</v>
      </c>
      <c r="B7" s="2129">
        <v>2</v>
      </c>
      <c r="C7" s="2114">
        <v>3</v>
      </c>
      <c r="D7" s="2128">
        <v>4</v>
      </c>
      <c r="E7" s="2114">
        <v>5</v>
      </c>
      <c r="F7" s="2129">
        <v>6</v>
      </c>
      <c r="G7" s="2115">
        <v>7</v>
      </c>
    </row>
    <row r="8" spans="1:12" ht="15.75" thickBot="1" x14ac:dyDescent="0.3">
      <c r="A8" s="2130"/>
      <c r="B8" s="4049" t="s">
        <v>2794</v>
      </c>
      <c r="C8" s="4050"/>
      <c r="D8" s="4050"/>
      <c r="E8" s="4050"/>
      <c r="F8" s="4050"/>
      <c r="G8" s="4051"/>
    </row>
    <row r="9" spans="1:12" ht="35.25" customHeight="1" x14ac:dyDescent="0.25">
      <c r="A9" s="2131" t="s">
        <v>2795</v>
      </c>
      <c r="B9" s="2131" t="s">
        <v>2796</v>
      </c>
      <c r="C9" s="2131" t="s">
        <v>234</v>
      </c>
      <c r="D9" s="2131">
        <f>SUM(D10:D12)</f>
        <v>0</v>
      </c>
      <c r="E9" s="2133">
        <f t="shared" ref="E9:G9" si="0">SUM(E10:E12)</f>
        <v>0</v>
      </c>
      <c r="F9" s="2131">
        <f t="shared" si="0"/>
        <v>0</v>
      </c>
      <c r="G9" s="2134">
        <f t="shared" si="0"/>
        <v>8351.9347899316763</v>
      </c>
      <c r="H9" s="828"/>
      <c r="I9" s="828"/>
      <c r="J9" s="828"/>
      <c r="K9" s="828"/>
      <c r="L9" s="828"/>
    </row>
    <row r="10" spans="1:12" ht="35.25" customHeight="1" x14ac:dyDescent="0.25">
      <c r="A10" s="2135" t="s">
        <v>1689</v>
      </c>
      <c r="B10" s="2136" t="s">
        <v>2797</v>
      </c>
      <c r="C10" s="2135" t="s">
        <v>234</v>
      </c>
      <c r="D10" s="2135">
        <f>'Додаток 3 до рішення'!D8</f>
        <v>0</v>
      </c>
      <c r="E10" s="2135">
        <f>'Додаток 3 до рішення'!E8</f>
        <v>0</v>
      </c>
      <c r="F10" s="2135">
        <f>'Додаток 3 до рішення'!F8</f>
        <v>0</v>
      </c>
      <c r="G10" s="2135">
        <f>'Додаток 3 до рішення'!G8</f>
        <v>5701.3545558892911</v>
      </c>
      <c r="H10" s="828"/>
      <c r="I10" s="828"/>
      <c r="J10" s="828"/>
      <c r="K10" s="828"/>
      <c r="L10" s="828"/>
    </row>
    <row r="11" spans="1:12" ht="50.25" customHeight="1" x14ac:dyDescent="0.25">
      <c r="A11" s="2135" t="s">
        <v>1691</v>
      </c>
      <c r="B11" s="2137" t="s">
        <v>2844</v>
      </c>
      <c r="C11" s="2135" t="s">
        <v>234</v>
      </c>
      <c r="D11" s="2135">
        <f>'Додаток 5 до рішення'!D8</f>
        <v>0</v>
      </c>
      <c r="E11" s="2135">
        <f>'Додаток 5 до рішення'!E8</f>
        <v>0</v>
      </c>
      <c r="F11" s="2135">
        <f>'Додаток 5 до рішення'!F8</f>
        <v>0</v>
      </c>
      <c r="G11" s="2135">
        <f>'Додаток 5 до рішення'!G8</f>
        <v>2501.5399234224355</v>
      </c>
      <c r="H11" s="828"/>
      <c r="I11" s="828"/>
      <c r="J11" s="828"/>
      <c r="K11" s="828"/>
      <c r="L11" s="828"/>
    </row>
    <row r="12" spans="1:12" ht="35.25" customHeight="1" thickBot="1" x14ac:dyDescent="0.3">
      <c r="A12" s="2138" t="s">
        <v>1694</v>
      </c>
      <c r="B12" s="2139" t="s">
        <v>2799</v>
      </c>
      <c r="C12" s="2138" t="s">
        <v>234</v>
      </c>
      <c r="D12" s="2138">
        <f>'Додаток 6 до рішення'!D8</f>
        <v>0</v>
      </c>
      <c r="E12" s="2138">
        <f>'Додаток 6 до рішення'!E8</f>
        <v>0</v>
      </c>
      <c r="F12" s="2138">
        <f>'Додаток 6 до рішення'!F8</f>
        <v>0</v>
      </c>
      <c r="G12" s="2138">
        <f>'Додаток 6 до рішення'!G8</f>
        <v>149.04031061994922</v>
      </c>
      <c r="H12" s="828"/>
      <c r="I12" s="828"/>
      <c r="J12" s="828"/>
      <c r="K12" s="828"/>
      <c r="L12" s="828"/>
    </row>
    <row r="13" spans="1:12" ht="18.75" customHeight="1" thickBot="1" x14ac:dyDescent="0.3">
      <c r="A13" s="2140" t="s">
        <v>2800</v>
      </c>
      <c r="B13" s="4049" t="s">
        <v>3137</v>
      </c>
      <c r="C13" s="4052"/>
      <c r="D13" s="4052"/>
      <c r="E13" s="4052"/>
      <c r="F13" s="4052"/>
      <c r="G13" s="4053"/>
      <c r="H13" s="2096"/>
    </row>
    <row r="14" spans="1:12" s="23" customFormat="1" ht="14.25" x14ac:dyDescent="0.2">
      <c r="A14" s="2141" t="s">
        <v>1687</v>
      </c>
      <c r="B14" s="2142" t="s">
        <v>2802</v>
      </c>
      <c r="C14" s="2135">
        <f>C15+C20+C21+C25</f>
        <v>20578.397832961869</v>
      </c>
      <c r="D14" s="2135">
        <f>D15+D20+D21+D25</f>
        <v>0</v>
      </c>
      <c r="E14" s="2135">
        <f>E15+E20+E21+E25</f>
        <v>0</v>
      </c>
      <c r="F14" s="2135">
        <f>F15+F20+F21+F25</f>
        <v>0</v>
      </c>
      <c r="G14" s="2135">
        <f>G15+G20+G21+G25</f>
        <v>6677.4692956524223</v>
      </c>
      <c r="H14" s="2096"/>
    </row>
    <row r="15" spans="1:12" x14ac:dyDescent="0.25">
      <c r="A15" s="2143" t="s">
        <v>1689</v>
      </c>
      <c r="B15" s="91" t="s">
        <v>2803</v>
      </c>
      <c r="C15" s="2144">
        <f>SUM(C16:C19)</f>
        <v>8945.2996211134487</v>
      </c>
      <c r="D15" s="2144">
        <f t="shared" ref="D15:G15" si="1">SUM(D16:D19)</f>
        <v>0</v>
      </c>
      <c r="E15" s="2144">
        <f t="shared" si="1"/>
        <v>0</v>
      </c>
      <c r="F15" s="2144">
        <f t="shared" si="1"/>
        <v>0</v>
      </c>
      <c r="G15" s="2144">
        <f t="shared" si="1"/>
        <v>2846.2488557313422</v>
      </c>
      <c r="H15" s="2096"/>
      <c r="I15" s="828"/>
    </row>
    <row r="16" spans="1:12" x14ac:dyDescent="0.25">
      <c r="A16" s="2143" t="s">
        <v>2804</v>
      </c>
      <c r="B16" s="91" t="s">
        <v>2805</v>
      </c>
      <c r="C16" s="2144">
        <f>'Додаток 3 до рішення'!N12</f>
        <v>8009.7865045189083</v>
      </c>
      <c r="D16" s="2144">
        <f>'Додаток 3 до рішення'!D12</f>
        <v>0</v>
      </c>
      <c r="E16" s="2144">
        <f>'Додаток 3 до рішення'!E12</f>
        <v>0</v>
      </c>
      <c r="F16" s="2144">
        <f>'Додаток 3 до рішення'!F12</f>
        <v>0</v>
      </c>
      <c r="G16" s="2144">
        <f>'Додаток 3 до рішення'!G12</f>
        <v>2520.9609284603375</v>
      </c>
      <c r="H16" s="2096"/>
    </row>
    <row r="17" spans="1:8" x14ac:dyDescent="0.25">
      <c r="A17" s="2143" t="s">
        <v>2806</v>
      </c>
      <c r="B17" s="91" t="s">
        <v>2807</v>
      </c>
      <c r="C17" s="2144">
        <f>'Додаток 3 до рішення'!N13+'Додаток 5 до рішення'!C12</f>
        <v>680.84062592593568</v>
      </c>
      <c r="D17" s="2144">
        <f>'Додаток 3 до рішення'!D13+'Додаток 5 до рішення'!D12</f>
        <v>0</v>
      </c>
      <c r="E17" s="2144">
        <f>'Додаток 3 до рішення'!E13+'Додаток 5 до рішення'!E12</f>
        <v>0</v>
      </c>
      <c r="F17" s="2144">
        <f>'Додаток 3 до рішення'!F13+'Додаток 5 до рішення'!F12</f>
        <v>0</v>
      </c>
      <c r="G17" s="2144">
        <f>'Додаток 3 до рішення'!G13+'Додаток 5 до рішення'!G12</f>
        <v>239.29526947702101</v>
      </c>
      <c r="H17" s="2096"/>
    </row>
    <row r="18" spans="1:8" x14ac:dyDescent="0.25">
      <c r="A18" s="2143" t="s">
        <v>2808</v>
      </c>
      <c r="B18" s="91" t="s">
        <v>2809</v>
      </c>
      <c r="C18" s="2144">
        <f>'Додаток 3 до рішення'!N14+'Додаток 5 до рішення'!C13</f>
        <v>114.45353675386656</v>
      </c>
      <c r="D18" s="2144">
        <f>'Додаток 3 до рішення'!D14+'Додаток 5 до рішення'!D13</f>
        <v>0</v>
      </c>
      <c r="E18" s="2144">
        <f>'Додаток 3 до рішення'!E14+'Додаток 5 до рішення'!E13</f>
        <v>0</v>
      </c>
      <c r="F18" s="2144">
        <f>'Додаток 3 до рішення'!F14+'Додаток 5 до рішення'!F13</f>
        <v>0</v>
      </c>
      <c r="G18" s="2144">
        <f>'Додаток 3 до рішення'!G14+'Додаток 5 до рішення'!G13</f>
        <v>40.136731505992529</v>
      </c>
      <c r="H18" s="2096"/>
    </row>
    <row r="19" spans="1:8" x14ac:dyDescent="0.25">
      <c r="A19" s="2143" t="s">
        <v>2810</v>
      </c>
      <c r="B19" s="91" t="s">
        <v>2173</v>
      </c>
      <c r="C19" s="2144">
        <f>'Додаток 3 до рішення'!N15+'Додаток 5 до рішення'!C14+'Додаток 6 до рішення'!N11</f>
        <v>140.21895391473839</v>
      </c>
      <c r="D19" s="2144">
        <f>'Додаток 3 до рішення'!D15+'Додаток 5 до рішення'!D14+'Додаток 6 до рішення'!D11</f>
        <v>0</v>
      </c>
      <c r="E19" s="2144">
        <f>'Додаток 3 до рішення'!E15+'Додаток 5 до рішення'!E14+'Додаток 6 до рішення'!E11</f>
        <v>0</v>
      </c>
      <c r="F19" s="2144">
        <f>'Додаток 3 до рішення'!F15+'Додаток 5 до рішення'!F14+'Додаток 6 до рішення'!F11</f>
        <v>0</v>
      </c>
      <c r="G19" s="2144">
        <f>'Додаток 3 до рішення'!G15+'Додаток 5 до рішення'!G14+'Додаток 6 до рішення'!G11</f>
        <v>45.85592628799121</v>
      </c>
      <c r="H19" s="2096"/>
    </row>
    <row r="20" spans="1:8" x14ac:dyDescent="0.25">
      <c r="A20" s="2145" t="s">
        <v>1691</v>
      </c>
      <c r="B20" s="178" t="s">
        <v>2811</v>
      </c>
      <c r="C20" s="2135">
        <f>'Додаток 3 до рішення'!N16+'Додаток 5 до рішення'!C15+'Додаток 6 до рішення'!N12</f>
        <v>3778.8390933492446</v>
      </c>
      <c r="D20" s="2135">
        <f>'Додаток 3 до рішення'!D16+'Додаток 5 до рішення'!D15+'Додаток 6 до рішення'!D12</f>
        <v>0</v>
      </c>
      <c r="E20" s="2135">
        <f>'Додаток 3 до рішення'!E16+'Додаток 5 до рішення'!E15+'Додаток 6 до рішення'!E12</f>
        <v>0</v>
      </c>
      <c r="F20" s="2135">
        <f>'Додаток 3 до рішення'!F16+'Додаток 5 до рішення'!F15+'Додаток 6 до рішення'!F12</f>
        <v>0</v>
      </c>
      <c r="G20" s="2135">
        <f>'Додаток 3 до рішення'!G16+'Додаток 5 до рішення'!G15+'Додаток 6 до рішення'!G12</f>
        <v>1266.7608319761878</v>
      </c>
      <c r="H20" s="2096"/>
    </row>
    <row r="21" spans="1:8" x14ac:dyDescent="0.25">
      <c r="A21" s="2145" t="s">
        <v>1694</v>
      </c>
      <c r="B21" s="178" t="s">
        <v>2812</v>
      </c>
      <c r="C21" s="2135">
        <f>C22+C23+C24</f>
        <v>5160.5190057212585</v>
      </c>
      <c r="D21" s="2135">
        <f t="shared" ref="D21:G21" si="2">D22+D23+D24</f>
        <v>0</v>
      </c>
      <c r="E21" s="2135">
        <f t="shared" si="2"/>
        <v>0</v>
      </c>
      <c r="F21" s="2135">
        <f t="shared" si="2"/>
        <v>0</v>
      </c>
      <c r="G21" s="2135">
        <f t="shared" si="2"/>
        <v>1690.3698445168475</v>
      </c>
      <c r="H21" s="2096"/>
    </row>
    <row r="22" spans="1:8" x14ac:dyDescent="0.25">
      <c r="A22" s="2143" t="s">
        <v>2813</v>
      </c>
      <c r="B22" s="91" t="s">
        <v>2814</v>
      </c>
      <c r="C22" s="2144">
        <f>'Додаток 3 до рішення'!N18+'Додаток 5 до рішення'!C17+'Додаток 6 до рішення'!N14</f>
        <v>831.34460053683381</v>
      </c>
      <c r="D22" s="2144">
        <f>'Додаток 3 до рішення'!D18+'Додаток 5 до рішення'!D17+'Додаток 6 до рішення'!D14</f>
        <v>0</v>
      </c>
      <c r="E22" s="2144">
        <f>'Додаток 3 до рішення'!E18+'Додаток 5 до рішення'!E17+'Додаток 6 до рішення'!E14</f>
        <v>0</v>
      </c>
      <c r="F22" s="2144">
        <f>'Додаток 3 до рішення'!F18+'Додаток 5 до рішення'!F17+'Додаток 6 до рішення'!F14</f>
        <v>0</v>
      </c>
      <c r="G22" s="2144">
        <f>'Додаток 3 до рішення'!G18+'Додаток 5 до рішення'!G17+'Додаток 6 до рішення'!G14</f>
        <v>278.6873830347613</v>
      </c>
      <c r="H22" s="2096"/>
    </row>
    <row r="23" spans="1:8" x14ac:dyDescent="0.25">
      <c r="A23" s="2143" t="s">
        <v>2815</v>
      </c>
      <c r="B23" s="91" t="s">
        <v>2816</v>
      </c>
      <c r="C23" s="2144">
        <f>'Додаток 3 до рішення'!N19+'Додаток 5 до рішення'!C18+'Додаток 6 до рішення'!N15</f>
        <v>1390.2416611637443</v>
      </c>
      <c r="D23" s="2144">
        <f>'Додаток 3 до рішення'!D19+'Додаток 5 до рішення'!D18+'Додаток 6 до рішення'!D15</f>
        <v>0</v>
      </c>
      <c r="E23" s="2144">
        <f>'Додаток 3 до рішення'!E19+'Додаток 5 до рішення'!E18+'Додаток 6 до рішення'!E15</f>
        <v>0</v>
      </c>
      <c r="F23" s="2144">
        <f>'Додаток 3 до рішення'!F19+'Додаток 5 до рішення'!F18+'Додаток 6 до рішення'!F15</f>
        <v>0</v>
      </c>
      <c r="G23" s="2144">
        <f>'Додаток 3 до рішення'!G19+'Додаток 5 до рішення'!G18+'Додаток 6 до рішення'!G15</f>
        <v>439.54816365641341</v>
      </c>
      <c r="H23" s="2096"/>
    </row>
    <row r="24" spans="1:8" x14ac:dyDescent="0.25">
      <c r="A24" s="2143" t="s">
        <v>2817</v>
      </c>
      <c r="B24" s="91" t="s">
        <v>82</v>
      </c>
      <c r="C24" s="2144">
        <f>'Додаток 3 до рішення'!N20+'Додаток 5 до рішення'!C19+'Додаток 6 до рішення'!N16</f>
        <v>2938.9327440206803</v>
      </c>
      <c r="D24" s="2144">
        <f>'Додаток 3 до рішення'!D20+'Додаток 5 до рішення'!D19+'Додаток 6 до рішення'!D16</f>
        <v>0</v>
      </c>
      <c r="E24" s="2144">
        <f>'Додаток 3 до рішення'!E20+'Додаток 5 до рішення'!E19+'Додаток 6 до рішення'!E16</f>
        <v>0</v>
      </c>
      <c r="F24" s="2144">
        <f>'Додаток 3 до рішення'!F20+'Додаток 5 до рішення'!F19+'Додаток 6 до рішення'!F16</f>
        <v>0</v>
      </c>
      <c r="G24" s="2144">
        <f>'Додаток 3 до рішення'!G20+'Додаток 5 до рішення'!G19+'Додаток 6 до рішення'!G16</f>
        <v>972.13429782567277</v>
      </c>
      <c r="H24" s="2096"/>
    </row>
    <row r="25" spans="1:8" s="23" customFormat="1" ht="14.25" x14ac:dyDescent="0.2">
      <c r="A25" s="2145" t="s">
        <v>1696</v>
      </c>
      <c r="B25" s="178" t="s">
        <v>2818</v>
      </c>
      <c r="C25" s="2135">
        <f>C26+C27+C28+C29</f>
        <v>2693.7401127779144</v>
      </c>
      <c r="D25" s="181">
        <f t="shared" ref="D25:G25" si="3">D26+D27+D28+D29</f>
        <v>0</v>
      </c>
      <c r="E25" s="181">
        <f t="shared" si="3"/>
        <v>0</v>
      </c>
      <c r="F25" s="181">
        <f t="shared" si="3"/>
        <v>0</v>
      </c>
      <c r="G25" s="181">
        <f t="shared" si="3"/>
        <v>874.08976342804431</v>
      </c>
      <c r="H25" s="2096"/>
    </row>
    <row r="26" spans="1:8" x14ac:dyDescent="0.25">
      <c r="A26" s="2146" t="s">
        <v>2819</v>
      </c>
      <c r="B26" s="91" t="s">
        <v>2820</v>
      </c>
      <c r="C26" s="2144">
        <f>'Додаток 3 до рішення'!N22+'Додаток 5 до рішення'!C21+'Додаток 6 до рішення'!N18</f>
        <v>1950.8036172373061</v>
      </c>
      <c r="D26" s="2144">
        <f>'Додаток 3 до рішення'!D22+'Додаток 5 до рішення'!D21+'Додаток 6 до рішення'!D18</f>
        <v>0</v>
      </c>
      <c r="E26" s="2144">
        <f>'Додаток 3 до рішення'!E22+'Додаток 5 до рішення'!E21+'Додаток 6 до рішення'!E18</f>
        <v>0</v>
      </c>
      <c r="F26" s="2144">
        <f>'Додаток 3 до рішення'!F22+'Додаток 5 до рішення'!F21+'Додаток 6 до рішення'!F18</f>
        <v>0</v>
      </c>
      <c r="G26" s="2144">
        <f>'Додаток 3 до рішення'!G22+'Додаток 5 до рішення'!G21+'Додаток 6 до рішення'!G18</f>
        <v>633.01484215085202</v>
      </c>
      <c r="H26" s="2096"/>
    </row>
    <row r="27" spans="1:8" x14ac:dyDescent="0.25">
      <c r="A27" s="2146" t="s">
        <v>2821</v>
      </c>
      <c r="B27" s="91" t="s">
        <v>2175</v>
      </c>
      <c r="C27" s="2144">
        <f>'Додаток 3 до рішення'!N23+'Додаток 5 до рішення'!C22+'Додаток 6 до рішення'!N19</f>
        <v>429.17679579220737</v>
      </c>
      <c r="D27" s="2144">
        <f>'Додаток 3 до рішення'!D23+'Додаток 5 до рішення'!D22+'Додаток 6 до рішення'!D19</f>
        <v>0</v>
      </c>
      <c r="E27" s="2144">
        <f>'Додаток 3 до рішення'!E23+'Додаток 5 до рішення'!E22+'Додаток 6 до рішення'!E19</f>
        <v>0</v>
      </c>
      <c r="F27" s="2144">
        <f>'Додаток 3 до рішення'!F23+'Додаток 5 до рішення'!F22+'Додаток 6 до рішення'!F19</f>
        <v>0</v>
      </c>
      <c r="G27" s="2144">
        <f>'Додаток 3 до рішення'!G23+'Додаток 5 до рішення'!G22+'Додаток 6 до рішення'!G19</f>
        <v>139.26326527318744</v>
      </c>
      <c r="H27" s="2096"/>
    </row>
    <row r="28" spans="1:8" x14ac:dyDescent="0.25">
      <c r="A28" s="2146" t="s">
        <v>2822</v>
      </c>
      <c r="B28" s="91" t="s">
        <v>2816</v>
      </c>
      <c r="C28" s="2144">
        <f>'Додаток 3 до рішення'!N24+'Додаток 5 до рішення'!C23+'Додаток 6 до рішення'!N20</f>
        <v>16.825792955019189</v>
      </c>
      <c r="D28" s="2144">
        <f>'Додаток 3 до рішення'!D24+'Додаток 5 до рішення'!D23+'Додаток 6 до рішення'!D20</f>
        <v>0</v>
      </c>
      <c r="E28" s="2144">
        <f>'Додаток 3 до рішення'!E24+'Додаток 5 до рішення'!E23+'Додаток 6 до рішення'!E20</f>
        <v>0</v>
      </c>
      <c r="F28" s="2144">
        <f>'Додаток 3 до рішення'!F24+'Додаток 5 до рішення'!F23+'Додаток 6 до рішення'!F20</f>
        <v>0</v>
      </c>
      <c r="G28" s="2144">
        <f>'Додаток 3 до рішення'!G24+'Додаток 5 до рішення'!G23+'Додаток 6 до рішення'!G20</f>
        <v>5.4597892772867205</v>
      </c>
      <c r="H28" s="2096"/>
    </row>
    <row r="29" spans="1:8" x14ac:dyDescent="0.25">
      <c r="A29" s="2146" t="s">
        <v>2823</v>
      </c>
      <c r="B29" s="91" t="s">
        <v>58</v>
      </c>
      <c r="C29" s="2144">
        <f>'Додаток 3 до рішення'!N25+'Додаток 5 до рішення'!C24+'Додаток 6 до рішення'!N21</f>
        <v>296.93390679338199</v>
      </c>
      <c r="D29" s="2144">
        <f>'Додаток 3 до рішення'!D25+'Додаток 5 до рішення'!D24+'Додаток 6 до рішення'!D21</f>
        <v>0</v>
      </c>
      <c r="E29" s="2144">
        <f>'Додаток 3 до рішення'!E25+'Додаток 5 до рішення'!E24+'Додаток 6 до рішення'!E21</f>
        <v>0</v>
      </c>
      <c r="F29" s="2144">
        <f>'Додаток 3 до рішення'!F25+'Додаток 5 до рішення'!F24+'Додаток 6 до рішення'!F21</f>
        <v>0</v>
      </c>
      <c r="G29" s="2144">
        <f>'Додаток 3 до рішення'!G25+'Додаток 5 до рішення'!G24+'Додаток 6 до рішення'!G21</f>
        <v>96.351866726718114</v>
      </c>
      <c r="H29" s="2096"/>
    </row>
    <row r="30" spans="1:8" s="23" customFormat="1" ht="14.25" x14ac:dyDescent="0.2">
      <c r="A30" s="2141" t="s">
        <v>1709</v>
      </c>
      <c r="B30" s="178" t="s">
        <v>2824</v>
      </c>
      <c r="C30" s="2135">
        <f>C31+C32+C33+C34</f>
        <v>825.74903031402073</v>
      </c>
      <c r="D30" s="181">
        <f t="shared" ref="D30:E30" si="4">D31+D32+D33+D34</f>
        <v>0</v>
      </c>
      <c r="E30" s="181">
        <f t="shared" si="4"/>
        <v>0</v>
      </c>
      <c r="F30" s="181">
        <f>F31+F32+F33+F34</f>
        <v>0</v>
      </c>
      <c r="G30" s="181">
        <f t="shared" ref="G30" si="5">G31+G32+G33+G34</f>
        <v>267.93670025304942</v>
      </c>
      <c r="H30" s="2096"/>
    </row>
    <row r="31" spans="1:8" x14ac:dyDescent="0.25">
      <c r="A31" s="2146" t="s">
        <v>2825</v>
      </c>
      <c r="B31" s="91" t="s">
        <v>55</v>
      </c>
      <c r="C31" s="2144">
        <f>'Додаток 3 до рішення'!N27+'Додаток 5 до рішення'!C26+'Додаток 6 до рішення'!N23</f>
        <v>456.97430216631903</v>
      </c>
      <c r="D31" s="2144">
        <f>'Додаток 3 до рішення'!D27+'Додаток 5 до рішення'!D26+'Додаток 6 до рішення'!D23</f>
        <v>0</v>
      </c>
      <c r="E31" s="2144">
        <f>'Додаток 3 до рішення'!E27+'Додаток 5 до рішення'!E26+'Додаток 6 до рішення'!E23</f>
        <v>0</v>
      </c>
      <c r="F31" s="2144">
        <f>'Додаток 3 до рішення'!F27+'Додаток 5 до рішення'!F26+'Додаток 6 до рішення'!F23</f>
        <v>0</v>
      </c>
      <c r="G31" s="2144">
        <f>'Додаток 3 до рішення'!G27+'Додаток 5 до рішення'!G26+'Додаток 6 до рішення'!G23</f>
        <v>148.28325783118521</v>
      </c>
      <c r="H31" s="2096"/>
    </row>
    <row r="32" spans="1:8" x14ac:dyDescent="0.25">
      <c r="A32" s="2146" t="s">
        <v>2826</v>
      </c>
      <c r="B32" s="91" t="s">
        <v>2827</v>
      </c>
      <c r="C32" s="2144">
        <f>'Додаток 3 до рішення'!N28+'Додаток 5 до рішення'!C27+'Додаток 6 до рішення'!N24</f>
        <v>100.53434647659019</v>
      </c>
      <c r="D32" s="2144">
        <f>'Додаток 3 до рішення'!D28+'Додаток 5 до рішення'!D27+'Додаток 6 до рішення'!D24</f>
        <v>0</v>
      </c>
      <c r="E32" s="2144">
        <f>'Додаток 3 до рішення'!E28+'Додаток 5 до рішення'!E27+'Додаток 6 до рішення'!E24</f>
        <v>0</v>
      </c>
      <c r="F32" s="2144">
        <f>'Додаток 3 до рішення'!F28+'Додаток 5 до рішення'!F27+'Додаток 6 до рішення'!F24</f>
        <v>0</v>
      </c>
      <c r="G32" s="2144">
        <f>'Додаток 3 до рішення'!G28+'Додаток 5 до рішення'!G27+'Додаток 6 до рішення'!G24</f>
        <v>32.622316722860745</v>
      </c>
      <c r="H32" s="2096"/>
    </row>
    <row r="33" spans="1:8" x14ac:dyDescent="0.25">
      <c r="A33" s="2146" t="s">
        <v>2828</v>
      </c>
      <c r="B33" s="91" t="s">
        <v>2816</v>
      </c>
      <c r="C33" s="2144">
        <f>'Додаток 3 до рішення'!N29+'Додаток 5 до рішення'!C28+'Додаток 6 до рішення'!N25</f>
        <v>14.790710838109787</v>
      </c>
      <c r="D33" s="2144">
        <f>'Додаток 3 до рішення'!D29+'Додаток 5 до рішення'!D28+'Додаток 6 до рішення'!D25</f>
        <v>0</v>
      </c>
      <c r="E33" s="2144">
        <f>'Додаток 3 до рішення'!E29+'Додаток 5 до рішення'!E28+'Додаток 6 до рішення'!E25</f>
        <v>0</v>
      </c>
      <c r="F33" s="2144">
        <f>'Додаток 3 до рішення'!F29+'Додаток 5 до рішення'!F28+'Додаток 6 до рішення'!F25</f>
        <v>0</v>
      </c>
      <c r="G33" s="2144">
        <f>'Додаток 3 до рішення'!G29+'Додаток 5 до рішення'!G28+'Додаток 6 до рішення'!G25</f>
        <v>4.7994269662798308</v>
      </c>
      <c r="H33" s="2096"/>
    </row>
    <row r="34" spans="1:8" x14ac:dyDescent="0.25">
      <c r="A34" s="2146" t="s">
        <v>2829</v>
      </c>
      <c r="B34" s="91" t="s">
        <v>2830</v>
      </c>
      <c r="C34" s="2144">
        <f>'Додаток 3 до рішення'!N30+'Додаток 5 до рішення'!C29+'Додаток 6 до рішення'!N26</f>
        <v>253.44967083300173</v>
      </c>
      <c r="D34" s="2144">
        <f>'Додаток 3 до рішення'!D30+'Додаток 5 до рішення'!D29+'Додаток 6 до рішення'!D26</f>
        <v>0</v>
      </c>
      <c r="E34" s="2144">
        <f>'Додаток 3 до рішення'!E30+'Додаток 5 до рішення'!E29+'Додаток 6 до рішення'!E26</f>
        <v>0</v>
      </c>
      <c r="F34" s="2144">
        <f>'Додаток 3 до рішення'!F30+'Додаток 5 до рішення'!F29+'Додаток 6 до рішення'!F26</f>
        <v>0</v>
      </c>
      <c r="G34" s="2144">
        <f>'Додаток 3 до рішення'!G30+'Додаток 5 до рішення'!G29+'Додаток 6 до рішення'!G26</f>
        <v>82.231698732723615</v>
      </c>
      <c r="H34" s="2096"/>
    </row>
    <row r="35" spans="1:8" s="23" customFormat="1" ht="14.25" x14ac:dyDescent="0.2">
      <c r="A35" s="2141" t="s">
        <v>1711</v>
      </c>
      <c r="B35" s="178" t="s">
        <v>2831</v>
      </c>
      <c r="C35" s="2141">
        <v>0</v>
      </c>
      <c r="D35" s="2141">
        <v>0</v>
      </c>
      <c r="E35" s="2141">
        <v>0</v>
      </c>
      <c r="F35" s="2141">
        <v>0</v>
      </c>
      <c r="G35" s="2141">
        <v>0</v>
      </c>
      <c r="H35" s="2096"/>
    </row>
    <row r="36" spans="1:8" s="23" customFormat="1" ht="42.75" x14ac:dyDescent="0.2">
      <c r="A36" s="2141" t="s">
        <v>1714</v>
      </c>
      <c r="B36" s="2147" t="s">
        <v>2832</v>
      </c>
      <c r="C36" s="3659">
        <f>'Додаток 5 до рішення'!C32</f>
        <v>2314.3902559014505</v>
      </c>
      <c r="D36" s="2135">
        <f>'Додаток 5 до рішення'!D32</f>
        <v>0</v>
      </c>
      <c r="E36" s="2135">
        <f>'Додаток 5 до рішення'!E32</f>
        <v>0</v>
      </c>
      <c r="F36" s="2135">
        <f>'Додаток 5 до рішення'!F32</f>
        <v>0</v>
      </c>
      <c r="G36" s="2135">
        <f>'Додаток 5 до рішення'!G32</f>
        <v>835.11648838026019</v>
      </c>
      <c r="H36" s="2096"/>
    </row>
    <row r="37" spans="1:8" s="23" customFormat="1" ht="14.25" x14ac:dyDescent="0.2">
      <c r="A37" s="2141" t="s">
        <v>1786</v>
      </c>
      <c r="B37" s="178" t="s">
        <v>2833</v>
      </c>
      <c r="C37" s="2135">
        <f>'Додаток 3 до рішення'!N32+'Додаток 5 до рішення'!C33+'Додаток 6 до рішення'!N28</f>
        <v>0</v>
      </c>
      <c r="D37" s="2135">
        <f>'Додаток 3 до рішення'!D32+'Додаток 5 до рішення'!D33+'Додаток 6 до рішення'!D28</f>
        <v>0</v>
      </c>
      <c r="E37" s="2135">
        <f>'Додаток 3 до рішення'!E32+'Додаток 5 до рішення'!E33+'Додаток 6 до рішення'!E28</f>
        <v>0</v>
      </c>
      <c r="F37" s="2135">
        <f>'Додаток 3 до рішення'!F32+'Додаток 5 до рішення'!F33+'Додаток 6 до рішення'!F28</f>
        <v>0</v>
      </c>
      <c r="G37" s="2135">
        <f>'Додаток 3 до рішення'!G32+'Додаток 5 до рішення'!G33+'Додаток 6 до рішення'!G28</f>
        <v>0</v>
      </c>
      <c r="H37" s="2096"/>
    </row>
    <row r="38" spans="1:8" s="23" customFormat="1" ht="14.25" x14ac:dyDescent="0.2">
      <c r="A38" s="2141" t="s">
        <v>1792</v>
      </c>
      <c r="B38" s="178" t="s">
        <v>2834</v>
      </c>
      <c r="C38" s="2141">
        <v>0</v>
      </c>
      <c r="D38" s="2141">
        <v>0</v>
      </c>
      <c r="E38" s="2141">
        <v>0</v>
      </c>
      <c r="F38" s="2141">
        <v>0</v>
      </c>
      <c r="G38" s="2141">
        <v>0</v>
      </c>
      <c r="H38" s="2096"/>
    </row>
    <row r="39" spans="1:8" s="2175" customFormat="1" ht="14.25" x14ac:dyDescent="0.2">
      <c r="A39" s="2171" t="s">
        <v>1798</v>
      </c>
      <c r="B39" s="2172" t="s">
        <v>2835</v>
      </c>
      <c r="C39" s="2173">
        <f>'Додаток 3 до рішення'!N34</f>
        <v>0</v>
      </c>
      <c r="D39" s="2173">
        <f>'Додаток 3 до рішення'!D34</f>
        <v>0</v>
      </c>
      <c r="E39" s="2173">
        <f>'Додаток 3 до рішення'!E34</f>
        <v>0</v>
      </c>
      <c r="F39" s="2173">
        <f>'Додаток 3 до рішення'!F34</f>
        <v>0</v>
      </c>
      <c r="G39" s="2173">
        <f>'Додаток 3 до рішення'!G34</f>
        <v>0</v>
      </c>
      <c r="H39" s="2174"/>
    </row>
    <row r="40" spans="1:8" s="23" customFormat="1" ht="14.25" x14ac:dyDescent="0.2">
      <c r="A40" s="2141" t="s">
        <v>1800</v>
      </c>
      <c r="B40" s="178" t="s">
        <v>2836</v>
      </c>
      <c r="C40" s="2135">
        <f>SUM(C41:C44)</f>
        <v>1741.8893660323838</v>
      </c>
      <c r="D40" s="2135">
        <f t="shared" ref="D40:G40" si="6">SUM(D41:D44)</f>
        <v>0</v>
      </c>
      <c r="E40" s="2135">
        <f t="shared" si="6"/>
        <v>0</v>
      </c>
      <c r="F40" s="2135">
        <f t="shared" si="6"/>
        <v>0</v>
      </c>
      <c r="G40" s="2135">
        <f t="shared" si="6"/>
        <v>571.40230564594412</v>
      </c>
      <c r="H40" s="2096"/>
    </row>
    <row r="41" spans="1:8" x14ac:dyDescent="0.25">
      <c r="A41" s="2146" t="s">
        <v>1102</v>
      </c>
      <c r="B41" s="91" t="s">
        <v>65</v>
      </c>
      <c r="C41" s="2144">
        <f>'Додаток 3 до рішення'!N36+'Додаток 5 до рішення'!C37+'Додаток 6 до рішення'!N32</f>
        <v>170.77346725807686</v>
      </c>
      <c r="D41" s="2144">
        <f>'Додаток 3 до рішення'!D36+'Додаток 5 до рішення'!D37+'Додаток 6 до рішення'!D32</f>
        <v>0</v>
      </c>
      <c r="E41" s="2144">
        <f>'Додаток 3 до рішення'!E36+'Додаток 5 до рішення'!E37+'Додаток 6 до рішення'!E32</f>
        <v>0</v>
      </c>
      <c r="F41" s="2144">
        <f>'Додаток 3 до рішення'!F36+'Додаток 5 до рішення'!F37+'Додаток 6 до рішення'!F32</f>
        <v>0</v>
      </c>
      <c r="G41" s="2144">
        <f>'Додаток 3 до рішення'!G36+'Додаток 5 до рішення'!G37+'Додаток 6 до рішення'!G32</f>
        <v>56.019833886857278</v>
      </c>
      <c r="H41" s="2096"/>
    </row>
    <row r="42" spans="1:8" x14ac:dyDescent="0.25">
      <c r="A42" s="2146" t="s">
        <v>2837</v>
      </c>
      <c r="B42" s="91" t="s">
        <v>85</v>
      </c>
      <c r="C42" s="2144">
        <f>'Додаток 3 до рішення'!N37+'Додаток 5 до рішення'!C38+'Додаток 6 до рішення'!N33</f>
        <v>622.37441400721332</v>
      </c>
      <c r="D42" s="2144">
        <f>'Додаток 3 до рішення'!D37+'Додаток 5 до рішення'!D38+'Додаток 6 до рішення'!D33</f>
        <v>0</v>
      </c>
      <c r="E42" s="2144">
        <f>'Додаток 3 до рішення'!E37+'Додаток 5 до рішення'!E38+'Додаток 6 до рішення'!E33</f>
        <v>0</v>
      </c>
      <c r="F42" s="2144">
        <f>'Додаток 3 до рішення'!F37+'Додаток 5 до рішення'!F38+'Додаток 6 до рішення'!F33</f>
        <v>0</v>
      </c>
      <c r="G42" s="2144">
        <f>'Додаток 3 до рішення'!G37+'Додаток 5 до рішення'!G38+'Додаток 6 до рішення'!G33</f>
        <v>204.16117238765764</v>
      </c>
      <c r="H42" s="2096"/>
    </row>
    <row r="43" spans="1:8" x14ac:dyDescent="0.25">
      <c r="A43" s="2146" t="s">
        <v>2838</v>
      </c>
      <c r="B43" s="91" t="s">
        <v>71</v>
      </c>
      <c r="C43" s="2144">
        <f>'Додаток 3 до рішення'!N38+'Додаток 5 до рішення'!C39+'Додаток 6 до рішення'!N34</f>
        <v>0</v>
      </c>
      <c r="D43" s="2144">
        <f>'Додаток 3 до рішення'!D38+'Додаток 5 до рішення'!D39+'Додаток 6 до рішення'!D34</f>
        <v>0</v>
      </c>
      <c r="E43" s="2144">
        <f>'Додаток 3 до рішення'!E38+'Додаток 5 до рішення'!E39+'Додаток 6 до рішення'!E34</f>
        <v>0</v>
      </c>
      <c r="F43" s="2144">
        <f>'Додаток 3 до рішення'!F38+'Додаток 5 до рішення'!F39+'Додаток 6 до рішення'!F34</f>
        <v>0</v>
      </c>
      <c r="G43" s="2144">
        <f>'Додаток 3 до рішення'!G38+'Додаток 5 до рішення'!G39+'Додаток 6 до рішення'!G34</f>
        <v>0</v>
      </c>
      <c r="H43" s="2096"/>
    </row>
    <row r="44" spans="1:8" ht="15.75" thickBot="1" x14ac:dyDescent="0.3">
      <c r="A44" s="2148" t="s">
        <v>2839</v>
      </c>
      <c r="B44" s="2149" t="s">
        <v>2394</v>
      </c>
      <c r="C44" s="2150">
        <f>'Додаток 3 до рішення'!N39+'Додаток 5 до рішення'!C40+'Додаток 6 до рішення'!N35</f>
        <v>948.74148476709365</v>
      </c>
      <c r="D44" s="2150">
        <f>'Додаток 3 до рішення'!D39+'Додаток 5 до рішення'!D40+'Додаток 6 до рішення'!D35</f>
        <v>0</v>
      </c>
      <c r="E44" s="2150">
        <f>'Додаток 3 до рішення'!E39+'Додаток 5 до рішення'!E40+'Додаток 6 до рішення'!E35</f>
        <v>0</v>
      </c>
      <c r="F44" s="2150">
        <f>'Додаток 3 до рішення'!F39+'Додаток 5 до рішення'!F40+'Додаток 6 до рішення'!F35</f>
        <v>0</v>
      </c>
      <c r="G44" s="2150">
        <f>'Додаток 3 до рішення'!G39+'Додаток 5 до рішення'!G40+'Додаток 6 до рішення'!G35</f>
        <v>311.22129937142927</v>
      </c>
      <c r="H44" s="2096"/>
    </row>
    <row r="45" spans="1:8" ht="15.75" thickBot="1" x14ac:dyDescent="0.3">
      <c r="A45" s="2140" t="s">
        <v>1802</v>
      </c>
      <c r="B45" s="2151" t="s">
        <v>2840</v>
      </c>
      <c r="C45" s="2152">
        <f>C14+C30+C35+C36+C37+C38+C39+C40</f>
        <v>25460.426485209726</v>
      </c>
      <c r="D45" s="2152">
        <f t="shared" ref="D45:G45" si="7">D14+D30+D35+D36+D37+D38+D39+D40</f>
        <v>0</v>
      </c>
      <c r="E45" s="2152">
        <f t="shared" si="7"/>
        <v>0</v>
      </c>
      <c r="F45" s="2152">
        <v>0</v>
      </c>
      <c r="G45" s="2152">
        <f t="shared" si="7"/>
        <v>8351.9247899316761</v>
      </c>
      <c r="H45" s="2096"/>
    </row>
    <row r="46" spans="1:8" ht="32.25" thickBot="1" x14ac:dyDescent="0.3">
      <c r="A46" s="2140" t="s">
        <v>1806</v>
      </c>
      <c r="B46" s="1176" t="s">
        <v>3112</v>
      </c>
      <c r="C46" s="2582">
        <f>'Додаток 3 до рішення'!N8</f>
        <v>3.1772751469856528</v>
      </c>
      <c r="D46" s="2152">
        <f>'Додаток 3 до рішення'!O8</f>
        <v>0</v>
      </c>
      <c r="E46" s="2152">
        <f>'Додаток 3 до рішення'!P8</f>
        <v>0</v>
      </c>
      <c r="F46" s="2582">
        <f>'Додаток 3 до рішення'!Q8</f>
        <v>0</v>
      </c>
      <c r="G46" s="2582">
        <f>'Додаток 3 до рішення'!R8</f>
        <v>3.1772751469856528</v>
      </c>
      <c r="H46" s="2096"/>
    </row>
    <row r="47" spans="1:8" s="23" customFormat="1" ht="29.25" thickBot="1" x14ac:dyDescent="0.25">
      <c r="A47" s="2140" t="s">
        <v>1808</v>
      </c>
      <c r="B47" s="2151" t="s">
        <v>3358</v>
      </c>
      <c r="C47" s="2582">
        <f>'Додаток 6 до рішення'!N8</f>
        <v>2.7713382361666663</v>
      </c>
      <c r="D47" s="2152">
        <f>'Додаток 6 до рішення'!O8</f>
        <v>0</v>
      </c>
      <c r="E47" s="2152">
        <f>'Додаток 6 до рішення'!P8</f>
        <v>0</v>
      </c>
      <c r="F47" s="2582">
        <v>0</v>
      </c>
      <c r="G47" s="2582">
        <f>'Додаток 6 до рішення'!R8</f>
        <v>2.7713382361666663</v>
      </c>
      <c r="H47" s="2096"/>
    </row>
    <row r="48" spans="1:8" x14ac:dyDescent="0.25">
      <c r="C48" s="3660"/>
    </row>
    <row r="49" spans="2:7" x14ac:dyDescent="0.25">
      <c r="B49" s="828"/>
      <c r="C49" s="3499"/>
      <c r="D49" s="2153"/>
      <c r="E49" s="2153"/>
      <c r="F49" s="2153"/>
      <c r="G49" s="2153"/>
    </row>
    <row r="50" spans="2:7" x14ac:dyDescent="0.25">
      <c r="B50" s="18" t="s">
        <v>3444</v>
      </c>
      <c r="C50" s="3499"/>
      <c r="D50" s="2153"/>
      <c r="E50" s="2153" t="s">
        <v>3445</v>
      </c>
      <c r="F50" s="2353"/>
      <c r="G50" s="2153"/>
    </row>
    <row r="51" spans="2:7" x14ac:dyDescent="0.25">
      <c r="C51" s="3499"/>
      <c r="D51" s="2153"/>
      <c r="E51" s="2153"/>
      <c r="F51" s="2153"/>
      <c r="G51" s="2153"/>
    </row>
    <row r="52" spans="2:7" x14ac:dyDescent="0.25">
      <c r="C52" s="3396">
        <f>C50+'Додаток 1 до рішення'!C49</f>
        <v>0</v>
      </c>
    </row>
    <row r="53" spans="2:7" x14ac:dyDescent="0.25">
      <c r="C53" s="3396">
        <f>КОНТРОЛЬ!O32</f>
        <v>36794.759084955804</v>
      </c>
    </row>
    <row r="54" spans="2:7" x14ac:dyDescent="0.25">
      <c r="C54" s="3397">
        <f>сведено!G14</f>
        <v>36794.759084955804</v>
      </c>
    </row>
  </sheetData>
  <mergeCells count="8">
    <mergeCell ref="E1:G1"/>
    <mergeCell ref="B8:G8"/>
    <mergeCell ref="B13:G13"/>
    <mergeCell ref="B3:F3"/>
    <mergeCell ref="A5:A6"/>
    <mergeCell ref="B5:B6"/>
    <mergeCell ref="C5:C6"/>
    <mergeCell ref="D5:G5"/>
  </mergeCells>
  <pageMargins left="0.78740157480314965" right="0.35433070866141736" top="0.78740157480314965" bottom="0.47244094488188981" header="0.31496062992125984" footer="0.31496062992125984"/>
  <pageSetup paperSize="9" scale="70" fitToHeight="2"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EC20C5"/>
    <pageSetUpPr fitToPage="1"/>
  </sheetPr>
  <dimension ref="A1:V48"/>
  <sheetViews>
    <sheetView zoomScaleNormal="100" workbookViewId="0">
      <selection activeCell="E1" sqref="E1:G1"/>
    </sheetView>
  </sheetViews>
  <sheetFormatPr defaultColWidth="9.140625" defaultRowHeight="15" x14ac:dyDescent="0.25"/>
  <cols>
    <col min="1" max="1" width="7.85546875" style="1734" customWidth="1"/>
    <col min="2" max="2" width="45.5703125" style="18" customWidth="1"/>
    <col min="3" max="3" width="11.85546875" style="18" customWidth="1"/>
    <col min="4" max="4" width="11.5703125" style="1734" customWidth="1"/>
    <col min="5" max="5" width="13.7109375" style="18" customWidth="1"/>
    <col min="6" max="6" width="14.42578125" style="18" customWidth="1"/>
    <col min="7" max="7" width="14.7109375" style="18" customWidth="1"/>
    <col min="8" max="8" width="13.28515625" style="1209" hidden="1" customWidth="1"/>
    <col min="9" max="13" width="12" style="18" hidden="1" customWidth="1"/>
    <col min="14" max="14" width="11.7109375" style="18" hidden="1" customWidth="1"/>
    <col min="15" max="18" width="12" style="18" hidden="1" customWidth="1"/>
    <col min="19" max="16384" width="9.140625" style="18"/>
  </cols>
  <sheetData>
    <row r="1" spans="1:18" ht="81.599999999999994" customHeight="1" x14ac:dyDescent="0.25">
      <c r="A1" s="3491"/>
      <c r="E1" s="4612" t="s">
        <v>3456</v>
      </c>
      <c r="F1" s="4612"/>
      <c r="G1" s="4612"/>
    </row>
    <row r="2" spans="1:18" ht="36" customHeight="1" x14ac:dyDescent="0.25">
      <c r="A2" s="3491"/>
      <c r="E2" s="199"/>
      <c r="F2" s="199"/>
      <c r="G2" s="199"/>
    </row>
    <row r="3" spans="1:18" ht="31.15" customHeight="1" x14ac:dyDescent="0.25">
      <c r="A3" s="4060" t="s">
        <v>3446</v>
      </c>
      <c r="B3" s="4060"/>
      <c r="C3" s="4060"/>
      <c r="D3" s="4060"/>
      <c r="E3" s="4060"/>
      <c r="F3" s="4060"/>
      <c r="G3" s="4060"/>
    </row>
    <row r="4" spans="1:18" ht="15.75" thickBot="1" x14ac:dyDescent="0.3">
      <c r="G4" s="18" t="s">
        <v>1666</v>
      </c>
      <c r="I4" s="787" t="s">
        <v>2241</v>
      </c>
      <c r="J4" s="787"/>
      <c r="K4" s="787"/>
      <c r="L4" s="787"/>
      <c r="M4" s="787"/>
      <c r="N4" s="787" t="s">
        <v>2242</v>
      </c>
      <c r="O4" s="787"/>
      <c r="P4" s="787"/>
      <c r="Q4" s="787"/>
      <c r="R4" s="787"/>
    </row>
    <row r="5" spans="1:18" ht="15.75" thickBot="1" x14ac:dyDescent="0.3">
      <c r="A5" s="4061" t="s">
        <v>7</v>
      </c>
      <c r="B5" s="4061" t="s">
        <v>620</v>
      </c>
      <c r="C5" s="4061" t="s">
        <v>2788</v>
      </c>
      <c r="D5" s="4064" t="s">
        <v>2789</v>
      </c>
      <c r="E5" s="4065"/>
      <c r="F5" s="4065"/>
      <c r="G5" s="4066"/>
      <c r="H5" s="1210"/>
      <c r="I5" s="4061" t="s">
        <v>2788</v>
      </c>
      <c r="J5" s="2166"/>
      <c r="K5" s="2166"/>
      <c r="L5" s="2166"/>
      <c r="M5" s="2166"/>
      <c r="N5" s="4061" t="s">
        <v>2788</v>
      </c>
      <c r="O5" s="2166"/>
      <c r="P5" s="2166"/>
      <c r="Q5" s="2166"/>
      <c r="R5" s="2166"/>
    </row>
    <row r="6" spans="1:18" ht="57.6" customHeight="1" thickBot="1" x14ac:dyDescent="0.3">
      <c r="A6" s="4062"/>
      <c r="B6" s="4063"/>
      <c r="C6" s="4063"/>
      <c r="D6" s="2127" t="s">
        <v>2790</v>
      </c>
      <c r="E6" s="2127" t="s">
        <v>2791</v>
      </c>
      <c r="F6" s="2127" t="s">
        <v>3079</v>
      </c>
      <c r="G6" s="2127" t="s">
        <v>2857</v>
      </c>
      <c r="I6" s="4063"/>
      <c r="J6" s="2127" t="s">
        <v>2790</v>
      </c>
      <c r="K6" s="2127" t="s">
        <v>2791</v>
      </c>
      <c r="L6" s="2127" t="s">
        <v>2792</v>
      </c>
      <c r="M6" s="2127" t="s">
        <v>2857</v>
      </c>
      <c r="N6" s="4063"/>
      <c r="O6" s="2127" t="s">
        <v>2790</v>
      </c>
      <c r="P6" s="2127" t="s">
        <v>2791</v>
      </c>
      <c r="Q6" s="2127" t="s">
        <v>2792</v>
      </c>
      <c r="R6" s="2127" t="s">
        <v>2857</v>
      </c>
    </row>
    <row r="7" spans="1:18" ht="15.75" thickBot="1" x14ac:dyDescent="0.3">
      <c r="A7" s="2128">
        <v>1</v>
      </c>
      <c r="B7" s="2129">
        <v>2</v>
      </c>
      <c r="C7" s="2114">
        <v>3</v>
      </c>
      <c r="D7" s="2128">
        <v>4</v>
      </c>
      <c r="E7" s="2114">
        <v>5</v>
      </c>
      <c r="F7" s="2129">
        <v>6</v>
      </c>
      <c r="G7" s="2115">
        <v>7</v>
      </c>
    </row>
    <row r="8" spans="1:18" ht="29.25" thickBot="1" x14ac:dyDescent="0.3">
      <c r="A8" s="2156" t="s">
        <v>2795</v>
      </c>
      <c r="B8" s="2157" t="s">
        <v>2845</v>
      </c>
      <c r="C8" s="2152" t="s">
        <v>327</v>
      </c>
      <c r="D8" s="2152">
        <f>D40</f>
        <v>0</v>
      </c>
      <c r="E8" s="2152">
        <f>E40</f>
        <v>0</v>
      </c>
      <c r="F8" s="2152">
        <f>F40</f>
        <v>0</v>
      </c>
      <c r="G8" s="2152">
        <f>G40</f>
        <v>5701.3545558892911</v>
      </c>
      <c r="H8" s="2579">
        <f>I8+N8</f>
        <v>4.4917941629656521</v>
      </c>
      <c r="I8" s="2578">
        <f>'Д 8_Паливо'!E64/1000</f>
        <v>1.3145190159799998</v>
      </c>
      <c r="J8" s="2578">
        <f>'Д 8_Паливо'!E65/1000</f>
        <v>0</v>
      </c>
      <c r="K8" s="2578">
        <f>'Д 8_Паливо'!E66/1000</f>
        <v>0</v>
      </c>
      <c r="L8" s="2578">
        <f>'Д 8_Паливо'!E67/1000</f>
        <v>0</v>
      </c>
      <c r="M8" s="2578">
        <f>I8</f>
        <v>1.3145190159799998</v>
      </c>
      <c r="N8" s="2578">
        <f>'Д 8_Паливо'!F64/1000</f>
        <v>3.1772751469856528</v>
      </c>
      <c r="O8" s="2578">
        <f>'Д 8_Паливо'!F65/1000</f>
        <v>0</v>
      </c>
      <c r="P8" s="2578">
        <f>'Д 8_Паливо'!F66/1000</f>
        <v>0</v>
      </c>
      <c r="Q8" s="2578">
        <f>'Д 8_Паливо'!F67/1000</f>
        <v>0</v>
      </c>
      <c r="R8" s="2578">
        <f>'Д 8_Паливо'!F68/1000</f>
        <v>3.1772751469856528</v>
      </c>
    </row>
    <row r="9" spans="1:18" ht="15.75" thickBot="1" x14ac:dyDescent="0.3">
      <c r="A9" s="2140" t="s">
        <v>2800</v>
      </c>
      <c r="B9" s="4049" t="s">
        <v>3078</v>
      </c>
      <c r="C9" s="4054"/>
      <c r="D9" s="4054"/>
      <c r="E9" s="4054"/>
      <c r="F9" s="4054"/>
      <c r="G9" s="4055"/>
    </row>
    <row r="10" spans="1:18" s="23" customFormat="1" ht="42.75" x14ac:dyDescent="0.2">
      <c r="A10" s="2141" t="s">
        <v>1687</v>
      </c>
      <c r="B10" s="2142" t="s">
        <v>2846</v>
      </c>
      <c r="C10" s="2135">
        <f>C11+C16+C17+C21</f>
        <v>22936.849155960776</v>
      </c>
      <c r="D10" s="2135">
        <f>D11+D16+D17+D21</f>
        <v>0</v>
      </c>
      <c r="E10" s="2135">
        <f>E11+E16+E17+E21</f>
        <v>0</v>
      </c>
      <c r="F10" s="2135">
        <f>F11+F16+F17+F21</f>
        <v>0</v>
      </c>
      <c r="G10" s="2135">
        <f>G11+G16+G17+G21</f>
        <v>5106.3891896633559</v>
      </c>
      <c r="H10" s="2168">
        <f>I10+N10-C10</f>
        <v>0</v>
      </c>
      <c r="I10" s="2135">
        <f>I11+I16+I17+I21</f>
        <v>6712.4456928071841</v>
      </c>
      <c r="J10" s="2135">
        <f t="shared" ref="J10:R10" si="0">J11+J16+J17+J21</f>
        <v>0</v>
      </c>
      <c r="K10" s="2135">
        <f t="shared" si="0"/>
        <v>0</v>
      </c>
      <c r="L10" s="2135">
        <f t="shared" si="0"/>
        <v>0</v>
      </c>
      <c r="M10" s="2135">
        <f>M11+M16+M17+M21</f>
        <v>6712.4456928071841</v>
      </c>
      <c r="N10" s="2135">
        <f t="shared" si="0"/>
        <v>16224.403463153591</v>
      </c>
      <c r="O10" s="2135">
        <f t="shared" si="0"/>
        <v>0</v>
      </c>
      <c r="P10" s="2135">
        <f t="shared" si="0"/>
        <v>0</v>
      </c>
      <c r="Q10" s="2135">
        <f t="shared" si="0"/>
        <v>0</v>
      </c>
      <c r="R10" s="2135">
        <f t="shared" si="0"/>
        <v>16224.403463153591</v>
      </c>
    </row>
    <row r="11" spans="1:18" x14ac:dyDescent="0.25">
      <c r="A11" s="2143" t="s">
        <v>1689</v>
      </c>
      <c r="B11" s="2314" t="s">
        <v>2803</v>
      </c>
      <c r="C11" s="2144">
        <f>SUM(C12:C15)</f>
        <v>11700.190826664102</v>
      </c>
      <c r="D11" s="2144">
        <f>SUM(D12:D15)</f>
        <v>0</v>
      </c>
      <c r="E11" s="2144">
        <v>0</v>
      </c>
      <c r="F11" s="2144">
        <f t="shared" ref="F11:G11" si="1">SUM(F12:F15)</f>
        <v>0</v>
      </c>
      <c r="G11" s="2144">
        <f t="shared" si="1"/>
        <v>2604.7922950545872</v>
      </c>
      <c r="H11" s="2168">
        <f t="shared" ref="H11:H39" si="2">I11+N11-C11</f>
        <v>0</v>
      </c>
      <c r="I11" s="2144">
        <f>SUM(I12:I15)</f>
        <v>3424.0490045274414</v>
      </c>
      <c r="J11" s="2144">
        <f t="shared" ref="J11:R11" si="3">SUM(J12:J15)</f>
        <v>0</v>
      </c>
      <c r="K11" s="2144">
        <f t="shared" si="3"/>
        <v>0</v>
      </c>
      <c r="L11" s="2144">
        <f>SUM(L12:L15)</f>
        <v>0</v>
      </c>
      <c r="M11" s="2144">
        <f>SUM(M12:M15)</f>
        <v>3424.0490045274414</v>
      </c>
      <c r="N11" s="2144">
        <f t="shared" si="3"/>
        <v>8276.1418221366603</v>
      </c>
      <c r="O11" s="2144">
        <f t="shared" si="3"/>
        <v>0</v>
      </c>
      <c r="P11" s="2144">
        <f t="shared" si="3"/>
        <v>0</v>
      </c>
      <c r="Q11" s="2144">
        <f t="shared" si="3"/>
        <v>0</v>
      </c>
      <c r="R11" s="2144">
        <f t="shared" si="3"/>
        <v>8276.1418221366603</v>
      </c>
    </row>
    <row r="12" spans="1:18" ht="30" x14ac:dyDescent="0.25">
      <c r="A12" s="2143" t="s">
        <v>2804</v>
      </c>
      <c r="B12" s="2314" t="s">
        <v>2805</v>
      </c>
      <c r="C12" s="2144">
        <f>Виробництво_Транспортування_1ст!F11</f>
        <v>11323.637583522617</v>
      </c>
      <c r="D12" s="2144">
        <v>0</v>
      </c>
      <c r="E12" s="2144">
        <v>0</v>
      </c>
      <c r="F12" s="2144">
        <v>0</v>
      </c>
      <c r="G12" s="2144">
        <f>'Д 2_Т на В'!X14/'Д 2_Т на В'!X$58*1000</f>
        <v>2520.9609284603375</v>
      </c>
      <c r="H12" s="2168">
        <f>I12+N12-C12</f>
        <v>0</v>
      </c>
      <c r="I12" s="2169">
        <f>SUM(J12:M12)</f>
        <v>3313.8510790037099</v>
      </c>
      <c r="J12" s="89">
        <f>J$8*D12</f>
        <v>0</v>
      </c>
      <c r="K12" s="89">
        <f>K$8*E12</f>
        <v>0</v>
      </c>
      <c r="L12" s="89">
        <f t="shared" ref="K12:L27" si="4">L$8*F12</f>
        <v>0</v>
      </c>
      <c r="M12" s="89">
        <f>C12/$H$8*$M$8</f>
        <v>3313.8510790037099</v>
      </c>
      <c r="N12" s="2169">
        <f>SUM(O12:R12)</f>
        <v>8009.7865045189083</v>
      </c>
      <c r="O12" s="89">
        <f>O$8*D12</f>
        <v>0</v>
      </c>
      <c r="P12" s="89">
        <f t="shared" ref="P12:Q27" si="5">P$8*E12</f>
        <v>0</v>
      </c>
      <c r="Q12" s="89">
        <f t="shared" si="5"/>
        <v>0</v>
      </c>
      <c r="R12" s="89">
        <f>C12/$H$8*$R$8</f>
        <v>8009.7865045189083</v>
      </c>
    </row>
    <row r="13" spans="1:18" ht="30" x14ac:dyDescent="0.25">
      <c r="A13" s="2143" t="s">
        <v>2806</v>
      </c>
      <c r="B13" s="2314" t="s">
        <v>2807</v>
      </c>
      <c r="C13" s="2144">
        <f>Виробництво_Транспортування_1ст!F15</f>
        <v>195.55061826148037</v>
      </c>
      <c r="D13" s="2144">
        <v>0</v>
      </c>
      <c r="E13" s="2144">
        <v>0</v>
      </c>
      <c r="F13" s="2144">
        <v>0</v>
      </c>
      <c r="G13" s="2144">
        <f>'Д 2_Т на В'!X18/'Д 2_Т на В'!X$58*1000</f>
        <v>43.535080007399642</v>
      </c>
      <c r="H13" s="2168">
        <f t="shared" si="2"/>
        <v>0</v>
      </c>
      <c r="I13" s="2169">
        <f t="shared" ref="I13:I39" si="6">SUM(J13:M13)</f>
        <v>57.22769053193754</v>
      </c>
      <c r="J13" s="89">
        <f t="shared" ref="J13:L40" si="7">J$8*D13</f>
        <v>0</v>
      </c>
      <c r="K13" s="89">
        <f t="shared" si="4"/>
        <v>0</v>
      </c>
      <c r="L13" s="89">
        <f>L$8*F13</f>
        <v>0</v>
      </c>
      <c r="M13" s="89">
        <f t="shared" ref="M13:M39" si="8">C13/$H$8*$M$8</f>
        <v>57.22769053193754</v>
      </c>
      <c r="N13" s="2169">
        <f t="shared" ref="N13:N39" si="9">SUM(O13:R13)</f>
        <v>138.32292772954287</v>
      </c>
      <c r="O13" s="89">
        <f t="shared" ref="O13:Q40" si="10">O$8*D13</f>
        <v>0</v>
      </c>
      <c r="P13" s="89">
        <f t="shared" si="5"/>
        <v>0</v>
      </c>
      <c r="Q13" s="89">
        <f t="shared" si="5"/>
        <v>0</v>
      </c>
      <c r="R13" s="89">
        <f t="shared" ref="R13:R39" si="11">C13/$H$8*$R$8</f>
        <v>138.32292772954287</v>
      </c>
    </row>
    <row r="14" spans="1:18" ht="30" x14ac:dyDescent="0.25">
      <c r="A14" s="2143" t="s">
        <v>2808</v>
      </c>
      <c r="B14" s="2314" t="s">
        <v>2809</v>
      </c>
      <c r="C14" s="2144">
        <f>Виробництво_Транспортування_1ст!F16</f>
        <v>35.642039999999994</v>
      </c>
      <c r="D14" s="2144">
        <v>0</v>
      </c>
      <c r="E14" s="2144">
        <v>0</v>
      </c>
      <c r="F14" s="2144">
        <v>0</v>
      </c>
      <c r="G14" s="2144">
        <f>'Д 2_Т на В'!X22/'Д 2_Т на В'!X$58*1000</f>
        <v>7.9349228185620539</v>
      </c>
      <c r="H14" s="2168">
        <f t="shared" si="2"/>
        <v>0</v>
      </c>
      <c r="I14" s="2169">
        <f t="shared" si="6"/>
        <v>10.430606935333437</v>
      </c>
      <c r="J14" s="89">
        <f t="shared" si="7"/>
        <v>0</v>
      </c>
      <c r="K14" s="89">
        <f>K$8*E14</f>
        <v>0</v>
      </c>
      <c r="L14" s="89">
        <f>L$8*F14</f>
        <v>0</v>
      </c>
      <c r="M14" s="89">
        <f t="shared" si="8"/>
        <v>10.430606935333437</v>
      </c>
      <c r="N14" s="2169">
        <f t="shared" si="9"/>
        <v>25.211433064666561</v>
      </c>
      <c r="O14" s="89">
        <f t="shared" si="10"/>
        <v>0</v>
      </c>
      <c r="P14" s="89">
        <f t="shared" si="5"/>
        <v>0</v>
      </c>
      <c r="Q14" s="89">
        <f t="shared" si="5"/>
        <v>0</v>
      </c>
      <c r="R14" s="89">
        <f t="shared" si="11"/>
        <v>25.211433064666561</v>
      </c>
    </row>
    <row r="15" spans="1:18" ht="30" x14ac:dyDescent="0.25">
      <c r="A15" s="2143" t="s">
        <v>2810</v>
      </c>
      <c r="B15" s="2314" t="s">
        <v>2173</v>
      </c>
      <c r="C15" s="2144">
        <f>Виробництво_Транспортування_1ст!F10-Виробництво_Транспортування_1ст!F11-Виробництво_Транспортування_1ст!F16-Виробництво_Транспортування_1ст!F15</f>
        <v>145.36058488000273</v>
      </c>
      <c r="D15" s="2144">
        <v>0</v>
      </c>
      <c r="E15" s="2144">
        <v>0</v>
      </c>
      <c r="F15" s="2144">
        <v>0</v>
      </c>
      <c r="G15" s="2144">
        <f>'Д 2_Т на В'!X23/'Д 2_Т на В'!X$58*1000</f>
        <v>32.361363768287681</v>
      </c>
      <c r="H15" s="2168">
        <f t="shared" si="2"/>
        <v>0</v>
      </c>
      <c r="I15" s="2169">
        <f t="shared" si="6"/>
        <v>42.539628056460337</v>
      </c>
      <c r="J15" s="89">
        <f t="shared" si="7"/>
        <v>0</v>
      </c>
      <c r="K15" s="89">
        <f t="shared" si="4"/>
        <v>0</v>
      </c>
      <c r="L15" s="89">
        <f t="shared" si="4"/>
        <v>0</v>
      </c>
      <c r="M15" s="89">
        <f t="shared" si="8"/>
        <v>42.539628056460337</v>
      </c>
      <c r="N15" s="2169">
        <f t="shared" si="9"/>
        <v>102.82095682354242</v>
      </c>
      <c r="O15" s="89">
        <f t="shared" si="10"/>
        <v>0</v>
      </c>
      <c r="P15" s="89">
        <f t="shared" si="5"/>
        <v>0</v>
      </c>
      <c r="Q15" s="89">
        <f t="shared" si="5"/>
        <v>0</v>
      </c>
      <c r="R15" s="89">
        <f t="shared" si="11"/>
        <v>102.82095682354242</v>
      </c>
    </row>
    <row r="16" spans="1:18" x14ac:dyDescent="0.25">
      <c r="A16" s="2143" t="s">
        <v>1691</v>
      </c>
      <c r="B16" s="2314" t="s">
        <v>2811</v>
      </c>
      <c r="C16" s="2144">
        <f>Виробництво_Транспортування_1ст!F28</f>
        <v>2967.8816200000001</v>
      </c>
      <c r="D16" s="2144">
        <v>0</v>
      </c>
      <c r="E16" s="2144">
        <v>0</v>
      </c>
      <c r="F16" s="2144">
        <v>0</v>
      </c>
      <c r="G16" s="2144">
        <f>'Д 2_Т на В'!X24/'Д 2_Т на В'!X$58*1000</f>
        <v>660.73411031829028</v>
      </c>
      <c r="H16" s="2168">
        <f t="shared" si="2"/>
        <v>0</v>
      </c>
      <c r="I16" s="2169">
        <f t="shared" si="6"/>
        <v>868.54755252001974</v>
      </c>
      <c r="J16" s="89">
        <f t="shared" si="7"/>
        <v>0</v>
      </c>
      <c r="K16" s="89">
        <f t="shared" si="4"/>
        <v>0</v>
      </c>
      <c r="L16" s="89">
        <f t="shared" si="4"/>
        <v>0</v>
      </c>
      <c r="M16" s="89">
        <f t="shared" si="8"/>
        <v>868.54755252001974</v>
      </c>
      <c r="N16" s="2169">
        <f t="shared" si="9"/>
        <v>2099.3340674799806</v>
      </c>
      <c r="O16" s="89">
        <f t="shared" si="10"/>
        <v>0</v>
      </c>
      <c r="P16" s="89">
        <f t="shared" si="5"/>
        <v>0</v>
      </c>
      <c r="Q16" s="89">
        <f t="shared" si="5"/>
        <v>0</v>
      </c>
      <c r="R16" s="89">
        <f t="shared" si="11"/>
        <v>2099.3340674799806</v>
      </c>
    </row>
    <row r="17" spans="1:18" x14ac:dyDescent="0.25">
      <c r="A17" s="2143" t="s">
        <v>1694</v>
      </c>
      <c r="B17" s="2314" t="s">
        <v>2812</v>
      </c>
      <c r="C17" s="2144">
        <f>C18+C19+C20</f>
        <v>5266.3121280560008</v>
      </c>
      <c r="D17" s="2144">
        <v>0</v>
      </c>
      <c r="E17" s="2144">
        <v>0</v>
      </c>
      <c r="F17" s="2144">
        <v>0</v>
      </c>
      <c r="G17" s="2144">
        <f>'Д 2_Т на В'!X25/'Д 2_Т на В'!X$58*1000</f>
        <v>1172.4295319398568</v>
      </c>
      <c r="H17" s="2168">
        <f t="shared" si="2"/>
        <v>0</v>
      </c>
      <c r="I17" s="2169">
        <f t="shared" si="6"/>
        <v>1541.1809146314722</v>
      </c>
      <c r="J17" s="89">
        <f t="shared" si="7"/>
        <v>0</v>
      </c>
      <c r="K17" s="89">
        <f t="shared" si="4"/>
        <v>0</v>
      </c>
      <c r="L17" s="89">
        <f t="shared" si="4"/>
        <v>0</v>
      </c>
      <c r="M17" s="89">
        <f t="shared" si="8"/>
        <v>1541.1809146314722</v>
      </c>
      <c r="N17" s="2169">
        <f t="shared" si="9"/>
        <v>3725.1312134245286</v>
      </c>
      <c r="O17" s="89">
        <f t="shared" si="10"/>
        <v>0</v>
      </c>
      <c r="P17" s="89">
        <f t="shared" si="5"/>
        <v>0</v>
      </c>
      <c r="Q17" s="89">
        <f t="shared" si="5"/>
        <v>0</v>
      </c>
      <c r="R17" s="89">
        <f t="shared" si="11"/>
        <v>3725.1312134245286</v>
      </c>
    </row>
    <row r="18" spans="1:18" x14ac:dyDescent="0.25">
      <c r="A18" s="2143" t="s">
        <v>2813</v>
      </c>
      <c r="B18" s="2314" t="s">
        <v>2814</v>
      </c>
      <c r="C18" s="2144">
        <f>Виробництво_Транспортування_1ст!F31</f>
        <v>652.93395640000006</v>
      </c>
      <c r="D18" s="2144">
        <v>0</v>
      </c>
      <c r="E18" s="2144">
        <v>0</v>
      </c>
      <c r="F18" s="2144">
        <v>0</v>
      </c>
      <c r="G18" s="2144">
        <f>'Д 2_Т на В'!X26/'Д 2_Т на В'!X$58*1000</f>
        <v>145.36150427002389</v>
      </c>
      <c r="H18" s="2168">
        <f t="shared" si="2"/>
        <v>0</v>
      </c>
      <c r="I18" s="2169">
        <f t="shared" si="6"/>
        <v>191.08046155440434</v>
      </c>
      <c r="J18" s="89">
        <f t="shared" si="7"/>
        <v>0</v>
      </c>
      <c r="K18" s="89">
        <f t="shared" si="4"/>
        <v>0</v>
      </c>
      <c r="L18" s="89">
        <f t="shared" si="4"/>
        <v>0</v>
      </c>
      <c r="M18" s="89">
        <f t="shared" si="8"/>
        <v>191.08046155440434</v>
      </c>
      <c r="N18" s="2169">
        <f t="shared" si="9"/>
        <v>461.85349484559572</v>
      </c>
      <c r="O18" s="89">
        <f t="shared" si="10"/>
        <v>0</v>
      </c>
      <c r="P18" s="89">
        <f t="shared" si="5"/>
        <v>0</v>
      </c>
      <c r="Q18" s="89">
        <f t="shared" si="5"/>
        <v>0</v>
      </c>
      <c r="R18" s="89">
        <f t="shared" si="11"/>
        <v>461.85349484559572</v>
      </c>
    </row>
    <row r="19" spans="1:18" x14ac:dyDescent="0.25">
      <c r="A19" s="2143" t="s">
        <v>2815</v>
      </c>
      <c r="B19" s="2314" t="s">
        <v>2816</v>
      </c>
      <c r="C19" s="2144">
        <f>Виробництво_Транспортування_1ст!F32+Виробництво_Транспортування_1ст!F33</f>
        <v>1904.3854900000008</v>
      </c>
      <c r="D19" s="2144">
        <v>0</v>
      </c>
      <c r="E19" s="2144">
        <v>0</v>
      </c>
      <c r="F19" s="2144">
        <v>0</v>
      </c>
      <c r="G19" s="2144">
        <f>'Д 2_Т на В'!X27/'Д 2_Т на В'!X$58*1000</f>
        <v>423.96989285516446</v>
      </c>
      <c r="H19" s="2168">
        <f t="shared" si="2"/>
        <v>0</v>
      </c>
      <c r="I19" s="2169">
        <f t="shared" si="6"/>
        <v>557.31648636111674</v>
      </c>
      <c r="J19" s="89">
        <f t="shared" si="7"/>
        <v>0</v>
      </c>
      <c r="K19" s="89">
        <f t="shared" si="4"/>
        <v>0</v>
      </c>
      <c r="L19" s="89">
        <f t="shared" si="4"/>
        <v>0</v>
      </c>
      <c r="M19" s="89">
        <f t="shared" si="8"/>
        <v>557.31648636111674</v>
      </c>
      <c r="N19" s="2169">
        <f t="shared" si="9"/>
        <v>1347.0690036388844</v>
      </c>
      <c r="O19" s="89">
        <f t="shared" si="10"/>
        <v>0</v>
      </c>
      <c r="P19" s="89">
        <f t="shared" si="5"/>
        <v>0</v>
      </c>
      <c r="Q19" s="89">
        <f t="shared" si="5"/>
        <v>0</v>
      </c>
      <c r="R19" s="89">
        <f t="shared" si="11"/>
        <v>1347.0690036388844</v>
      </c>
    </row>
    <row r="20" spans="1:18" x14ac:dyDescent="0.25">
      <c r="A20" s="2143" t="s">
        <v>2817</v>
      </c>
      <c r="B20" s="2314" t="s">
        <v>82</v>
      </c>
      <c r="C20" s="2144">
        <f>Виробництво_Транспортування_1ст!F30-Виробництво_Транспортування_1ст!F31-Виробництво_Транспортування_1ст!F32-Виробництво_Транспортування_1ст!F33</f>
        <v>2708.9926816560001</v>
      </c>
      <c r="D20" s="2144">
        <v>0</v>
      </c>
      <c r="E20" s="2144">
        <v>0</v>
      </c>
      <c r="F20" s="2144">
        <v>0</v>
      </c>
      <c r="G20" s="2144">
        <f>'Д 2_Т на В'!X28/'Д 2_Т на В'!X$58*1000</f>
        <v>603.09813481466847</v>
      </c>
      <c r="H20" s="2168">
        <f t="shared" si="2"/>
        <v>0</v>
      </c>
      <c r="I20" s="2169">
        <f t="shared" si="6"/>
        <v>792.78396671595135</v>
      </c>
      <c r="J20" s="89">
        <f t="shared" si="7"/>
        <v>0</v>
      </c>
      <c r="K20" s="89">
        <f t="shared" si="4"/>
        <v>0</v>
      </c>
      <c r="L20" s="89">
        <f t="shared" si="4"/>
        <v>0</v>
      </c>
      <c r="M20" s="89">
        <f t="shared" si="8"/>
        <v>792.78396671595135</v>
      </c>
      <c r="N20" s="2169">
        <f t="shared" si="9"/>
        <v>1916.2087149400493</v>
      </c>
      <c r="O20" s="89">
        <f t="shared" si="10"/>
        <v>0</v>
      </c>
      <c r="P20" s="89">
        <f t="shared" si="5"/>
        <v>0</v>
      </c>
      <c r="Q20" s="89">
        <f t="shared" si="5"/>
        <v>0</v>
      </c>
      <c r="R20" s="89">
        <f t="shared" si="11"/>
        <v>1916.2087149400493</v>
      </c>
    </row>
    <row r="21" spans="1:18" s="23" customFormat="1" x14ac:dyDescent="0.25">
      <c r="A21" s="2145" t="s">
        <v>1696</v>
      </c>
      <c r="B21" s="2142" t="s">
        <v>2818</v>
      </c>
      <c r="C21" s="2135">
        <f>C22+C23+C24+C25</f>
        <v>3002.4645812406711</v>
      </c>
      <c r="D21" s="181">
        <f t="shared" ref="D21:F21" si="12">D22+D23+D24+D25</f>
        <v>0</v>
      </c>
      <c r="E21" s="181">
        <f t="shared" si="12"/>
        <v>0</v>
      </c>
      <c r="F21" s="181">
        <f t="shared" si="12"/>
        <v>0</v>
      </c>
      <c r="G21" s="181">
        <f>G22+G23+G24+G25</f>
        <v>668.4332523506223</v>
      </c>
      <c r="H21" s="2168">
        <f t="shared" si="2"/>
        <v>0</v>
      </c>
      <c r="I21" s="2169">
        <f t="shared" si="6"/>
        <v>878.66822112825059</v>
      </c>
      <c r="J21" s="89">
        <f t="shared" si="7"/>
        <v>0</v>
      </c>
      <c r="K21" s="89">
        <f t="shared" si="4"/>
        <v>0</v>
      </c>
      <c r="L21" s="89">
        <f t="shared" si="4"/>
        <v>0</v>
      </c>
      <c r="M21" s="89">
        <f>M22+M23+M24+M25</f>
        <v>878.66822112825059</v>
      </c>
      <c r="N21" s="2169">
        <f t="shared" si="9"/>
        <v>2123.7963601124211</v>
      </c>
      <c r="O21" s="89">
        <f t="shared" si="10"/>
        <v>0</v>
      </c>
      <c r="P21" s="89">
        <f t="shared" si="5"/>
        <v>0</v>
      </c>
      <c r="Q21" s="89">
        <f t="shared" si="5"/>
        <v>0</v>
      </c>
      <c r="R21" s="89">
        <f>R22+R23+R24+R25</f>
        <v>2123.7963601124211</v>
      </c>
    </row>
    <row r="22" spans="1:18" x14ac:dyDescent="0.25">
      <c r="A22" s="2146" t="s">
        <v>2819</v>
      </c>
      <c r="B22" s="2314" t="s">
        <v>2820</v>
      </c>
      <c r="C22" s="2144">
        <f>ЗВВ_1ст!G21</f>
        <v>2174.381536632704</v>
      </c>
      <c r="D22" s="2144">
        <v>0</v>
      </c>
      <c r="E22" s="2144">
        <v>0</v>
      </c>
      <c r="F22" s="2144">
        <v>0</v>
      </c>
      <c r="G22" s="2144">
        <f>'Д 2_Т на В'!X30/'Д 2_Т на В'!$X$58*1000</f>
        <v>484.07862376246891</v>
      </c>
      <c r="H22" s="2168">
        <f t="shared" si="2"/>
        <v>0</v>
      </c>
      <c r="I22" s="2169">
        <f t="shared" si="6"/>
        <v>636.33055616519312</v>
      </c>
      <c r="J22" s="89">
        <f t="shared" si="7"/>
        <v>0</v>
      </c>
      <c r="K22" s="89">
        <f t="shared" si="4"/>
        <v>0</v>
      </c>
      <c r="L22" s="89">
        <f t="shared" si="4"/>
        <v>0</v>
      </c>
      <c r="M22" s="89">
        <f t="shared" si="8"/>
        <v>636.33055616519312</v>
      </c>
      <c r="N22" s="2169">
        <f t="shared" si="9"/>
        <v>1538.050980467511</v>
      </c>
      <c r="O22" s="89">
        <f t="shared" si="10"/>
        <v>0</v>
      </c>
      <c r="P22" s="89">
        <f t="shared" si="5"/>
        <v>0</v>
      </c>
      <c r="Q22" s="89">
        <f t="shared" si="5"/>
        <v>0</v>
      </c>
      <c r="R22" s="89">
        <f t="shared" si="11"/>
        <v>1538.050980467511</v>
      </c>
    </row>
    <row r="23" spans="1:18" x14ac:dyDescent="0.25">
      <c r="A23" s="2146" t="s">
        <v>2821</v>
      </c>
      <c r="B23" s="2314" t="s">
        <v>2175</v>
      </c>
      <c r="C23" s="2144">
        <f>ЗВВ_1ст!G23</f>
        <v>478.36393805919488</v>
      </c>
      <c r="D23" s="2144">
        <v>0</v>
      </c>
      <c r="E23" s="2144">
        <v>0</v>
      </c>
      <c r="F23" s="2144">
        <v>0</v>
      </c>
      <c r="G23" s="2144">
        <f>'Д 2_Т на В'!X31/'Д 2_Т на В'!$X$58*1000</f>
        <v>106.49729722774316</v>
      </c>
      <c r="H23" s="2168">
        <f t="shared" si="2"/>
        <v>0</v>
      </c>
      <c r="I23" s="2169">
        <f t="shared" si="6"/>
        <v>139.99272235634248</v>
      </c>
      <c r="J23" s="89">
        <f t="shared" si="7"/>
        <v>0</v>
      </c>
      <c r="K23" s="89">
        <f t="shared" si="4"/>
        <v>0</v>
      </c>
      <c r="L23" s="89">
        <f t="shared" si="4"/>
        <v>0</v>
      </c>
      <c r="M23" s="89">
        <f t="shared" si="8"/>
        <v>139.99272235634248</v>
      </c>
      <c r="N23" s="2169">
        <f t="shared" si="9"/>
        <v>338.3712157028524</v>
      </c>
      <c r="O23" s="89">
        <f t="shared" si="10"/>
        <v>0</v>
      </c>
      <c r="P23" s="89">
        <f t="shared" si="5"/>
        <v>0</v>
      </c>
      <c r="Q23" s="89">
        <f t="shared" si="5"/>
        <v>0</v>
      </c>
      <c r="R23" s="89">
        <f t="shared" si="11"/>
        <v>338.3712157028524</v>
      </c>
    </row>
    <row r="24" spans="1:18" x14ac:dyDescent="0.25">
      <c r="A24" s="2146" t="s">
        <v>2822</v>
      </c>
      <c r="B24" s="2314" t="s">
        <v>2816</v>
      </c>
      <c r="C24" s="2144">
        <f>ЗВВ_1ст!G37+ЗВВ_1ст!G38</f>
        <v>18.754165317988477</v>
      </c>
      <c r="D24" s="2144">
        <v>0</v>
      </c>
      <c r="E24" s="2144">
        <v>0</v>
      </c>
      <c r="F24" s="2144">
        <v>0</v>
      </c>
      <c r="G24" s="2144">
        <f>C24/C41</f>
        <v>4.1752058615273384</v>
      </c>
      <c r="H24" s="2168">
        <f>I24+N24-C24</f>
        <v>0</v>
      </c>
      <c r="I24" s="2169">
        <f t="shared" si="6"/>
        <v>5.4883875006088436</v>
      </c>
      <c r="J24" s="89">
        <f t="shared" si="7"/>
        <v>0</v>
      </c>
      <c r="K24" s="89">
        <f t="shared" si="4"/>
        <v>0</v>
      </c>
      <c r="L24" s="89">
        <f t="shared" si="4"/>
        <v>0</v>
      </c>
      <c r="M24" s="89">
        <f>C24/$H$8*$M$8</f>
        <v>5.4883875006088436</v>
      </c>
      <c r="N24" s="2169">
        <f t="shared" si="9"/>
        <v>13.265777817379634</v>
      </c>
      <c r="O24" s="89">
        <f t="shared" si="10"/>
        <v>0</v>
      </c>
      <c r="P24" s="89">
        <f t="shared" si="5"/>
        <v>0</v>
      </c>
      <c r="Q24" s="89">
        <f t="shared" si="5"/>
        <v>0</v>
      </c>
      <c r="R24" s="89">
        <f t="shared" si="11"/>
        <v>13.265777817379634</v>
      </c>
    </row>
    <row r="25" spans="1:18" x14ac:dyDescent="0.25">
      <c r="A25" s="2146" t="s">
        <v>2823</v>
      </c>
      <c r="B25" s="2314" t="s">
        <v>58</v>
      </c>
      <c r="C25" s="2144">
        <f>ЗВВ_1ст!G9+ЗВВ_1ст!G24+ЗВВ_1ст!G39</f>
        <v>330.96494123078412</v>
      </c>
      <c r="D25" s="2144">
        <v>0</v>
      </c>
      <c r="E25" s="2144">
        <v>0</v>
      </c>
      <c r="F25" s="2144">
        <v>0</v>
      </c>
      <c r="G25" s="2144">
        <f>C25/C41</f>
        <v>73.682125498882741</v>
      </c>
      <c r="H25" s="2168">
        <f t="shared" si="2"/>
        <v>0</v>
      </c>
      <c r="I25" s="2169">
        <f t="shared" si="6"/>
        <v>96.856555106106185</v>
      </c>
      <c r="J25" s="89">
        <f t="shared" si="7"/>
        <v>0</v>
      </c>
      <c r="K25" s="89">
        <f t="shared" si="4"/>
        <v>0</v>
      </c>
      <c r="L25" s="89">
        <f t="shared" si="4"/>
        <v>0</v>
      </c>
      <c r="M25" s="89">
        <f t="shared" si="8"/>
        <v>96.856555106106185</v>
      </c>
      <c r="N25" s="2169">
        <f t="shared" si="9"/>
        <v>234.10838612467799</v>
      </c>
      <c r="O25" s="89">
        <f t="shared" si="10"/>
        <v>0</v>
      </c>
      <c r="P25" s="89">
        <f t="shared" si="5"/>
        <v>0</v>
      </c>
      <c r="Q25" s="89">
        <f t="shared" si="5"/>
        <v>0</v>
      </c>
      <c r="R25" s="89">
        <f t="shared" si="11"/>
        <v>234.10838612467799</v>
      </c>
    </row>
    <row r="26" spans="1:18" s="23" customFormat="1" x14ac:dyDescent="0.25">
      <c r="A26" s="2141" t="s">
        <v>1709</v>
      </c>
      <c r="B26" s="2142" t="s">
        <v>2824</v>
      </c>
      <c r="C26" s="2135">
        <f>C27+C28+C29+C30</f>
        <v>920.38656763919266</v>
      </c>
      <c r="D26" s="181">
        <f t="shared" ref="D26:E26" si="13">D27+D28+D29+D30</f>
        <v>0</v>
      </c>
      <c r="E26" s="181">
        <f t="shared" si="13"/>
        <v>0</v>
      </c>
      <c r="F26" s="181">
        <f>F27+F28+F29+F30</f>
        <v>0</v>
      </c>
      <c r="G26" s="181">
        <f t="shared" ref="G26" si="14">G27+G28+G29+G30</f>
        <v>204.90399476175435</v>
      </c>
      <c r="H26" s="2168">
        <f t="shared" si="2"/>
        <v>0</v>
      </c>
      <c r="I26" s="2169">
        <f t="shared" si="6"/>
        <v>269.35019756459229</v>
      </c>
      <c r="J26" s="89">
        <f t="shared" si="7"/>
        <v>0</v>
      </c>
      <c r="K26" s="89">
        <f t="shared" si="4"/>
        <v>0</v>
      </c>
      <c r="L26" s="89">
        <f t="shared" si="4"/>
        <v>0</v>
      </c>
      <c r="M26" s="89">
        <f t="shared" si="8"/>
        <v>269.35019756459229</v>
      </c>
      <c r="N26" s="2169">
        <f t="shared" si="9"/>
        <v>651.03637007460043</v>
      </c>
      <c r="O26" s="89">
        <f t="shared" si="10"/>
        <v>0</v>
      </c>
      <c r="P26" s="89">
        <f t="shared" si="5"/>
        <v>0</v>
      </c>
      <c r="Q26" s="89">
        <f t="shared" si="5"/>
        <v>0</v>
      </c>
      <c r="R26" s="89">
        <f t="shared" si="11"/>
        <v>651.03637007460043</v>
      </c>
    </row>
    <row r="27" spans="1:18" x14ac:dyDescent="0.25">
      <c r="A27" s="2146" t="s">
        <v>2825</v>
      </c>
      <c r="B27" s="2314" t="s">
        <v>55</v>
      </c>
      <c r="C27" s="2144">
        <f>Адміністративні_1ст!G21</f>
        <v>509.34726415631161</v>
      </c>
      <c r="D27" s="2144">
        <v>0</v>
      </c>
      <c r="E27" s="2144">
        <v>0</v>
      </c>
      <c r="F27" s="2144">
        <v>0</v>
      </c>
      <c r="G27" s="2144">
        <f>'Д 2_Т на В'!X34/'Д 2_Т на В'!$X$58*1000</f>
        <v>113.39505900689387</v>
      </c>
      <c r="H27" s="2168">
        <f t="shared" si="2"/>
        <v>0</v>
      </c>
      <c r="I27" s="2169">
        <f t="shared" si="6"/>
        <v>149.05996138273613</v>
      </c>
      <c r="J27" s="89">
        <f t="shared" si="7"/>
        <v>0</v>
      </c>
      <c r="K27" s="89">
        <f t="shared" si="4"/>
        <v>0</v>
      </c>
      <c r="L27" s="89">
        <f t="shared" si="4"/>
        <v>0</v>
      </c>
      <c r="M27" s="89">
        <f t="shared" si="8"/>
        <v>149.05996138273613</v>
      </c>
      <c r="N27" s="2169">
        <f t="shared" si="9"/>
        <v>360.2873027735755</v>
      </c>
      <c r="O27" s="89">
        <f t="shared" si="10"/>
        <v>0</v>
      </c>
      <c r="P27" s="89">
        <f t="shared" si="5"/>
        <v>0</v>
      </c>
      <c r="Q27" s="89">
        <f t="shared" si="5"/>
        <v>0</v>
      </c>
      <c r="R27" s="89">
        <f t="shared" si="11"/>
        <v>360.2873027735755</v>
      </c>
    </row>
    <row r="28" spans="1:18" x14ac:dyDescent="0.25">
      <c r="A28" s="2146" t="s">
        <v>2826</v>
      </c>
      <c r="B28" s="2314" t="s">
        <v>2827</v>
      </c>
      <c r="C28" s="2144">
        <f>Адміністративні_1ст!G23</f>
        <v>112.05639811438856</v>
      </c>
      <c r="D28" s="2144">
        <v>0</v>
      </c>
      <c r="E28" s="2144">
        <v>0</v>
      </c>
      <c r="F28" s="2144">
        <v>0</v>
      </c>
      <c r="G28" s="2144">
        <f>'Д 2_Т на В'!X35/'Д 2_Т на В'!$X$58*1000</f>
        <v>24.94691298151665</v>
      </c>
      <c r="H28" s="2168">
        <f t="shared" si="2"/>
        <v>0</v>
      </c>
      <c r="I28" s="2169">
        <f t="shared" si="6"/>
        <v>32.793191504201957</v>
      </c>
      <c r="J28" s="89">
        <f t="shared" si="7"/>
        <v>0</v>
      </c>
      <c r="K28" s="89">
        <f t="shared" si="7"/>
        <v>0</v>
      </c>
      <c r="L28" s="89">
        <f t="shared" si="7"/>
        <v>0</v>
      </c>
      <c r="M28" s="89">
        <f t="shared" si="8"/>
        <v>32.793191504201957</v>
      </c>
      <c r="N28" s="2169">
        <f t="shared" si="9"/>
        <v>79.263206610186614</v>
      </c>
      <c r="O28" s="89">
        <f t="shared" si="10"/>
        <v>0</v>
      </c>
      <c r="P28" s="89">
        <f t="shared" si="10"/>
        <v>0</v>
      </c>
      <c r="Q28" s="89">
        <f t="shared" si="10"/>
        <v>0</v>
      </c>
      <c r="R28" s="89">
        <f t="shared" si="11"/>
        <v>79.263206610186614</v>
      </c>
    </row>
    <row r="29" spans="1:18" x14ac:dyDescent="0.25">
      <c r="A29" s="2146" t="s">
        <v>2828</v>
      </c>
      <c r="B29" s="2314" t="s">
        <v>2816</v>
      </c>
      <c r="C29" s="2144">
        <f>Адміністративні_1ст!G36+Адміністративні_1ст!G37</f>
        <v>16.485846281956608</v>
      </c>
      <c r="D29" s="2144">
        <v>0</v>
      </c>
      <c r="E29" s="2144">
        <v>0</v>
      </c>
      <c r="F29" s="2144">
        <v>0</v>
      </c>
      <c r="G29" s="2144">
        <f>C29/C41</f>
        <v>3.6702141023915553</v>
      </c>
      <c r="H29" s="2168">
        <f t="shared" si="2"/>
        <v>0</v>
      </c>
      <c r="I29" s="2169">
        <f t="shared" si="6"/>
        <v>4.8245662303116656</v>
      </c>
      <c r="J29" s="89">
        <f t="shared" si="7"/>
        <v>0</v>
      </c>
      <c r="K29" s="89">
        <f t="shared" si="7"/>
        <v>0</v>
      </c>
      <c r="L29" s="89">
        <f t="shared" si="7"/>
        <v>0</v>
      </c>
      <c r="M29" s="89">
        <f>C29/$H$8*$M$8</f>
        <v>4.8245662303116656</v>
      </c>
      <c r="N29" s="2169">
        <f t="shared" si="9"/>
        <v>11.661280051644944</v>
      </c>
      <c r="O29" s="89">
        <f t="shared" si="10"/>
        <v>0</v>
      </c>
      <c r="P29" s="89">
        <f t="shared" si="10"/>
        <v>0</v>
      </c>
      <c r="Q29" s="89">
        <f t="shared" si="10"/>
        <v>0</v>
      </c>
      <c r="R29" s="89">
        <f t="shared" si="11"/>
        <v>11.661280051644944</v>
      </c>
    </row>
    <row r="30" spans="1:18" x14ac:dyDescent="0.25">
      <c r="A30" s="2146" t="s">
        <v>2829</v>
      </c>
      <c r="B30" s="2314" t="s">
        <v>2830</v>
      </c>
      <c r="C30" s="2144">
        <f>Адміністративні_1ст!G9+Адміністративні_1ст!G24+Адміністративні_1ст!G38</f>
        <v>282.49705908653596</v>
      </c>
      <c r="D30" s="2144">
        <v>0</v>
      </c>
      <c r="E30" s="2144">
        <v>0</v>
      </c>
      <c r="F30" s="2144">
        <v>0</v>
      </c>
      <c r="G30" s="2144">
        <f>C30/C41</f>
        <v>62.891808670952258</v>
      </c>
      <c r="H30" s="2168">
        <f t="shared" si="2"/>
        <v>0</v>
      </c>
      <c r="I30" s="2169">
        <f t="shared" si="6"/>
        <v>82.672478447342584</v>
      </c>
      <c r="J30" s="89">
        <f t="shared" si="7"/>
        <v>0</v>
      </c>
      <c r="K30" s="89">
        <f t="shared" si="7"/>
        <v>0</v>
      </c>
      <c r="L30" s="89">
        <f t="shared" si="7"/>
        <v>0</v>
      </c>
      <c r="M30" s="89">
        <f t="shared" si="8"/>
        <v>82.672478447342584</v>
      </c>
      <c r="N30" s="2169">
        <f t="shared" si="9"/>
        <v>199.82458063919339</v>
      </c>
      <c r="O30" s="89">
        <f t="shared" si="10"/>
        <v>0</v>
      </c>
      <c r="P30" s="89">
        <f t="shared" si="10"/>
        <v>0</v>
      </c>
      <c r="Q30" s="89">
        <f t="shared" si="10"/>
        <v>0</v>
      </c>
      <c r="R30" s="89">
        <f t="shared" si="11"/>
        <v>199.82458063919339</v>
      </c>
    </row>
    <row r="31" spans="1:18" s="23" customFormat="1" x14ac:dyDescent="0.25">
      <c r="A31" s="2141" t="s">
        <v>1711</v>
      </c>
      <c r="B31" s="2142" t="s">
        <v>2831</v>
      </c>
      <c r="C31" s="2135">
        <v>0</v>
      </c>
      <c r="D31" s="2135">
        <v>0</v>
      </c>
      <c r="E31" s="2135">
        <v>0</v>
      </c>
      <c r="F31" s="2144">
        <v>0</v>
      </c>
      <c r="G31" s="2135">
        <v>0</v>
      </c>
      <c r="H31" s="2168">
        <f t="shared" si="2"/>
        <v>0</v>
      </c>
      <c r="I31" s="2169">
        <f t="shared" si="6"/>
        <v>0</v>
      </c>
      <c r="J31" s="89">
        <f t="shared" si="7"/>
        <v>0</v>
      </c>
      <c r="K31" s="89">
        <f t="shared" si="7"/>
        <v>0</v>
      </c>
      <c r="L31" s="89">
        <f t="shared" si="7"/>
        <v>0</v>
      </c>
      <c r="M31" s="89">
        <f t="shared" si="8"/>
        <v>0</v>
      </c>
      <c r="N31" s="2169">
        <f t="shared" si="9"/>
        <v>0</v>
      </c>
      <c r="O31" s="89">
        <f t="shared" si="10"/>
        <v>0</v>
      </c>
      <c r="P31" s="89">
        <f t="shared" si="10"/>
        <v>0</v>
      </c>
      <c r="Q31" s="89">
        <f t="shared" si="10"/>
        <v>0</v>
      </c>
      <c r="R31" s="89">
        <f t="shared" si="11"/>
        <v>0</v>
      </c>
    </row>
    <row r="32" spans="1:18" s="23" customFormat="1" x14ac:dyDescent="0.25">
      <c r="A32" s="2141" t="s">
        <v>1714</v>
      </c>
      <c r="B32" s="2142" t="s">
        <v>2833</v>
      </c>
      <c r="C32" s="2135">
        <f>'Д 2_Т на В'!H42</f>
        <v>0</v>
      </c>
      <c r="D32" s="2135">
        <f>C32/$C$41</f>
        <v>0</v>
      </c>
      <c r="E32" s="2135">
        <f t="shared" ref="E32:E34" si="15">C32/$C$41</f>
        <v>0</v>
      </c>
      <c r="F32" s="2144">
        <v>0</v>
      </c>
      <c r="G32" s="2135">
        <f t="shared" ref="G32:G34" si="16">C32/$C$41</f>
        <v>0</v>
      </c>
      <c r="H32" s="2168">
        <f t="shared" si="2"/>
        <v>0</v>
      </c>
      <c r="I32" s="2169">
        <f t="shared" si="6"/>
        <v>0</v>
      </c>
      <c r="J32" s="89">
        <f t="shared" si="7"/>
        <v>0</v>
      </c>
      <c r="K32" s="89">
        <f t="shared" si="7"/>
        <v>0</v>
      </c>
      <c r="L32" s="89">
        <f t="shared" si="7"/>
        <v>0</v>
      </c>
      <c r="M32" s="89">
        <f t="shared" si="8"/>
        <v>0</v>
      </c>
      <c r="N32" s="2169">
        <f t="shared" si="9"/>
        <v>0</v>
      </c>
      <c r="O32" s="89">
        <f t="shared" si="10"/>
        <v>0</v>
      </c>
      <c r="P32" s="89">
        <f t="shared" si="10"/>
        <v>0</v>
      </c>
      <c r="Q32" s="89">
        <f t="shared" si="10"/>
        <v>0</v>
      </c>
      <c r="R32" s="89">
        <f t="shared" si="11"/>
        <v>0</v>
      </c>
    </row>
    <row r="33" spans="1:22" s="23" customFormat="1" x14ac:dyDescent="0.25">
      <c r="A33" s="2141" t="s">
        <v>1786</v>
      </c>
      <c r="B33" s="2142" t="s">
        <v>2834</v>
      </c>
      <c r="C33" s="2135">
        <v>0</v>
      </c>
      <c r="D33" s="2135">
        <f t="shared" ref="D33:D34" si="17">C33/$C$41</f>
        <v>0</v>
      </c>
      <c r="E33" s="2135">
        <f t="shared" si="15"/>
        <v>0</v>
      </c>
      <c r="F33" s="2144">
        <v>0</v>
      </c>
      <c r="G33" s="2135">
        <f t="shared" si="16"/>
        <v>0</v>
      </c>
      <c r="H33" s="2168">
        <f t="shared" si="2"/>
        <v>0</v>
      </c>
      <c r="I33" s="2169">
        <f t="shared" si="6"/>
        <v>0</v>
      </c>
      <c r="J33" s="89">
        <f t="shared" si="7"/>
        <v>0</v>
      </c>
      <c r="K33" s="89">
        <f t="shared" si="7"/>
        <v>0</v>
      </c>
      <c r="L33" s="89">
        <f t="shared" si="7"/>
        <v>0</v>
      </c>
      <c r="M33" s="89">
        <f t="shared" si="8"/>
        <v>0</v>
      </c>
      <c r="N33" s="2169">
        <f t="shared" si="9"/>
        <v>0</v>
      </c>
      <c r="O33" s="89">
        <f t="shared" si="10"/>
        <v>0</v>
      </c>
      <c r="P33" s="89">
        <f t="shared" si="10"/>
        <v>0</v>
      </c>
      <c r="Q33" s="89">
        <f t="shared" si="10"/>
        <v>0</v>
      </c>
      <c r="R33" s="89">
        <f t="shared" si="11"/>
        <v>0</v>
      </c>
    </row>
    <row r="34" spans="1:22" s="23" customFormat="1" x14ac:dyDescent="0.25">
      <c r="A34" s="2141" t="s">
        <v>1792</v>
      </c>
      <c r="B34" s="2142" t="s">
        <v>2835</v>
      </c>
      <c r="C34" s="2158">
        <f>'Д 2_Т на В'!H44</f>
        <v>0</v>
      </c>
      <c r="D34" s="2159">
        <f t="shared" si="17"/>
        <v>0</v>
      </c>
      <c r="E34" s="2159">
        <f t="shared" si="15"/>
        <v>0</v>
      </c>
      <c r="F34" s="2144">
        <v>0</v>
      </c>
      <c r="G34" s="2159">
        <f t="shared" si="16"/>
        <v>0</v>
      </c>
      <c r="H34" s="2168">
        <f t="shared" si="2"/>
        <v>0</v>
      </c>
      <c r="I34" s="2169">
        <f t="shared" si="6"/>
        <v>0</v>
      </c>
      <c r="J34" s="89">
        <f t="shared" si="7"/>
        <v>0</v>
      </c>
      <c r="K34" s="89">
        <f t="shared" si="7"/>
        <v>0</v>
      </c>
      <c r="L34" s="89">
        <f t="shared" si="7"/>
        <v>0</v>
      </c>
      <c r="M34" s="89">
        <f t="shared" si="8"/>
        <v>0</v>
      </c>
      <c r="N34" s="2169">
        <f t="shared" si="9"/>
        <v>0</v>
      </c>
      <c r="O34" s="89">
        <f t="shared" si="10"/>
        <v>0</v>
      </c>
      <c r="P34" s="89">
        <f t="shared" si="10"/>
        <v>0</v>
      </c>
      <c r="Q34" s="89">
        <f t="shared" si="10"/>
        <v>0</v>
      </c>
      <c r="R34" s="89">
        <f t="shared" si="11"/>
        <v>0</v>
      </c>
    </row>
    <row r="35" spans="1:22" s="23" customFormat="1" ht="29.25" x14ac:dyDescent="0.25">
      <c r="A35" s="2141" t="s">
        <v>1798</v>
      </c>
      <c r="B35" s="2142" t="s">
        <v>2836</v>
      </c>
      <c r="C35" s="2135">
        <f>SUM(C36:C39)</f>
        <v>1752.0753915411819</v>
      </c>
      <c r="D35" s="2135">
        <v>0</v>
      </c>
      <c r="E35" s="2135">
        <v>0</v>
      </c>
      <c r="F35" s="2135">
        <f>F36+F37+F38+F39</f>
        <v>0</v>
      </c>
      <c r="G35" s="2135">
        <f>'Д 2_Т на В'!X45/'Д 2_Т на В'!X$58*1000</f>
        <v>390.06137146418024</v>
      </c>
      <c r="H35" s="2168">
        <f t="shared" si="2"/>
        <v>0</v>
      </c>
      <c r="I35" s="2169">
        <f t="shared" si="6"/>
        <v>512.74309018890347</v>
      </c>
      <c r="J35" s="89">
        <f t="shared" si="7"/>
        <v>0</v>
      </c>
      <c r="K35" s="89">
        <f t="shared" si="7"/>
        <v>0</v>
      </c>
      <c r="L35" s="89">
        <f t="shared" si="7"/>
        <v>0</v>
      </c>
      <c r="M35" s="89">
        <f t="shared" si="8"/>
        <v>512.74309018890347</v>
      </c>
      <c r="N35" s="2169">
        <f t="shared" si="9"/>
        <v>1239.3323013522788</v>
      </c>
      <c r="O35" s="89">
        <f t="shared" si="10"/>
        <v>0</v>
      </c>
      <c r="P35" s="89">
        <f t="shared" si="10"/>
        <v>0</v>
      </c>
      <c r="Q35" s="89">
        <f t="shared" si="10"/>
        <v>0</v>
      </c>
      <c r="R35" s="89">
        <f t="shared" si="11"/>
        <v>1239.3323013522788</v>
      </c>
    </row>
    <row r="36" spans="1:22" x14ac:dyDescent="0.25">
      <c r="A36" s="2146" t="s">
        <v>1101</v>
      </c>
      <c r="B36" s="2314" t="s">
        <v>65</v>
      </c>
      <c r="C36" s="2144">
        <f>'Д 2_Т на В'!H46</f>
        <v>171.77209720991979</v>
      </c>
      <c r="D36" s="2144">
        <v>0</v>
      </c>
      <c r="E36" s="2144">
        <v>0</v>
      </c>
      <c r="F36" s="2144">
        <v>0</v>
      </c>
      <c r="G36" s="2144">
        <f>'Д 2_Т на В'!X46/'Д 2_Т на В'!X$58*1000</f>
        <v>38.241310927860809</v>
      </c>
      <c r="H36" s="2168">
        <f t="shared" si="2"/>
        <v>0</v>
      </c>
      <c r="I36" s="2169">
        <f t="shared" si="6"/>
        <v>50.268930410676802</v>
      </c>
      <c r="J36" s="89">
        <f t="shared" si="7"/>
        <v>0</v>
      </c>
      <c r="K36" s="89">
        <f t="shared" si="7"/>
        <v>0</v>
      </c>
      <c r="L36" s="89">
        <f t="shared" si="7"/>
        <v>0</v>
      </c>
      <c r="M36" s="89">
        <f t="shared" si="8"/>
        <v>50.268930410676802</v>
      </c>
      <c r="N36" s="2169">
        <f t="shared" si="9"/>
        <v>121.503166799243</v>
      </c>
      <c r="O36" s="89">
        <f t="shared" si="10"/>
        <v>0</v>
      </c>
      <c r="P36" s="89">
        <f t="shared" si="10"/>
        <v>0</v>
      </c>
      <c r="Q36" s="89">
        <f t="shared" si="10"/>
        <v>0</v>
      </c>
      <c r="R36" s="89">
        <f t="shared" si="11"/>
        <v>121.503166799243</v>
      </c>
    </row>
    <row r="37" spans="1:22" x14ac:dyDescent="0.25">
      <c r="A37" s="2146" t="s">
        <v>2847</v>
      </c>
      <c r="B37" s="2314" t="s">
        <v>85</v>
      </c>
      <c r="C37" s="2144">
        <f>'Д 2_Т на В'!H47</f>
        <v>626.01386538726319</v>
      </c>
      <c r="D37" s="2144">
        <v>0</v>
      </c>
      <c r="E37" s="2144">
        <v>0</v>
      </c>
      <c r="F37" s="2144">
        <v>0</v>
      </c>
      <c r="G37" s="2144">
        <f>'Д 2_Т на В'!X47/'Д 2_Т на В'!X$58*1000</f>
        <v>139.36833315931494</v>
      </c>
      <c r="H37" s="2168">
        <f t="shared" si="2"/>
        <v>0</v>
      </c>
      <c r="I37" s="2169">
        <f t="shared" si="6"/>
        <v>183.20232416335546</v>
      </c>
      <c r="J37" s="89">
        <f t="shared" si="7"/>
        <v>0</v>
      </c>
      <c r="K37" s="89">
        <f t="shared" si="7"/>
        <v>0</v>
      </c>
      <c r="L37" s="89">
        <f t="shared" si="7"/>
        <v>0</v>
      </c>
      <c r="M37" s="89">
        <f t="shared" si="8"/>
        <v>183.20232416335546</v>
      </c>
      <c r="N37" s="2169">
        <f t="shared" si="9"/>
        <v>442.8115412239078</v>
      </c>
      <c r="O37" s="89">
        <f t="shared" si="10"/>
        <v>0</v>
      </c>
      <c r="P37" s="89">
        <f t="shared" si="10"/>
        <v>0</v>
      </c>
      <c r="Q37" s="89">
        <f t="shared" si="10"/>
        <v>0</v>
      </c>
      <c r="R37" s="89">
        <f t="shared" si="11"/>
        <v>442.8115412239078</v>
      </c>
    </row>
    <row r="38" spans="1:22" x14ac:dyDescent="0.25">
      <c r="A38" s="2146" t="s">
        <v>2848</v>
      </c>
      <c r="B38" s="2314" t="s">
        <v>71</v>
      </c>
      <c r="C38" s="2144">
        <f>'Д 2_Т на В'!H48</f>
        <v>0</v>
      </c>
      <c r="D38" s="2144">
        <v>0</v>
      </c>
      <c r="E38" s="2144">
        <v>0</v>
      </c>
      <c r="F38" s="2144">
        <f>'Д 2_Т на В'!W48/'Д 2_Т на В'!W$58*1000</f>
        <v>0</v>
      </c>
      <c r="G38" s="2144">
        <f>'Д 2_Т на В'!X48/'Д 2_Т на В'!X$58*1000</f>
        <v>0</v>
      </c>
      <c r="H38" s="2168">
        <f t="shared" si="2"/>
        <v>0</v>
      </c>
      <c r="I38" s="2169">
        <f t="shared" si="6"/>
        <v>0</v>
      </c>
      <c r="J38" s="89">
        <f t="shared" si="7"/>
        <v>0</v>
      </c>
      <c r="K38" s="89">
        <f t="shared" si="7"/>
        <v>0</v>
      </c>
      <c r="L38" s="89">
        <f t="shared" si="7"/>
        <v>0</v>
      </c>
      <c r="M38" s="89">
        <f t="shared" si="8"/>
        <v>0</v>
      </c>
      <c r="N38" s="2169">
        <f t="shared" si="9"/>
        <v>0</v>
      </c>
      <c r="O38" s="89">
        <f t="shared" si="10"/>
        <v>0</v>
      </c>
      <c r="P38" s="89">
        <f t="shared" si="10"/>
        <v>0</v>
      </c>
      <c r="Q38" s="89">
        <f t="shared" si="10"/>
        <v>0</v>
      </c>
      <c r="R38" s="89">
        <f t="shared" si="11"/>
        <v>0</v>
      </c>
    </row>
    <row r="39" spans="1:22" x14ac:dyDescent="0.25">
      <c r="A39" s="2146" t="s">
        <v>2849</v>
      </c>
      <c r="B39" s="2314" t="s">
        <v>2394</v>
      </c>
      <c r="C39" s="2144">
        <f>'Д 2_Т на В'!H50</f>
        <v>954.28942894399881</v>
      </c>
      <c r="D39" s="2144">
        <v>0</v>
      </c>
      <c r="E39" s="2144">
        <v>0</v>
      </c>
      <c r="F39" s="2144">
        <v>0</v>
      </c>
      <c r="G39" s="2144">
        <f>'Д 2_Т на В'!X50/'Д 2_Т на В'!X$58*1000</f>
        <v>212.45172737700446</v>
      </c>
      <c r="H39" s="2168">
        <f t="shared" si="2"/>
        <v>0</v>
      </c>
      <c r="I39" s="2169">
        <f t="shared" si="6"/>
        <v>279.27183561487112</v>
      </c>
      <c r="J39" s="89">
        <f t="shared" si="7"/>
        <v>0</v>
      </c>
      <c r="K39" s="89">
        <f t="shared" si="7"/>
        <v>0</v>
      </c>
      <c r="L39" s="89">
        <f t="shared" si="7"/>
        <v>0</v>
      </c>
      <c r="M39" s="89">
        <f t="shared" si="8"/>
        <v>279.27183561487112</v>
      </c>
      <c r="N39" s="2169">
        <f t="shared" si="9"/>
        <v>675.01759332912775</v>
      </c>
      <c r="O39" s="89">
        <f t="shared" si="10"/>
        <v>0</v>
      </c>
      <c r="P39" s="89">
        <f t="shared" si="10"/>
        <v>0</v>
      </c>
      <c r="Q39" s="89">
        <f t="shared" si="10"/>
        <v>0</v>
      </c>
      <c r="R39" s="89">
        <f t="shared" si="11"/>
        <v>675.01759332912775</v>
      </c>
    </row>
    <row r="40" spans="1:22" ht="28.9" customHeight="1" x14ac:dyDescent="0.25">
      <c r="A40" s="2160" t="s">
        <v>1800</v>
      </c>
      <c r="B40" s="2161" t="s">
        <v>2850</v>
      </c>
      <c r="C40" s="2158">
        <f>C10+C26+C31+C32+C33+C34+C35</f>
        <v>25609.31111514115</v>
      </c>
      <c r="D40" s="2135">
        <f>D10+D26+D31+D32+D33+D34+D35</f>
        <v>0</v>
      </c>
      <c r="E40" s="2135">
        <f t="shared" ref="E40" si="18">E10+E26+E31+E32+E33+E34+E35</f>
        <v>0</v>
      </c>
      <c r="F40" s="2144">
        <v>0</v>
      </c>
      <c r="G40" s="2135">
        <f>G10+G26+G31+G32+G33+G34+G35</f>
        <v>5701.3545558892911</v>
      </c>
      <c r="H40" s="2168">
        <f>I40+N40-C40</f>
        <v>0</v>
      </c>
      <c r="I40" s="2169">
        <f>I10+I26+I35</f>
        <v>7494.5389805606801</v>
      </c>
      <c r="J40" s="89">
        <f t="shared" si="7"/>
        <v>0</v>
      </c>
      <c r="K40" s="89">
        <f t="shared" si="7"/>
        <v>0</v>
      </c>
      <c r="L40" s="89">
        <f t="shared" si="7"/>
        <v>0</v>
      </c>
      <c r="M40" s="89">
        <f>M10+M26+M35</f>
        <v>7494.5389805606801</v>
      </c>
      <c r="N40" s="2169">
        <f>N10+N26+N31+N32+N33+N34+N35</f>
        <v>18114.772134580471</v>
      </c>
      <c r="O40" s="89">
        <f t="shared" si="10"/>
        <v>0</v>
      </c>
      <c r="P40" s="89">
        <f t="shared" si="10"/>
        <v>0</v>
      </c>
      <c r="Q40" s="89">
        <f t="shared" si="10"/>
        <v>0</v>
      </c>
      <c r="R40" s="89">
        <f>R10+R26+R35</f>
        <v>18114.772134580471</v>
      </c>
      <c r="T40" s="828">
        <f>I40+N40</f>
        <v>25609.31111514115</v>
      </c>
      <c r="V40" s="828"/>
    </row>
    <row r="41" spans="1:22" s="23" customFormat="1" ht="45.75" customHeight="1" thickBot="1" x14ac:dyDescent="0.25">
      <c r="A41" s="2162" t="s">
        <v>1802</v>
      </c>
      <c r="B41" s="1176" t="s">
        <v>3112</v>
      </c>
      <c r="C41" s="2574">
        <f>G41+F41+E41+D41</f>
        <v>4.4917941629656521</v>
      </c>
      <c r="D41" s="2138">
        <f>ТЕ_1ст_вих!F23-ТЕ_1ст_вих!F24</f>
        <v>0</v>
      </c>
      <c r="E41" s="2138">
        <f>ТЕ_1ст_вих!G23-ТЕ_1ст_вих!G24</f>
        <v>0</v>
      </c>
      <c r="F41" s="2577">
        <f>ТЕ_1ст_вих!H23-ТЕ_1ст_вих!H24</f>
        <v>0</v>
      </c>
      <c r="G41" s="2577">
        <f>ТЕ_1ст_вих!I23-ТЕ_1ст_вих!I24</f>
        <v>4.4917941629656521</v>
      </c>
      <c r="H41" s="1285"/>
    </row>
    <row r="42" spans="1:22" s="58" customFormat="1" ht="41.45" customHeight="1" x14ac:dyDescent="0.25">
      <c r="A42" s="53"/>
      <c r="D42" s="53"/>
      <c r="H42" s="1841"/>
    </row>
    <row r="43" spans="1:22" x14ac:dyDescent="0.25">
      <c r="B43" s="18" t="s">
        <v>3444</v>
      </c>
      <c r="C43" s="3499"/>
      <c r="D43" s="2153"/>
      <c r="E43" s="2153" t="s">
        <v>3445</v>
      </c>
      <c r="F43" s="2153"/>
      <c r="G43" s="2153"/>
    </row>
    <row r="44" spans="1:22" x14ac:dyDescent="0.25">
      <c r="C44" s="2154"/>
      <c r="D44" s="2155"/>
      <c r="E44" s="2155"/>
      <c r="F44" s="2155"/>
      <c r="G44" s="2155"/>
    </row>
    <row r="45" spans="1:22" x14ac:dyDescent="0.25">
      <c r="C45" s="2153"/>
      <c r="D45" s="2153"/>
      <c r="E45" s="2153"/>
      <c r="F45" s="2153"/>
      <c r="G45" s="2153"/>
    </row>
    <row r="46" spans="1:22" x14ac:dyDescent="0.25">
      <c r="D46" s="2167"/>
      <c r="E46" s="2167"/>
      <c r="F46" s="2167"/>
      <c r="G46" s="2167"/>
    </row>
    <row r="47" spans="1:22" x14ac:dyDescent="0.25">
      <c r="C47" s="2374"/>
    </row>
    <row r="48" spans="1:22" x14ac:dyDescent="0.25">
      <c r="F48" s="2135"/>
    </row>
  </sheetData>
  <mergeCells count="9">
    <mergeCell ref="B9:G9"/>
    <mergeCell ref="E1:G1"/>
    <mergeCell ref="I5:I6"/>
    <mergeCell ref="N5:N6"/>
    <mergeCell ref="A3:G3"/>
    <mergeCell ref="A5:A6"/>
    <mergeCell ref="B5:B6"/>
    <mergeCell ref="C5:C6"/>
    <mergeCell ref="D5:G5"/>
  </mergeCells>
  <pageMargins left="0.78740157480314965" right="0.43307086614173229" top="0.78740157480314965" bottom="0.74803149606299213" header="0.31496062992125984" footer="0.31496062992125984"/>
  <pageSetup paperSize="9" scale="75" fitToHeight="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EC20C5"/>
    <pageSetUpPr fitToPage="1"/>
  </sheetPr>
  <dimension ref="A1:H46"/>
  <sheetViews>
    <sheetView zoomScaleNormal="100" workbookViewId="0">
      <selection activeCell="E1" sqref="E1:G1"/>
    </sheetView>
  </sheetViews>
  <sheetFormatPr defaultColWidth="9.140625" defaultRowHeight="15" x14ac:dyDescent="0.25"/>
  <cols>
    <col min="1" max="1" width="7.85546875" style="1734" customWidth="1"/>
    <col min="2" max="2" width="46" style="110" customWidth="1"/>
    <col min="3" max="3" width="12.7109375" style="18" customWidth="1"/>
    <col min="4" max="4" width="11.140625" style="1734" customWidth="1"/>
    <col min="5" max="7" width="11.7109375" style="18" customWidth="1"/>
    <col min="8" max="8" width="17.5703125" style="18" customWidth="1"/>
    <col min="9" max="16384" width="9.140625" style="18"/>
  </cols>
  <sheetData>
    <row r="1" spans="1:8" ht="64.150000000000006" customHeight="1" x14ac:dyDescent="0.25">
      <c r="A1" s="3491"/>
      <c r="E1" s="4612" t="s">
        <v>3457</v>
      </c>
      <c r="F1" s="4612"/>
      <c r="G1" s="4612"/>
    </row>
    <row r="2" spans="1:8" ht="22.15" customHeight="1" x14ac:dyDescent="0.25">
      <c r="A2" s="3491"/>
      <c r="F2" s="3480"/>
      <c r="G2" s="3480"/>
    </row>
    <row r="3" spans="1:8" ht="45.75" customHeight="1" x14ac:dyDescent="0.25">
      <c r="A3" s="4060" t="s">
        <v>3447</v>
      </c>
      <c r="B3" s="4060"/>
      <c r="C3" s="4060"/>
      <c r="D3" s="4060"/>
      <c r="E3" s="4060"/>
      <c r="F3" s="4060"/>
      <c r="G3" s="4060"/>
    </row>
    <row r="4" spans="1:8" ht="15.75" thickBot="1" x14ac:dyDescent="0.3">
      <c r="G4" s="18" t="s">
        <v>1666</v>
      </c>
    </row>
    <row r="5" spans="1:8" ht="30" customHeight="1" thickBot="1" x14ac:dyDescent="0.3">
      <c r="A5" s="4061" t="s">
        <v>7</v>
      </c>
      <c r="B5" s="4061" t="s">
        <v>620</v>
      </c>
      <c r="C5" s="4061" t="s">
        <v>2788</v>
      </c>
      <c r="D5" s="4064" t="s">
        <v>2789</v>
      </c>
      <c r="E5" s="4065"/>
      <c r="F5" s="4065"/>
      <c r="G5" s="4066"/>
      <c r="H5" s="110"/>
    </row>
    <row r="6" spans="1:8" ht="75" customHeight="1" thickBot="1" x14ac:dyDescent="0.3">
      <c r="A6" s="4062"/>
      <c r="B6" s="4063"/>
      <c r="C6" s="4063"/>
      <c r="D6" s="2127" t="s">
        <v>2790</v>
      </c>
      <c r="E6" s="2127" t="s">
        <v>2791</v>
      </c>
      <c r="F6" s="2127" t="s">
        <v>2792</v>
      </c>
      <c r="G6" s="2127" t="s">
        <v>2857</v>
      </c>
    </row>
    <row r="7" spans="1:8" ht="15.75" thickBot="1" x14ac:dyDescent="0.3">
      <c r="A7" s="2128">
        <v>1</v>
      </c>
      <c r="B7" s="2343">
        <v>2</v>
      </c>
      <c r="C7" s="2114">
        <v>3</v>
      </c>
      <c r="D7" s="2128">
        <v>4</v>
      </c>
      <c r="E7" s="2114">
        <v>5</v>
      </c>
      <c r="F7" s="2129">
        <v>6</v>
      </c>
      <c r="G7" s="2115">
        <v>7</v>
      </c>
    </row>
    <row r="8" spans="1:8" ht="70.5" customHeight="1" thickBot="1" x14ac:dyDescent="0.3">
      <c r="A8" s="2156" t="s">
        <v>2795</v>
      </c>
      <c r="B8" s="2344" t="s">
        <v>3362</v>
      </c>
      <c r="C8" s="2152">
        <f>(C31+C32+C33+C34+C35+C36)</f>
        <v>3671.6490210878978</v>
      </c>
      <c r="D8" s="2152">
        <f>(D31+D32+D33+D34+D35+D36)</f>
        <v>0</v>
      </c>
      <c r="E8" s="2152">
        <f t="shared" ref="E8:G8" si="0">(E31+E32+E33+E34+E35+E36)</f>
        <v>0</v>
      </c>
      <c r="F8" s="2152">
        <f t="shared" si="0"/>
        <v>0</v>
      </c>
      <c r="G8" s="2152">
        <f t="shared" si="0"/>
        <v>3254.4828485840603</v>
      </c>
    </row>
    <row r="9" spans="1:8" ht="34.5" customHeight="1" thickBot="1" x14ac:dyDescent="0.3">
      <c r="A9" s="2140" t="s">
        <v>2800</v>
      </c>
      <c r="B9" s="4056" t="s">
        <v>2854</v>
      </c>
      <c r="C9" s="4057"/>
      <c r="D9" s="4057"/>
      <c r="E9" s="4057"/>
      <c r="F9" s="4057"/>
      <c r="G9" s="4058"/>
    </row>
    <row r="10" spans="1:8" s="23" customFormat="1" ht="14.25" x14ac:dyDescent="0.2">
      <c r="A10" s="2141" t="s">
        <v>1687</v>
      </c>
      <c r="B10" s="2142" t="s">
        <v>2802</v>
      </c>
      <c r="C10" s="2135">
        <f>C11+C15+C16+C20</f>
        <v>2267.1056768599933</v>
      </c>
      <c r="D10" s="181">
        <f>D11+D15+D16+D20</f>
        <v>0</v>
      </c>
      <c r="E10" s="181">
        <f t="shared" ref="E10:G10" si="1">E11+E15+E16+E20</f>
        <v>0</v>
      </c>
      <c r="F10" s="181">
        <f t="shared" si="1"/>
        <v>0</v>
      </c>
      <c r="G10" s="181">
        <f t="shared" si="1"/>
        <v>2009.5211984837949</v>
      </c>
    </row>
    <row r="11" spans="1:8" x14ac:dyDescent="0.25">
      <c r="A11" s="2143" t="s">
        <v>1689</v>
      </c>
      <c r="B11" s="2314" t="s">
        <v>2851</v>
      </c>
      <c r="C11" s="2144">
        <f>SUM(C12:C14)</f>
        <v>275.33852594066832</v>
      </c>
      <c r="D11" s="2144">
        <v>0</v>
      </c>
      <c r="E11" s="2144">
        <f t="shared" ref="E11:G11" si="2">SUM(E12:E14)</f>
        <v>0</v>
      </c>
      <c r="F11" s="2144">
        <v>0</v>
      </c>
      <c r="G11" s="2144">
        <f t="shared" si="2"/>
        <v>244.05505675561972</v>
      </c>
    </row>
    <row r="12" spans="1:8" ht="30" x14ac:dyDescent="0.25">
      <c r="A12" s="2143" t="s">
        <v>2804</v>
      </c>
      <c r="B12" s="2314" t="s">
        <v>2807</v>
      </c>
      <c r="C12" s="2144">
        <f>Виробництво_Транспортування_1ст!K102</f>
        <v>224.21895046888267</v>
      </c>
      <c r="D12" s="2144">
        <v>0</v>
      </c>
      <c r="E12" s="2144">
        <v>0</v>
      </c>
      <c r="F12" s="2144">
        <v>0</v>
      </c>
      <c r="G12" s="2144">
        <f>C12/$C$41</f>
        <v>198.74359570792657</v>
      </c>
    </row>
    <row r="13" spans="1:8" ht="30" x14ac:dyDescent="0.25">
      <c r="A13" s="2143" t="s">
        <v>2806</v>
      </c>
      <c r="B13" s="2314" t="s">
        <v>2809</v>
      </c>
      <c r="C13" s="2144">
        <f>Виробництво_Транспортування_1ст!K103</f>
        <v>36.329496310799996</v>
      </c>
      <c r="D13" s="2144">
        <v>0</v>
      </c>
      <c r="E13" s="2144">
        <v>0</v>
      </c>
      <c r="F13" s="2144">
        <v>0</v>
      </c>
      <c r="G13" s="2144">
        <f t="shared" ref="G13:G29" si="3">C13/$C$41</f>
        <v>32.201804138175547</v>
      </c>
    </row>
    <row r="14" spans="1:8" ht="30" x14ac:dyDescent="0.25">
      <c r="A14" s="2143" t="s">
        <v>2808</v>
      </c>
      <c r="B14" s="2314" t="s">
        <v>2173</v>
      </c>
      <c r="C14" s="2144">
        <f>Виробництво_Транспортування_1ст!K101-Виробництво_Транспортування_1ст!K102-Виробництво_Транспортування_1ст!K103-Виробництво_Транспортування_1ст!K114</f>
        <v>14.79007916098567</v>
      </c>
      <c r="D14" s="2144">
        <v>0</v>
      </c>
      <c r="E14" s="2144">
        <v>0</v>
      </c>
      <c r="F14" s="2144">
        <v>0</v>
      </c>
      <c r="G14" s="2144">
        <f t="shared" si="3"/>
        <v>13.109656909517572</v>
      </c>
    </row>
    <row r="15" spans="1:8" x14ac:dyDescent="0.25">
      <c r="A15" s="2143" t="s">
        <v>1691</v>
      </c>
      <c r="B15" s="2314" t="s">
        <v>2811</v>
      </c>
      <c r="C15" s="2144">
        <f>Виробництво_Транспортування_1ст!K115</f>
        <v>1037.5551852318399</v>
      </c>
      <c r="D15" s="2144">
        <v>0</v>
      </c>
      <c r="E15" s="2144">
        <v>0</v>
      </c>
      <c r="F15" s="2144">
        <v>0</v>
      </c>
      <c r="G15" s="2144">
        <f t="shared" si="3"/>
        <v>919.67002711930604</v>
      </c>
    </row>
    <row r="16" spans="1:8" ht="14.45" customHeight="1" x14ac:dyDescent="0.25">
      <c r="A16" s="2143" t="s">
        <v>1694</v>
      </c>
      <c r="B16" s="2314" t="s">
        <v>2812</v>
      </c>
      <c r="C16" s="2144">
        <f>C17+C18+C19</f>
        <v>657.444765867765</v>
      </c>
      <c r="D16" s="2144">
        <v>0</v>
      </c>
      <c r="E16" s="2144">
        <v>0</v>
      </c>
      <c r="F16" s="2144">
        <v>0</v>
      </c>
      <c r="G16" s="2144">
        <f t="shared" si="3"/>
        <v>582.7470714436738</v>
      </c>
    </row>
    <row r="17" spans="1:7" x14ac:dyDescent="0.25">
      <c r="A17" s="2143" t="s">
        <v>2813</v>
      </c>
      <c r="B17" s="2314" t="s">
        <v>2827</v>
      </c>
      <c r="C17" s="2144">
        <f>Виробництво_Транспортування_1ст!K118</f>
        <v>228.26214075100478</v>
      </c>
      <c r="D17" s="2144">
        <v>0</v>
      </c>
      <c r="E17" s="2144">
        <v>0</v>
      </c>
      <c r="F17" s="2144">
        <v>0</v>
      </c>
      <c r="G17" s="2144">
        <f t="shared" si="3"/>
        <v>202.32740596624731</v>
      </c>
    </row>
    <row r="18" spans="1:7" x14ac:dyDescent="0.25">
      <c r="A18" s="2143" t="s">
        <v>2815</v>
      </c>
      <c r="B18" s="2314" t="s">
        <v>2816</v>
      </c>
      <c r="C18" s="2144">
        <f>Виробництво_Транспортування_1ст!K119+Виробництво_Транспортування_1ст!K120</f>
        <v>21.787722475140004</v>
      </c>
      <c r="D18" s="2144">
        <v>0</v>
      </c>
      <c r="E18" s="2144">
        <v>0</v>
      </c>
      <c r="F18" s="2144">
        <v>0</v>
      </c>
      <c r="G18" s="2144">
        <f>C18/$C$41</f>
        <v>19.312240548537737</v>
      </c>
    </row>
    <row r="19" spans="1:7" ht="15.6" customHeight="1" x14ac:dyDescent="0.25">
      <c r="A19" s="2143" t="s">
        <v>2817</v>
      </c>
      <c r="B19" s="2314" t="s">
        <v>82</v>
      </c>
      <c r="C19" s="2144">
        <f>Виробництво_Транспортування_1ст!K117-Виробництво_Транспортування_1ст!K118-Виробництво_Транспортування_1ст!K119-Виробництво_Транспортування_1ст!K120</f>
        <v>407.39490264162021</v>
      </c>
      <c r="D19" s="2144">
        <v>0</v>
      </c>
      <c r="E19" s="2144">
        <v>0</v>
      </c>
      <c r="F19" s="2144">
        <v>0</v>
      </c>
      <c r="G19" s="2144">
        <f t="shared" si="3"/>
        <v>361.10742492888875</v>
      </c>
    </row>
    <row r="20" spans="1:7" s="23" customFormat="1" ht="14.25" x14ac:dyDescent="0.2">
      <c r="A20" s="2145" t="s">
        <v>1696</v>
      </c>
      <c r="B20" s="2142" t="s">
        <v>2818</v>
      </c>
      <c r="C20" s="2135">
        <f>C21+C22+C23+C24</f>
        <v>296.76719981972008</v>
      </c>
      <c r="D20" s="181">
        <f t="shared" ref="D20:F20" si="4">D21+D22+D23+D24</f>
        <v>0</v>
      </c>
      <c r="E20" s="181">
        <f t="shared" si="4"/>
        <v>0</v>
      </c>
      <c r="F20" s="181">
        <f t="shared" si="4"/>
        <v>0</v>
      </c>
      <c r="G20" s="2135">
        <f t="shared" si="3"/>
        <v>263.04904316519531</v>
      </c>
    </row>
    <row r="21" spans="1:7" x14ac:dyDescent="0.25">
      <c r="A21" s="2146" t="s">
        <v>2819</v>
      </c>
      <c r="B21" s="2314" t="s">
        <v>2820</v>
      </c>
      <c r="C21" s="2144">
        <f>ЗВВ_1ст!I21</f>
        <v>214.91847863848719</v>
      </c>
      <c r="D21" s="2144">
        <v>0</v>
      </c>
      <c r="E21" s="2144">
        <v>0</v>
      </c>
      <c r="F21" s="2144">
        <v>0</v>
      </c>
      <c r="G21" s="2144">
        <f t="shared" si="3"/>
        <v>190.49982679594245</v>
      </c>
    </row>
    <row r="22" spans="1:7" x14ac:dyDescent="0.25">
      <c r="A22" s="2146" t="s">
        <v>2821</v>
      </c>
      <c r="B22" s="2314" t="s">
        <v>2175</v>
      </c>
      <c r="C22" s="2144">
        <f>ЗВВ_1ст!I23</f>
        <v>47.282065300467181</v>
      </c>
      <c r="D22" s="2144">
        <v>0</v>
      </c>
      <c r="E22" s="2144">
        <v>0</v>
      </c>
      <c r="F22" s="2144">
        <v>0</v>
      </c>
      <c r="G22" s="2144">
        <f t="shared" si="3"/>
        <v>41.909961895107344</v>
      </c>
    </row>
    <row r="23" spans="1:7" x14ac:dyDescent="0.25">
      <c r="A23" s="2146" t="s">
        <v>2822</v>
      </c>
      <c r="B23" s="2314" t="s">
        <v>2816</v>
      </c>
      <c r="C23" s="2144">
        <f>ЗВВ_1ст!I37+ЗВВ_1ст!I38</f>
        <v>1.8536841903646162</v>
      </c>
      <c r="D23" s="2144">
        <v>0</v>
      </c>
      <c r="E23" s="2144">
        <v>0</v>
      </c>
      <c r="F23" s="2144">
        <v>0</v>
      </c>
      <c r="G23" s="2144">
        <f>C23/$C$41</f>
        <v>1.6430719193430909</v>
      </c>
    </row>
    <row r="24" spans="1:7" x14ac:dyDescent="0.25">
      <c r="A24" s="2146" t="s">
        <v>2823</v>
      </c>
      <c r="B24" s="2314" t="s">
        <v>58</v>
      </c>
      <c r="C24" s="2144">
        <f>ЗВВ_1ст!I24+ЗВВ_1ст!I9+ЗВВ_1ст!I39</f>
        <v>32.712971690401091</v>
      </c>
      <c r="D24" s="2144">
        <v>0</v>
      </c>
      <c r="E24" s="2144">
        <v>0</v>
      </c>
      <c r="F24" s="2144">
        <v>0</v>
      </c>
      <c r="G24" s="2144">
        <f t="shared" si="3"/>
        <v>28.996182554802409</v>
      </c>
    </row>
    <row r="25" spans="1:7" s="23" customFormat="1" ht="14.25" x14ac:dyDescent="0.2">
      <c r="A25" s="2141" t="s">
        <v>1709</v>
      </c>
      <c r="B25" s="2142" t="s">
        <v>2824</v>
      </c>
      <c r="C25" s="2135">
        <f>C26+C27+C28+C29</f>
        <v>90.972112089695372</v>
      </c>
      <c r="D25" s="181">
        <f t="shared" ref="D25:E25" si="5">D26+D27+D28+D29</f>
        <v>0</v>
      </c>
      <c r="E25" s="181">
        <f t="shared" si="5"/>
        <v>0</v>
      </c>
      <c r="F25" s="181">
        <f>F26+F27+F28+F29</f>
        <v>0</v>
      </c>
      <c r="G25" s="2135">
        <f t="shared" si="3"/>
        <v>80.636023975858251</v>
      </c>
    </row>
    <row r="26" spans="1:7" x14ac:dyDescent="0.25">
      <c r="A26" s="2146" t="s">
        <v>2825</v>
      </c>
      <c r="B26" s="2314" t="s">
        <v>55</v>
      </c>
      <c r="C26" s="2144">
        <f>Адміністративні_1ст!I21</f>
        <v>50.344494407671881</v>
      </c>
      <c r="D26" s="2144">
        <v>0</v>
      </c>
      <c r="E26" s="2144">
        <v>0</v>
      </c>
      <c r="F26" s="2144">
        <v>0</v>
      </c>
      <c r="G26" s="2144">
        <f t="shared" si="3"/>
        <v>44.624443303095845</v>
      </c>
    </row>
    <row r="27" spans="1:7" x14ac:dyDescent="0.25">
      <c r="A27" s="2146" t="s">
        <v>2826</v>
      </c>
      <c r="B27" s="2314" t="s">
        <v>2827</v>
      </c>
      <c r="C27" s="2144">
        <f>Адміністративні_1ст!I23</f>
        <v>11.075788769687813</v>
      </c>
      <c r="D27" s="2144">
        <v>0</v>
      </c>
      <c r="E27" s="2144">
        <v>0</v>
      </c>
      <c r="F27" s="2144">
        <v>0</v>
      </c>
      <c r="G27" s="2144">
        <f t="shared" si="3"/>
        <v>9.817377526681085</v>
      </c>
    </row>
    <row r="28" spans="1:7" x14ac:dyDescent="0.25">
      <c r="A28" s="2146" t="s">
        <v>2828</v>
      </c>
      <c r="B28" s="2314" t="s">
        <v>2816</v>
      </c>
      <c r="C28" s="2144">
        <f>Адміністративні_1ст!I36+Адміністративні_1ст!I37</f>
        <v>1.6294808166339654</v>
      </c>
      <c r="D28" s="2144">
        <v>0</v>
      </c>
      <c r="E28" s="2144">
        <v>0</v>
      </c>
      <c r="F28" s="2144">
        <v>0</v>
      </c>
      <c r="G28" s="2144">
        <f t="shared" si="3"/>
        <v>1.4443421305723527</v>
      </c>
    </row>
    <row r="29" spans="1:7" x14ac:dyDescent="0.25">
      <c r="A29" s="2146" t="s">
        <v>2829</v>
      </c>
      <c r="B29" s="2314" t="s">
        <v>2830</v>
      </c>
      <c r="C29" s="2144">
        <f>Адміністративні_1ст!I9+Адміністративні_1ст!I24+Адміністративні_1ст!I38</f>
        <v>27.922348095701707</v>
      </c>
      <c r="D29" s="2144">
        <v>0</v>
      </c>
      <c r="E29" s="2144">
        <v>0</v>
      </c>
      <c r="F29" s="2144">
        <v>0</v>
      </c>
      <c r="G29" s="2144">
        <f t="shared" si="3"/>
        <v>24.749861015508959</v>
      </c>
    </row>
    <row r="30" spans="1:7" s="23" customFormat="1" ht="14.25" x14ac:dyDescent="0.2">
      <c r="A30" s="2141" t="s">
        <v>1711</v>
      </c>
      <c r="B30" s="2142" t="s">
        <v>2831</v>
      </c>
      <c r="C30" s="2141">
        <v>0</v>
      </c>
      <c r="D30" s="2141">
        <v>0</v>
      </c>
      <c r="E30" s="2141">
        <v>0</v>
      </c>
      <c r="F30" s="2141">
        <v>0</v>
      </c>
      <c r="G30" s="2141">
        <v>0</v>
      </c>
    </row>
    <row r="31" spans="1:7" s="23" customFormat="1" ht="28.5" x14ac:dyDescent="0.2">
      <c r="A31" s="2141" t="s">
        <v>1714</v>
      </c>
      <c r="B31" s="2142" t="s">
        <v>2852</v>
      </c>
      <c r="C31" s="2135">
        <f>C10+C25+C30</f>
        <v>2358.0777889496885</v>
      </c>
      <c r="D31" s="2135">
        <f>D10+D25+D30</f>
        <v>0</v>
      </c>
      <c r="E31" s="2135">
        <f t="shared" ref="E31:G31" si="6">E10+E25+E30</f>
        <v>0</v>
      </c>
      <c r="F31" s="2135">
        <f t="shared" si="6"/>
        <v>0</v>
      </c>
      <c r="G31" s="2135">
        <f t="shared" si="6"/>
        <v>2090.157222459653</v>
      </c>
    </row>
    <row r="32" spans="1:7" s="23" customFormat="1" ht="42.75" x14ac:dyDescent="0.2">
      <c r="A32" s="2141">
        <v>5</v>
      </c>
      <c r="B32" s="2142" t="s">
        <v>2832</v>
      </c>
      <c r="C32" s="3659">
        <f>Виробництво_Транспортування_1ст!K114</f>
        <v>1062.3733038807425</v>
      </c>
      <c r="D32" s="2381">
        <v>0</v>
      </c>
      <c r="E32" s="2381">
        <v>0</v>
      </c>
      <c r="F32" s="2381">
        <v>0</v>
      </c>
      <c r="G32" s="2135">
        <f>C32/$C$41</f>
        <v>941.66835566680038</v>
      </c>
    </row>
    <row r="33" spans="1:7" s="23" customFormat="1" ht="14.25" x14ac:dyDescent="0.2">
      <c r="A33" s="2141">
        <v>6</v>
      </c>
      <c r="B33" s="2142" t="s">
        <v>2833</v>
      </c>
      <c r="C33" s="2135">
        <v>0</v>
      </c>
      <c r="D33" s="2135">
        <v>0</v>
      </c>
      <c r="E33" s="2135">
        <v>0</v>
      </c>
      <c r="F33" s="2135">
        <v>0</v>
      </c>
      <c r="G33" s="2135">
        <v>0</v>
      </c>
    </row>
    <row r="34" spans="1:7" s="23" customFormat="1" ht="14.25" x14ac:dyDescent="0.2">
      <c r="A34" s="2141">
        <v>7</v>
      </c>
      <c r="B34" s="2142" t="s">
        <v>2834</v>
      </c>
      <c r="C34" s="2135">
        <v>0</v>
      </c>
      <c r="D34" s="2135">
        <v>0</v>
      </c>
      <c r="E34" s="2135">
        <v>0</v>
      </c>
      <c r="F34" s="2135">
        <v>0</v>
      </c>
      <c r="G34" s="2135">
        <v>0</v>
      </c>
    </row>
    <row r="35" spans="1:7" s="23" customFormat="1" ht="14.25" x14ac:dyDescent="0.2">
      <c r="A35" s="2141">
        <v>8</v>
      </c>
      <c r="B35" s="2142" t="s">
        <v>2835</v>
      </c>
      <c r="C35" s="2135">
        <v>0</v>
      </c>
      <c r="D35" s="2135">
        <v>0</v>
      </c>
      <c r="E35" s="2135">
        <v>0</v>
      </c>
      <c r="F35" s="2135">
        <v>0</v>
      </c>
      <c r="G35" s="2135">
        <v>0</v>
      </c>
    </row>
    <row r="36" spans="1:7" s="23" customFormat="1" ht="28.5" x14ac:dyDescent="0.2">
      <c r="A36" s="2141">
        <v>9</v>
      </c>
      <c r="B36" s="2142" t="s">
        <v>2836</v>
      </c>
      <c r="C36" s="2135">
        <f>SUM(C37:C40)</f>
        <v>251.19792825746691</v>
      </c>
      <c r="D36" s="2135">
        <f t="shared" ref="D36:F36" si="7">SUM(D37:D40)</f>
        <v>0</v>
      </c>
      <c r="E36" s="2135">
        <f t="shared" si="7"/>
        <v>0</v>
      </c>
      <c r="F36" s="2135">
        <f t="shared" si="7"/>
        <v>0</v>
      </c>
      <c r="G36" s="2135">
        <f>C36/C41</f>
        <v>222.65727045760678</v>
      </c>
    </row>
    <row r="37" spans="1:7" x14ac:dyDescent="0.25">
      <c r="A37" s="2146" t="s">
        <v>1103</v>
      </c>
      <c r="B37" s="2314" t="s">
        <v>65</v>
      </c>
      <c r="C37" s="2144">
        <f>'Д 3_Т на Т з ЦТП'!G40</f>
        <v>24.627247868379108</v>
      </c>
      <c r="D37" s="2144">
        <v>0</v>
      </c>
      <c r="E37" s="2144">
        <v>0</v>
      </c>
      <c r="F37" s="2144">
        <v>0</v>
      </c>
      <c r="G37" s="2144">
        <f>C37/$C$41</f>
        <v>21.829144162510467</v>
      </c>
    </row>
    <row r="38" spans="1:7" x14ac:dyDescent="0.25">
      <c r="A38" s="2146" t="s">
        <v>1104</v>
      </c>
      <c r="B38" s="2314" t="s">
        <v>85</v>
      </c>
      <c r="C38" s="2144">
        <f>'Д 3_Т на Т з ЦТП'!G41</f>
        <v>89.752636675870534</v>
      </c>
      <c r="D38" s="2144">
        <v>0</v>
      </c>
      <c r="E38" s="2144">
        <v>0</v>
      </c>
      <c r="F38" s="2144">
        <v>0</v>
      </c>
      <c r="G38" s="2144">
        <f t="shared" ref="G38:G40" si="8">C38/$C$41</f>
        <v>79.555103170038151</v>
      </c>
    </row>
    <row r="39" spans="1:7" x14ac:dyDescent="0.25">
      <c r="A39" s="2146" t="s">
        <v>1105</v>
      </c>
      <c r="B39" s="2314" t="s">
        <v>71</v>
      </c>
      <c r="C39" s="2144">
        <f>'Д 3_Т на Т з ЦТП'!G42</f>
        <v>0</v>
      </c>
      <c r="D39" s="2144">
        <v>0</v>
      </c>
      <c r="E39" s="2144">
        <v>0</v>
      </c>
      <c r="F39" s="2144">
        <v>0</v>
      </c>
      <c r="G39" s="2144">
        <f t="shared" si="8"/>
        <v>0</v>
      </c>
    </row>
    <row r="40" spans="1:7" x14ac:dyDescent="0.25">
      <c r="A40" s="2146" t="s">
        <v>1970</v>
      </c>
      <c r="B40" s="2314" t="s">
        <v>2394</v>
      </c>
      <c r="C40" s="2144">
        <f>'Д 3_Т на Т з ЦТП'!G44</f>
        <v>136.81804371321726</v>
      </c>
      <c r="D40" s="2144">
        <v>0</v>
      </c>
      <c r="E40" s="2144">
        <v>0</v>
      </c>
      <c r="F40" s="2144">
        <v>0</v>
      </c>
      <c r="G40" s="2144">
        <f t="shared" si="8"/>
        <v>121.27302312505815</v>
      </c>
    </row>
    <row r="41" spans="1:7" s="23" customFormat="1" ht="29.25" thickBot="1" x14ac:dyDescent="0.25">
      <c r="A41" s="2162" t="s">
        <v>1806</v>
      </c>
      <c r="B41" s="2164" t="s">
        <v>3111</v>
      </c>
      <c r="C41" s="2574">
        <f>'Д 3_Т на Т з ЦТП'!G56/1000</f>
        <v>1.12818201598</v>
      </c>
      <c r="D41" s="2138">
        <f>'Д 3_Т на Т з ЦТП'!G57/1000</f>
        <v>0</v>
      </c>
      <c r="E41" s="2138">
        <f>'Д 3_Т на Т з ЦТП'!G58</f>
        <v>0</v>
      </c>
      <c r="F41" s="2138">
        <f>'Д 3_Т на Т з ЦТП'!G59/1000</f>
        <v>0</v>
      </c>
      <c r="G41" s="2577">
        <f>'Д 3_Т на Т з ЦТП'!G60/1000</f>
        <v>1.12818201598</v>
      </c>
    </row>
    <row r="43" spans="1:7" x14ac:dyDescent="0.25">
      <c r="B43" s="18" t="s">
        <v>3444</v>
      </c>
      <c r="C43" s="3499"/>
      <c r="D43" s="2153"/>
      <c r="E43" s="2153" t="s">
        <v>3445</v>
      </c>
      <c r="F43" s="2153"/>
      <c r="G43" s="2153"/>
    </row>
    <row r="44" spans="1:7" x14ac:dyDescent="0.25">
      <c r="C44" s="2352">
        <f>'Д 3_Т на Т з ЦТП'!K45</f>
        <v>3671.6490210878983</v>
      </c>
      <c r="D44" s="2155"/>
      <c r="E44" s="2153"/>
      <c r="F44" s="4613"/>
      <c r="G44" s="4613"/>
    </row>
    <row r="46" spans="1:7" x14ac:dyDescent="0.25">
      <c r="C46" s="1305"/>
      <c r="D46" s="2375"/>
    </row>
  </sheetData>
  <mergeCells count="8">
    <mergeCell ref="E1:G1"/>
    <mergeCell ref="F44:G44"/>
    <mergeCell ref="B9:G9"/>
    <mergeCell ref="A5:A6"/>
    <mergeCell ref="B5:B6"/>
    <mergeCell ref="C5:C6"/>
    <mergeCell ref="D5:G5"/>
    <mergeCell ref="A3:G3"/>
  </mergeCells>
  <pageMargins left="0.78740157480314965" right="0.31496062992125984" top="0.59055118110236227" bottom="0.31496062992125984" header="0.31496062992125984" footer="0.31496062992125984"/>
  <pageSetup paperSize="9" scale="81" fitToHeight="2"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EC20C5"/>
    <pageSetUpPr fitToPage="1"/>
  </sheetPr>
  <dimension ref="A1:J44"/>
  <sheetViews>
    <sheetView zoomScaleNormal="100" workbookViewId="0">
      <selection activeCell="E1" sqref="E1:G1"/>
    </sheetView>
  </sheetViews>
  <sheetFormatPr defaultColWidth="9.140625" defaultRowHeight="15" x14ac:dyDescent="0.25"/>
  <cols>
    <col min="1" max="1" width="6.28515625" style="1734" customWidth="1"/>
    <col min="2" max="2" width="47.85546875" style="18" customWidth="1"/>
    <col min="3" max="3" width="12.7109375" style="18" customWidth="1"/>
    <col min="4" max="4" width="12.7109375" style="1734" customWidth="1"/>
    <col min="5" max="7" width="12.7109375" style="18" customWidth="1"/>
    <col min="8" max="8" width="17.5703125" style="18" customWidth="1"/>
    <col min="9" max="16384" width="9.140625" style="18"/>
  </cols>
  <sheetData>
    <row r="1" spans="1:10" ht="81" customHeight="1" x14ac:dyDescent="0.25">
      <c r="A1" s="3491"/>
      <c r="E1" s="4059" t="s">
        <v>3458</v>
      </c>
      <c r="F1" s="4059"/>
      <c r="G1" s="4059"/>
    </row>
    <row r="2" spans="1:10" ht="33" customHeight="1" x14ac:dyDescent="0.25">
      <c r="A2" s="3491"/>
      <c r="F2" s="3480"/>
      <c r="G2" s="3480"/>
    </row>
    <row r="3" spans="1:10" ht="45.75" customHeight="1" x14ac:dyDescent="0.25">
      <c r="A3" s="4060" t="s">
        <v>3448</v>
      </c>
      <c r="B3" s="4060"/>
      <c r="C3" s="4060"/>
      <c r="D3" s="4060"/>
      <c r="E3" s="4060"/>
      <c r="F3" s="4060"/>
      <c r="G3" s="4060"/>
    </row>
    <row r="4" spans="1:10" ht="15.75" thickBot="1" x14ac:dyDescent="0.3">
      <c r="G4" s="18" t="s">
        <v>1666</v>
      </c>
    </row>
    <row r="5" spans="1:10" ht="30" customHeight="1" thickBot="1" x14ac:dyDescent="0.3">
      <c r="A5" s="4061" t="s">
        <v>7</v>
      </c>
      <c r="B5" s="4061" t="s">
        <v>620</v>
      </c>
      <c r="C5" s="4061" t="s">
        <v>2788</v>
      </c>
      <c r="D5" s="4064" t="s">
        <v>2789</v>
      </c>
      <c r="E5" s="4065"/>
      <c r="F5" s="4065"/>
      <c r="G5" s="4066"/>
      <c r="H5" s="110"/>
      <c r="I5" s="110"/>
      <c r="J5" s="110"/>
    </row>
    <row r="6" spans="1:10" ht="75" customHeight="1" thickBot="1" x14ac:dyDescent="0.3">
      <c r="A6" s="4062"/>
      <c r="B6" s="4063"/>
      <c r="C6" s="4063"/>
      <c r="D6" s="2127" t="s">
        <v>2790</v>
      </c>
      <c r="E6" s="2127" t="s">
        <v>2791</v>
      </c>
      <c r="F6" s="2127" t="s">
        <v>2792</v>
      </c>
      <c r="G6" s="2127" t="s">
        <v>2793</v>
      </c>
      <c r="I6" s="110"/>
      <c r="J6" s="110"/>
    </row>
    <row r="7" spans="1:10" ht="15.75" thickBot="1" x14ac:dyDescent="0.3">
      <c r="A7" s="2128">
        <v>1</v>
      </c>
      <c r="B7" s="2129">
        <v>2</v>
      </c>
      <c r="C7" s="2114">
        <v>3</v>
      </c>
      <c r="D7" s="2128">
        <v>4</v>
      </c>
      <c r="E7" s="2114">
        <v>5</v>
      </c>
      <c r="F7" s="2129">
        <v>6</v>
      </c>
      <c r="G7" s="2115">
        <v>7</v>
      </c>
    </row>
    <row r="8" spans="1:10" ht="58.15" customHeight="1" thickBot="1" x14ac:dyDescent="0.3">
      <c r="A8" s="2156" t="s">
        <v>2795</v>
      </c>
      <c r="B8" s="2157" t="s">
        <v>3363</v>
      </c>
      <c r="C8" s="2152">
        <f>(C31+C32+C33+C34+C35+C36)</f>
        <v>6932.6132390780294</v>
      </c>
      <c r="D8" s="2152">
        <f>(D31+D32+D33+D34+D35+D36)</f>
        <v>0</v>
      </c>
      <c r="E8" s="2152">
        <f>(E31+E32+E33+E34+E35+E36)</f>
        <v>0</v>
      </c>
      <c r="F8" s="2152">
        <f>(F31+F32+F33+F34+F35+F36)</f>
        <v>0</v>
      </c>
      <c r="G8" s="2152">
        <f>(G31+G32+G33+G34+G35+G36)</f>
        <v>2501.5399234224355</v>
      </c>
      <c r="H8" s="828"/>
    </row>
    <row r="9" spans="1:10" ht="29.45" customHeight="1" thickBot="1" x14ac:dyDescent="0.3">
      <c r="A9" s="2140" t="s">
        <v>2800</v>
      </c>
      <c r="B9" s="4056" t="s">
        <v>3080</v>
      </c>
      <c r="C9" s="4057"/>
      <c r="D9" s="4057"/>
      <c r="E9" s="4057"/>
      <c r="F9" s="4057"/>
      <c r="G9" s="4058"/>
    </row>
    <row r="10" spans="1:10" s="23" customFormat="1" ht="14.25" x14ac:dyDescent="0.2">
      <c r="A10" s="2141" t="s">
        <v>1687</v>
      </c>
      <c r="B10" s="178" t="s">
        <v>2802</v>
      </c>
      <c r="C10" s="2135">
        <f>C11+C15+C16+C20</f>
        <v>3984.0562005125203</v>
      </c>
      <c r="D10" s="181">
        <f>D11+D15+D16+D20</f>
        <v>0</v>
      </c>
      <c r="E10" s="181">
        <f>E11+E15+E16+E20</f>
        <v>0</v>
      </c>
      <c r="F10" s="181">
        <f>F11+F15+F16+F20</f>
        <v>0</v>
      </c>
      <c r="G10" s="181">
        <f>G11+G15+G16+G20</f>
        <v>1437.5929103562958</v>
      </c>
      <c r="J10" s="2096"/>
    </row>
    <row r="11" spans="1:10" x14ac:dyDescent="0.25">
      <c r="A11" s="2143" t="s">
        <v>1689</v>
      </c>
      <c r="B11" s="91" t="s">
        <v>2851</v>
      </c>
      <c r="C11" s="2144">
        <f>SUM(C12:C14)</f>
        <v>668.09110047460717</v>
      </c>
      <c r="D11" s="2144">
        <f t="shared" ref="D11:E11" si="0">SUM(D12:D14)</f>
        <v>0</v>
      </c>
      <c r="E11" s="2144">
        <f t="shared" si="0"/>
        <v>0</v>
      </c>
      <c r="F11" s="2144">
        <f t="shared" ref="F11" si="1">SUM(F12:F14)</f>
        <v>0</v>
      </c>
      <c r="G11" s="2144">
        <f>G12+G13+G14</f>
        <v>241.07165691861388</v>
      </c>
    </row>
    <row r="12" spans="1:10" x14ac:dyDescent="0.25">
      <c r="A12" s="2143" t="s">
        <v>2804</v>
      </c>
      <c r="B12" s="91" t="s">
        <v>2807</v>
      </c>
      <c r="C12" s="2144">
        <f>'Д 3.1_Т на Т без ЦТП'!G13</f>
        <v>542.51769819639287</v>
      </c>
      <c r="D12" s="2144">
        <v>0</v>
      </c>
      <c r="E12" s="2144">
        <v>0</v>
      </c>
      <c r="F12" s="2144">
        <v>0</v>
      </c>
      <c r="G12" s="2144">
        <f>C12/$C$41</f>
        <v>195.76018946962137</v>
      </c>
    </row>
    <row r="13" spans="1:10" x14ac:dyDescent="0.25">
      <c r="A13" s="2143" t="s">
        <v>2806</v>
      </c>
      <c r="B13" s="91" t="s">
        <v>2809</v>
      </c>
      <c r="C13" s="2144">
        <f>'Д 3.1_Т на Т без ЦТП'!G15</f>
        <v>89.242103689199993</v>
      </c>
      <c r="D13" s="2144">
        <v>0</v>
      </c>
      <c r="E13" s="2144">
        <v>0</v>
      </c>
      <c r="F13" s="2144">
        <v>0</v>
      </c>
      <c r="G13" s="2144">
        <f t="shared" ref="G13:G19" si="2">C13/$C$41</f>
        <v>32.201808687430471</v>
      </c>
    </row>
    <row r="14" spans="1:10" x14ac:dyDescent="0.25">
      <c r="A14" s="2143" t="s">
        <v>2808</v>
      </c>
      <c r="B14" s="91" t="s">
        <v>2173</v>
      </c>
      <c r="C14" s="2144">
        <f>'Д 3.1_Т на Т без ЦТП'!G16-'Д 3.1_Т на Т без ЦТП'!G17</f>
        <v>36.331298589014295</v>
      </c>
      <c r="D14" s="2144">
        <v>0</v>
      </c>
      <c r="E14" s="2144">
        <v>0</v>
      </c>
      <c r="F14" s="2144">
        <v>0</v>
      </c>
      <c r="G14" s="2144">
        <f t="shared" si="2"/>
        <v>13.109658761562065</v>
      </c>
    </row>
    <row r="15" spans="1:10" x14ac:dyDescent="0.25">
      <c r="A15" s="2143" t="s">
        <v>1691</v>
      </c>
      <c r="B15" s="91" t="s">
        <v>2811</v>
      </c>
      <c r="C15" s="2144">
        <f>'Д 3.1_Т на Т без ЦТП'!G18</f>
        <v>1468.3672397681601</v>
      </c>
      <c r="D15" s="2144">
        <v>0</v>
      </c>
      <c r="E15" s="2144">
        <v>0</v>
      </c>
      <c r="F15" s="2144">
        <v>0</v>
      </c>
      <c r="G15" s="2144">
        <f t="shared" si="2"/>
        <v>529.84050110000851</v>
      </c>
    </row>
    <row r="16" spans="1:10" x14ac:dyDescent="0.25">
      <c r="A16" s="2143" t="s">
        <v>1694</v>
      </c>
      <c r="B16" s="91" t="s">
        <v>2812</v>
      </c>
      <c r="C16" s="2144">
        <f>'Д 3.1_Т на Т без ЦТП'!G19</f>
        <v>1326.079514381235</v>
      </c>
      <c r="D16" s="2144">
        <v>0</v>
      </c>
      <c r="E16" s="2144">
        <v>0</v>
      </c>
      <c r="F16" s="2144">
        <v>0</v>
      </c>
      <c r="G16" s="2144">
        <f>G17+G18+G19</f>
        <v>478.49789573699849</v>
      </c>
    </row>
    <row r="17" spans="1:7" x14ac:dyDescent="0.25">
      <c r="A17" s="2143" t="s">
        <v>2813</v>
      </c>
      <c r="B17" s="91" t="s">
        <v>2814</v>
      </c>
      <c r="C17" s="2144">
        <f>'Д 3.1_Т на Т без ЦТП'!G20</f>
        <v>323.04079274899522</v>
      </c>
      <c r="D17" s="2144">
        <v>0</v>
      </c>
      <c r="E17" s="2144">
        <v>0</v>
      </c>
      <c r="F17" s="2144">
        <v>0</v>
      </c>
      <c r="G17" s="2144">
        <f t="shared" si="2"/>
        <v>116.56491024200186</v>
      </c>
    </row>
    <row r="18" spans="1:7" x14ac:dyDescent="0.25">
      <c r="A18" s="2143" t="s">
        <v>2815</v>
      </c>
      <c r="B18" s="91" t="s">
        <v>2816</v>
      </c>
      <c r="C18" s="2144">
        <f>'Д 3.1_Т на Т без ЦТП'!G21</f>
        <v>43.172657524860007</v>
      </c>
      <c r="D18" s="2144">
        <v>0</v>
      </c>
      <c r="E18" s="2144">
        <v>0</v>
      </c>
      <c r="F18" s="2144">
        <v>0</v>
      </c>
      <c r="G18" s="2144">
        <f t="shared" si="2"/>
        <v>15.578270801248973</v>
      </c>
    </row>
    <row r="19" spans="1:7" x14ac:dyDescent="0.25">
      <c r="A19" s="2143" t="s">
        <v>2817</v>
      </c>
      <c r="B19" s="91" t="s">
        <v>82</v>
      </c>
      <c r="C19" s="2144">
        <f>'Д 3.1_Т на Т без ЦТП'!G22</f>
        <v>959.86606410737966</v>
      </c>
      <c r="D19" s="2144">
        <v>0</v>
      </c>
      <c r="E19" s="2144">
        <v>0</v>
      </c>
      <c r="F19" s="2144">
        <v>0</v>
      </c>
      <c r="G19" s="2144">
        <f t="shared" si="2"/>
        <v>346.35471469374767</v>
      </c>
    </row>
    <row r="20" spans="1:7" s="23" customFormat="1" ht="14.25" x14ac:dyDescent="0.2">
      <c r="A20" s="2145" t="s">
        <v>1696</v>
      </c>
      <c r="B20" s="178" t="s">
        <v>2818</v>
      </c>
      <c r="C20" s="2135">
        <f>C21+C22+C23+C24</f>
        <v>521.51834588851841</v>
      </c>
      <c r="D20" s="181">
        <f t="shared" ref="D20:E20" si="3">D21+D22+D23+D24</f>
        <v>0</v>
      </c>
      <c r="E20" s="181">
        <f t="shared" si="3"/>
        <v>0</v>
      </c>
      <c r="F20" s="181">
        <f t="shared" ref="F20" si="4">F21+F22+F23+F24</f>
        <v>0</v>
      </c>
      <c r="G20" s="181">
        <f>C20/C41</f>
        <v>188.18285660067465</v>
      </c>
    </row>
    <row r="21" spans="1:7" x14ac:dyDescent="0.25">
      <c r="A21" s="2146" t="s">
        <v>2819</v>
      </c>
      <c r="B21" s="91" t="s">
        <v>2820</v>
      </c>
      <c r="C21" s="2144">
        <f>'Д 3.1_Т на Т без ЦТП'!G24</f>
        <v>377.68301061744489</v>
      </c>
      <c r="D21" s="2144">
        <v>0</v>
      </c>
      <c r="E21" s="2144">
        <v>0</v>
      </c>
      <c r="F21" s="2144">
        <v>0</v>
      </c>
      <c r="G21" s="2144">
        <f t="shared" ref="G21:G24" si="5">C21/$C$41</f>
        <v>136.2818170978143</v>
      </c>
    </row>
    <row r="22" spans="1:7" x14ac:dyDescent="0.25">
      <c r="A22" s="2146" t="s">
        <v>2821</v>
      </c>
      <c r="B22" s="91" t="s">
        <v>2175</v>
      </c>
      <c r="C22" s="2144">
        <f>'Д 3.1_Т на Т без ЦТП'!G25</f>
        <v>83.090262335837878</v>
      </c>
      <c r="D22" s="2144">
        <v>0</v>
      </c>
      <c r="E22" s="2144">
        <v>0</v>
      </c>
      <c r="F22" s="2144">
        <v>0</v>
      </c>
      <c r="G22" s="2144">
        <f t="shared" si="5"/>
        <v>29.981999761519145</v>
      </c>
    </row>
    <row r="23" spans="1:7" x14ac:dyDescent="0.25">
      <c r="A23" s="2146" t="s">
        <v>2822</v>
      </c>
      <c r="B23" s="91" t="s">
        <v>2816</v>
      </c>
      <c r="C23" s="2144">
        <f>ЗВВ_1ст!J37+ЗВВ_1ст!J38</f>
        <v>3.257537603029987</v>
      </c>
      <c r="D23" s="2144">
        <v>0</v>
      </c>
      <c r="E23" s="2144">
        <v>0</v>
      </c>
      <c r="F23" s="2144">
        <v>0</v>
      </c>
      <c r="G23" s="2144">
        <f t="shared" si="5"/>
        <v>1.1754384796912538</v>
      </c>
    </row>
    <row r="24" spans="1:7" x14ac:dyDescent="0.25">
      <c r="A24" s="2146" t="s">
        <v>2823</v>
      </c>
      <c r="B24" s="91" t="s">
        <v>58</v>
      </c>
      <c r="C24" s="2144">
        <f>'Д 3.1_Т на Т без ЦТП'!G26-C23</f>
        <v>57.487535332205653</v>
      </c>
      <c r="D24" s="2144">
        <v>0</v>
      </c>
      <c r="E24" s="2144">
        <v>0</v>
      </c>
      <c r="F24" s="2144">
        <v>0</v>
      </c>
      <c r="G24" s="2144">
        <f t="shared" si="5"/>
        <v>20.743601261649967</v>
      </c>
    </row>
    <row r="25" spans="1:7" s="23" customFormat="1" ht="14.25" x14ac:dyDescent="0.2">
      <c r="A25" s="2141" t="s">
        <v>1709</v>
      </c>
      <c r="B25" s="178" t="s">
        <v>2824</v>
      </c>
      <c r="C25" s="2135">
        <f>C26+C27+C28+C29</f>
        <v>159.86815742381179</v>
      </c>
      <c r="D25" s="181">
        <f t="shared" ref="D25:E25" si="6">D26+D27+D28+D29</f>
        <v>0</v>
      </c>
      <c r="E25" s="181">
        <f t="shared" si="6"/>
        <v>0</v>
      </c>
      <c r="F25" s="181">
        <f t="shared" ref="F25" si="7">F26+F27+F28+F29</f>
        <v>0</v>
      </c>
      <c r="G25" s="181">
        <f>SUM(G26:G29)</f>
        <v>57.686266994584713</v>
      </c>
    </row>
    <row r="26" spans="1:7" x14ac:dyDescent="0.25">
      <c r="A26" s="2146" t="s">
        <v>2825</v>
      </c>
      <c r="B26" s="91" t="s">
        <v>55</v>
      </c>
      <c r="C26" s="2144">
        <f>'Д 3.1_Т на Т без ЦТП'!G28</f>
        <v>88.47196544642577</v>
      </c>
      <c r="D26" s="2144">
        <v>0</v>
      </c>
      <c r="E26" s="2144">
        <v>0</v>
      </c>
      <c r="F26" s="2144">
        <v>0</v>
      </c>
      <c r="G26" s="2144">
        <f t="shared" ref="G26:G29" si="8">C26/$C$41</f>
        <v>31.923914696461154</v>
      </c>
    </row>
    <row r="27" spans="1:7" x14ac:dyDescent="0.25">
      <c r="A27" s="2146" t="s">
        <v>2826</v>
      </c>
      <c r="B27" s="91" t="s">
        <v>2827</v>
      </c>
      <c r="C27" s="2144">
        <f>'Д 3.1_Т на Т без ЦТП'!G29</f>
        <v>19.463832398213668</v>
      </c>
      <c r="D27" s="2144">
        <v>0</v>
      </c>
      <c r="E27" s="2144">
        <v>0</v>
      </c>
      <c r="F27" s="2144">
        <v>0</v>
      </c>
      <c r="G27" s="2144">
        <f t="shared" si="8"/>
        <v>7.0232612332214535</v>
      </c>
    </row>
    <row r="28" spans="1:7" x14ac:dyDescent="0.25">
      <c r="A28" s="2146" t="s">
        <v>2828</v>
      </c>
      <c r="B28" s="91" t="s">
        <v>2816</v>
      </c>
      <c r="C28" s="2144">
        <f>Адміністративні_1ст!J36+Адміністративні_1ст!J37</f>
        <v>2.8635379538717762</v>
      </c>
      <c r="D28" s="2144">
        <v>0</v>
      </c>
      <c r="E28" s="2144">
        <v>0</v>
      </c>
      <c r="F28" s="2144">
        <v>0</v>
      </c>
      <c r="G28" s="2144">
        <f t="shared" si="8"/>
        <v>1.0332690237885367</v>
      </c>
    </row>
    <row r="29" spans="1:7" x14ac:dyDescent="0.25">
      <c r="A29" s="2146" t="s">
        <v>2829</v>
      </c>
      <c r="B29" s="91" t="s">
        <v>2830</v>
      </c>
      <c r="C29" s="2144">
        <f>'Д 3.1_Т на Т без ЦТП'!G30-C28</f>
        <v>49.068821625300579</v>
      </c>
      <c r="D29" s="2144">
        <v>0</v>
      </c>
      <c r="E29" s="2144">
        <v>0</v>
      </c>
      <c r="F29" s="2144">
        <v>0</v>
      </c>
      <c r="G29" s="2144">
        <f t="shared" si="8"/>
        <v>17.705822041113574</v>
      </c>
    </row>
    <row r="30" spans="1:7" s="23" customFormat="1" ht="14.25" x14ac:dyDescent="0.2">
      <c r="A30" s="2141" t="s">
        <v>1711</v>
      </c>
      <c r="B30" s="178" t="s">
        <v>2831</v>
      </c>
      <c r="C30" s="2135">
        <v>0</v>
      </c>
      <c r="D30" s="2135">
        <v>0</v>
      </c>
      <c r="E30" s="2135">
        <v>0</v>
      </c>
      <c r="F30" s="2135">
        <v>0</v>
      </c>
      <c r="G30" s="2135">
        <v>0</v>
      </c>
    </row>
    <row r="31" spans="1:7" s="23" customFormat="1" ht="28.5" x14ac:dyDescent="0.2">
      <c r="A31" s="2141" t="s">
        <v>1714</v>
      </c>
      <c r="B31" s="2142" t="s">
        <v>2852</v>
      </c>
      <c r="C31" s="2135">
        <f>C10+C25+C30</f>
        <v>4143.9243579363319</v>
      </c>
      <c r="D31" s="2135">
        <f t="shared" ref="D31:E31" si="9">D10+D25+D30</f>
        <v>0</v>
      </c>
      <c r="E31" s="2135">
        <f t="shared" si="9"/>
        <v>0</v>
      </c>
      <c r="F31" s="2135">
        <f t="shared" ref="F31" si="10">F10+F25+F30</f>
        <v>0</v>
      </c>
      <c r="G31" s="2135">
        <f>G10+G25+G30</f>
        <v>1495.2791773508804</v>
      </c>
    </row>
    <row r="32" spans="1:7" s="23" customFormat="1" ht="44.45" customHeight="1" x14ac:dyDescent="0.2">
      <c r="A32" s="2141">
        <v>5</v>
      </c>
      <c r="B32" s="2147" t="s">
        <v>2832</v>
      </c>
      <c r="C32" s="3659">
        <f>'Д 3.1_Т на Т без ЦТП'!G17</f>
        <v>2314.3902559014505</v>
      </c>
      <c r="D32" s="2135">
        <v>0</v>
      </c>
      <c r="E32" s="2135">
        <v>0</v>
      </c>
      <c r="F32" s="2135">
        <v>0</v>
      </c>
      <c r="G32" s="2135">
        <f>'Д 3.1_Т на Т без ЦТП'!K17/G41</f>
        <v>835.11648838026019</v>
      </c>
    </row>
    <row r="33" spans="1:7" s="23" customFormat="1" ht="14.25" x14ac:dyDescent="0.2">
      <c r="A33" s="2141">
        <v>6</v>
      </c>
      <c r="B33" s="178" t="s">
        <v>2833</v>
      </c>
      <c r="C33" s="2135">
        <v>0</v>
      </c>
      <c r="D33" s="2135">
        <f t="shared" ref="D33:D35" si="11">C33/$C$41</f>
        <v>0</v>
      </c>
      <c r="E33" s="2135">
        <f t="shared" ref="E33:F35" si="12">C33/$C$41</f>
        <v>0</v>
      </c>
      <c r="F33" s="2135">
        <f t="shared" si="12"/>
        <v>0</v>
      </c>
      <c r="G33" s="2135">
        <f t="shared" ref="G33:G35" si="13">C33/$C$41</f>
        <v>0</v>
      </c>
    </row>
    <row r="34" spans="1:7" s="23" customFormat="1" ht="14.25" x14ac:dyDescent="0.2">
      <c r="A34" s="2141">
        <v>7</v>
      </c>
      <c r="B34" s="178" t="s">
        <v>2834</v>
      </c>
      <c r="C34" s="2135">
        <v>0</v>
      </c>
      <c r="D34" s="2135">
        <f t="shared" si="11"/>
        <v>0</v>
      </c>
      <c r="E34" s="2135">
        <f t="shared" si="12"/>
        <v>0</v>
      </c>
      <c r="F34" s="2135">
        <f t="shared" si="12"/>
        <v>0</v>
      </c>
      <c r="G34" s="2135">
        <f t="shared" si="13"/>
        <v>0</v>
      </c>
    </row>
    <row r="35" spans="1:7" s="23" customFormat="1" ht="14.25" x14ac:dyDescent="0.2">
      <c r="A35" s="2141">
        <v>8</v>
      </c>
      <c r="B35" s="178" t="s">
        <v>2835</v>
      </c>
      <c r="C35" s="2135">
        <v>0</v>
      </c>
      <c r="D35" s="2135">
        <f t="shared" si="11"/>
        <v>0</v>
      </c>
      <c r="E35" s="2135">
        <f t="shared" si="12"/>
        <v>0</v>
      </c>
      <c r="F35" s="2135">
        <f t="shared" si="12"/>
        <v>0</v>
      </c>
      <c r="G35" s="2135">
        <f t="shared" si="13"/>
        <v>0</v>
      </c>
    </row>
    <row r="36" spans="1:7" s="23" customFormat="1" ht="14.25" x14ac:dyDescent="0.2">
      <c r="A36" s="2141">
        <v>9</v>
      </c>
      <c r="B36" s="178" t="s">
        <v>2836</v>
      </c>
      <c r="C36" s="2135">
        <f>SUM(C37:C40)</f>
        <v>474.29862524024679</v>
      </c>
      <c r="D36" s="2173">
        <v>0</v>
      </c>
      <c r="E36" s="2173">
        <v>0</v>
      </c>
      <c r="F36" s="2173">
        <v>0</v>
      </c>
      <c r="G36" s="2173">
        <f>C36/C41</f>
        <v>171.14425769129497</v>
      </c>
    </row>
    <row r="37" spans="1:7" x14ac:dyDescent="0.25">
      <c r="A37" s="2146" t="s">
        <v>1103</v>
      </c>
      <c r="B37" s="91" t="s">
        <v>65</v>
      </c>
      <c r="C37" s="2144">
        <f>'Д 3.1_Т на Т без ЦТП'!G40</f>
        <v>46.499865219632035</v>
      </c>
      <c r="D37" s="2173">
        <v>0</v>
      </c>
      <c r="E37" s="2173">
        <v>0</v>
      </c>
      <c r="F37" s="2173">
        <v>0</v>
      </c>
      <c r="G37" s="3492">
        <f>'Д 3.1_Т на Т без ЦТП'!K40/'Додаток 5 до рішення'!$G$41</f>
        <v>16.77884879326421</v>
      </c>
    </row>
    <row r="38" spans="1:7" x14ac:dyDescent="0.25">
      <c r="A38" s="2146" t="s">
        <v>1104</v>
      </c>
      <c r="B38" s="91" t="s">
        <v>85</v>
      </c>
      <c r="C38" s="2144">
        <f>'Д 3.1_Т на Т без ЦТП'!G41</f>
        <v>169.46617546710343</v>
      </c>
      <c r="D38" s="2173">
        <v>0</v>
      </c>
      <c r="E38" s="2173">
        <v>0</v>
      </c>
      <c r="F38" s="2173">
        <v>0</v>
      </c>
      <c r="G38" s="3492">
        <f>'Д 3.1_Т на Т без ЦТП'!K41/'Додаток 5 до рішення'!$G$41</f>
        <v>61.149582268785124</v>
      </c>
    </row>
    <row r="39" spans="1:7" x14ac:dyDescent="0.25">
      <c r="A39" s="2146" t="s">
        <v>1105</v>
      </c>
      <c r="B39" s="91" t="s">
        <v>71</v>
      </c>
      <c r="C39" s="2144">
        <f>'Д 3.1_Т на Т без ЦТП'!G42</f>
        <v>0</v>
      </c>
      <c r="D39" s="2173">
        <v>0</v>
      </c>
      <c r="E39" s="2173">
        <v>0</v>
      </c>
      <c r="F39" s="2173">
        <v>0</v>
      </c>
      <c r="G39" s="3492">
        <f t="shared" ref="G39:G40" si="14">C39/$C$41</f>
        <v>0</v>
      </c>
    </row>
    <row r="40" spans="1:7" x14ac:dyDescent="0.25">
      <c r="A40" s="2146" t="s">
        <v>1970</v>
      </c>
      <c r="B40" s="91" t="s">
        <v>2394</v>
      </c>
      <c r="C40" s="2144">
        <f>'Д 3.1_Т на Т без ЦТП'!G44</f>
        <v>258.33258455351131</v>
      </c>
      <c r="D40" s="2173">
        <v>0</v>
      </c>
      <c r="E40" s="2173">
        <v>0</v>
      </c>
      <c r="F40" s="2173">
        <v>0</v>
      </c>
      <c r="G40" s="3492">
        <f t="shared" si="14"/>
        <v>93.215826629245612</v>
      </c>
    </row>
    <row r="41" spans="1:7" s="23" customFormat="1" ht="29.25" thickBot="1" x14ac:dyDescent="0.25">
      <c r="A41" s="2162" t="s">
        <v>1806</v>
      </c>
      <c r="B41" s="2164" t="s">
        <v>2853</v>
      </c>
      <c r="C41" s="2574">
        <f>'Д 3.1_Т на Т без ЦТП'!G56/1000</f>
        <v>2.7713382361666663</v>
      </c>
      <c r="D41" s="2138">
        <f>'Д 3.1_Т на Т без ЦТП'!G57/1000</f>
        <v>0</v>
      </c>
      <c r="E41" s="2138">
        <f>'Д 3.1_Т на Т без ЦТП'!G58/1000</f>
        <v>0</v>
      </c>
      <c r="F41" s="2138">
        <v>0</v>
      </c>
      <c r="G41" s="2577">
        <f>'Д 3.1_Т на Т без ЦТП'!G60/1000</f>
        <v>2.7713382361666663</v>
      </c>
    </row>
    <row r="43" spans="1:7" x14ac:dyDescent="0.25">
      <c r="B43" s="18" t="s">
        <v>3444</v>
      </c>
      <c r="C43" s="3499"/>
      <c r="D43" s="2153"/>
      <c r="E43" s="2153" t="s">
        <v>3445</v>
      </c>
      <c r="F43" s="2153"/>
      <c r="G43" s="2153"/>
    </row>
    <row r="44" spans="1:7" x14ac:dyDescent="0.25">
      <c r="C44" s="3604"/>
      <c r="D44" s="2155"/>
      <c r="E44" s="2153"/>
      <c r="F44" s="2353"/>
      <c r="G44" s="2153"/>
    </row>
  </sheetData>
  <mergeCells count="7">
    <mergeCell ref="E1:G1"/>
    <mergeCell ref="B9:G9"/>
    <mergeCell ref="A5:A6"/>
    <mergeCell ref="B5:B6"/>
    <mergeCell ref="C5:C6"/>
    <mergeCell ref="D5:G5"/>
    <mergeCell ref="A3:G3"/>
  </mergeCells>
  <pageMargins left="0.78740157480314965" right="0.19685039370078741" top="0.78740157480314965" bottom="0.31496062992125984" header="0.31496062992125984" footer="0.31496062992125984"/>
  <pageSetup paperSize="9" scale="78" fitToHeight="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pageSetUpPr fitToPage="1"/>
  </sheetPr>
  <dimension ref="A1:R61"/>
  <sheetViews>
    <sheetView view="pageBreakPreview" topLeftCell="A34" zoomScaleNormal="125" zoomScaleSheetLayoutView="100" workbookViewId="0">
      <selection activeCell="D46" sqref="D46"/>
    </sheetView>
  </sheetViews>
  <sheetFormatPr defaultColWidth="9.140625" defaultRowHeight="27" customHeight="1" x14ac:dyDescent="0.25"/>
  <cols>
    <col min="1" max="1" width="4.28515625" style="118" customWidth="1"/>
    <col min="2" max="2" width="42.85546875" style="118" customWidth="1"/>
    <col min="3" max="3" width="9.5703125" style="153" customWidth="1"/>
    <col min="4" max="4" width="10.28515625" style="118" customWidth="1"/>
    <col min="5" max="8" width="9.28515625" style="118" customWidth="1"/>
    <col min="9" max="9" width="36.42578125" style="118" customWidth="1"/>
    <col min="10" max="10" width="13.7109375" style="118" customWidth="1"/>
    <col min="11" max="11" width="13" style="118" customWidth="1"/>
    <col min="12" max="12" width="10.42578125" style="118" bestFit="1" customWidth="1"/>
    <col min="13" max="13" width="10.85546875" style="118" customWidth="1"/>
    <col min="14" max="16" width="7.5703125" style="118" bestFit="1" customWidth="1"/>
    <col min="17" max="17" width="9.7109375" style="118" customWidth="1"/>
    <col min="18" max="18" width="12" style="118" bestFit="1" customWidth="1"/>
    <col min="19" max="24" width="3.85546875" style="118" customWidth="1"/>
    <col min="25" max="16384" width="9.140625" style="118"/>
  </cols>
  <sheetData>
    <row r="1" spans="1:11" ht="36" customHeight="1" x14ac:dyDescent="0.25">
      <c r="A1" s="2766"/>
      <c r="B1" s="2767"/>
      <c r="C1" s="2764"/>
      <c r="D1" s="2819"/>
      <c r="E1" s="3762" t="s">
        <v>3239</v>
      </c>
      <c r="F1" s="3762"/>
      <c r="G1" s="3762"/>
      <c r="H1" s="3762"/>
      <c r="I1" s="156"/>
    </row>
    <row r="2" spans="1:11" ht="27" customHeight="1" x14ac:dyDescent="0.25">
      <c r="A2" s="2766"/>
      <c r="B2" s="2767"/>
      <c r="C2" s="2764"/>
      <c r="D2" s="2819"/>
      <c r="E2" s="3714" t="str">
        <f>'Вхідні дані'!F1</f>
        <v>станом на 01.08.2023 року</v>
      </c>
      <c r="F2" s="3714"/>
      <c r="G2" s="3714"/>
      <c r="H2" s="3714"/>
    </row>
    <row r="3" spans="1:11" ht="27" customHeight="1" x14ac:dyDescent="0.25">
      <c r="A3" s="2766"/>
      <c r="B3" s="3719" t="s">
        <v>451</v>
      </c>
      <c r="C3" s="3719"/>
      <c r="D3" s="3719"/>
      <c r="E3" s="3719"/>
      <c r="F3" s="3719"/>
      <c r="G3" s="3719"/>
      <c r="H3" s="3719"/>
    </row>
    <row r="4" spans="1:11" ht="14.25" customHeight="1" x14ac:dyDescent="0.25">
      <c r="A4" s="3766" t="s">
        <v>1341</v>
      </c>
      <c r="B4" s="3766"/>
      <c r="C4" s="3766"/>
      <c r="D4" s="3766"/>
      <c r="E4" s="3766"/>
      <c r="F4" s="3766"/>
      <c r="G4" s="3766"/>
      <c r="H4" s="3766"/>
      <c r="I4" s="156"/>
    </row>
    <row r="5" spans="1:11" ht="27" customHeight="1" x14ac:dyDescent="0.25">
      <c r="A5" s="3772" t="s">
        <v>221</v>
      </c>
      <c r="B5" s="3773"/>
      <c r="C5" s="3773"/>
      <c r="D5" s="3773"/>
      <c r="E5" s="3773"/>
      <c r="F5" s="3773"/>
      <c r="G5" s="3773"/>
      <c r="H5" s="3773"/>
    </row>
    <row r="6" spans="1:11" ht="27" customHeight="1" x14ac:dyDescent="0.25">
      <c r="A6" s="3755" t="s">
        <v>7</v>
      </c>
      <c r="B6" s="3774" t="s">
        <v>111</v>
      </c>
      <c r="C6" s="3755" t="s">
        <v>35</v>
      </c>
      <c r="D6" s="3755" t="s">
        <v>112</v>
      </c>
      <c r="E6" s="3755" t="s">
        <v>255</v>
      </c>
      <c r="F6" s="3755"/>
      <c r="G6" s="3755"/>
      <c r="H6" s="3755"/>
    </row>
    <row r="7" spans="1:11" ht="27" customHeight="1" x14ac:dyDescent="0.25">
      <c r="A7" s="3755"/>
      <c r="B7" s="3774"/>
      <c r="C7" s="3755"/>
      <c r="D7" s="3755"/>
      <c r="E7" s="2192" t="s">
        <v>3</v>
      </c>
      <c r="F7" s="2192" t="s">
        <v>174</v>
      </c>
      <c r="G7" s="2192" t="s">
        <v>98</v>
      </c>
      <c r="H7" s="2192" t="s">
        <v>99</v>
      </c>
      <c r="I7" s="156"/>
    </row>
    <row r="8" spans="1:11" ht="27" customHeight="1" x14ac:dyDescent="0.25">
      <c r="A8" s="2192">
        <v>1</v>
      </c>
      <c r="B8" s="2192">
        <v>2</v>
      </c>
      <c r="C8" s="2192">
        <v>3</v>
      </c>
      <c r="D8" s="2192">
        <v>4</v>
      </c>
      <c r="E8" s="2192">
        <v>5</v>
      </c>
      <c r="F8" s="2192">
        <v>6</v>
      </c>
      <c r="G8" s="2192">
        <v>7</v>
      </c>
      <c r="H8" s="2192">
        <v>8</v>
      </c>
    </row>
    <row r="9" spans="1:11" ht="27" customHeight="1" x14ac:dyDescent="0.25">
      <c r="A9" s="2804">
        <v>1</v>
      </c>
      <c r="B9" s="2805" t="s">
        <v>256</v>
      </c>
      <c r="C9" s="1328" t="s">
        <v>74</v>
      </c>
      <c r="D9" s="2820">
        <f>D10+D11+D12</f>
        <v>5701.3545558892911</v>
      </c>
      <c r="E9" s="2820">
        <v>0</v>
      </c>
      <c r="F9" s="2820">
        <f>F10+F11+F12</f>
        <v>0</v>
      </c>
      <c r="G9" s="2820">
        <f>G10+G11+G12</f>
        <v>0</v>
      </c>
      <c r="H9" s="2820">
        <f>H10+H11+H12</f>
        <v>5701.3545558892911</v>
      </c>
      <c r="J9" s="844"/>
      <c r="K9" s="844"/>
    </row>
    <row r="10" spans="1:11" ht="27" customHeight="1" x14ac:dyDescent="0.25">
      <c r="A10" s="2804" t="s">
        <v>23</v>
      </c>
      <c r="B10" s="2805" t="s">
        <v>583</v>
      </c>
      <c r="C10" s="1328" t="s">
        <v>74</v>
      </c>
      <c r="D10" s="2820">
        <f>'Д 2_Т на В'!H53+'Д 2_Т на В'!H54</f>
        <v>5311.2931844251116</v>
      </c>
      <c r="E10" s="2820">
        <f>'Д 2_Т на В'!L53+'Д 2_Т на В'!L54</f>
        <v>0</v>
      </c>
      <c r="F10" s="2820">
        <f>IF('Д 7_РП'!G31=0,0,'Д 2_Т на В'!P53+'Д 2_Т на В'!P54)</f>
        <v>0</v>
      </c>
      <c r="G10" s="2820">
        <v>0</v>
      </c>
      <c r="H10" s="2820">
        <f>'Д 2_Т на В'!X53+'Д 2_Т на В'!X54</f>
        <v>5311.2931844251116</v>
      </c>
      <c r="J10" s="2509"/>
      <c r="K10" s="1075"/>
    </row>
    <row r="11" spans="1:11" ht="27" customHeight="1" x14ac:dyDescent="0.25">
      <c r="A11" s="2804" t="s">
        <v>24</v>
      </c>
      <c r="B11" s="2805" t="s">
        <v>2749</v>
      </c>
      <c r="C11" s="1328" t="s">
        <v>74</v>
      </c>
      <c r="D11" s="2820">
        <f>'Д 2_Т на В'!H44/'Д 2_Т на В'!H58*1000</f>
        <v>0</v>
      </c>
      <c r="E11" s="2820">
        <v>0</v>
      </c>
      <c r="F11" s="2820">
        <f>IF('Д 7_РП'!G31=0,0,'Д 2_Т на В'!P44/'Д 2_Т на В'!P58*1000)</f>
        <v>0</v>
      </c>
      <c r="G11" s="2820">
        <v>0</v>
      </c>
      <c r="H11" s="2820">
        <f>'Д 2_Т на В'!X44/'Д 2_Т на В'!X58*1000</f>
        <v>0</v>
      </c>
      <c r="I11" s="156"/>
      <c r="J11" s="844"/>
    </row>
    <row r="12" spans="1:11" ht="27" customHeight="1" x14ac:dyDescent="0.25">
      <c r="A12" s="2804" t="s">
        <v>48</v>
      </c>
      <c r="B12" s="2805" t="s">
        <v>584</v>
      </c>
      <c r="C12" s="1328" t="s">
        <v>74</v>
      </c>
      <c r="D12" s="2820">
        <f>'Д 2_Т на В'!H52-'Д 2_Т на В'!H53-'Д 2_Т на В'!H54-'Д 5 Т на ТЕ з ЦТП'!D11</f>
        <v>390.0613714641795</v>
      </c>
      <c r="E12" s="2820">
        <v>0</v>
      </c>
      <c r="F12" s="2820">
        <f>IF('Д 7_РП'!G31=0,0,'Д 2_Т на В'!P52-'Д 2_Т на В'!P53-'Д 2_Т на В'!P54-F11)</f>
        <v>0</v>
      </c>
      <c r="G12" s="2820">
        <v>0</v>
      </c>
      <c r="H12" s="2820">
        <f>'Д 2_Т на В'!X52-'Д 2_Т на В'!X53-'Д 2_Т на В'!X54-H11</f>
        <v>390.0613714641795</v>
      </c>
      <c r="J12" s="844"/>
    </row>
    <row r="13" spans="1:11" ht="27" customHeight="1" x14ac:dyDescent="0.25">
      <c r="A13" s="2804">
        <v>2</v>
      </c>
      <c r="B13" s="2805" t="s">
        <v>585</v>
      </c>
      <c r="C13" s="1328" t="s">
        <v>74</v>
      </c>
      <c r="D13" s="2820">
        <f>D14+D15+D16</f>
        <v>3254.4828485840603</v>
      </c>
      <c r="E13" s="2820">
        <v>0</v>
      </c>
      <c r="F13" s="2820">
        <f>F14+F15+F16</f>
        <v>0</v>
      </c>
      <c r="G13" s="2820">
        <v>0</v>
      </c>
      <c r="H13" s="2820">
        <f>H14+H15+H16</f>
        <v>3254.4828485840603</v>
      </c>
    </row>
    <row r="14" spans="1:11" ht="27" customHeight="1" x14ac:dyDescent="0.25">
      <c r="A14" s="2804" t="s">
        <v>25</v>
      </c>
      <c r="B14" s="2805" t="s">
        <v>586</v>
      </c>
      <c r="C14" s="1328" t="s">
        <v>74</v>
      </c>
      <c r="D14" s="2820">
        <f>'Д 3_Т на Т з ЦТП'!G37/'Д 3_Т на Т з ЦТП'!G56*1000</f>
        <v>3031.8255781264534</v>
      </c>
      <c r="E14" s="2820">
        <v>0</v>
      </c>
      <c r="F14" s="2820">
        <v>0</v>
      </c>
      <c r="G14" s="2820">
        <v>0</v>
      </c>
      <c r="H14" s="2820">
        <f>'Д 3_Т на Т з ЦТП'!K37/'Д 3_Т на Т з ЦТП'!K56*1000</f>
        <v>3031.8255781264534</v>
      </c>
    </row>
    <row r="15" spans="1:11" ht="27" customHeight="1" x14ac:dyDescent="0.25">
      <c r="A15" s="2804" t="s">
        <v>26</v>
      </c>
      <c r="B15" s="2805" t="s">
        <v>2749</v>
      </c>
      <c r="C15" s="1328" t="s">
        <v>74</v>
      </c>
      <c r="D15" s="2820">
        <v>0</v>
      </c>
      <c r="E15" s="2820">
        <v>0</v>
      </c>
      <c r="F15" s="2820">
        <v>0</v>
      </c>
      <c r="G15" s="2820">
        <v>0</v>
      </c>
      <c r="H15" s="2820">
        <v>0</v>
      </c>
      <c r="I15" s="156"/>
    </row>
    <row r="16" spans="1:11" ht="27" customHeight="1" x14ac:dyDescent="0.25">
      <c r="A16" s="2804" t="s">
        <v>59</v>
      </c>
      <c r="B16" s="2805" t="s">
        <v>584</v>
      </c>
      <c r="C16" s="1328" t="s">
        <v>74</v>
      </c>
      <c r="D16" s="2820">
        <f>'Д 3_Т на Т з ЦТП'!G39/'Д 3_Т на Т з ЦТП'!G56*1000</f>
        <v>222.65727045760678</v>
      </c>
      <c r="E16" s="2820">
        <v>0</v>
      </c>
      <c r="F16" s="2820">
        <v>0</v>
      </c>
      <c r="G16" s="2820">
        <v>0</v>
      </c>
      <c r="H16" s="2820">
        <f>'Д 3_Т на Т з ЦТП'!K39/'Д 3_Т на Т з ЦТП'!K56*1000</f>
        <v>222.65727045760678</v>
      </c>
    </row>
    <row r="17" spans="1:18" ht="27" customHeight="1" x14ac:dyDescent="0.25">
      <c r="A17" s="2804">
        <v>3</v>
      </c>
      <c r="B17" s="2805" t="s">
        <v>257</v>
      </c>
      <c r="C17" s="1328" t="s">
        <v>74</v>
      </c>
      <c r="D17" s="2820">
        <f>D18+D19+D20</f>
        <v>149.04031061994922</v>
      </c>
      <c r="E17" s="2820">
        <f>E18+E19+E20</f>
        <v>0</v>
      </c>
      <c r="F17" s="2820">
        <f>F18+F19+F20</f>
        <v>0</v>
      </c>
      <c r="G17" s="2820">
        <f>G18+G19+G20</f>
        <v>0</v>
      </c>
      <c r="H17" s="2820">
        <f>H18+H19+H20</f>
        <v>149.04031061994922</v>
      </c>
    </row>
    <row r="18" spans="1:18" ht="27" customHeight="1" x14ac:dyDescent="0.25">
      <c r="A18" s="2804" t="s">
        <v>60</v>
      </c>
      <c r="B18" s="2805" t="s">
        <v>587</v>
      </c>
      <c r="C18" s="1328" t="s">
        <v>74</v>
      </c>
      <c r="D18" s="2820">
        <f>'Д 4_Т на П'!G37/'Д 4_Т на П'!G47*1000</f>
        <v>138.84363412948019</v>
      </c>
      <c r="E18" s="2820">
        <v>0</v>
      </c>
      <c r="F18" s="2820">
        <f>IF('Д 7_РП'!G31=0,0,D18)</f>
        <v>0</v>
      </c>
      <c r="G18" s="2820">
        <v>0</v>
      </c>
      <c r="H18" s="2820">
        <f>D18</f>
        <v>138.84363412948019</v>
      </c>
      <c r="K18" s="1074"/>
      <c r="L18" s="1074"/>
      <c r="M18" s="1074"/>
      <c r="N18" s="1074"/>
      <c r="O18" s="1074"/>
      <c r="P18" s="1074"/>
    </row>
    <row r="19" spans="1:18" ht="27" customHeight="1" x14ac:dyDescent="0.25">
      <c r="A19" s="2804" t="s">
        <v>61</v>
      </c>
      <c r="B19" s="2805" t="s">
        <v>2749</v>
      </c>
      <c r="C19" s="1328" t="s">
        <v>74</v>
      </c>
      <c r="D19" s="2820">
        <v>0</v>
      </c>
      <c r="E19" s="2820">
        <v>0</v>
      </c>
      <c r="F19" s="2820">
        <v>0</v>
      </c>
      <c r="G19" s="2820">
        <v>0</v>
      </c>
      <c r="H19" s="2820">
        <v>0</v>
      </c>
      <c r="I19" s="156"/>
      <c r="J19" s="1075"/>
      <c r="K19" s="844"/>
      <c r="L19" s="844"/>
      <c r="M19" s="844"/>
      <c r="N19" s="844"/>
      <c r="O19" s="844"/>
      <c r="P19" s="844"/>
      <c r="Q19" s="876"/>
      <c r="R19" s="844"/>
    </row>
    <row r="20" spans="1:18" ht="27" customHeight="1" x14ac:dyDescent="0.25">
      <c r="A20" s="2804" t="s">
        <v>62</v>
      </c>
      <c r="B20" s="2805" t="s">
        <v>584</v>
      </c>
      <c r="C20" s="1328" t="s">
        <v>74</v>
      </c>
      <c r="D20" s="2820">
        <f>'Д 4_Т на П'!G39/'Д 4_Т на П'!G47*1000</f>
        <v>10.196676490469027</v>
      </c>
      <c r="E20" s="2820">
        <v>0</v>
      </c>
      <c r="F20" s="2820">
        <f>IF('Д 7_РП'!G31=0,0,D20)</f>
        <v>0</v>
      </c>
      <c r="G20" s="2820">
        <v>0</v>
      </c>
      <c r="H20" s="2820">
        <f>D20</f>
        <v>10.196676490469027</v>
      </c>
      <c r="J20" s="1075"/>
      <c r="K20" s="844"/>
      <c r="L20" s="844"/>
      <c r="M20" s="844"/>
      <c r="N20" s="844"/>
      <c r="O20" s="844"/>
      <c r="P20" s="844"/>
      <c r="Q20" s="876"/>
      <c r="R20" s="844"/>
    </row>
    <row r="21" spans="1:18" ht="27" customHeight="1" x14ac:dyDescent="0.25">
      <c r="A21" s="2804">
        <v>4</v>
      </c>
      <c r="B21" s="2803" t="s">
        <v>258</v>
      </c>
      <c r="C21" s="1328" t="s">
        <v>74</v>
      </c>
      <c r="D21" s="2821">
        <f>D22+D23+D24</f>
        <v>9104.8777150933001</v>
      </c>
      <c r="E21" s="2821">
        <f>E22+E23+E24</f>
        <v>0</v>
      </c>
      <c r="F21" s="2821">
        <f>F22+F23+F24</f>
        <v>0</v>
      </c>
      <c r="G21" s="2821">
        <f>G22+G23+G24</f>
        <v>0</v>
      </c>
      <c r="H21" s="2821">
        <f>H22+H23+H24</f>
        <v>9104.8777150933001</v>
      </c>
      <c r="I21" s="844"/>
      <c r="J21" s="844"/>
      <c r="K21" s="844"/>
      <c r="L21" s="844"/>
      <c r="M21" s="844"/>
      <c r="N21" s="844"/>
      <c r="O21" s="844"/>
      <c r="P21" s="844"/>
      <c r="Q21" s="876"/>
      <c r="R21" s="844"/>
    </row>
    <row r="22" spans="1:18" ht="27" customHeight="1" x14ac:dyDescent="0.25">
      <c r="A22" s="2804" t="s">
        <v>27</v>
      </c>
      <c r="B22" s="2805" t="s">
        <v>588</v>
      </c>
      <c r="C22" s="1328" t="s">
        <v>74</v>
      </c>
      <c r="D22" s="2820">
        <f t="shared" ref="D22:H24" si="0">D10+D14+D18</f>
        <v>8481.962396681045</v>
      </c>
      <c r="E22" s="2820">
        <f t="shared" si="0"/>
        <v>0</v>
      </c>
      <c r="F22" s="2820">
        <f t="shared" si="0"/>
        <v>0</v>
      </c>
      <c r="G22" s="2820">
        <f t="shared" si="0"/>
        <v>0</v>
      </c>
      <c r="H22" s="2820">
        <f>H10+H14+H18</f>
        <v>8481.962396681045</v>
      </c>
      <c r="J22" s="1076"/>
      <c r="Q22" s="844"/>
    </row>
    <row r="23" spans="1:18" ht="27" customHeight="1" x14ac:dyDescent="0.25">
      <c r="A23" s="2804" t="s">
        <v>113</v>
      </c>
      <c r="B23" s="2805" t="s">
        <v>2749</v>
      </c>
      <c r="C23" s="1328" t="s">
        <v>74</v>
      </c>
      <c r="D23" s="2820">
        <f t="shared" si="0"/>
        <v>0</v>
      </c>
      <c r="E23" s="2820">
        <f t="shared" si="0"/>
        <v>0</v>
      </c>
      <c r="F23" s="2820">
        <f t="shared" si="0"/>
        <v>0</v>
      </c>
      <c r="G23" s="2820">
        <f t="shared" si="0"/>
        <v>0</v>
      </c>
      <c r="H23" s="2820">
        <f t="shared" si="0"/>
        <v>0</v>
      </c>
      <c r="I23" s="156"/>
      <c r="J23" s="1076"/>
    </row>
    <row r="24" spans="1:18" ht="27" customHeight="1" x14ac:dyDescent="0.25">
      <c r="A24" s="2804" t="s">
        <v>167</v>
      </c>
      <c r="B24" s="2805" t="s">
        <v>584</v>
      </c>
      <c r="C24" s="1328" t="s">
        <v>74</v>
      </c>
      <c r="D24" s="2820">
        <f t="shared" si="0"/>
        <v>622.91531841225526</v>
      </c>
      <c r="E24" s="2820">
        <f t="shared" si="0"/>
        <v>0</v>
      </c>
      <c r="F24" s="2820">
        <f t="shared" si="0"/>
        <v>0</v>
      </c>
      <c r="G24" s="2820">
        <f t="shared" si="0"/>
        <v>0</v>
      </c>
      <c r="H24" s="2820">
        <f t="shared" si="0"/>
        <v>622.91531841225526</v>
      </c>
      <c r="K24" s="844"/>
    </row>
    <row r="25" spans="1:18" ht="34.5" customHeight="1" x14ac:dyDescent="0.25">
      <c r="A25" s="2804">
        <v>5</v>
      </c>
      <c r="B25" s="2805" t="s">
        <v>591</v>
      </c>
      <c r="C25" s="1328" t="s">
        <v>40</v>
      </c>
      <c r="D25" s="2822">
        <f>D26+D27+D28</f>
        <v>10271.959295865336</v>
      </c>
      <c r="E25" s="2822">
        <f>E26+E27+E28</f>
        <v>0</v>
      </c>
      <c r="F25" s="2822">
        <f>F26+F27+F28</f>
        <v>0</v>
      </c>
      <c r="G25" s="2822">
        <f>G26+G27+G28</f>
        <v>0</v>
      </c>
      <c r="H25" s="2822">
        <f>H26+H27+H28</f>
        <v>10271.959295865336</v>
      </c>
      <c r="K25" s="844"/>
    </row>
    <row r="26" spans="1:18" ht="27" customHeight="1" x14ac:dyDescent="0.25">
      <c r="A26" s="2804" t="s">
        <v>28</v>
      </c>
      <c r="B26" s="2805" t="s">
        <v>589</v>
      </c>
      <c r="C26" s="1328" t="s">
        <v>40</v>
      </c>
      <c r="D26" s="2822">
        <f>SUM(E26:H26)</f>
        <v>9569.1974361541743</v>
      </c>
      <c r="E26" s="2822">
        <f>(E10+E14+E18)*E33/1000</f>
        <v>0</v>
      </c>
      <c r="F26" s="2822">
        <f>(F10+F14+F18)*F33/1000</f>
        <v>0</v>
      </c>
      <c r="G26" s="2822">
        <f>(G10+G14+G18)*G33/1000</f>
        <v>0</v>
      </c>
      <c r="H26" s="2822">
        <f>(H10+H14+H18)*H33/1000</f>
        <v>9569.1974361541743</v>
      </c>
    </row>
    <row r="27" spans="1:18" ht="27" customHeight="1" x14ac:dyDescent="0.25">
      <c r="A27" s="2804" t="s">
        <v>29</v>
      </c>
      <c r="B27" s="2805" t="s">
        <v>2749</v>
      </c>
      <c r="C27" s="1328" t="s">
        <v>40</v>
      </c>
      <c r="D27" s="2822">
        <f>SUM(E27:H27)</f>
        <v>0</v>
      </c>
      <c r="E27" s="2822">
        <f>(E11+E15+E19)*E33/1000</f>
        <v>0</v>
      </c>
      <c r="F27" s="2822">
        <f t="shared" ref="F27:H27" si="1">(F11+F15+F19)*F33/1000</f>
        <v>0</v>
      </c>
      <c r="G27" s="2822">
        <f t="shared" si="1"/>
        <v>0</v>
      </c>
      <c r="H27" s="2822">
        <f t="shared" si="1"/>
        <v>0</v>
      </c>
    </row>
    <row r="28" spans="1:18" ht="27" customHeight="1" x14ac:dyDescent="0.25">
      <c r="A28" s="2804" t="s">
        <v>30</v>
      </c>
      <c r="B28" s="2805" t="s">
        <v>590</v>
      </c>
      <c r="C28" s="1328" t="s">
        <v>40</v>
      </c>
      <c r="D28" s="2822">
        <f>SUM(E28:H28)</f>
        <v>702.76185971116172</v>
      </c>
      <c r="E28" s="2822">
        <f>(E12+E16+E20)*E33/1000</f>
        <v>0</v>
      </c>
      <c r="F28" s="2822">
        <f>(F12+F16+F20)*F33/1000</f>
        <v>0</v>
      </c>
      <c r="G28" s="2822">
        <f>(G12+G16+G20)*G33/1000</f>
        <v>0</v>
      </c>
      <c r="H28" s="2822">
        <f>(H12+H16+H20)*H33/1000</f>
        <v>702.76185971116172</v>
      </c>
    </row>
    <row r="29" spans="1:18" ht="47.25" customHeight="1" x14ac:dyDescent="0.25">
      <c r="A29" s="2804">
        <v>6</v>
      </c>
      <c r="B29" s="2805" t="s">
        <v>592</v>
      </c>
      <c r="C29" s="1328" t="s">
        <v>40</v>
      </c>
      <c r="D29" s="2822">
        <f>D30+D31+D32</f>
        <v>10271.959295865336</v>
      </c>
      <c r="E29" s="2822">
        <f>E30+E31+E32</f>
        <v>0</v>
      </c>
      <c r="F29" s="2822">
        <f>F30+F31+F32</f>
        <v>0</v>
      </c>
      <c r="G29" s="2822">
        <f>G30+G31+G32</f>
        <v>0</v>
      </c>
      <c r="H29" s="2822">
        <f>H30+H31+H32</f>
        <v>10271.959295865336</v>
      </c>
      <c r="I29" s="159"/>
    </row>
    <row r="30" spans="1:18" ht="27" customHeight="1" x14ac:dyDescent="0.25">
      <c r="A30" s="2804" t="s">
        <v>32</v>
      </c>
      <c r="B30" s="2805" t="s">
        <v>593</v>
      </c>
      <c r="C30" s="1328" t="s">
        <v>40</v>
      </c>
      <c r="D30" s="2822">
        <f t="shared" ref="D30:H32" si="2">D26</f>
        <v>9569.1974361541743</v>
      </c>
      <c r="E30" s="2822">
        <f t="shared" si="2"/>
        <v>0</v>
      </c>
      <c r="F30" s="2822">
        <f t="shared" si="2"/>
        <v>0</v>
      </c>
      <c r="G30" s="2822">
        <f t="shared" si="2"/>
        <v>0</v>
      </c>
      <c r="H30" s="2822">
        <f t="shared" si="2"/>
        <v>9569.1974361541743</v>
      </c>
    </row>
    <row r="31" spans="1:18" ht="27" customHeight="1" x14ac:dyDescent="0.25">
      <c r="A31" s="2804" t="s">
        <v>33</v>
      </c>
      <c r="B31" s="2805" t="s">
        <v>2749</v>
      </c>
      <c r="C31" s="1328" t="s">
        <v>40</v>
      </c>
      <c r="D31" s="2822">
        <f t="shared" si="2"/>
        <v>0</v>
      </c>
      <c r="E31" s="2822">
        <f t="shared" si="2"/>
        <v>0</v>
      </c>
      <c r="F31" s="2822">
        <f t="shared" si="2"/>
        <v>0</v>
      </c>
      <c r="G31" s="2822">
        <f t="shared" si="2"/>
        <v>0</v>
      </c>
      <c r="H31" s="2822">
        <f t="shared" si="2"/>
        <v>0</v>
      </c>
    </row>
    <row r="32" spans="1:18" ht="27" customHeight="1" x14ac:dyDescent="0.25">
      <c r="A32" s="2804" t="s">
        <v>34</v>
      </c>
      <c r="B32" s="2805" t="s">
        <v>594</v>
      </c>
      <c r="C32" s="1328" t="s">
        <v>40</v>
      </c>
      <c r="D32" s="2822">
        <f t="shared" si="2"/>
        <v>702.76185971116172</v>
      </c>
      <c r="E32" s="2822">
        <f t="shared" si="2"/>
        <v>0</v>
      </c>
      <c r="F32" s="2822">
        <f t="shared" si="2"/>
        <v>0</v>
      </c>
      <c r="G32" s="2822">
        <f t="shared" si="2"/>
        <v>0</v>
      </c>
      <c r="H32" s="2822">
        <f t="shared" si="2"/>
        <v>702.76185971116172</v>
      </c>
    </row>
    <row r="33" spans="1:9" ht="34.5" customHeight="1" x14ac:dyDescent="0.25">
      <c r="A33" s="2804">
        <v>7</v>
      </c>
      <c r="B33" s="2805" t="s">
        <v>1982</v>
      </c>
      <c r="C33" s="1328" t="s">
        <v>22</v>
      </c>
      <c r="D33" s="2822">
        <f>D34+D35</f>
        <v>1128.18201598</v>
      </c>
      <c r="E33" s="2822">
        <f>E34+E35</f>
        <v>0</v>
      </c>
      <c r="F33" s="2822">
        <f>F34+F35</f>
        <v>0</v>
      </c>
      <c r="G33" s="2822">
        <f>G34+G35</f>
        <v>0</v>
      </c>
      <c r="H33" s="2822">
        <f>H34+H35</f>
        <v>1128.18201598</v>
      </c>
      <c r="I33" s="159"/>
    </row>
    <row r="34" spans="1:9" ht="27" customHeight="1" x14ac:dyDescent="0.25">
      <c r="A34" s="2804" t="s">
        <v>64</v>
      </c>
      <c r="B34" s="2805" t="s">
        <v>114</v>
      </c>
      <c r="C34" s="1328" t="s">
        <v>22</v>
      </c>
      <c r="D34" s="2822">
        <f>E34+F34+G34+H34</f>
        <v>1128.18201598</v>
      </c>
      <c r="E34" s="2822">
        <f>'Д 7_РП'!G77</f>
        <v>0</v>
      </c>
      <c r="F34" s="2822">
        <f>'Д 7_РП'!G85</f>
        <v>0</v>
      </c>
      <c r="G34" s="2822">
        <f>'Д 7_РП'!G89</f>
        <v>0</v>
      </c>
      <c r="H34" s="2822">
        <f>'Д 7_РП'!G93</f>
        <v>1128.18201598</v>
      </c>
    </row>
    <row r="35" spans="1:9" ht="27" customHeight="1" x14ac:dyDescent="0.25">
      <c r="A35" s="2804" t="s">
        <v>66</v>
      </c>
      <c r="B35" s="2805" t="s">
        <v>96</v>
      </c>
      <c r="C35" s="1328" t="s">
        <v>22</v>
      </c>
      <c r="D35" s="2822">
        <v>0</v>
      </c>
      <c r="E35" s="2822">
        <v>0</v>
      </c>
      <c r="F35" s="2822">
        <v>0</v>
      </c>
      <c r="G35" s="2822">
        <v>0</v>
      </c>
      <c r="H35" s="2822">
        <v>0</v>
      </c>
    </row>
    <row r="36" spans="1:9" ht="37.5" customHeight="1" x14ac:dyDescent="0.25">
      <c r="A36" s="2823" t="s">
        <v>180</v>
      </c>
      <c r="B36" s="2824" t="s">
        <v>1958</v>
      </c>
      <c r="C36" s="2825" t="s">
        <v>22</v>
      </c>
      <c r="D36" s="2822">
        <f>SUM(D37:D38)</f>
        <v>1314.5190159799997</v>
      </c>
      <c r="E36" s="2822">
        <f t="shared" ref="E36:H36" si="3">SUM(E37:E38)</f>
        <v>0</v>
      </c>
      <c r="F36" s="2822">
        <f t="shared" si="3"/>
        <v>0</v>
      </c>
      <c r="G36" s="2822">
        <f t="shared" si="3"/>
        <v>0</v>
      </c>
      <c r="H36" s="2822">
        <f t="shared" si="3"/>
        <v>1314.5190159799997</v>
      </c>
    </row>
    <row r="37" spans="1:9" ht="27" customHeight="1" x14ac:dyDescent="0.25">
      <c r="A37" s="2823" t="s">
        <v>116</v>
      </c>
      <c r="B37" s="2824" t="s">
        <v>1959</v>
      </c>
      <c r="C37" s="2825" t="s">
        <v>22</v>
      </c>
      <c r="D37" s="2822">
        <f>SUM(E37:H37)</f>
        <v>1314.5190159799997</v>
      </c>
      <c r="E37" s="2822">
        <f>'Д 7_РП'!G28</f>
        <v>0</v>
      </c>
      <c r="F37" s="2822">
        <f>'Д 7_РП'!G31</f>
        <v>0</v>
      </c>
      <c r="G37" s="2822">
        <f>'Д 7_РП'!G34</f>
        <v>0</v>
      </c>
      <c r="H37" s="2822">
        <f>'Д 7_РП'!G37</f>
        <v>1314.5190159799997</v>
      </c>
    </row>
    <row r="38" spans="1:9" ht="27" customHeight="1" x14ac:dyDescent="0.25">
      <c r="A38" s="2823" t="s">
        <v>118</v>
      </c>
      <c r="B38" s="2824" t="s">
        <v>96</v>
      </c>
      <c r="C38" s="2825" t="s">
        <v>22</v>
      </c>
      <c r="D38" s="2822">
        <f>SUM(E38:H38)</f>
        <v>0</v>
      </c>
      <c r="E38" s="2822">
        <v>0</v>
      </c>
      <c r="F38" s="2822">
        <v>0</v>
      </c>
      <c r="G38" s="2822">
        <v>0</v>
      </c>
      <c r="H38" s="2822">
        <v>0</v>
      </c>
    </row>
    <row r="39" spans="1:9" ht="27" customHeight="1" x14ac:dyDescent="0.25">
      <c r="A39" s="2823" t="s">
        <v>195</v>
      </c>
      <c r="B39" s="2805" t="s">
        <v>115</v>
      </c>
      <c r="C39" s="1328"/>
      <c r="D39" s="2822"/>
      <c r="E39" s="2822"/>
      <c r="F39" s="2822"/>
      <c r="G39" s="2822"/>
      <c r="H39" s="2822"/>
    </row>
    <row r="40" spans="1:9" ht="27" customHeight="1" x14ac:dyDescent="0.25">
      <c r="A40" s="2823" t="s">
        <v>161</v>
      </c>
      <c r="B40" s="2805" t="s">
        <v>117</v>
      </c>
      <c r="C40" s="1328" t="s">
        <v>4</v>
      </c>
      <c r="D40" s="2826">
        <f>D12/D10</f>
        <v>7.3439999999999866E-2</v>
      </c>
      <c r="E40" s="2826">
        <v>0</v>
      </c>
      <c r="F40" s="2826">
        <f>IF('Д 7_РП'!G31=0,0,F12/F10)</f>
        <v>0</v>
      </c>
      <c r="G40" s="2826">
        <v>0</v>
      </c>
      <c r="H40" s="2826">
        <f>H12/H10</f>
        <v>7.3439999999999866E-2</v>
      </c>
    </row>
    <row r="41" spans="1:9" ht="27" customHeight="1" x14ac:dyDescent="0.25">
      <c r="A41" s="2823" t="s">
        <v>215</v>
      </c>
      <c r="B41" s="2805" t="s">
        <v>119</v>
      </c>
      <c r="C41" s="1328" t="s">
        <v>4</v>
      </c>
      <c r="D41" s="2826">
        <f>D16/D14</f>
        <v>7.3440000000000019E-2</v>
      </c>
      <c r="E41" s="2826">
        <v>0</v>
      </c>
      <c r="F41" s="2826">
        <f>IF('Д 7_РП'!G31=0,0,F16/F14)</f>
        <v>0</v>
      </c>
      <c r="G41" s="2826">
        <v>0</v>
      </c>
      <c r="H41" s="2826">
        <f>H16/H14</f>
        <v>7.3440000000000019E-2</v>
      </c>
    </row>
    <row r="42" spans="1:9" ht="27" customHeight="1" x14ac:dyDescent="0.25">
      <c r="A42" s="2823" t="s">
        <v>355</v>
      </c>
      <c r="B42" s="2805" t="s">
        <v>121</v>
      </c>
      <c r="C42" s="1328" t="s">
        <v>4</v>
      </c>
      <c r="D42" s="2826">
        <f>D20/D18</f>
        <v>7.3440000000000019E-2</v>
      </c>
      <c r="E42" s="2826">
        <v>0</v>
      </c>
      <c r="F42" s="2826">
        <f>IF('Д 7_РП'!G31=0,0,F20/F18)</f>
        <v>0</v>
      </c>
      <c r="G42" s="2826">
        <v>0</v>
      </c>
      <c r="H42" s="2826">
        <f>H20/H18</f>
        <v>7.3440000000000019E-2</v>
      </c>
    </row>
    <row r="43" spans="1:9" ht="27" customHeight="1" x14ac:dyDescent="0.25">
      <c r="A43" s="2823" t="s">
        <v>1960</v>
      </c>
      <c r="B43" s="2805" t="s">
        <v>123</v>
      </c>
      <c r="C43" s="1328" t="s">
        <v>4</v>
      </c>
      <c r="D43" s="2826">
        <f>D24/D22</f>
        <v>7.3439999999999922E-2</v>
      </c>
      <c r="E43" s="2826">
        <v>0</v>
      </c>
      <c r="F43" s="2826">
        <f>IF('Д 7_РП'!G31=0,0,F24/F22)</f>
        <v>0</v>
      </c>
      <c r="G43" s="2826">
        <v>0</v>
      </c>
      <c r="H43" s="2826">
        <f>H24/H22</f>
        <v>7.3439999999999922E-2</v>
      </c>
    </row>
    <row r="44" spans="1:9" ht="27" customHeight="1" x14ac:dyDescent="0.25">
      <c r="A44" s="2827"/>
      <c r="B44" s="2768"/>
      <c r="C44" s="2764"/>
      <c r="D44" s="2764"/>
      <c r="E44" s="2764"/>
      <c r="F44" s="2764"/>
      <c r="G44" s="2764"/>
      <c r="H44" s="2764"/>
    </row>
    <row r="45" spans="1:9" ht="27" customHeight="1" x14ac:dyDescent="0.25">
      <c r="A45" s="2827"/>
      <c r="B45" s="2768"/>
      <c r="C45" s="2764"/>
      <c r="D45" s="2764"/>
      <c r="E45" s="2764"/>
      <c r="F45" s="2764"/>
      <c r="G45" s="2764"/>
      <c r="H45" s="2764"/>
    </row>
    <row r="46" spans="1:9" ht="27" customHeight="1" x14ac:dyDescent="0.25">
      <c r="A46" s="2766"/>
      <c r="B46" s="2764"/>
      <c r="C46" s="2764"/>
      <c r="D46" s="2764"/>
      <c r="E46" s="2764"/>
      <c r="F46" s="2764"/>
      <c r="G46" s="2764"/>
      <c r="H46" s="2764"/>
    </row>
    <row r="47" spans="1:9" ht="27" customHeight="1" x14ac:dyDescent="0.25">
      <c r="A47" s="2766"/>
      <c r="B47" s="3653" t="str">
        <f>'Вхідні дані'!B14</f>
        <v>Заступник начальника Адміністрації морського порту Чорноморськ з технічних питань та розвитку</v>
      </c>
      <c r="C47" s="3769" t="s">
        <v>100</v>
      </c>
      <c r="D47" s="3769"/>
      <c r="E47" s="3769"/>
      <c r="F47" s="3770" t="str">
        <f>'Вхідні дані'!F14</f>
        <v>Віталій ЛІПСКИЙ</v>
      </c>
      <c r="G47" s="3770"/>
      <c r="H47" s="3770"/>
    </row>
    <row r="48" spans="1:9" ht="27" customHeight="1" x14ac:dyDescent="0.25">
      <c r="A48" s="2766"/>
      <c r="B48" s="2828" t="s">
        <v>242</v>
      </c>
      <c r="C48" s="3771" t="s">
        <v>101</v>
      </c>
      <c r="D48" s="3771"/>
      <c r="E48" s="3771"/>
      <c r="F48" s="3771" t="s">
        <v>102</v>
      </c>
      <c r="G48" s="3771"/>
      <c r="H48" s="3771"/>
    </row>
    <row r="51" spans="4:8" ht="27" customHeight="1" x14ac:dyDescent="0.25">
      <c r="D51" s="876">
        <f>D21*1.2</f>
        <v>10925.85325811196</v>
      </c>
      <c r="E51" s="876">
        <f>E21*1.2</f>
        <v>0</v>
      </c>
      <c r="F51" s="876">
        <f>F21*1.2</f>
        <v>0</v>
      </c>
      <c r="G51" s="876">
        <f>G21*1.2</f>
        <v>0</v>
      </c>
      <c r="H51" s="876">
        <f>H21*1.2</f>
        <v>10925.85325811196</v>
      </c>
    </row>
    <row r="53" spans="4:8" ht="27" customHeight="1" x14ac:dyDescent="0.25">
      <c r="D53" s="1075">
        <f>SUM(E53:H53)</f>
        <v>4491.7941629656525</v>
      </c>
      <c r="E53" s="1075">
        <f>'Д 2_Т на В'!L58</f>
        <v>0</v>
      </c>
      <c r="F53" s="1075">
        <f>'Д 2_Т на В'!P58</f>
        <v>0</v>
      </c>
      <c r="G53" s="1075">
        <f>'Д 2_Т на В'!T58</f>
        <v>0</v>
      </c>
      <c r="H53" s="1075">
        <f>'Д 2_Т на В'!X58</f>
        <v>4491.7941629656525</v>
      </c>
    </row>
    <row r="54" spans="4:8" ht="27" customHeight="1" x14ac:dyDescent="0.25">
      <c r="D54" s="1075">
        <f>SUM(E54:H54)</f>
        <v>3177.275146985653</v>
      </c>
      <c r="E54" s="1075">
        <f>E53-E37</f>
        <v>0</v>
      </c>
      <c r="F54" s="1075">
        <f t="shared" ref="F54:H54" si="4">F53-F37</f>
        <v>0</v>
      </c>
      <c r="G54" s="1075">
        <f t="shared" si="4"/>
        <v>0</v>
      </c>
      <c r="H54" s="1075">
        <f t="shared" si="4"/>
        <v>3177.275146985653</v>
      </c>
    </row>
    <row r="55" spans="4:8" ht="27" customHeight="1" x14ac:dyDescent="0.25">
      <c r="D55" s="1075">
        <f>'Д 5.1 Т на ТЕ без ЦТП'!D40</f>
        <v>3177.275146985653</v>
      </c>
      <c r="E55" s="1075">
        <f>'Д 5.1 Т на ТЕ без ЦТП'!E40</f>
        <v>0</v>
      </c>
      <c r="F55" s="1075">
        <f>'Д 5.1 Т на ТЕ без ЦТП'!F40</f>
        <v>0</v>
      </c>
      <c r="G55" s="1075">
        <f>'Д 5.1 Т на ТЕ без ЦТП'!G40</f>
        <v>0</v>
      </c>
      <c r="H55" s="1075">
        <f>'Д 5.1 Т на ТЕ без ЦТП'!H40</f>
        <v>3177.275146985653</v>
      </c>
    </row>
    <row r="56" spans="4:8" ht="27" customHeight="1" x14ac:dyDescent="0.25">
      <c r="D56" s="118" t="e">
        <f>#REF!</f>
        <v>#REF!</v>
      </c>
      <c r="E56" s="118" t="e">
        <f>#REF!</f>
        <v>#REF!</v>
      </c>
      <c r="F56" s="118" t="e">
        <f>#REF!</f>
        <v>#REF!</v>
      </c>
      <c r="G56" s="118" t="e">
        <f>#REF!</f>
        <v>#REF!</v>
      </c>
      <c r="H56" s="1075" t="e">
        <f>#REF!</f>
        <v>#REF!</v>
      </c>
    </row>
    <row r="58" spans="4:8" ht="27" customHeight="1" x14ac:dyDescent="0.25">
      <c r="D58" s="1075">
        <f>D34</f>
        <v>1128.18201598</v>
      </c>
      <c r="E58" s="1075">
        <f t="shared" ref="E58:H58" si="5">E34</f>
        <v>0</v>
      </c>
      <c r="F58" s="1075">
        <f t="shared" si="5"/>
        <v>0</v>
      </c>
      <c r="G58" s="1075">
        <f t="shared" si="5"/>
        <v>0</v>
      </c>
      <c r="H58" s="1075">
        <f t="shared" si="5"/>
        <v>1128.18201598</v>
      </c>
    </row>
    <row r="59" spans="4:8" ht="27" customHeight="1" x14ac:dyDescent="0.25">
      <c r="D59" s="1075">
        <f>'Д 5.1 Т на ТЕ без ЦТП'!D37</f>
        <v>2771.3382361666663</v>
      </c>
      <c r="E59" s="1075">
        <f>'Д 5.1 Т на ТЕ без ЦТП'!E37</f>
        <v>0</v>
      </c>
      <c r="F59" s="1075">
        <f>'Д 5.1 Т на ТЕ без ЦТП'!F37</f>
        <v>0</v>
      </c>
      <c r="G59" s="1075">
        <f>'Д 5.1 Т на ТЕ без ЦТП'!G37</f>
        <v>0</v>
      </c>
      <c r="H59" s="1075">
        <f>'Д 5.1 Т на ТЕ без ЦТП'!H37</f>
        <v>2771.3382361666663</v>
      </c>
    </row>
    <row r="60" spans="4:8" ht="27" customHeight="1" x14ac:dyDescent="0.25">
      <c r="D60" s="1075">
        <f>SUM(D58:D59)</f>
        <v>3899.5202521466663</v>
      </c>
      <c r="E60" s="1075">
        <f t="shared" ref="E60:H60" si="6">SUM(E58:E59)</f>
        <v>0</v>
      </c>
      <c r="F60" s="1075">
        <f t="shared" si="6"/>
        <v>0</v>
      </c>
      <c r="G60" s="1075">
        <f t="shared" si="6"/>
        <v>0</v>
      </c>
      <c r="H60" s="1075">
        <f t="shared" si="6"/>
        <v>3899.5202521466663</v>
      </c>
    </row>
    <row r="61" spans="4:8" ht="27" customHeight="1" x14ac:dyDescent="0.25">
      <c r="D61" s="118" t="e">
        <f>#REF!</f>
        <v>#REF!</v>
      </c>
      <c r="E61" s="118" t="e">
        <f>#REF!</f>
        <v>#REF!</v>
      </c>
      <c r="F61" s="118" t="e">
        <f>#REF!</f>
        <v>#REF!</v>
      </c>
      <c r="G61" s="118" t="e">
        <f>#REF!</f>
        <v>#REF!</v>
      </c>
      <c r="H61" s="1075" t="e">
        <f>#REF!</f>
        <v>#REF!</v>
      </c>
    </row>
  </sheetData>
  <mergeCells count="14">
    <mergeCell ref="C47:E47"/>
    <mergeCell ref="F47:H47"/>
    <mergeCell ref="C48:E48"/>
    <mergeCell ref="F48:H48"/>
    <mergeCell ref="E1:H1"/>
    <mergeCell ref="B3:H3"/>
    <mergeCell ref="A5:H5"/>
    <mergeCell ref="A6:A7"/>
    <mergeCell ref="B6:B7"/>
    <mergeCell ref="C6:C7"/>
    <mergeCell ref="D6:D7"/>
    <mergeCell ref="E6:H6"/>
    <mergeCell ref="E2:H2"/>
    <mergeCell ref="A4:H4"/>
  </mergeCells>
  <conditionalFormatting sqref="B1:B2">
    <cfRule type="containsText" dxfId="46" priority="1" operator="containsText" text="Для корек">
      <formula>NOT(ISERROR(SEARCH("Для корек",B1)))</formula>
    </cfRule>
  </conditionalFormatting>
  <pageMargins left="0.78740157480314965" right="0.39370078740157483" top="0.59055118110236227" bottom="0.23622047244094491" header="0.31496062992125984" footer="0.31496062992125984"/>
  <pageSetup paperSize="9" scale="86" fitToHeight="0" orientation="portrait" r:id="rId1"/>
  <headerFooter differentFirst="1">
    <oddHeader>&amp;Rпровження додатку  5</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EC20C5"/>
    <pageSetUpPr fitToPage="1"/>
  </sheetPr>
  <dimension ref="A1:R39"/>
  <sheetViews>
    <sheetView zoomScaleNormal="100" workbookViewId="0">
      <selection activeCell="E1" sqref="E1:G1"/>
    </sheetView>
  </sheetViews>
  <sheetFormatPr defaultColWidth="9.140625" defaultRowHeight="15" x14ac:dyDescent="0.25"/>
  <cols>
    <col min="1" max="1" width="7.85546875" style="1734" customWidth="1"/>
    <col min="2" max="2" width="40.42578125" style="18" customWidth="1"/>
    <col min="3" max="3" width="12.7109375" style="18" customWidth="1"/>
    <col min="4" max="4" width="11.7109375" style="1734" customWidth="1"/>
    <col min="5" max="7" width="11.7109375" style="18" customWidth="1"/>
    <col min="8" max="8" width="13.28515625" style="1209" hidden="1" customWidth="1"/>
    <col min="9" max="13" width="12" style="18" hidden="1" customWidth="1"/>
    <col min="14" max="14" width="11.7109375" style="18" hidden="1" customWidth="1"/>
    <col min="15" max="18" width="12" style="18" hidden="1" customWidth="1"/>
    <col min="19" max="16384" width="9.140625" style="18"/>
  </cols>
  <sheetData>
    <row r="1" spans="1:18" ht="85.15" customHeight="1" x14ac:dyDescent="0.25">
      <c r="A1" s="3491"/>
      <c r="E1" s="4059" t="s">
        <v>3459</v>
      </c>
      <c r="F1" s="4059"/>
      <c r="G1" s="4059"/>
    </row>
    <row r="2" spans="1:18" ht="15" customHeight="1" x14ac:dyDescent="0.25">
      <c r="A2" s="3491"/>
      <c r="E2" s="3480"/>
      <c r="F2" s="3480"/>
      <c r="G2" s="3480"/>
    </row>
    <row r="3" spans="1:18" ht="54.75" customHeight="1" x14ac:dyDescent="0.25">
      <c r="A3" s="4060" t="s">
        <v>3449</v>
      </c>
      <c r="B3" s="4060"/>
      <c r="C3" s="4060"/>
      <c r="D3" s="4060"/>
      <c r="E3" s="4060"/>
      <c r="F3" s="4060"/>
      <c r="G3" s="4060"/>
    </row>
    <row r="4" spans="1:18" ht="15.75" thickBot="1" x14ac:dyDescent="0.3">
      <c r="G4" s="18" t="s">
        <v>1666</v>
      </c>
      <c r="I4" s="787" t="s">
        <v>2241</v>
      </c>
      <c r="J4" s="787"/>
      <c r="K4" s="787"/>
      <c r="L4" s="787"/>
      <c r="M4" s="787"/>
      <c r="N4" s="787" t="s">
        <v>2242</v>
      </c>
      <c r="O4" s="787"/>
      <c r="P4" s="787"/>
      <c r="Q4" s="787"/>
      <c r="R4" s="787"/>
    </row>
    <row r="5" spans="1:18" ht="30" customHeight="1" thickBot="1" x14ac:dyDescent="0.3">
      <c r="A5" s="4061" t="s">
        <v>7</v>
      </c>
      <c r="B5" s="4061" t="s">
        <v>620</v>
      </c>
      <c r="C5" s="4061" t="s">
        <v>3113</v>
      </c>
      <c r="D5" s="4064" t="s">
        <v>2789</v>
      </c>
      <c r="E5" s="4065"/>
      <c r="F5" s="4065"/>
      <c r="G5" s="4066"/>
      <c r="H5" s="1210"/>
      <c r="I5" s="4061" t="s">
        <v>2788</v>
      </c>
      <c r="J5" s="2166"/>
      <c r="K5" s="2166"/>
      <c r="L5" s="2166"/>
      <c r="M5" s="2166"/>
      <c r="N5" s="4061" t="s">
        <v>2788</v>
      </c>
      <c r="O5" s="2166"/>
      <c r="P5" s="2166"/>
      <c r="Q5" s="2166"/>
      <c r="R5" s="2166"/>
    </row>
    <row r="6" spans="1:18" ht="47.45" customHeight="1" thickBot="1" x14ac:dyDescent="0.3">
      <c r="A6" s="4062"/>
      <c r="B6" s="4063"/>
      <c r="C6" s="4063"/>
      <c r="D6" s="2127" t="s">
        <v>2790</v>
      </c>
      <c r="E6" s="2127" t="s">
        <v>2791</v>
      </c>
      <c r="F6" s="2127" t="s">
        <v>2792</v>
      </c>
      <c r="G6" s="2127" t="s">
        <v>2857</v>
      </c>
      <c r="I6" s="4063"/>
      <c r="J6" s="2127" t="s">
        <v>2790</v>
      </c>
      <c r="K6" s="2127" t="s">
        <v>2791</v>
      </c>
      <c r="L6" s="2127" t="s">
        <v>2792</v>
      </c>
      <c r="M6" s="2127" t="s">
        <v>2857</v>
      </c>
      <c r="N6" s="4063"/>
      <c r="O6" s="2127" t="s">
        <v>2790</v>
      </c>
      <c r="P6" s="2127" t="s">
        <v>2791</v>
      </c>
      <c r="Q6" s="2127" t="s">
        <v>2792</v>
      </c>
      <c r="R6" s="2127" t="s">
        <v>2857</v>
      </c>
    </row>
    <row r="7" spans="1:18" ht="15.75" thickBot="1" x14ac:dyDescent="0.3">
      <c r="A7" s="2128">
        <v>1</v>
      </c>
      <c r="B7" s="2129">
        <v>2</v>
      </c>
      <c r="C7" s="2114">
        <v>3</v>
      </c>
      <c r="D7" s="2128">
        <v>4</v>
      </c>
      <c r="E7" s="2114">
        <v>5</v>
      </c>
      <c r="F7" s="2129">
        <v>6</v>
      </c>
      <c r="G7" s="2115">
        <v>7</v>
      </c>
    </row>
    <row r="8" spans="1:18" ht="31.9" customHeight="1" thickBot="1" x14ac:dyDescent="0.3">
      <c r="A8" s="2156" t="s">
        <v>2795</v>
      </c>
      <c r="B8" s="2157" t="s">
        <v>2855</v>
      </c>
      <c r="C8" s="2152">
        <f>(C10+C22+C31)</f>
        <v>581.18570964872185</v>
      </c>
      <c r="D8" s="2152">
        <f t="shared" ref="D8:F8" si="0">(D10+D22+D31)</f>
        <v>0</v>
      </c>
      <c r="E8" s="2152">
        <f t="shared" si="0"/>
        <v>0</v>
      </c>
      <c r="F8" s="2152">
        <f t="shared" si="0"/>
        <v>0</v>
      </c>
      <c r="G8" s="2152">
        <f>(G10+G22+G31)</f>
        <v>149.04031061994922</v>
      </c>
      <c r="H8" s="2579">
        <f>I8+N8</f>
        <v>3.8995202521466661</v>
      </c>
      <c r="I8" s="2575">
        <f>'Додаток 4 до рішення'!C41</f>
        <v>1.12818201598</v>
      </c>
      <c r="J8" s="2575">
        <f>'Додаток 4 до рішення'!D41</f>
        <v>0</v>
      </c>
      <c r="K8" s="2575">
        <f>'Додаток 4 до рішення'!E41</f>
        <v>0</v>
      </c>
      <c r="L8" s="2575">
        <f>'Додаток 4 до рішення'!F41</f>
        <v>0</v>
      </c>
      <c r="M8" s="2575">
        <f>I8</f>
        <v>1.12818201598</v>
      </c>
      <c r="N8" s="2575">
        <f>'Додаток 5 до рішення'!C41</f>
        <v>2.7713382361666663</v>
      </c>
      <c r="O8" s="2575">
        <f>'Додаток 5 до рішення'!D41</f>
        <v>0</v>
      </c>
      <c r="P8" s="2575">
        <f>'Додаток 5 до рішення'!E41</f>
        <v>0</v>
      </c>
      <c r="Q8" s="2575">
        <f>'Додаток 5 до рішення'!F41</f>
        <v>0</v>
      </c>
      <c r="R8" s="2575">
        <f>'Додаток 5 до рішення'!G41</f>
        <v>2.7713382361666663</v>
      </c>
    </row>
    <row r="9" spans="1:18" ht="18.75" customHeight="1" thickBot="1" x14ac:dyDescent="0.3">
      <c r="A9" s="2140" t="s">
        <v>2800</v>
      </c>
      <c r="B9" s="4049" t="s">
        <v>2856</v>
      </c>
      <c r="C9" s="4054"/>
      <c r="D9" s="4054"/>
      <c r="E9" s="4054"/>
      <c r="F9" s="4054"/>
      <c r="G9" s="4055"/>
    </row>
    <row r="10" spans="1:18" s="23" customFormat="1" ht="14.25" x14ac:dyDescent="0.2">
      <c r="A10" s="2141" t="s">
        <v>1687</v>
      </c>
      <c r="B10" s="178" t="s">
        <v>2802</v>
      </c>
      <c r="C10" s="2135">
        <f>C11+C12+C13+C17</f>
        <v>520.53602277225002</v>
      </c>
      <c r="D10" s="181">
        <f>D11+D12+D13+D17</f>
        <v>0</v>
      </c>
      <c r="E10" s="181">
        <f t="shared" ref="E10" si="1">E11+E12+E13+E17</f>
        <v>0</v>
      </c>
      <c r="F10" s="181">
        <f t="shared" ref="F10" si="2">F11+F12+F13+F17</f>
        <v>0</v>
      </c>
      <c r="G10" s="181">
        <f>G11+G12+G13+G17</f>
        <v>133.48719563276984</v>
      </c>
      <c r="H10" s="2168">
        <f>I10+N10-C10</f>
        <v>0</v>
      </c>
      <c r="I10" s="181">
        <f>I11+I12+I13+I17</f>
        <v>150.59785347649495</v>
      </c>
      <c r="J10" s="181">
        <f t="shared" ref="J10:L10" si="3">J11+J12+J13+J17</f>
        <v>0</v>
      </c>
      <c r="K10" s="181">
        <f t="shared" si="3"/>
        <v>0</v>
      </c>
      <c r="L10" s="181">
        <f t="shared" si="3"/>
        <v>0</v>
      </c>
      <c r="M10" s="181">
        <f t="shared" ref="M10" si="4">M11+M12+M13+M17</f>
        <v>150.59785347649495</v>
      </c>
      <c r="N10" s="181">
        <f>N11+N12+N13+N17</f>
        <v>369.93816929575513</v>
      </c>
      <c r="O10" s="181">
        <f t="shared" ref="O10:Q10" si="5">O11+O12+O13+O17</f>
        <v>0</v>
      </c>
      <c r="P10" s="181">
        <f t="shared" si="5"/>
        <v>0</v>
      </c>
      <c r="Q10" s="181">
        <f t="shared" si="5"/>
        <v>0</v>
      </c>
      <c r="R10" s="181">
        <f t="shared" ref="R10" si="6">R11+R12+R13+R17</f>
        <v>369.93816929575513</v>
      </c>
    </row>
    <row r="11" spans="1:18" x14ac:dyDescent="0.25">
      <c r="A11" s="2143" t="s">
        <v>1689</v>
      </c>
      <c r="B11" s="91" t="s">
        <v>2851</v>
      </c>
      <c r="C11" s="2144">
        <f>Постачання_1ст!F10</f>
        <v>1.5009399999999997</v>
      </c>
      <c r="D11" s="2144">
        <v>0</v>
      </c>
      <c r="E11" s="2144">
        <v>0</v>
      </c>
      <c r="F11" s="2144">
        <v>0</v>
      </c>
      <c r="G11" s="2144">
        <f>C11/$C$36</f>
        <v>0.38490375814146366</v>
      </c>
      <c r="H11" s="2168">
        <f t="shared" ref="H11:H34" si="7">I11+N11-C11</f>
        <v>0</v>
      </c>
      <c r="I11" s="2169">
        <f>SUM(J11:M11)</f>
        <v>0.43424149781831484</v>
      </c>
      <c r="J11" s="89">
        <f>J$8*D11</f>
        <v>0</v>
      </c>
      <c r="K11" s="89">
        <f t="shared" ref="K11:L11" si="8">K$8*E11</f>
        <v>0</v>
      </c>
      <c r="L11" s="89">
        <f t="shared" si="8"/>
        <v>0</v>
      </c>
      <c r="M11" s="89">
        <f>C11/$H$8*$M$8</f>
        <v>0.43424149781831484</v>
      </c>
      <c r="N11" s="2169">
        <f>SUM(O11:R11)</f>
        <v>1.066698502181685</v>
      </c>
      <c r="O11" s="89">
        <f>O$8*D11</f>
        <v>0</v>
      </c>
      <c r="P11" s="89">
        <f t="shared" ref="P11:Q11" si="9">P$8*E11</f>
        <v>0</v>
      </c>
      <c r="Q11" s="89">
        <f t="shared" si="9"/>
        <v>0</v>
      </c>
      <c r="R11" s="89">
        <f>C11/$H$8*$R$8</f>
        <v>1.066698502181685</v>
      </c>
    </row>
    <row r="12" spans="1:18" x14ac:dyDescent="0.25">
      <c r="A12" s="2143" t="s">
        <v>1691</v>
      </c>
      <c r="B12" s="91" t="s">
        <v>2811</v>
      </c>
      <c r="C12" s="2144">
        <f>Постачання_1ст!F21</f>
        <v>297.08970999999997</v>
      </c>
      <c r="D12" s="2144">
        <v>0</v>
      </c>
      <c r="E12" s="2144">
        <v>0</v>
      </c>
      <c r="F12" s="2144">
        <v>0</v>
      </c>
      <c r="G12" s="2144">
        <f t="shared" ref="G12:G35" si="10">C12/$C$36</f>
        <v>76.186220557888774</v>
      </c>
      <c r="H12" s="2168">
        <f t="shared" si="7"/>
        <v>0</v>
      </c>
      <c r="I12" s="2169">
        <f>SUM(J12:M12)</f>
        <v>85.951923898895885</v>
      </c>
      <c r="J12" s="89">
        <f>J$8*D12</f>
        <v>0</v>
      </c>
      <c r="K12" s="89">
        <f t="shared" ref="K12:L27" si="11">K$8*E12</f>
        <v>0</v>
      </c>
      <c r="L12" s="89">
        <f t="shared" si="11"/>
        <v>0</v>
      </c>
      <c r="M12" s="89">
        <f t="shared" ref="M12:M34" si="12">C12/$H$8*$M$8</f>
        <v>85.951923898895885</v>
      </c>
      <c r="N12" s="2169">
        <f>SUM(O12:R12)</f>
        <v>211.1377861011041</v>
      </c>
      <c r="O12" s="89">
        <f>O$8*D12</f>
        <v>0</v>
      </c>
      <c r="P12" s="89">
        <f t="shared" ref="P12:Q27" si="13">P$8*E12</f>
        <v>0</v>
      </c>
      <c r="Q12" s="89">
        <f t="shared" si="13"/>
        <v>0</v>
      </c>
      <c r="R12" s="89">
        <f t="shared" ref="R12:R35" si="14">C12/$H$8*$R$8</f>
        <v>211.1377861011041</v>
      </c>
    </row>
    <row r="13" spans="1:18" x14ac:dyDescent="0.25">
      <c r="A13" s="2143" t="s">
        <v>1694</v>
      </c>
      <c r="B13" s="91" t="s">
        <v>2812</v>
      </c>
      <c r="C13" s="2144">
        <f>C14+C15+C16</f>
        <v>153.80650326115997</v>
      </c>
      <c r="D13" s="2144">
        <v>0</v>
      </c>
      <c r="E13" s="2144">
        <v>0</v>
      </c>
      <c r="F13" s="2144">
        <v>0</v>
      </c>
      <c r="G13" s="2144">
        <f>C13/$C$36</f>
        <v>39.44241683999212</v>
      </c>
      <c r="H13" s="2168">
        <f t="shared" si="7"/>
        <v>0</v>
      </c>
      <c r="I13" s="2169">
        <f t="shared" ref="I13:I34" si="15">SUM(J13:M13)</f>
        <v>44.498225345665809</v>
      </c>
      <c r="J13" s="89">
        <f t="shared" ref="J13:L35" si="16">J$8*D13</f>
        <v>0</v>
      </c>
      <c r="K13" s="89">
        <f t="shared" si="11"/>
        <v>0</v>
      </c>
      <c r="L13" s="89">
        <f t="shared" si="11"/>
        <v>0</v>
      </c>
      <c r="M13" s="89">
        <f t="shared" si="12"/>
        <v>44.498225345665809</v>
      </c>
      <c r="N13" s="2169">
        <f t="shared" ref="N13:N35" si="17">SUM(O13:R13)</f>
        <v>109.30827791549417</v>
      </c>
      <c r="O13" s="89">
        <f t="shared" ref="O13:Q35" si="18">O$8*D13</f>
        <v>0</v>
      </c>
      <c r="P13" s="89">
        <f t="shared" si="13"/>
        <v>0</v>
      </c>
      <c r="Q13" s="89">
        <f t="shared" si="13"/>
        <v>0</v>
      </c>
      <c r="R13" s="89">
        <f t="shared" si="14"/>
        <v>109.30827791549417</v>
      </c>
    </row>
    <row r="14" spans="1:18" x14ac:dyDescent="0.25">
      <c r="A14" s="2143" t="s">
        <v>2813</v>
      </c>
      <c r="B14" s="91" t="s">
        <v>2814</v>
      </c>
      <c r="C14" s="2144">
        <f>Постачання_1ст!F24</f>
        <v>65.3597362</v>
      </c>
      <c r="D14" s="2144">
        <v>0</v>
      </c>
      <c r="E14" s="2144">
        <v>0</v>
      </c>
      <c r="F14" s="2144">
        <v>0</v>
      </c>
      <c r="G14" s="2144">
        <f t="shared" si="10"/>
        <v>16.760968522735535</v>
      </c>
      <c r="H14" s="2168">
        <f t="shared" si="7"/>
        <v>0</v>
      </c>
      <c r="I14" s="2169">
        <f t="shared" si="15"/>
        <v>18.909423257757098</v>
      </c>
      <c r="J14" s="89">
        <f t="shared" si="16"/>
        <v>0</v>
      </c>
      <c r="K14" s="89">
        <f t="shared" si="11"/>
        <v>0</v>
      </c>
      <c r="L14" s="89">
        <f t="shared" si="11"/>
        <v>0</v>
      </c>
      <c r="M14" s="89">
        <f t="shared" si="12"/>
        <v>18.909423257757098</v>
      </c>
      <c r="N14" s="2169">
        <f t="shared" si="17"/>
        <v>46.45031294224291</v>
      </c>
      <c r="O14" s="89">
        <f t="shared" si="18"/>
        <v>0</v>
      </c>
      <c r="P14" s="89">
        <f t="shared" si="13"/>
        <v>0</v>
      </c>
      <c r="Q14" s="89">
        <f t="shared" si="13"/>
        <v>0</v>
      </c>
      <c r="R14" s="89">
        <f t="shared" si="14"/>
        <v>46.45031294224291</v>
      </c>
    </row>
    <row r="15" spans="1:18" x14ac:dyDescent="0.25">
      <c r="A15" s="2143" t="s">
        <v>2815</v>
      </c>
      <c r="B15" s="91" t="s">
        <v>2816</v>
      </c>
      <c r="C15" s="2144">
        <f>Постачання_1ст!F26+Постачання_1ст!F25</f>
        <v>0</v>
      </c>
      <c r="D15" s="2144">
        <v>0</v>
      </c>
      <c r="E15" s="2144">
        <v>0</v>
      </c>
      <c r="F15" s="2144">
        <v>0</v>
      </c>
      <c r="G15" s="2144">
        <f t="shared" si="10"/>
        <v>0</v>
      </c>
      <c r="H15" s="2168">
        <f t="shared" si="7"/>
        <v>0</v>
      </c>
      <c r="I15" s="2169">
        <f t="shared" si="15"/>
        <v>0</v>
      </c>
      <c r="J15" s="89">
        <f t="shared" si="16"/>
        <v>0</v>
      </c>
      <c r="K15" s="89">
        <f t="shared" si="11"/>
        <v>0</v>
      </c>
      <c r="L15" s="89">
        <f t="shared" si="11"/>
        <v>0</v>
      </c>
      <c r="M15" s="89">
        <f t="shared" si="12"/>
        <v>0</v>
      </c>
      <c r="N15" s="2169">
        <f t="shared" si="17"/>
        <v>0</v>
      </c>
      <c r="O15" s="89">
        <f t="shared" si="18"/>
        <v>0</v>
      </c>
      <c r="P15" s="89">
        <f t="shared" si="13"/>
        <v>0</v>
      </c>
      <c r="Q15" s="89">
        <f t="shared" si="13"/>
        <v>0</v>
      </c>
      <c r="R15" s="89">
        <f t="shared" si="14"/>
        <v>0</v>
      </c>
    </row>
    <row r="16" spans="1:18" x14ac:dyDescent="0.25">
      <c r="A16" s="2143" t="s">
        <v>2817</v>
      </c>
      <c r="B16" s="91" t="s">
        <v>82</v>
      </c>
      <c r="C16" s="2144">
        <f>Постачання_1ст!F23-Постачання_1ст!F24-Постачання_1ст!F25-Постачання_1ст!F26</f>
        <v>88.446767061159974</v>
      </c>
      <c r="D16" s="2144">
        <v>0</v>
      </c>
      <c r="E16" s="2144">
        <v>0</v>
      </c>
      <c r="F16" s="2144">
        <v>0</v>
      </c>
      <c r="G16" s="2144">
        <f t="shared" si="10"/>
        <v>22.681448317256585</v>
      </c>
      <c r="H16" s="2168">
        <f t="shared" si="7"/>
        <v>0</v>
      </c>
      <c r="I16" s="2169">
        <f t="shared" si="15"/>
        <v>25.588802087908714</v>
      </c>
      <c r="J16" s="89">
        <f t="shared" si="16"/>
        <v>0</v>
      </c>
      <c r="K16" s="89">
        <f t="shared" si="11"/>
        <v>0</v>
      </c>
      <c r="L16" s="89">
        <f t="shared" si="11"/>
        <v>0</v>
      </c>
      <c r="M16" s="89">
        <f>C16/$H$8*$M$8</f>
        <v>25.588802087908714</v>
      </c>
      <c r="N16" s="2169">
        <f t="shared" si="17"/>
        <v>62.857964973251264</v>
      </c>
      <c r="O16" s="89">
        <f t="shared" si="18"/>
        <v>0</v>
      </c>
      <c r="P16" s="89">
        <f t="shared" si="13"/>
        <v>0</v>
      </c>
      <c r="Q16" s="89">
        <f t="shared" si="13"/>
        <v>0</v>
      </c>
      <c r="R16" s="89">
        <f t="shared" si="14"/>
        <v>62.857964973251264</v>
      </c>
    </row>
    <row r="17" spans="1:18" s="23" customFormat="1" x14ac:dyDescent="0.25">
      <c r="A17" s="2145" t="s">
        <v>1696</v>
      </c>
      <c r="B17" s="178" t="s">
        <v>2818</v>
      </c>
      <c r="C17" s="2135">
        <f>C18+C19+C20+C21</f>
        <v>68.138869511090107</v>
      </c>
      <c r="D17" s="181">
        <f t="shared" ref="D17:E17" si="19">D18+D19+D20+D21</f>
        <v>0</v>
      </c>
      <c r="E17" s="181">
        <f t="shared" si="19"/>
        <v>0</v>
      </c>
      <c r="F17" s="181">
        <f t="shared" ref="F17" si="20">F18+F19+F20+F21</f>
        <v>0</v>
      </c>
      <c r="G17" s="2135">
        <f>SUM(G18:G21)</f>
        <v>17.473654476747491</v>
      </c>
      <c r="H17" s="2168">
        <f t="shared" si="7"/>
        <v>0</v>
      </c>
      <c r="I17" s="2169">
        <f t="shared" si="15"/>
        <v>19.713462734114941</v>
      </c>
      <c r="J17" s="89">
        <f t="shared" si="16"/>
        <v>0</v>
      </c>
      <c r="K17" s="89">
        <f t="shared" si="11"/>
        <v>0</v>
      </c>
      <c r="L17" s="89">
        <f t="shared" si="11"/>
        <v>0</v>
      </c>
      <c r="M17" s="89">
        <f t="shared" si="12"/>
        <v>19.713462734114941</v>
      </c>
      <c r="N17" s="2169">
        <f t="shared" si="17"/>
        <v>48.425406776975173</v>
      </c>
      <c r="O17" s="89">
        <f t="shared" si="18"/>
        <v>0</v>
      </c>
      <c r="P17" s="89">
        <f t="shared" si="13"/>
        <v>0</v>
      </c>
      <c r="Q17" s="89">
        <f>Q$8*F17</f>
        <v>0</v>
      </c>
      <c r="R17" s="89">
        <f t="shared" si="14"/>
        <v>48.425406776975173</v>
      </c>
    </row>
    <row r="18" spans="1:18" x14ac:dyDescent="0.25">
      <c r="A18" s="2146" t="s">
        <v>2819</v>
      </c>
      <c r="B18" s="91" t="s">
        <v>2820</v>
      </c>
      <c r="C18" s="2144">
        <f>ЗВВ_1ст!K21</f>
        <v>49.346094111364039</v>
      </c>
      <c r="D18" s="2144">
        <v>0</v>
      </c>
      <c r="E18" s="2144">
        <v>0</v>
      </c>
      <c r="F18" s="2144">
        <v>0</v>
      </c>
      <c r="G18" s="2144">
        <f t="shared" si="10"/>
        <v>12.654401290568824</v>
      </c>
      <c r="H18" s="2168">
        <f t="shared" si="7"/>
        <v>0</v>
      </c>
      <c r="I18" s="2169">
        <f t="shared" si="15"/>
        <v>14.27646795901385</v>
      </c>
      <c r="J18" s="89">
        <f t="shared" si="16"/>
        <v>0</v>
      </c>
      <c r="K18" s="89">
        <f t="shared" si="11"/>
        <v>0</v>
      </c>
      <c r="L18" s="89">
        <f t="shared" si="11"/>
        <v>0</v>
      </c>
      <c r="M18" s="89">
        <f t="shared" si="12"/>
        <v>14.27646795901385</v>
      </c>
      <c r="N18" s="2169">
        <f t="shared" si="17"/>
        <v>35.069626152350189</v>
      </c>
      <c r="O18" s="89">
        <f t="shared" si="18"/>
        <v>0</v>
      </c>
      <c r="P18" s="89">
        <f t="shared" si="13"/>
        <v>0</v>
      </c>
      <c r="Q18" s="89">
        <f t="shared" si="13"/>
        <v>0</v>
      </c>
      <c r="R18" s="89">
        <f t="shared" si="14"/>
        <v>35.069626152350189</v>
      </c>
    </row>
    <row r="19" spans="1:18" x14ac:dyDescent="0.25">
      <c r="A19" s="2146" t="s">
        <v>2821</v>
      </c>
      <c r="B19" s="91" t="s">
        <v>2175</v>
      </c>
      <c r="C19" s="2144">
        <f>ЗВВ_1ст!K23</f>
        <v>10.856140704500088</v>
      </c>
      <c r="D19" s="2144">
        <v>0</v>
      </c>
      <c r="E19" s="2144">
        <v>0</v>
      </c>
      <c r="F19" s="2144">
        <v>0</v>
      </c>
      <c r="G19" s="2144">
        <f t="shared" si="10"/>
        <v>2.7839682839251414</v>
      </c>
      <c r="H19" s="2168">
        <f t="shared" si="7"/>
        <v>0</v>
      </c>
      <c r="I19" s="2169">
        <f t="shared" si="15"/>
        <v>3.140822950983047</v>
      </c>
      <c r="J19" s="89">
        <f t="shared" si="16"/>
        <v>0</v>
      </c>
      <c r="K19" s="89">
        <f t="shared" si="11"/>
        <v>0</v>
      </c>
      <c r="L19" s="89">
        <f t="shared" si="11"/>
        <v>0</v>
      </c>
      <c r="M19" s="89">
        <f t="shared" si="12"/>
        <v>3.140822950983047</v>
      </c>
      <c r="N19" s="2169">
        <f t="shared" si="17"/>
        <v>7.7153177535170423</v>
      </c>
      <c r="O19" s="89">
        <f t="shared" si="18"/>
        <v>0</v>
      </c>
      <c r="P19" s="89">
        <f t="shared" si="13"/>
        <v>0</v>
      </c>
      <c r="Q19" s="89">
        <f>Q$8*F19</f>
        <v>0</v>
      </c>
      <c r="R19" s="89">
        <f t="shared" si="14"/>
        <v>7.7153177535170423</v>
      </c>
    </row>
    <row r="20" spans="1:18" x14ac:dyDescent="0.25">
      <c r="A20" s="2146" t="s">
        <v>2822</v>
      </c>
      <c r="B20" s="91" t="s">
        <v>2816</v>
      </c>
      <c r="C20" s="2144">
        <f>ЗВВ_1ст!K37+ЗВВ_1ст!K38</f>
        <v>0.42561288861691837</v>
      </c>
      <c r="D20" s="2144">
        <v>0</v>
      </c>
      <c r="E20" s="2144">
        <v>0</v>
      </c>
      <c r="F20" s="2144">
        <v>0</v>
      </c>
      <c r="G20" s="2144">
        <f t="shared" si="10"/>
        <v>0.10914493606812803</v>
      </c>
      <c r="H20" s="2168">
        <f t="shared" si="7"/>
        <v>0</v>
      </c>
      <c r="I20" s="2169">
        <f t="shared" si="15"/>
        <v>0.1231353540073489</v>
      </c>
      <c r="J20" s="89">
        <f t="shared" si="16"/>
        <v>0</v>
      </c>
      <c r="K20" s="89">
        <f t="shared" si="11"/>
        <v>0</v>
      </c>
      <c r="L20" s="89">
        <f t="shared" si="11"/>
        <v>0</v>
      </c>
      <c r="M20" s="89">
        <f t="shared" si="12"/>
        <v>0.1231353540073489</v>
      </c>
      <c r="N20" s="2169">
        <f t="shared" si="17"/>
        <v>0.3024775346095695</v>
      </c>
      <c r="O20" s="89">
        <f t="shared" si="18"/>
        <v>0</v>
      </c>
      <c r="P20" s="89">
        <f t="shared" si="13"/>
        <v>0</v>
      </c>
      <c r="Q20" s="89">
        <f t="shared" si="13"/>
        <v>0</v>
      </c>
      <c r="R20" s="89">
        <f t="shared" si="14"/>
        <v>0.3024775346095695</v>
      </c>
    </row>
    <row r="21" spans="1:18" x14ac:dyDescent="0.25">
      <c r="A21" s="2146" t="s">
        <v>2823</v>
      </c>
      <c r="B21" s="91" t="s">
        <v>58</v>
      </c>
      <c r="C21" s="2144">
        <f>ЗВВ_1ст!K24+ЗВВ_1ст!K39+ЗВВ_1ст!K9</f>
        <v>7.5110218066090546</v>
      </c>
      <c r="D21" s="2144">
        <v>0</v>
      </c>
      <c r="E21" s="2144">
        <v>0</v>
      </c>
      <c r="F21" s="2144">
        <v>0</v>
      </c>
      <c r="G21" s="2144">
        <f>C21/$C$36</f>
        <v>1.9261399661853982</v>
      </c>
      <c r="H21" s="2168">
        <f t="shared" si="7"/>
        <v>0</v>
      </c>
      <c r="I21" s="2169">
        <f t="shared" si="15"/>
        <v>2.1730364701106915</v>
      </c>
      <c r="J21" s="89">
        <f t="shared" si="16"/>
        <v>0</v>
      </c>
      <c r="K21" s="89">
        <f t="shared" si="11"/>
        <v>0</v>
      </c>
      <c r="L21" s="89">
        <f t="shared" si="11"/>
        <v>0</v>
      </c>
      <c r="M21" s="89">
        <f t="shared" si="12"/>
        <v>2.1730364701106915</v>
      </c>
      <c r="N21" s="2169">
        <f t="shared" si="17"/>
        <v>5.337985336498364</v>
      </c>
      <c r="O21" s="89">
        <f t="shared" si="18"/>
        <v>0</v>
      </c>
      <c r="P21" s="89">
        <f t="shared" si="13"/>
        <v>0</v>
      </c>
      <c r="Q21" s="89">
        <f t="shared" si="13"/>
        <v>0</v>
      </c>
      <c r="R21" s="89">
        <f t="shared" si="14"/>
        <v>5.337985336498364</v>
      </c>
    </row>
    <row r="22" spans="1:18" s="23" customFormat="1" x14ac:dyDescent="0.25">
      <c r="A22" s="2141" t="s">
        <v>1709</v>
      </c>
      <c r="B22" s="178" t="s">
        <v>2824</v>
      </c>
      <c r="C22" s="2135">
        <f>C23+C24+C25+C26</f>
        <v>20.887540397300036</v>
      </c>
      <c r="D22" s="181">
        <f t="shared" ref="D22:E22" si="21">D23+D24+D25+D26</f>
        <v>0</v>
      </c>
      <c r="E22" s="181">
        <f t="shared" si="21"/>
        <v>0</v>
      </c>
      <c r="F22" s="181">
        <f t="shared" ref="F22" si="22">F23+F24+F25+F26</f>
        <v>0</v>
      </c>
      <c r="G22" s="2135">
        <f t="shared" si="10"/>
        <v>5.3564384967103456</v>
      </c>
      <c r="H22" s="2168">
        <f t="shared" si="7"/>
        <v>0</v>
      </c>
      <c r="I22" s="2169">
        <f t="shared" si="15"/>
        <v>6.043037581691558</v>
      </c>
      <c r="J22" s="89">
        <f t="shared" si="16"/>
        <v>0</v>
      </c>
      <c r="K22" s="89">
        <f t="shared" si="11"/>
        <v>0</v>
      </c>
      <c r="L22" s="89">
        <f t="shared" si="11"/>
        <v>0</v>
      </c>
      <c r="M22" s="89">
        <f t="shared" si="12"/>
        <v>6.043037581691558</v>
      </c>
      <c r="N22" s="2169">
        <f t="shared" si="17"/>
        <v>14.844502815608479</v>
      </c>
      <c r="O22" s="89">
        <f t="shared" si="18"/>
        <v>0</v>
      </c>
      <c r="P22" s="89">
        <f t="shared" si="13"/>
        <v>0</v>
      </c>
      <c r="Q22" s="89">
        <f t="shared" si="13"/>
        <v>0</v>
      </c>
      <c r="R22" s="89">
        <f t="shared" si="14"/>
        <v>14.844502815608479</v>
      </c>
    </row>
    <row r="23" spans="1:18" x14ac:dyDescent="0.25">
      <c r="A23" s="2146" t="s">
        <v>2825</v>
      </c>
      <c r="B23" s="91" t="s">
        <v>55</v>
      </c>
      <c r="C23" s="2144">
        <f>Адміністративні_1ст!K21</f>
        <v>11.559285989590718</v>
      </c>
      <c r="D23" s="2144">
        <v>0</v>
      </c>
      <c r="E23" s="2144">
        <v>0</v>
      </c>
      <c r="F23" s="2144">
        <v>0</v>
      </c>
      <c r="G23" s="2144">
        <f t="shared" si="10"/>
        <v>2.9642841278301835</v>
      </c>
      <c r="H23" s="2168">
        <f t="shared" si="7"/>
        <v>0</v>
      </c>
      <c r="I23" s="2169">
        <f t="shared" si="15"/>
        <v>3.3442520432729723</v>
      </c>
      <c r="J23" s="89">
        <f t="shared" si="16"/>
        <v>0</v>
      </c>
      <c r="K23" s="89">
        <f t="shared" si="11"/>
        <v>0</v>
      </c>
      <c r="L23" s="89">
        <f t="shared" si="11"/>
        <v>0</v>
      </c>
      <c r="M23" s="89">
        <f t="shared" si="12"/>
        <v>3.3442520432729723</v>
      </c>
      <c r="N23" s="2169">
        <f t="shared" si="17"/>
        <v>8.215033946317746</v>
      </c>
      <c r="O23" s="89">
        <f t="shared" si="18"/>
        <v>0</v>
      </c>
      <c r="P23" s="89">
        <f t="shared" si="13"/>
        <v>0</v>
      </c>
      <c r="Q23" s="89">
        <f t="shared" si="13"/>
        <v>0</v>
      </c>
      <c r="R23" s="89">
        <f t="shared" si="14"/>
        <v>8.215033946317746</v>
      </c>
    </row>
    <row r="24" spans="1:18" x14ac:dyDescent="0.25">
      <c r="A24" s="2146" t="s">
        <v>2826</v>
      </c>
      <c r="B24" s="91" t="s">
        <v>2827</v>
      </c>
      <c r="C24" s="2144">
        <f>Адміністративні_1ст!K23</f>
        <v>2.5430429177099581</v>
      </c>
      <c r="D24" s="2144">
        <v>0</v>
      </c>
      <c r="E24" s="2144">
        <v>0</v>
      </c>
      <c r="F24" s="2144">
        <v>0</v>
      </c>
      <c r="G24" s="2144">
        <f t="shared" si="10"/>
        <v>0.65214250812264041</v>
      </c>
      <c r="H24" s="2168">
        <f t="shared" si="7"/>
        <v>0</v>
      </c>
      <c r="I24" s="2169">
        <f t="shared" si="15"/>
        <v>0.73573544952005399</v>
      </c>
      <c r="J24" s="89">
        <f t="shared" si="16"/>
        <v>0</v>
      </c>
      <c r="K24" s="89">
        <f t="shared" si="11"/>
        <v>0</v>
      </c>
      <c r="L24" s="89">
        <f t="shared" si="11"/>
        <v>0</v>
      </c>
      <c r="M24" s="89">
        <f t="shared" si="12"/>
        <v>0.73573544952005399</v>
      </c>
      <c r="N24" s="2169">
        <f t="shared" si="17"/>
        <v>1.8073074681899042</v>
      </c>
      <c r="O24" s="89">
        <f t="shared" si="18"/>
        <v>0</v>
      </c>
      <c r="P24" s="89">
        <f t="shared" si="13"/>
        <v>0</v>
      </c>
      <c r="Q24" s="89">
        <f t="shared" si="13"/>
        <v>0</v>
      </c>
      <c r="R24" s="89">
        <f t="shared" si="14"/>
        <v>1.8073074681899042</v>
      </c>
    </row>
    <row r="25" spans="1:18" x14ac:dyDescent="0.25">
      <c r="A25" s="2146" t="s">
        <v>2828</v>
      </c>
      <c r="B25" s="91" t="s">
        <v>2816</v>
      </c>
      <c r="C25" s="2144">
        <f>Адміністративні_1ст!K36+Адміністративні_1ст!K37</f>
        <v>0.37413494753765009</v>
      </c>
      <c r="D25" s="2144">
        <v>0</v>
      </c>
      <c r="E25" s="2144">
        <v>0</v>
      </c>
      <c r="F25" s="2144">
        <v>0</v>
      </c>
      <c r="G25" s="2144">
        <f t="shared" si="10"/>
        <v>9.5943840099738095E-2</v>
      </c>
      <c r="H25" s="2168">
        <f t="shared" si="7"/>
        <v>0</v>
      </c>
      <c r="I25" s="2169">
        <f t="shared" si="15"/>
        <v>0.10824211494458529</v>
      </c>
      <c r="J25" s="89">
        <f t="shared" si="16"/>
        <v>0</v>
      </c>
      <c r="K25" s="89">
        <f t="shared" si="11"/>
        <v>0</v>
      </c>
      <c r="L25" s="89">
        <f t="shared" si="11"/>
        <v>0</v>
      </c>
      <c r="M25" s="89">
        <f t="shared" si="12"/>
        <v>0.10824211494458529</v>
      </c>
      <c r="N25" s="2169">
        <f t="shared" si="17"/>
        <v>0.26589283259306484</v>
      </c>
      <c r="O25" s="89">
        <f t="shared" si="18"/>
        <v>0</v>
      </c>
      <c r="P25" s="89">
        <f t="shared" si="13"/>
        <v>0</v>
      </c>
      <c r="Q25" s="89">
        <f t="shared" si="13"/>
        <v>0</v>
      </c>
      <c r="R25" s="89">
        <f t="shared" si="14"/>
        <v>0.26589283259306484</v>
      </c>
    </row>
    <row r="26" spans="1:18" x14ac:dyDescent="0.25">
      <c r="A26" s="2146" t="s">
        <v>2829</v>
      </c>
      <c r="B26" s="91" t="s">
        <v>2830</v>
      </c>
      <c r="C26" s="2144">
        <f>Адміністративні_1ст!K9+Адміністративні_1ст!K24+Адміністративні_1ст!K38</f>
        <v>6.4110765424617089</v>
      </c>
      <c r="D26" s="2144">
        <v>0</v>
      </c>
      <c r="E26" s="2144">
        <v>0</v>
      </c>
      <c r="F26" s="2144">
        <v>0</v>
      </c>
      <c r="G26" s="2144">
        <f>C26/$C$36-0.01</f>
        <v>1.6340680206577831</v>
      </c>
      <c r="H26" s="2168">
        <f t="shared" si="7"/>
        <v>0</v>
      </c>
      <c r="I26" s="2169">
        <f t="shared" si="15"/>
        <v>1.854807973953946</v>
      </c>
      <c r="J26" s="89">
        <f t="shared" si="16"/>
        <v>0</v>
      </c>
      <c r="K26" s="89">
        <f t="shared" si="11"/>
        <v>0</v>
      </c>
      <c r="L26" s="89">
        <f t="shared" si="11"/>
        <v>0</v>
      </c>
      <c r="M26" s="89">
        <f t="shared" si="12"/>
        <v>1.854807973953946</v>
      </c>
      <c r="N26" s="2169">
        <f t="shared" si="17"/>
        <v>4.5562685685077629</v>
      </c>
      <c r="O26" s="89">
        <f t="shared" si="18"/>
        <v>0</v>
      </c>
      <c r="P26" s="89">
        <f t="shared" si="13"/>
        <v>0</v>
      </c>
      <c r="Q26" s="89">
        <f t="shared" si="13"/>
        <v>0</v>
      </c>
      <c r="R26" s="89">
        <f t="shared" si="14"/>
        <v>4.5562685685077629</v>
      </c>
    </row>
    <row r="27" spans="1:18" s="23" customFormat="1" x14ac:dyDescent="0.25">
      <c r="A27" s="2141" t="s">
        <v>1711</v>
      </c>
      <c r="B27" s="178" t="s">
        <v>2831</v>
      </c>
      <c r="C27" s="2135">
        <v>0</v>
      </c>
      <c r="D27" s="2135">
        <v>0</v>
      </c>
      <c r="E27" s="2135">
        <v>0</v>
      </c>
      <c r="F27" s="2135">
        <v>0</v>
      </c>
      <c r="G27" s="2135">
        <f t="shared" si="10"/>
        <v>0</v>
      </c>
      <c r="H27" s="2168">
        <f>I27+N27-C27</f>
        <v>0</v>
      </c>
      <c r="I27" s="2169">
        <f t="shared" si="15"/>
        <v>0</v>
      </c>
      <c r="J27" s="89">
        <f t="shared" si="16"/>
        <v>0</v>
      </c>
      <c r="K27" s="89">
        <f t="shared" si="11"/>
        <v>0</v>
      </c>
      <c r="L27" s="89">
        <f t="shared" si="11"/>
        <v>0</v>
      </c>
      <c r="M27" s="89">
        <f t="shared" si="12"/>
        <v>0</v>
      </c>
      <c r="N27" s="2169">
        <f t="shared" si="17"/>
        <v>0</v>
      </c>
      <c r="O27" s="89">
        <f t="shared" si="18"/>
        <v>0</v>
      </c>
      <c r="P27" s="89">
        <f t="shared" si="13"/>
        <v>0</v>
      </c>
      <c r="Q27" s="89">
        <f t="shared" si="13"/>
        <v>0</v>
      </c>
      <c r="R27" s="89">
        <f t="shared" si="14"/>
        <v>0</v>
      </c>
    </row>
    <row r="28" spans="1:18" s="23" customFormat="1" x14ac:dyDescent="0.25">
      <c r="A28" s="2141" t="s">
        <v>1714</v>
      </c>
      <c r="B28" s="178" t="s">
        <v>2833</v>
      </c>
      <c r="C28" s="2135">
        <v>0</v>
      </c>
      <c r="D28" s="2135">
        <v>0</v>
      </c>
      <c r="E28" s="2135">
        <v>0</v>
      </c>
      <c r="F28" s="2135">
        <v>0</v>
      </c>
      <c r="G28" s="2135">
        <f t="shared" si="10"/>
        <v>0</v>
      </c>
      <c r="H28" s="2168">
        <f t="shared" si="7"/>
        <v>0</v>
      </c>
      <c r="I28" s="2169">
        <f t="shared" si="15"/>
        <v>0</v>
      </c>
      <c r="J28" s="89">
        <f t="shared" si="16"/>
        <v>0</v>
      </c>
      <c r="K28" s="89">
        <f t="shared" si="16"/>
        <v>0</v>
      </c>
      <c r="L28" s="89">
        <f t="shared" si="16"/>
        <v>0</v>
      </c>
      <c r="M28" s="89">
        <f t="shared" si="12"/>
        <v>0</v>
      </c>
      <c r="N28" s="2169">
        <f t="shared" si="17"/>
        <v>0</v>
      </c>
      <c r="O28" s="89">
        <f t="shared" si="18"/>
        <v>0</v>
      </c>
      <c r="P28" s="89">
        <f t="shared" si="18"/>
        <v>0</v>
      </c>
      <c r="Q28" s="89">
        <f t="shared" si="18"/>
        <v>0</v>
      </c>
      <c r="R28" s="89">
        <f t="shared" si="14"/>
        <v>0</v>
      </c>
    </row>
    <row r="29" spans="1:18" s="23" customFormat="1" x14ac:dyDescent="0.25">
      <c r="A29" s="2141" t="s">
        <v>1786</v>
      </c>
      <c r="B29" s="178" t="s">
        <v>2834</v>
      </c>
      <c r="C29" s="2135">
        <v>0</v>
      </c>
      <c r="D29" s="2135">
        <v>0</v>
      </c>
      <c r="E29" s="2135">
        <v>0</v>
      </c>
      <c r="F29" s="2135">
        <v>0</v>
      </c>
      <c r="G29" s="2135">
        <f t="shared" si="10"/>
        <v>0</v>
      </c>
      <c r="H29" s="2168">
        <f t="shared" si="7"/>
        <v>0</v>
      </c>
      <c r="I29" s="2169">
        <f t="shared" si="15"/>
        <v>0</v>
      </c>
      <c r="J29" s="89">
        <f t="shared" si="16"/>
        <v>0</v>
      </c>
      <c r="K29" s="89">
        <f t="shared" si="16"/>
        <v>0</v>
      </c>
      <c r="L29" s="89">
        <f t="shared" si="16"/>
        <v>0</v>
      </c>
      <c r="M29" s="89">
        <f t="shared" si="12"/>
        <v>0</v>
      </c>
      <c r="N29" s="2169">
        <f t="shared" si="17"/>
        <v>0</v>
      </c>
      <c r="O29" s="89">
        <f t="shared" si="18"/>
        <v>0</v>
      </c>
      <c r="P29" s="89">
        <f t="shared" si="18"/>
        <v>0</v>
      </c>
      <c r="Q29" s="89">
        <f t="shared" si="18"/>
        <v>0</v>
      </c>
      <c r="R29" s="89">
        <f t="shared" si="14"/>
        <v>0</v>
      </c>
    </row>
    <row r="30" spans="1:18" s="23" customFormat="1" x14ac:dyDescent="0.25">
      <c r="A30" s="2141" t="s">
        <v>1792</v>
      </c>
      <c r="B30" s="178" t="s">
        <v>2835</v>
      </c>
      <c r="C30" s="2135">
        <v>0</v>
      </c>
      <c r="D30" s="2135">
        <v>0</v>
      </c>
      <c r="E30" s="2135">
        <v>0</v>
      </c>
      <c r="F30" s="2135">
        <v>0</v>
      </c>
      <c r="G30" s="2135">
        <f t="shared" si="10"/>
        <v>0</v>
      </c>
      <c r="H30" s="2168">
        <f t="shared" si="7"/>
        <v>0</v>
      </c>
      <c r="I30" s="2169">
        <f t="shared" si="15"/>
        <v>0</v>
      </c>
      <c r="J30" s="89">
        <f t="shared" si="16"/>
        <v>0</v>
      </c>
      <c r="K30" s="89">
        <f t="shared" si="16"/>
        <v>0</v>
      </c>
      <c r="L30" s="89">
        <f t="shared" si="16"/>
        <v>0</v>
      </c>
      <c r="M30" s="89">
        <f t="shared" si="12"/>
        <v>0</v>
      </c>
      <c r="N30" s="2169">
        <f t="shared" si="17"/>
        <v>0</v>
      </c>
      <c r="O30" s="89">
        <f t="shared" si="18"/>
        <v>0</v>
      </c>
      <c r="P30" s="89">
        <f t="shared" si="18"/>
        <v>0</v>
      </c>
      <c r="Q30" s="89">
        <f t="shared" si="18"/>
        <v>0</v>
      </c>
      <c r="R30" s="89">
        <f t="shared" si="14"/>
        <v>0</v>
      </c>
    </row>
    <row r="31" spans="1:18" s="23" customFormat="1" x14ac:dyDescent="0.25">
      <c r="A31" s="2141" t="s">
        <v>1798</v>
      </c>
      <c r="B31" s="178" t="s">
        <v>2836</v>
      </c>
      <c r="C31" s="2135">
        <f>SUM(C32:C35)</f>
        <v>39.762146479171761</v>
      </c>
      <c r="D31" s="2135">
        <f t="shared" ref="D31:E31" si="23">SUM(D32:D35)</f>
        <v>0</v>
      </c>
      <c r="E31" s="2135">
        <f t="shared" si="23"/>
        <v>0</v>
      </c>
      <c r="F31" s="2135">
        <f t="shared" ref="F31" si="24">SUM(F32:F35)</f>
        <v>0</v>
      </c>
      <c r="G31" s="2135">
        <f t="shared" si="10"/>
        <v>10.196676490469027</v>
      </c>
      <c r="H31" s="2168">
        <f t="shared" si="7"/>
        <v>0</v>
      </c>
      <c r="I31" s="2169">
        <f t="shared" si="15"/>
        <v>11.503707039313218</v>
      </c>
      <c r="J31" s="89">
        <f t="shared" si="16"/>
        <v>0</v>
      </c>
      <c r="K31" s="89">
        <f t="shared" si="16"/>
        <v>0</v>
      </c>
      <c r="L31" s="89">
        <f t="shared" si="16"/>
        <v>0</v>
      </c>
      <c r="M31" s="89">
        <f t="shared" si="12"/>
        <v>11.503707039313218</v>
      </c>
      <c r="N31" s="2169">
        <f t="shared" si="17"/>
        <v>28.258439439858549</v>
      </c>
      <c r="O31" s="89">
        <f t="shared" si="18"/>
        <v>0</v>
      </c>
      <c r="P31" s="89">
        <f t="shared" si="18"/>
        <v>0</v>
      </c>
      <c r="Q31" s="89">
        <f t="shared" si="18"/>
        <v>0</v>
      </c>
      <c r="R31" s="89">
        <f t="shared" si="14"/>
        <v>28.258439439858549</v>
      </c>
    </row>
    <row r="32" spans="1:18" x14ac:dyDescent="0.25">
      <c r="A32" s="2146" t="s">
        <v>1101</v>
      </c>
      <c r="B32" s="91" t="s">
        <v>65</v>
      </c>
      <c r="C32" s="2144">
        <f>'Д 4_Т на П'!G40</f>
        <v>3.8982496548207606</v>
      </c>
      <c r="D32" s="2144">
        <v>0</v>
      </c>
      <c r="E32" s="2144">
        <v>0</v>
      </c>
      <c r="F32" s="2144">
        <v>0</v>
      </c>
      <c r="G32" s="2144">
        <f t="shared" si="10"/>
        <v>0.99967416573225742</v>
      </c>
      <c r="H32" s="2168">
        <f t="shared" si="7"/>
        <v>0</v>
      </c>
      <c r="I32" s="2169">
        <f t="shared" si="15"/>
        <v>1.1278144156189429</v>
      </c>
      <c r="J32" s="89">
        <f t="shared" si="16"/>
        <v>0</v>
      </c>
      <c r="K32" s="89">
        <f t="shared" si="16"/>
        <v>0</v>
      </c>
      <c r="L32" s="89">
        <f t="shared" si="16"/>
        <v>0</v>
      </c>
      <c r="M32" s="89">
        <f t="shared" si="12"/>
        <v>1.1278144156189429</v>
      </c>
      <c r="N32" s="2169">
        <f>SUM(O32:R32)</f>
        <v>2.7704352392018179</v>
      </c>
      <c r="O32" s="89">
        <f t="shared" si="18"/>
        <v>0</v>
      </c>
      <c r="P32" s="89">
        <f t="shared" si="18"/>
        <v>0</v>
      </c>
      <c r="Q32" s="89">
        <f t="shared" si="18"/>
        <v>0</v>
      </c>
      <c r="R32" s="89">
        <f t="shared" si="14"/>
        <v>2.7704352392018179</v>
      </c>
    </row>
    <row r="33" spans="1:18" x14ac:dyDescent="0.25">
      <c r="A33" s="2146" t="s">
        <v>2847</v>
      </c>
      <c r="B33" s="91" t="s">
        <v>85</v>
      </c>
      <c r="C33" s="2144">
        <f>'Д 4_Т на П'!G41</f>
        <v>14.206954297568997</v>
      </c>
      <c r="D33" s="2144">
        <v>0</v>
      </c>
      <c r="E33" s="2144">
        <v>0</v>
      </c>
      <c r="F33" s="2144">
        <v>0</v>
      </c>
      <c r="G33" s="2144">
        <f t="shared" si="10"/>
        <v>3.643256959557561</v>
      </c>
      <c r="H33" s="2168">
        <f t="shared" si="7"/>
        <v>0</v>
      </c>
      <c r="I33" s="2169">
        <f t="shared" si="15"/>
        <v>4.1102569813668142</v>
      </c>
      <c r="J33" s="89">
        <f t="shared" si="16"/>
        <v>0</v>
      </c>
      <c r="K33" s="89">
        <f t="shared" si="16"/>
        <v>0</v>
      </c>
      <c r="L33" s="89">
        <f t="shared" si="16"/>
        <v>0</v>
      </c>
      <c r="M33" s="89">
        <f t="shared" si="12"/>
        <v>4.1102569813668142</v>
      </c>
      <c r="N33" s="2169">
        <f t="shared" si="17"/>
        <v>10.096697316202183</v>
      </c>
      <c r="O33" s="89">
        <f t="shared" si="18"/>
        <v>0</v>
      </c>
      <c r="P33" s="89">
        <f t="shared" si="18"/>
        <v>0</v>
      </c>
      <c r="Q33" s="89">
        <f t="shared" si="18"/>
        <v>0</v>
      </c>
      <c r="R33" s="89">
        <f t="shared" si="14"/>
        <v>10.096697316202183</v>
      </c>
    </row>
    <row r="34" spans="1:18" x14ac:dyDescent="0.25">
      <c r="A34" s="2146" t="s">
        <v>2848</v>
      </c>
      <c r="B34" s="91" t="s">
        <v>71</v>
      </c>
      <c r="C34" s="2144">
        <f>'Д 4_Т на П'!G42</f>
        <v>0</v>
      </c>
      <c r="D34" s="2144">
        <v>0</v>
      </c>
      <c r="E34" s="2144">
        <v>0</v>
      </c>
      <c r="F34" s="2144">
        <v>0</v>
      </c>
      <c r="G34" s="2144">
        <f t="shared" si="10"/>
        <v>0</v>
      </c>
      <c r="H34" s="2168">
        <f t="shared" si="7"/>
        <v>0</v>
      </c>
      <c r="I34" s="2169">
        <f t="shared" si="15"/>
        <v>0</v>
      </c>
      <c r="J34" s="89">
        <f t="shared" si="16"/>
        <v>0</v>
      </c>
      <c r="K34" s="89">
        <f t="shared" si="16"/>
        <v>0</v>
      </c>
      <c r="L34" s="89">
        <f t="shared" si="16"/>
        <v>0</v>
      </c>
      <c r="M34" s="89">
        <f t="shared" si="12"/>
        <v>0</v>
      </c>
      <c r="N34" s="2169">
        <f t="shared" si="17"/>
        <v>0</v>
      </c>
      <c r="O34" s="89">
        <f t="shared" si="18"/>
        <v>0</v>
      </c>
      <c r="P34" s="89">
        <f t="shared" si="18"/>
        <v>0</v>
      </c>
      <c r="Q34" s="89">
        <f t="shared" si="18"/>
        <v>0</v>
      </c>
      <c r="R34" s="89">
        <f t="shared" si="14"/>
        <v>0</v>
      </c>
    </row>
    <row r="35" spans="1:18" x14ac:dyDescent="0.25">
      <c r="A35" s="2146" t="s">
        <v>2849</v>
      </c>
      <c r="B35" s="91" t="s">
        <v>2394</v>
      </c>
      <c r="C35" s="2144">
        <f>'Д 4_Т на П'!G44</f>
        <v>21.656942526782004</v>
      </c>
      <c r="D35" s="2144">
        <v>0</v>
      </c>
      <c r="E35" s="2144">
        <v>0</v>
      </c>
      <c r="F35" s="2144">
        <v>0</v>
      </c>
      <c r="G35" s="2144">
        <f t="shared" si="10"/>
        <v>5.5537453651792079</v>
      </c>
      <c r="H35" s="2168">
        <f>I35+N35-C35</f>
        <v>0</v>
      </c>
      <c r="I35" s="2169">
        <f>SUM(J35:M35)</f>
        <v>6.2656356423274602</v>
      </c>
      <c r="J35" s="89">
        <f t="shared" si="16"/>
        <v>0</v>
      </c>
      <c r="K35" s="89">
        <f t="shared" si="16"/>
        <v>0</v>
      </c>
      <c r="L35" s="89">
        <f t="shared" si="16"/>
        <v>0</v>
      </c>
      <c r="M35" s="89">
        <f>C35/$H$8*$M$8</f>
        <v>6.2656356423274602</v>
      </c>
      <c r="N35" s="2169">
        <f t="shared" si="17"/>
        <v>15.391306884454544</v>
      </c>
      <c r="O35" s="89">
        <f t="shared" si="18"/>
        <v>0</v>
      </c>
      <c r="P35" s="89">
        <f t="shared" si="18"/>
        <v>0</v>
      </c>
      <c r="Q35" s="89">
        <f t="shared" si="18"/>
        <v>0</v>
      </c>
      <c r="R35" s="89">
        <f t="shared" si="14"/>
        <v>15.391306884454544</v>
      </c>
    </row>
    <row r="36" spans="1:18" s="23" customFormat="1" ht="30" thickBot="1" x14ac:dyDescent="0.3">
      <c r="A36" s="2162" t="s">
        <v>1800</v>
      </c>
      <c r="B36" s="2164" t="s">
        <v>2853</v>
      </c>
      <c r="C36" s="2574">
        <f>'Д 4_Т на П'!G47/1000</f>
        <v>3.8995202521466661</v>
      </c>
      <c r="D36" s="2138">
        <f>'Д 4_Т на П'!G48</f>
        <v>0</v>
      </c>
      <c r="E36" s="2138">
        <f>'Д 4_Т на П'!H48</f>
        <v>0</v>
      </c>
      <c r="F36" s="2138">
        <f>'Д 4_Т на П'!I48</f>
        <v>0</v>
      </c>
      <c r="G36" s="2577">
        <f>'Д 4_Т на П'!G51/1000</f>
        <v>3.8995202521466661</v>
      </c>
      <c r="H36" s="2168"/>
      <c r="I36" s="2169"/>
      <c r="J36" s="89"/>
      <c r="K36" s="89"/>
      <c r="L36" s="89"/>
      <c r="M36" s="89"/>
      <c r="N36" s="2169"/>
      <c r="O36" s="89"/>
      <c r="P36" s="89"/>
      <c r="Q36" s="89"/>
      <c r="R36" s="89"/>
    </row>
    <row r="38" spans="1:18" x14ac:dyDescent="0.25">
      <c r="B38" s="18" t="s">
        <v>3444</v>
      </c>
      <c r="C38" s="3499"/>
      <c r="D38" s="2153"/>
      <c r="E38" s="2153" t="s">
        <v>3445</v>
      </c>
      <c r="F38" s="2153"/>
      <c r="G38" s="2153"/>
      <c r="H38" s="2170">
        <f>C38-I38-N38</f>
        <v>-581.18570964872185</v>
      </c>
      <c r="I38" s="828">
        <f>I10+I22+I31</f>
        <v>168.14459809749971</v>
      </c>
      <c r="N38" s="828">
        <f>N10+N22+N31</f>
        <v>413.04111155122212</v>
      </c>
    </row>
    <row r="39" spans="1:18" x14ac:dyDescent="0.25">
      <c r="C39" s="2351" t="e">
        <f>#REF!</f>
        <v>#REF!</v>
      </c>
      <c r="D39" s="2165"/>
      <c r="E39" s="2153"/>
      <c r="F39" s="4613"/>
      <c r="G39" s="4613"/>
    </row>
  </sheetData>
  <mergeCells count="10">
    <mergeCell ref="F39:G39"/>
    <mergeCell ref="B9:G9"/>
    <mergeCell ref="I5:I6"/>
    <mergeCell ref="N5:N6"/>
    <mergeCell ref="E1:G1"/>
    <mergeCell ref="A5:A6"/>
    <mergeCell ref="B5:B6"/>
    <mergeCell ref="C5:C6"/>
    <mergeCell ref="D5:G5"/>
    <mergeCell ref="A3:G3"/>
  </mergeCells>
  <pageMargins left="0.78740157480314965" right="0.35433070866141736" top="0.78740157480314965" bottom="0.74803149606299213" header="0.31496062992125984" footer="0.31496062992125984"/>
  <pageSetup paperSize="9" scale="84"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EC20C5"/>
    <pageSetUpPr fitToPage="1"/>
  </sheetPr>
  <dimension ref="A1:K23"/>
  <sheetViews>
    <sheetView topLeftCell="A7" zoomScaleNormal="100" workbookViewId="0">
      <selection activeCell="E20" sqref="E20"/>
    </sheetView>
  </sheetViews>
  <sheetFormatPr defaultColWidth="8.85546875" defaultRowHeight="15.75" x14ac:dyDescent="0.25"/>
  <cols>
    <col min="1" max="1" width="8.85546875" style="58"/>
    <col min="2" max="2" width="31.7109375" style="58" customWidth="1"/>
    <col min="3" max="3" width="19.85546875" style="58" customWidth="1"/>
    <col min="4" max="4" width="23.28515625" style="58" customWidth="1"/>
    <col min="5" max="5" width="12.5703125" style="58" customWidth="1"/>
    <col min="6" max="6" width="12.85546875" style="58" customWidth="1"/>
    <col min="7" max="9" width="8.85546875" style="58"/>
    <col min="10" max="11" width="11.5703125" style="58" customWidth="1"/>
    <col min="12" max="16384" width="8.85546875" style="58"/>
  </cols>
  <sheetData>
    <row r="1" spans="1:8" ht="80.45" customHeight="1" x14ac:dyDescent="0.25">
      <c r="A1" s="3493"/>
      <c r="B1" s="2176"/>
      <c r="C1" s="2176"/>
      <c r="D1" s="2362"/>
      <c r="E1" s="4617" t="s">
        <v>3349</v>
      </c>
      <c r="F1" s="4617"/>
    </row>
    <row r="2" spans="1:8" ht="35.25" customHeight="1" x14ac:dyDescent="0.25"/>
    <row r="3" spans="1:8" x14ac:dyDescent="0.25">
      <c r="B3" s="4083" t="s">
        <v>2119</v>
      </c>
      <c r="C3" s="4083"/>
      <c r="D3" s="4083"/>
      <c r="E3" s="4083"/>
      <c r="F3" s="4083"/>
    </row>
    <row r="4" spans="1:8" ht="66" customHeight="1" x14ac:dyDescent="0.25">
      <c r="B4" s="4100" t="s">
        <v>3242</v>
      </c>
      <c r="C4" s="4100"/>
      <c r="D4" s="4100"/>
      <c r="E4" s="4100"/>
      <c r="F4" s="4100"/>
    </row>
    <row r="5" spans="1:8" ht="7.9" customHeight="1" thickBot="1" x14ac:dyDescent="0.3"/>
    <row r="6" spans="1:8" ht="32.25" thickBot="1" x14ac:dyDescent="0.3">
      <c r="B6" s="2360" t="s">
        <v>1486</v>
      </c>
      <c r="C6" s="2361" t="s">
        <v>269</v>
      </c>
      <c r="D6" s="2361" t="s">
        <v>2860</v>
      </c>
      <c r="E6" s="2361" t="s">
        <v>2871</v>
      </c>
      <c r="F6" s="2377" t="s">
        <v>2872</v>
      </c>
    </row>
    <row r="7" spans="1:8" ht="16.5" thickBot="1" x14ac:dyDescent="0.3">
      <c r="A7" s="77"/>
      <c r="B7" s="4618" t="s">
        <v>2790</v>
      </c>
      <c r="C7" s="4619"/>
      <c r="D7" s="4619"/>
      <c r="E7" s="4619"/>
      <c r="F7" s="4620"/>
    </row>
    <row r="8" spans="1:8" ht="32.25" customHeight="1" thickBot="1" x14ac:dyDescent="0.3">
      <c r="B8" s="2580" t="s">
        <v>2873</v>
      </c>
      <c r="C8" s="2356" t="s">
        <v>3235</v>
      </c>
      <c r="D8" s="2356" t="s">
        <v>2862</v>
      </c>
      <c r="E8" s="2357">
        <f>E9+E10+E11</f>
        <v>0</v>
      </c>
      <c r="F8" s="3501">
        <f>F9+F10+F11</f>
        <v>0</v>
      </c>
      <c r="H8" s="58">
        <f>E8*1.2-F8</f>
        <v>0</v>
      </c>
    </row>
    <row r="9" spans="1:8" ht="32.25" customHeight="1" thickBot="1" x14ac:dyDescent="0.3">
      <c r="B9" s="2581" t="s">
        <v>2865</v>
      </c>
      <c r="C9" s="2354" t="s">
        <v>3235</v>
      </c>
      <c r="D9" s="2354" t="s">
        <v>2862</v>
      </c>
      <c r="E9" s="2355">
        <f>'Д 5 Т на ТЕ з ЦТП'!E9</f>
        <v>0</v>
      </c>
      <c r="F9" s="2379">
        <f>E9*1.2</f>
        <v>0</v>
      </c>
      <c r="H9" s="58">
        <f t="shared" ref="H9:H21" si="0">E9*1.2-F9</f>
        <v>0</v>
      </c>
    </row>
    <row r="10" spans="1:8" ht="32.25" customHeight="1" thickBot="1" x14ac:dyDescent="0.3">
      <c r="B10" s="2581" t="s">
        <v>2866</v>
      </c>
      <c r="C10" s="2354" t="s">
        <v>3235</v>
      </c>
      <c r="D10" s="2354" t="s">
        <v>2862</v>
      </c>
      <c r="E10" s="2355">
        <f>'Д 5 Т на ТЕ з ЦТП'!E13</f>
        <v>0</v>
      </c>
      <c r="F10" s="2379">
        <f t="shared" ref="F10:F11" si="1">E10*1.2</f>
        <v>0</v>
      </c>
      <c r="H10" s="58">
        <f t="shared" si="0"/>
        <v>0</v>
      </c>
    </row>
    <row r="11" spans="1:8" ht="32.25" customHeight="1" x14ac:dyDescent="0.25">
      <c r="B11" s="2581" t="s">
        <v>2867</v>
      </c>
      <c r="C11" s="2354" t="s">
        <v>3235</v>
      </c>
      <c r="D11" s="2354" t="s">
        <v>2862</v>
      </c>
      <c r="E11" s="2355">
        <f>'Д 5 Т на ТЕ з ЦТП'!E17</f>
        <v>0</v>
      </c>
      <c r="F11" s="2379">
        <f t="shared" si="1"/>
        <v>0</v>
      </c>
      <c r="H11" s="58">
        <f t="shared" si="0"/>
        <v>0</v>
      </c>
    </row>
    <row r="12" spans="1:8" ht="15.6" customHeight="1" thickBot="1" x14ac:dyDescent="0.3">
      <c r="A12" s="77"/>
      <c r="B12" s="4614" t="s">
        <v>3359</v>
      </c>
      <c r="C12" s="4615"/>
      <c r="D12" s="4615"/>
      <c r="E12" s="4615"/>
      <c r="F12" s="4616"/>
      <c r="H12" s="58">
        <f t="shared" si="0"/>
        <v>0</v>
      </c>
    </row>
    <row r="13" spans="1:8" ht="32.25" customHeight="1" thickBot="1" x14ac:dyDescent="0.3">
      <c r="A13" s="77"/>
      <c r="B13" s="2572" t="s">
        <v>2873</v>
      </c>
      <c r="C13" s="2356" t="s">
        <v>3235</v>
      </c>
      <c r="D13" s="2356" t="s">
        <v>2862</v>
      </c>
      <c r="E13" s="2357">
        <f>E14+E15+E16</f>
        <v>0</v>
      </c>
      <c r="F13" s="3501">
        <f>F14+F15+F16</f>
        <v>0</v>
      </c>
      <c r="H13" s="58">
        <f t="shared" si="0"/>
        <v>0</v>
      </c>
    </row>
    <row r="14" spans="1:8" ht="32.25" customHeight="1" thickBot="1" x14ac:dyDescent="0.3">
      <c r="B14" s="2571" t="s">
        <v>2865</v>
      </c>
      <c r="C14" s="2354" t="s">
        <v>3235</v>
      </c>
      <c r="D14" s="2354" t="s">
        <v>2187</v>
      </c>
      <c r="E14" s="2355">
        <f>'Д 5 Т на ТЕ з ЦТП'!F10</f>
        <v>0</v>
      </c>
      <c r="F14" s="2379">
        <f>E14*1.2</f>
        <v>0</v>
      </c>
      <c r="H14" s="58">
        <f t="shared" si="0"/>
        <v>0</v>
      </c>
    </row>
    <row r="15" spans="1:8" ht="32.25" customHeight="1" thickBot="1" x14ac:dyDescent="0.3">
      <c r="B15" s="2571" t="s">
        <v>2866</v>
      </c>
      <c r="C15" s="2354" t="s">
        <v>3235</v>
      </c>
      <c r="D15" s="2354" t="s">
        <v>2187</v>
      </c>
      <c r="E15" s="2355">
        <f>'Д 5 Т на ТЕ з ЦТП'!F13</f>
        <v>0</v>
      </c>
      <c r="F15" s="2379">
        <f t="shared" ref="F15" si="2">E15*1.2</f>
        <v>0</v>
      </c>
      <c r="H15" s="58">
        <f t="shared" si="0"/>
        <v>0</v>
      </c>
    </row>
    <row r="16" spans="1:8" ht="32.25" customHeight="1" x14ac:dyDescent="0.25">
      <c r="B16" s="2571" t="s">
        <v>2867</v>
      </c>
      <c r="C16" s="2354" t="s">
        <v>3235</v>
      </c>
      <c r="D16" s="2354" t="s">
        <v>2187</v>
      </c>
      <c r="E16" s="2355">
        <v>0</v>
      </c>
      <c r="F16" s="2380">
        <v>0</v>
      </c>
      <c r="H16" s="58">
        <f t="shared" si="0"/>
        <v>0</v>
      </c>
    </row>
    <row r="17" spans="1:11" ht="15.6" customHeight="1" thickBot="1" x14ac:dyDescent="0.3">
      <c r="A17" s="77"/>
      <c r="B17" s="4614" t="s">
        <v>2793</v>
      </c>
      <c r="C17" s="4615"/>
      <c r="D17" s="4615"/>
      <c r="E17" s="4615"/>
      <c r="F17" s="4616"/>
      <c r="H17" s="58">
        <f t="shared" si="0"/>
        <v>0</v>
      </c>
    </row>
    <row r="18" spans="1:11" ht="32.25" customHeight="1" thickBot="1" x14ac:dyDescent="0.3">
      <c r="A18" s="77"/>
      <c r="B18" s="2572" t="s">
        <v>2873</v>
      </c>
      <c r="C18" s="2356" t="s">
        <v>3235</v>
      </c>
      <c r="D18" s="2356" t="s">
        <v>2187</v>
      </c>
      <c r="E18" s="2357">
        <f>E19+E20+E21</f>
        <v>9104.877715093302</v>
      </c>
      <c r="F18" s="3501">
        <f>SUM(F19:F21)</f>
        <v>10925.85325811196</v>
      </c>
      <c r="H18" s="2584">
        <f>E18*1.2-F18</f>
        <v>0</v>
      </c>
      <c r="J18" s="2204">
        <f>сведено!G38</f>
        <v>0</v>
      </c>
      <c r="K18" s="2204">
        <f>сведено!G67</f>
        <v>0</v>
      </c>
    </row>
    <row r="19" spans="1:11" ht="32.25" customHeight="1" thickBot="1" x14ac:dyDescent="0.3">
      <c r="B19" s="2571" t="s">
        <v>2865</v>
      </c>
      <c r="C19" s="2354" t="s">
        <v>3235</v>
      </c>
      <c r="D19" s="2354" t="s">
        <v>2187</v>
      </c>
      <c r="E19" s="2355">
        <f>'Д 5 Т на ТЕ з ЦТП'!H9</f>
        <v>5701.3545558892911</v>
      </c>
      <c r="F19" s="2379">
        <f>E19*1.2</f>
        <v>6841.6254670671487</v>
      </c>
      <c r="H19" s="2584">
        <f t="shared" si="0"/>
        <v>0</v>
      </c>
    </row>
    <row r="20" spans="1:11" ht="32.25" customHeight="1" thickBot="1" x14ac:dyDescent="0.3">
      <c r="B20" s="2571" t="s">
        <v>2866</v>
      </c>
      <c r="C20" s="2354" t="s">
        <v>3235</v>
      </c>
      <c r="D20" s="2354" t="s">
        <v>2187</v>
      </c>
      <c r="E20" s="2355">
        <f>'Д 5 Т на ТЕ з ЦТП'!H13</f>
        <v>3254.4828485840603</v>
      </c>
      <c r="F20" s="2379">
        <f>E20*1.2</f>
        <v>3905.3794183008722</v>
      </c>
      <c r="H20" s="2584">
        <f>E20*1.2-F20</f>
        <v>0</v>
      </c>
    </row>
    <row r="21" spans="1:11" ht="32.25" customHeight="1" thickBot="1" x14ac:dyDescent="0.3">
      <c r="B21" s="3502" t="s">
        <v>2867</v>
      </c>
      <c r="C21" s="3503" t="s">
        <v>3235</v>
      </c>
      <c r="D21" s="3503" t="s">
        <v>2187</v>
      </c>
      <c r="E21" s="3504">
        <f>'Д 5 Т на ТЕ з ЦТП'!H17</f>
        <v>149.04031061994922</v>
      </c>
      <c r="F21" s="3505">
        <f>E21*1.2</f>
        <v>178.84837274393905</v>
      </c>
      <c r="H21" s="2584">
        <f t="shared" si="0"/>
        <v>0</v>
      </c>
    </row>
    <row r="22" spans="1:11" x14ac:dyDescent="0.25">
      <c r="B22" s="2126"/>
      <c r="H22" s="2584"/>
    </row>
    <row r="23" spans="1:11" x14ac:dyDescent="0.25">
      <c r="B23" s="2126"/>
      <c r="D23" s="2126"/>
      <c r="E23" s="1999"/>
      <c r="F23" s="2126"/>
      <c r="G23" s="2126"/>
      <c r="H23" s="2126"/>
    </row>
  </sheetData>
  <mergeCells count="6">
    <mergeCell ref="B17:F17"/>
    <mergeCell ref="B12:F12"/>
    <mergeCell ref="B3:F3"/>
    <mergeCell ref="B4:F4"/>
    <mergeCell ref="E1:F1"/>
    <mergeCell ref="B7:F7"/>
  </mergeCells>
  <pageMargins left="0.78740157480314965" right="0.31496062992125984" top="0.73" bottom="0.27559055118110237" header="0.70866141732283472" footer="0.31496062992125984"/>
  <pageSetup paperSize="9" scale="9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EC20C5"/>
    <pageSetUpPr fitToPage="1"/>
  </sheetPr>
  <dimension ref="A1:H27"/>
  <sheetViews>
    <sheetView topLeftCell="A4" zoomScaleNormal="100" workbookViewId="0">
      <selection activeCell="E20" sqref="E20"/>
    </sheetView>
  </sheetViews>
  <sheetFormatPr defaultColWidth="8.85546875" defaultRowHeight="15.75" x14ac:dyDescent="0.25"/>
  <cols>
    <col min="1" max="1" width="8.85546875" style="58"/>
    <col min="2" max="2" width="22.5703125" style="58" customWidth="1"/>
    <col min="3" max="3" width="20.7109375" style="58" customWidth="1"/>
    <col min="4" max="4" width="24.7109375" style="58" customWidth="1"/>
    <col min="5" max="6" width="13.28515625" style="58" customWidth="1"/>
    <col min="7" max="16384" width="8.85546875" style="58"/>
  </cols>
  <sheetData>
    <row r="1" spans="1:8" ht="80.45" customHeight="1" x14ac:dyDescent="0.25">
      <c r="A1" s="2376"/>
      <c r="B1" s="2176"/>
      <c r="C1" s="2362"/>
      <c r="D1" s="2363"/>
      <c r="E1" s="4617" t="s">
        <v>3350</v>
      </c>
      <c r="F1" s="4617"/>
    </row>
    <row r="2" spans="1:8" ht="20.25" customHeight="1" x14ac:dyDescent="0.25">
      <c r="A2" s="2376"/>
      <c r="B2" s="2176"/>
      <c r="C2" s="2362"/>
      <c r="D2" s="2363"/>
      <c r="E2" s="3481"/>
      <c r="F2" s="3481"/>
    </row>
    <row r="3" spans="1:8" x14ac:dyDescent="0.25">
      <c r="B3" s="4083" t="s">
        <v>2119</v>
      </c>
      <c r="C3" s="4083"/>
      <c r="D3" s="4083"/>
      <c r="E3" s="4083"/>
      <c r="F3" s="4083"/>
    </row>
    <row r="4" spans="1:8" ht="70.150000000000006" customHeight="1" thickBot="1" x14ac:dyDescent="0.3">
      <c r="B4" s="4624" t="s">
        <v>3243</v>
      </c>
      <c r="C4" s="4624"/>
      <c r="D4" s="4624"/>
      <c r="E4" s="4624"/>
      <c r="F4" s="4624"/>
    </row>
    <row r="5" spans="1:8" ht="32.25" thickBot="1" x14ac:dyDescent="0.3">
      <c r="A5" s="77"/>
      <c r="B5" s="2360" t="s">
        <v>1486</v>
      </c>
      <c r="C5" s="2361" t="s">
        <v>269</v>
      </c>
      <c r="D5" s="2361" t="s">
        <v>2860</v>
      </c>
      <c r="E5" s="2361" t="s">
        <v>2871</v>
      </c>
      <c r="F5" s="2377" t="s">
        <v>2872</v>
      </c>
    </row>
    <row r="6" spans="1:8" ht="16.5" thickBot="1" x14ac:dyDescent="0.3">
      <c r="A6" s="77"/>
      <c r="B6" s="4625" t="s">
        <v>2790</v>
      </c>
      <c r="C6" s="4626"/>
      <c r="D6" s="4626"/>
      <c r="E6" s="4626"/>
      <c r="F6" s="4627"/>
    </row>
    <row r="7" spans="1:8" ht="32.25" thickBot="1" x14ac:dyDescent="0.3">
      <c r="B7" s="2572" t="s">
        <v>2873</v>
      </c>
      <c r="C7" s="2356" t="s">
        <v>3235</v>
      </c>
      <c r="D7" s="2356" t="s">
        <v>2862</v>
      </c>
      <c r="E7" s="2357">
        <f>E8+E9+E10</f>
        <v>0</v>
      </c>
      <c r="F7" s="2378">
        <f>F8+F9+F10</f>
        <v>0</v>
      </c>
      <c r="H7" s="58">
        <f>E7*1.2-F7</f>
        <v>0</v>
      </c>
    </row>
    <row r="8" spans="1:8" ht="32.25" thickBot="1" x14ac:dyDescent="0.3">
      <c r="B8" s="2571" t="s">
        <v>2865</v>
      </c>
      <c r="C8" s="2354" t="s">
        <v>3235</v>
      </c>
      <c r="D8" s="2354" t="s">
        <v>2862</v>
      </c>
      <c r="E8" s="2355">
        <f>'Д 5.1 Т на ТЕ без ЦТП'!E12</f>
        <v>0</v>
      </c>
      <c r="F8" s="2379">
        <f>E8*1.2</f>
        <v>0</v>
      </c>
      <c r="H8" s="58">
        <f t="shared" ref="H8:H25" si="0">E8*1.2-F8</f>
        <v>0</v>
      </c>
    </row>
    <row r="9" spans="1:8" ht="32.25" thickBot="1" x14ac:dyDescent="0.3">
      <c r="B9" s="2571" t="s">
        <v>2866</v>
      </c>
      <c r="C9" s="2354" t="s">
        <v>3235</v>
      </c>
      <c r="D9" s="2354" t="s">
        <v>2862</v>
      </c>
      <c r="E9" s="2355">
        <f>'Д 5.1 Т на ТЕ без ЦТП'!E16</f>
        <v>0</v>
      </c>
      <c r="F9" s="2379">
        <f t="shared" ref="F9:F10" si="1">E9*1.2</f>
        <v>0</v>
      </c>
      <c r="H9" s="58">
        <f t="shared" si="0"/>
        <v>0</v>
      </c>
    </row>
    <row r="10" spans="1:8" ht="31.5" x14ac:dyDescent="0.25">
      <c r="B10" s="2573" t="s">
        <v>2867</v>
      </c>
      <c r="C10" s="2354" t="s">
        <v>3235</v>
      </c>
      <c r="D10" s="2358" t="s">
        <v>2862</v>
      </c>
      <c r="E10" s="2359">
        <f>'Д 5.1 Т на ТЕ без ЦТП'!E20</f>
        <v>0</v>
      </c>
      <c r="F10" s="2379">
        <f t="shared" si="1"/>
        <v>0</v>
      </c>
      <c r="H10" s="58">
        <f t="shared" si="0"/>
        <v>0</v>
      </c>
    </row>
    <row r="11" spans="1:8" ht="16.5" thickBot="1" x14ac:dyDescent="0.3">
      <c r="A11" s="77"/>
      <c r="B11" s="4628" t="s">
        <v>2791</v>
      </c>
      <c r="C11" s="4629"/>
      <c r="D11" s="4629"/>
      <c r="E11" s="4629"/>
      <c r="F11" s="4630"/>
      <c r="H11" s="58">
        <f t="shared" si="0"/>
        <v>0</v>
      </c>
    </row>
    <row r="12" spans="1:8" ht="32.25" thickBot="1" x14ac:dyDescent="0.3">
      <c r="A12" s="77"/>
      <c r="B12" s="2572" t="s">
        <v>2873</v>
      </c>
      <c r="C12" s="2356" t="s">
        <v>3235</v>
      </c>
      <c r="D12" s="2356" t="s">
        <v>2862</v>
      </c>
      <c r="E12" s="2357">
        <f>E13+E14+E15</f>
        <v>0</v>
      </c>
      <c r="F12" s="2378">
        <f>F13+F14+F15</f>
        <v>0</v>
      </c>
      <c r="H12" s="58">
        <f t="shared" si="0"/>
        <v>0</v>
      </c>
    </row>
    <row r="13" spans="1:8" ht="32.25" thickBot="1" x14ac:dyDescent="0.3">
      <c r="B13" s="2571" t="s">
        <v>2865</v>
      </c>
      <c r="C13" s="2354" t="s">
        <v>3235</v>
      </c>
      <c r="D13" s="2354" t="s">
        <v>2187</v>
      </c>
      <c r="E13" s="2355">
        <f>'Д 5.1 Т на ТЕ без ЦТП'!F17</f>
        <v>0</v>
      </c>
      <c r="F13" s="2379">
        <f>E13*1.2</f>
        <v>0</v>
      </c>
      <c r="H13" s="58">
        <f t="shared" si="0"/>
        <v>0</v>
      </c>
    </row>
    <row r="14" spans="1:8" ht="32.25" thickBot="1" x14ac:dyDescent="0.3">
      <c r="B14" s="2571" t="s">
        <v>2866</v>
      </c>
      <c r="C14" s="2354" t="s">
        <v>3235</v>
      </c>
      <c r="D14" s="2354" t="s">
        <v>2187</v>
      </c>
      <c r="E14" s="2355">
        <f>'Д 5.1 Т на ТЕ без ЦТП'!F21</f>
        <v>0</v>
      </c>
      <c r="F14" s="2379">
        <f t="shared" ref="F14:F15" si="2">E14*1.2</f>
        <v>0</v>
      </c>
      <c r="H14" s="58">
        <f t="shared" si="0"/>
        <v>0</v>
      </c>
    </row>
    <row r="15" spans="1:8" ht="31.5" x14ac:dyDescent="0.25">
      <c r="B15" s="2571" t="s">
        <v>2867</v>
      </c>
      <c r="C15" s="2354" t="s">
        <v>3235</v>
      </c>
      <c r="D15" s="2354" t="s">
        <v>2187</v>
      </c>
      <c r="E15" s="2355">
        <f>'Д 5.1 Т на ТЕ без ЦТП'!F25</f>
        <v>0</v>
      </c>
      <c r="F15" s="2379">
        <f t="shared" si="2"/>
        <v>0</v>
      </c>
      <c r="H15" s="58">
        <f t="shared" si="0"/>
        <v>0</v>
      </c>
    </row>
    <row r="16" spans="1:8" ht="16.5" thickBot="1" x14ac:dyDescent="0.3">
      <c r="A16" s="77"/>
      <c r="B16" s="4621" t="s">
        <v>2912</v>
      </c>
      <c r="C16" s="4622"/>
      <c r="D16" s="4622"/>
      <c r="E16" s="4622"/>
      <c r="F16" s="4623"/>
      <c r="H16" s="58">
        <f t="shared" si="0"/>
        <v>0</v>
      </c>
    </row>
    <row r="17" spans="1:8" ht="32.25" thickBot="1" x14ac:dyDescent="0.3">
      <c r="A17" s="77"/>
      <c r="B17" s="2572" t="s">
        <v>2873</v>
      </c>
      <c r="C17" s="2356" t="s">
        <v>3235</v>
      </c>
      <c r="D17" s="2356" t="s">
        <v>2862</v>
      </c>
      <c r="E17" s="2357">
        <f>E18+E19+E20</f>
        <v>0</v>
      </c>
      <c r="F17" s="3501">
        <f>F18+F19+F20</f>
        <v>0</v>
      </c>
      <c r="H17" s="58">
        <f t="shared" si="0"/>
        <v>0</v>
      </c>
    </row>
    <row r="18" spans="1:8" ht="32.25" thickBot="1" x14ac:dyDescent="0.3">
      <c r="B18" s="2571" t="s">
        <v>2865</v>
      </c>
      <c r="C18" s="2354" t="s">
        <v>3235</v>
      </c>
      <c r="D18" s="2354" t="s">
        <v>2187</v>
      </c>
      <c r="E18" s="2355">
        <f>'Д 5.1 Т на ТЕ без ЦТП'!G12</f>
        <v>0</v>
      </c>
      <c r="F18" s="2379">
        <f>E18*1.2</f>
        <v>0</v>
      </c>
      <c r="H18" s="58">
        <f t="shared" si="0"/>
        <v>0</v>
      </c>
    </row>
    <row r="19" spans="1:8" ht="32.25" thickBot="1" x14ac:dyDescent="0.3">
      <c r="B19" s="2571" t="s">
        <v>2866</v>
      </c>
      <c r="C19" s="2354" t="s">
        <v>3235</v>
      </c>
      <c r="D19" s="2354" t="s">
        <v>2187</v>
      </c>
      <c r="E19" s="2355">
        <f>'Д 5.1 Т на ТЕ без ЦТП'!G16</f>
        <v>0</v>
      </c>
      <c r="F19" s="2379">
        <f t="shared" ref="F19:F20" si="3">E19*1.2</f>
        <v>0</v>
      </c>
      <c r="H19" s="58">
        <f t="shared" si="0"/>
        <v>0</v>
      </c>
    </row>
    <row r="20" spans="1:8" ht="31.5" x14ac:dyDescent="0.25">
      <c r="B20" s="2571" t="s">
        <v>2867</v>
      </c>
      <c r="C20" s="2354" t="s">
        <v>3235</v>
      </c>
      <c r="D20" s="2354" t="s">
        <v>2187</v>
      </c>
      <c r="E20" s="2355">
        <f>'Д 5.1 Т на ТЕ без ЦТП'!G20</f>
        <v>0</v>
      </c>
      <c r="F20" s="2379">
        <f t="shared" si="3"/>
        <v>0</v>
      </c>
      <c r="H20" s="58">
        <f t="shared" si="0"/>
        <v>0</v>
      </c>
    </row>
    <row r="21" spans="1:8" ht="16.5" thickBot="1" x14ac:dyDescent="0.3">
      <c r="A21" s="77"/>
      <c r="B21" s="4621" t="s">
        <v>2793</v>
      </c>
      <c r="C21" s="4622"/>
      <c r="D21" s="4622"/>
      <c r="E21" s="4622"/>
      <c r="F21" s="4623"/>
      <c r="H21" s="58">
        <f t="shared" si="0"/>
        <v>0</v>
      </c>
    </row>
    <row r="22" spans="1:8" ht="32.25" thickBot="1" x14ac:dyDescent="0.3">
      <c r="A22" s="77"/>
      <c r="B22" s="2572" t="s">
        <v>2873</v>
      </c>
      <c r="C22" s="2356" t="s">
        <v>3235</v>
      </c>
      <c r="D22" s="2356" t="s">
        <v>2187</v>
      </c>
      <c r="E22" s="2357">
        <f>E23+E24+E25</f>
        <v>8351.9347899316763</v>
      </c>
      <c r="F22" s="3501">
        <f>SUM(F23:F25)</f>
        <v>10022.321747918011</v>
      </c>
      <c r="H22" s="2584">
        <f t="shared" si="0"/>
        <v>0</v>
      </c>
    </row>
    <row r="23" spans="1:8" ht="32.25" thickBot="1" x14ac:dyDescent="0.3">
      <c r="B23" s="2571" t="s">
        <v>2865</v>
      </c>
      <c r="C23" s="2354" t="s">
        <v>3235</v>
      </c>
      <c r="D23" s="2354" t="s">
        <v>2187</v>
      </c>
      <c r="E23" s="2355">
        <f>'Д 5.1 Т на ТЕ без ЦТП'!H12</f>
        <v>5701.3545558892911</v>
      </c>
      <c r="F23" s="2379">
        <f>E23*1.2</f>
        <v>6841.6254670671487</v>
      </c>
      <c r="H23" s="2584">
        <f t="shared" si="0"/>
        <v>0</v>
      </c>
    </row>
    <row r="24" spans="1:8" ht="32.25" thickBot="1" x14ac:dyDescent="0.3">
      <c r="B24" s="2571" t="s">
        <v>2866</v>
      </c>
      <c r="C24" s="2354" t="s">
        <v>3235</v>
      </c>
      <c r="D24" s="2354" t="s">
        <v>2187</v>
      </c>
      <c r="E24" s="2355">
        <f>'Д 5.1 Т на ТЕ без ЦТП'!H16</f>
        <v>2501.5399234224351</v>
      </c>
      <c r="F24" s="2379">
        <f t="shared" ref="F24:F25" si="4">E24*1.2</f>
        <v>3001.8479081069222</v>
      </c>
      <c r="H24" s="2584">
        <f t="shared" si="0"/>
        <v>0</v>
      </c>
    </row>
    <row r="25" spans="1:8" ht="32.25" thickBot="1" x14ac:dyDescent="0.3">
      <c r="B25" s="3502" t="s">
        <v>2867</v>
      </c>
      <c r="C25" s="3503" t="s">
        <v>3235</v>
      </c>
      <c r="D25" s="3503" t="s">
        <v>2187</v>
      </c>
      <c r="E25" s="3504">
        <f>'Д 5.1 Т на ТЕ без ЦТП'!H20</f>
        <v>149.04031061994922</v>
      </c>
      <c r="F25" s="3505">
        <f t="shared" si="4"/>
        <v>178.84837274393905</v>
      </c>
      <c r="H25" s="2584">
        <f t="shared" si="0"/>
        <v>0</v>
      </c>
    </row>
    <row r="26" spans="1:8" x14ac:dyDescent="0.25">
      <c r="B26" s="2126"/>
    </row>
    <row r="27" spans="1:8" x14ac:dyDescent="0.25">
      <c r="B27" s="2126"/>
      <c r="D27" s="2126"/>
      <c r="E27" s="1999"/>
      <c r="F27" s="2126"/>
      <c r="G27" s="2126"/>
      <c r="H27" s="2126"/>
    </row>
  </sheetData>
  <mergeCells count="7">
    <mergeCell ref="B21:F21"/>
    <mergeCell ref="B4:F4"/>
    <mergeCell ref="E1:F1"/>
    <mergeCell ref="B3:F3"/>
    <mergeCell ref="B6:F6"/>
    <mergeCell ref="B11:F11"/>
    <mergeCell ref="B16:F16"/>
  </mergeCells>
  <pageMargins left="0.78740157480314965" right="0.47244094488188981" top="0.78740157480314965" bottom="0.47244094488188981" header="0.31496062992125984" footer="0.31496062992125984"/>
  <pageSetup paperSize="9" scale="93"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EC20C5"/>
  </sheetPr>
  <dimension ref="A1:K18"/>
  <sheetViews>
    <sheetView zoomScaleNormal="100" workbookViewId="0">
      <selection activeCell="D1" sqref="D1:F1"/>
    </sheetView>
  </sheetViews>
  <sheetFormatPr defaultColWidth="8.85546875" defaultRowHeight="15.75" x14ac:dyDescent="0.25"/>
  <cols>
    <col min="1" max="1" width="8.85546875" style="58"/>
    <col min="2" max="2" width="29.28515625" style="58" customWidth="1"/>
    <col min="3" max="3" width="18.140625" style="58" customWidth="1"/>
    <col min="4" max="4" width="14" style="58" customWidth="1"/>
    <col min="5" max="5" width="12.5703125" style="58" customWidth="1"/>
    <col min="6" max="6" width="12.85546875" style="58" customWidth="1"/>
    <col min="7" max="9" width="8.85546875" style="58"/>
    <col min="10" max="11" width="11.5703125" style="58" customWidth="1"/>
    <col min="12" max="16384" width="8.85546875" style="58"/>
  </cols>
  <sheetData>
    <row r="1" spans="1:11" ht="80.45" customHeight="1" x14ac:dyDescent="0.25">
      <c r="A1" s="3493"/>
      <c r="B1" s="2176"/>
      <c r="C1" s="2176"/>
      <c r="D1" s="4634" t="s">
        <v>3460</v>
      </c>
      <c r="E1" s="4634"/>
      <c r="F1" s="4634"/>
    </row>
    <row r="2" spans="1:11" ht="20.25" customHeight="1" x14ac:dyDescent="0.25"/>
    <row r="3" spans="1:11" x14ac:dyDescent="0.25">
      <c r="B3" s="4083" t="s">
        <v>2119</v>
      </c>
      <c r="C3" s="4083"/>
      <c r="D3" s="4083"/>
      <c r="E3" s="4083"/>
      <c r="F3" s="4083"/>
    </row>
    <row r="4" spans="1:11" ht="66" customHeight="1" x14ac:dyDescent="0.25">
      <c r="B4" s="4100" t="s">
        <v>3450</v>
      </c>
      <c r="C4" s="4100"/>
      <c r="D4" s="4100"/>
      <c r="E4" s="4100"/>
      <c r="F4" s="4100"/>
    </row>
    <row r="5" spans="1:11" ht="7.9" customHeight="1" thickBot="1" x14ac:dyDescent="0.3"/>
    <row r="6" spans="1:11" ht="32.25" thickBot="1" x14ac:dyDescent="0.3">
      <c r="B6" s="2360" t="s">
        <v>1486</v>
      </c>
      <c r="C6" s="2361" t="s">
        <v>269</v>
      </c>
      <c r="D6" s="2361" t="s">
        <v>2860</v>
      </c>
      <c r="E6" s="2361" t="s">
        <v>2871</v>
      </c>
      <c r="F6" s="2377" t="s">
        <v>2872</v>
      </c>
    </row>
    <row r="7" spans="1:11" ht="30.75" customHeight="1" thickBot="1" x14ac:dyDescent="0.3">
      <c r="A7" s="77"/>
      <c r="B7" s="4618" t="s">
        <v>3360</v>
      </c>
      <c r="C7" s="4619"/>
      <c r="D7" s="4619"/>
      <c r="E7" s="4619"/>
      <c r="F7" s="4620"/>
    </row>
    <row r="8" spans="1:11" ht="40.9" customHeight="1" thickBot="1" x14ac:dyDescent="0.3">
      <c r="B8" s="2572" t="s">
        <v>2873</v>
      </c>
      <c r="C8" s="2356" t="s">
        <v>3235</v>
      </c>
      <c r="D8" s="2356" t="s">
        <v>2862</v>
      </c>
      <c r="E8" s="3495">
        <f>E9+E10+E11</f>
        <v>9104.877715093302</v>
      </c>
      <c r="F8" s="3506">
        <f>F9+F10+F11</f>
        <v>10925.85325811196</v>
      </c>
      <c r="H8" s="2584"/>
    </row>
    <row r="9" spans="1:11" ht="27" customHeight="1" thickBot="1" x14ac:dyDescent="0.3">
      <c r="B9" s="2571" t="s">
        <v>2865</v>
      </c>
      <c r="C9" s="2354" t="s">
        <v>3235</v>
      </c>
      <c r="D9" s="2354" t="s">
        <v>2187</v>
      </c>
      <c r="E9" s="3497">
        <f>'Додаток 10 до рішення'!E19</f>
        <v>5701.3545558892911</v>
      </c>
      <c r="F9" s="3498">
        <f>E9*1.2</f>
        <v>6841.6254670671487</v>
      </c>
      <c r="H9" s="2584"/>
    </row>
    <row r="10" spans="1:11" ht="36.6" customHeight="1" thickBot="1" x14ac:dyDescent="0.3">
      <c r="B10" s="2571" t="s">
        <v>2866</v>
      </c>
      <c r="C10" s="2354" t="s">
        <v>3235</v>
      </c>
      <c r="D10" s="2354" t="s">
        <v>2187</v>
      </c>
      <c r="E10" s="3497">
        <f>'Додаток 10 до рішення'!E20</f>
        <v>3254.4828485840603</v>
      </c>
      <c r="F10" s="3498">
        <f t="shared" ref="F10:F11" si="0">E10*1.2</f>
        <v>3905.3794183008722</v>
      </c>
      <c r="H10" s="2584"/>
    </row>
    <row r="11" spans="1:11" ht="27" customHeight="1" x14ac:dyDescent="0.25">
      <c r="A11" s="77"/>
      <c r="B11" s="2571" t="s">
        <v>2867</v>
      </c>
      <c r="C11" s="2354" t="s">
        <v>3235</v>
      </c>
      <c r="D11" s="2354" t="s">
        <v>2187</v>
      </c>
      <c r="E11" s="3497">
        <f>'Додаток 10 до рішення'!E21</f>
        <v>149.04031061994922</v>
      </c>
      <c r="F11" s="3498">
        <f t="shared" si="0"/>
        <v>178.84837274393905</v>
      </c>
      <c r="H11" s="2584"/>
    </row>
    <row r="12" spans="1:11" ht="29.25" customHeight="1" thickBot="1" x14ac:dyDescent="0.3">
      <c r="A12" s="77"/>
      <c r="B12" s="4631" t="s">
        <v>3361</v>
      </c>
      <c r="C12" s="4632"/>
      <c r="D12" s="4632"/>
      <c r="E12" s="4632"/>
      <c r="F12" s="4633"/>
    </row>
    <row r="13" spans="1:11" ht="37.9" customHeight="1" thickBot="1" x14ac:dyDescent="0.3">
      <c r="B13" s="2572" t="s">
        <v>2873</v>
      </c>
      <c r="C13" s="2356" t="s">
        <v>3235</v>
      </c>
      <c r="D13" s="2356" t="s">
        <v>2187</v>
      </c>
      <c r="E13" s="3495">
        <f>E14+E15+E16</f>
        <v>8351.9347899316763</v>
      </c>
      <c r="F13" s="3496">
        <f>E13*1.2</f>
        <v>10022.321747918011</v>
      </c>
      <c r="H13" s="2584"/>
      <c r="J13" s="2204"/>
      <c r="K13" s="2204"/>
    </row>
    <row r="14" spans="1:11" ht="27" customHeight="1" thickBot="1" x14ac:dyDescent="0.3">
      <c r="B14" s="2571" t="s">
        <v>2865</v>
      </c>
      <c r="C14" s="2354" t="s">
        <v>3235</v>
      </c>
      <c r="D14" s="2354" t="s">
        <v>2187</v>
      </c>
      <c r="E14" s="3497">
        <f>'Додаток 11 до рішення'!E23</f>
        <v>5701.3545558892911</v>
      </c>
      <c r="F14" s="3498">
        <f>E14*1.2</f>
        <v>6841.6254670671487</v>
      </c>
      <c r="H14" s="2584"/>
    </row>
    <row r="15" spans="1:11" ht="31.9" customHeight="1" thickBot="1" x14ac:dyDescent="0.3">
      <c r="B15" s="2571" t="s">
        <v>2866</v>
      </c>
      <c r="C15" s="2354" t="s">
        <v>3235</v>
      </c>
      <c r="D15" s="2354" t="s">
        <v>2187</v>
      </c>
      <c r="E15" s="3497">
        <f>'Додаток 11 до рішення'!E24</f>
        <v>2501.5399234224351</v>
      </c>
      <c r="F15" s="3498">
        <f t="shared" ref="F15:F16" si="1">E15*1.2</f>
        <v>3001.8479081069222</v>
      </c>
      <c r="H15" s="2584"/>
    </row>
    <row r="16" spans="1:11" ht="27" customHeight="1" thickBot="1" x14ac:dyDescent="0.3">
      <c r="B16" s="3502" t="s">
        <v>2867</v>
      </c>
      <c r="C16" s="3503" t="s">
        <v>3235</v>
      </c>
      <c r="D16" s="3503" t="s">
        <v>2187</v>
      </c>
      <c r="E16" s="3507">
        <f>'Додаток 11 до рішення'!E25</f>
        <v>149.04031061994922</v>
      </c>
      <c r="F16" s="3508">
        <f t="shared" si="1"/>
        <v>178.84837274393905</v>
      </c>
      <c r="H16" s="2584"/>
    </row>
    <row r="17" spans="2:8" x14ac:dyDescent="0.25">
      <c r="B17" s="2126"/>
      <c r="H17" s="2584"/>
    </row>
    <row r="18" spans="2:8" x14ac:dyDescent="0.25">
      <c r="B18" s="18" t="s">
        <v>3444</v>
      </c>
      <c r="C18" s="3499"/>
      <c r="D18" s="2153"/>
      <c r="E18" s="2153" t="s">
        <v>3445</v>
      </c>
      <c r="F18" s="2153"/>
      <c r="G18" s="2126"/>
      <c r="H18" s="2126"/>
    </row>
  </sheetData>
  <mergeCells count="5">
    <mergeCell ref="B3:F3"/>
    <mergeCell ref="B4:F4"/>
    <mergeCell ref="B7:F7"/>
    <mergeCell ref="B12:F12"/>
    <mergeCell ref="D1:F1"/>
  </mergeCells>
  <pageMargins left="0.7" right="0.7" top="0.75" bottom="0.75" header="0.3" footer="0.3"/>
  <pageSetup paperSize="9" scale="91" orientation="portrait" r:id="rId1"/>
  <colBreaks count="1" manualBreakCount="1">
    <brk id="6" max="1048575"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EC20C5"/>
  </sheetPr>
  <dimension ref="A1:F72"/>
  <sheetViews>
    <sheetView zoomScaleNormal="100" workbookViewId="0">
      <selection activeCell="E1" sqref="E1:F1"/>
    </sheetView>
  </sheetViews>
  <sheetFormatPr defaultColWidth="8.85546875" defaultRowHeight="15.75" x14ac:dyDescent="0.25"/>
  <cols>
    <col min="1" max="2" width="8.85546875" style="58"/>
    <col min="3" max="3" width="34" style="58" customWidth="1"/>
    <col min="4" max="4" width="24.5703125" style="58" customWidth="1"/>
    <col min="5" max="5" width="22.42578125" style="58" customWidth="1"/>
    <col min="6" max="6" width="12.42578125" style="58" customWidth="1"/>
    <col min="7" max="16384" width="8.85546875" style="58"/>
  </cols>
  <sheetData>
    <row r="1" spans="1:6" ht="66.599999999999994" customHeight="1" x14ac:dyDescent="0.25">
      <c r="A1" s="2176"/>
      <c r="B1" s="2176"/>
      <c r="C1" s="2362"/>
      <c r="D1" s="2363"/>
      <c r="E1" s="4635" t="s">
        <v>3461</v>
      </c>
      <c r="F1" s="4635"/>
    </row>
    <row r="2" spans="1:6" ht="21" customHeight="1" x14ac:dyDescent="0.3">
      <c r="B2" s="4106" t="s">
        <v>471</v>
      </c>
      <c r="C2" s="4106"/>
      <c r="D2" s="4106"/>
      <c r="E2" s="4106"/>
      <c r="F2" s="4106"/>
    </row>
    <row r="3" spans="1:6" ht="15" customHeight="1" x14ac:dyDescent="0.25">
      <c r="B3" s="4107" t="s">
        <v>3257</v>
      </c>
      <c r="C3" s="4107"/>
      <c r="D3" s="4107"/>
      <c r="E3" s="4107"/>
      <c r="F3" s="4107"/>
    </row>
    <row r="4" spans="1:6" ht="15" customHeight="1" x14ac:dyDescent="0.25">
      <c r="B4" s="4507" t="s">
        <v>3451</v>
      </c>
      <c r="C4" s="4507"/>
      <c r="D4" s="4507"/>
      <c r="E4" s="4507"/>
      <c r="F4" s="4507"/>
    </row>
    <row r="5" spans="1:6" ht="15" customHeight="1" x14ac:dyDescent="0.25">
      <c r="B5" s="4637" t="s">
        <v>368</v>
      </c>
      <c r="C5" s="4637"/>
      <c r="D5" s="4637"/>
      <c r="E5" s="4637"/>
      <c r="F5" s="4637"/>
    </row>
    <row r="6" spans="1:6" ht="15" customHeight="1" x14ac:dyDescent="0.25">
      <c r="B6" s="4107" t="s">
        <v>3116</v>
      </c>
      <c r="C6" s="4107"/>
      <c r="D6" s="4107"/>
      <c r="E6" s="4107"/>
      <c r="F6" s="4107"/>
    </row>
    <row r="7" spans="1:6" ht="15" customHeight="1" thickBot="1" x14ac:dyDescent="0.3">
      <c r="B7" s="4637" t="s">
        <v>1098</v>
      </c>
      <c r="C7" s="4637"/>
      <c r="D7" s="4637"/>
      <c r="E7" s="4637"/>
      <c r="F7" s="4637"/>
    </row>
    <row r="8" spans="1:6" ht="0.6" customHeight="1" thickBot="1" x14ac:dyDescent="0.3"/>
    <row r="9" spans="1:6" ht="93.75" customHeight="1" thickBot="1" x14ac:dyDescent="0.3">
      <c r="B9" s="2324" t="s">
        <v>7</v>
      </c>
      <c r="C9" s="1871" t="s">
        <v>3258</v>
      </c>
      <c r="D9" s="1871" t="s">
        <v>3259</v>
      </c>
      <c r="E9" s="1871" t="s">
        <v>354</v>
      </c>
      <c r="F9" s="3290" t="s">
        <v>3094</v>
      </c>
    </row>
    <row r="10" spans="1:6" s="11" customFormat="1" ht="12.75" thickBot="1" x14ac:dyDescent="0.25">
      <c r="B10" s="2364">
        <v>1</v>
      </c>
      <c r="C10" s="2365">
        <v>2</v>
      </c>
      <c r="D10" s="2365">
        <v>3</v>
      </c>
      <c r="E10" s="2364">
        <v>4</v>
      </c>
      <c r="F10" s="3291"/>
    </row>
    <row r="11" spans="1:6" ht="15.6" customHeight="1" thickBot="1" x14ac:dyDescent="0.3">
      <c r="B11" s="3292">
        <v>1</v>
      </c>
      <c r="C11" s="3293" t="s">
        <v>3260</v>
      </c>
      <c r="D11" s="3294" t="s">
        <v>3261</v>
      </c>
      <c r="E11" s="3295" t="s">
        <v>3262</v>
      </c>
      <c r="F11" s="3296" t="s">
        <v>3096</v>
      </c>
    </row>
    <row r="12" spans="1:6" ht="15.6" customHeight="1" thickBot="1" x14ac:dyDescent="0.3">
      <c r="B12" s="3292">
        <f>B11+1</f>
        <v>2</v>
      </c>
      <c r="C12" s="3293" t="s">
        <v>3263</v>
      </c>
      <c r="D12" s="3294" t="s">
        <v>3261</v>
      </c>
      <c r="E12" s="3297" t="s">
        <v>582</v>
      </c>
      <c r="F12" s="3296" t="s">
        <v>3096</v>
      </c>
    </row>
    <row r="13" spans="1:6" ht="15.6" customHeight="1" thickBot="1" x14ac:dyDescent="0.3">
      <c r="B13" s="3292">
        <f t="shared" ref="B13:B53" si="0">B12+1</f>
        <v>3</v>
      </c>
      <c r="C13" s="3293" t="s">
        <v>3264</v>
      </c>
      <c r="D13" s="3294" t="s">
        <v>3261</v>
      </c>
      <c r="E13" s="3295" t="s">
        <v>582</v>
      </c>
      <c r="F13" s="3296" t="s">
        <v>3096</v>
      </c>
    </row>
    <row r="14" spans="1:6" ht="15.6" customHeight="1" thickBot="1" x14ac:dyDescent="0.3">
      <c r="B14" s="3292">
        <f t="shared" si="0"/>
        <v>4</v>
      </c>
      <c r="C14" s="3293" t="s">
        <v>3265</v>
      </c>
      <c r="D14" s="3294" t="s">
        <v>3261</v>
      </c>
      <c r="E14" s="3295" t="s">
        <v>582</v>
      </c>
      <c r="F14" s="3296" t="s">
        <v>3096</v>
      </c>
    </row>
    <row r="15" spans="1:6" ht="15.6" customHeight="1" thickBot="1" x14ac:dyDescent="0.3">
      <c r="B15" s="3292">
        <f t="shared" si="0"/>
        <v>5</v>
      </c>
      <c r="C15" s="3293" t="s">
        <v>3266</v>
      </c>
      <c r="D15" s="3294" t="s">
        <v>3261</v>
      </c>
      <c r="E15" s="3295" t="s">
        <v>3262</v>
      </c>
      <c r="F15" s="3296" t="s">
        <v>3096</v>
      </c>
    </row>
    <row r="16" spans="1:6" ht="15.6" customHeight="1" thickBot="1" x14ac:dyDescent="0.3">
      <c r="B16" s="3292">
        <f t="shared" si="0"/>
        <v>6</v>
      </c>
      <c r="C16" s="3293" t="s">
        <v>3267</v>
      </c>
      <c r="D16" s="3294" t="s">
        <v>3261</v>
      </c>
      <c r="E16" s="3295" t="s">
        <v>3262</v>
      </c>
      <c r="F16" s="3296" t="s">
        <v>3096</v>
      </c>
    </row>
    <row r="17" spans="2:6" ht="15.6" customHeight="1" thickBot="1" x14ac:dyDescent="0.3">
      <c r="B17" s="3292">
        <f t="shared" si="0"/>
        <v>7</v>
      </c>
      <c r="C17" s="3293" t="s">
        <v>3268</v>
      </c>
      <c r="D17" s="3294" t="s">
        <v>3269</v>
      </c>
      <c r="E17" s="3295" t="s">
        <v>582</v>
      </c>
      <c r="F17" s="3296" t="s">
        <v>631</v>
      </c>
    </row>
    <row r="18" spans="2:6" ht="15.6" customHeight="1" thickBot="1" x14ac:dyDescent="0.3">
      <c r="B18" s="3292">
        <f t="shared" si="0"/>
        <v>8</v>
      </c>
      <c r="C18" s="3293" t="s">
        <v>3270</v>
      </c>
      <c r="D18" s="3294" t="s">
        <v>3271</v>
      </c>
      <c r="E18" s="3295" t="s">
        <v>582</v>
      </c>
      <c r="F18" s="3296" t="s">
        <v>631</v>
      </c>
    </row>
    <row r="19" spans="2:6" ht="15.6" customHeight="1" thickBot="1" x14ac:dyDescent="0.3">
      <c r="B19" s="3292">
        <f t="shared" si="0"/>
        <v>9</v>
      </c>
      <c r="C19" s="3293" t="s">
        <v>3272</v>
      </c>
      <c r="D19" s="3294" t="s">
        <v>3271</v>
      </c>
      <c r="E19" s="3295" t="s">
        <v>582</v>
      </c>
      <c r="F19" s="3296" t="s">
        <v>631</v>
      </c>
    </row>
    <row r="20" spans="2:6" ht="15.6" customHeight="1" thickBot="1" x14ac:dyDescent="0.3">
      <c r="B20" s="3292">
        <f t="shared" si="0"/>
        <v>10</v>
      </c>
      <c r="C20" s="3293" t="s">
        <v>3273</v>
      </c>
      <c r="D20" s="3294" t="s">
        <v>3274</v>
      </c>
      <c r="E20" s="3295" t="s">
        <v>582</v>
      </c>
      <c r="F20" s="3296" t="s">
        <v>631</v>
      </c>
    </row>
    <row r="21" spans="2:6" ht="15.6" customHeight="1" thickBot="1" x14ac:dyDescent="0.3">
      <c r="B21" s="3292">
        <f t="shared" si="0"/>
        <v>11</v>
      </c>
      <c r="C21" s="3293" t="s">
        <v>3275</v>
      </c>
      <c r="D21" s="3294" t="s">
        <v>3276</v>
      </c>
      <c r="E21" s="3295" t="s">
        <v>582</v>
      </c>
      <c r="F21" s="3296" t="s">
        <v>631</v>
      </c>
    </row>
    <row r="22" spans="2:6" ht="15.6" customHeight="1" thickBot="1" x14ac:dyDescent="0.3">
      <c r="B22" s="3292">
        <f t="shared" si="0"/>
        <v>12</v>
      </c>
      <c r="C22" s="3293" t="s">
        <v>3277</v>
      </c>
      <c r="D22" s="3294" t="s">
        <v>3276</v>
      </c>
      <c r="E22" s="3295" t="s">
        <v>582</v>
      </c>
      <c r="F22" s="3296" t="s">
        <v>631</v>
      </c>
    </row>
    <row r="23" spans="2:6" ht="15.6" customHeight="1" thickBot="1" x14ac:dyDescent="0.3">
      <c r="B23" s="3292">
        <f t="shared" si="0"/>
        <v>13</v>
      </c>
      <c r="C23" s="3293" t="s">
        <v>3278</v>
      </c>
      <c r="D23" s="3294" t="s">
        <v>3279</v>
      </c>
      <c r="E23" s="3295" t="s">
        <v>582</v>
      </c>
      <c r="F23" s="3296" t="s">
        <v>631</v>
      </c>
    </row>
    <row r="24" spans="2:6" ht="15.6" customHeight="1" thickBot="1" x14ac:dyDescent="0.3">
      <c r="B24" s="3292">
        <f t="shared" si="0"/>
        <v>14</v>
      </c>
      <c r="C24" s="3293" t="s">
        <v>3280</v>
      </c>
      <c r="D24" s="3294" t="s">
        <v>3281</v>
      </c>
      <c r="E24" s="3295" t="s">
        <v>582</v>
      </c>
      <c r="F24" s="3296" t="s">
        <v>631</v>
      </c>
    </row>
    <row r="25" spans="2:6" ht="15.6" customHeight="1" thickBot="1" x14ac:dyDescent="0.3">
      <c r="B25" s="3292">
        <f t="shared" si="0"/>
        <v>15</v>
      </c>
      <c r="C25" s="3293" t="s">
        <v>3282</v>
      </c>
      <c r="D25" s="3294" t="s">
        <v>3283</v>
      </c>
      <c r="E25" s="3295" t="s">
        <v>582</v>
      </c>
      <c r="F25" s="3296" t="s">
        <v>631</v>
      </c>
    </row>
    <row r="26" spans="2:6" ht="15.6" customHeight="1" thickBot="1" x14ac:dyDescent="0.3">
      <c r="B26" s="3292">
        <f t="shared" si="0"/>
        <v>16</v>
      </c>
      <c r="C26" s="3293" t="s">
        <v>3284</v>
      </c>
      <c r="D26" s="3294" t="s">
        <v>3285</v>
      </c>
      <c r="E26" s="3295" t="s">
        <v>582</v>
      </c>
      <c r="F26" s="3296" t="s">
        <v>631</v>
      </c>
    </row>
    <row r="27" spans="2:6" ht="15.6" customHeight="1" thickBot="1" x14ac:dyDescent="0.3">
      <c r="B27" s="3292">
        <f t="shared" si="0"/>
        <v>17</v>
      </c>
      <c r="C27" s="3293" t="s">
        <v>3286</v>
      </c>
      <c r="D27" s="3294" t="s">
        <v>3285</v>
      </c>
      <c r="E27" s="3295" t="s">
        <v>582</v>
      </c>
      <c r="F27" s="3296" t="s">
        <v>631</v>
      </c>
    </row>
    <row r="28" spans="2:6" ht="15.6" customHeight="1" thickBot="1" x14ac:dyDescent="0.3">
      <c r="B28" s="3292">
        <f t="shared" si="0"/>
        <v>18</v>
      </c>
      <c r="C28" s="3293" t="s">
        <v>3287</v>
      </c>
      <c r="D28" s="3294" t="s">
        <v>3285</v>
      </c>
      <c r="E28" s="3295" t="s">
        <v>582</v>
      </c>
      <c r="F28" s="3296" t="s">
        <v>631</v>
      </c>
    </row>
    <row r="29" spans="2:6" ht="15.6" customHeight="1" thickBot="1" x14ac:dyDescent="0.3">
      <c r="B29" s="3292">
        <f t="shared" si="0"/>
        <v>19</v>
      </c>
      <c r="C29" s="3293" t="s">
        <v>3288</v>
      </c>
      <c r="D29" s="3294" t="s">
        <v>3285</v>
      </c>
      <c r="E29" s="3295" t="s">
        <v>582</v>
      </c>
      <c r="F29" s="3296" t="s">
        <v>631</v>
      </c>
    </row>
    <row r="30" spans="2:6" ht="15.6" customHeight="1" thickBot="1" x14ac:dyDescent="0.3">
      <c r="B30" s="3292">
        <f t="shared" si="0"/>
        <v>20</v>
      </c>
      <c r="C30" s="3293" t="s">
        <v>3289</v>
      </c>
      <c r="D30" s="3294" t="s">
        <v>3285</v>
      </c>
      <c r="E30" s="3295" t="s">
        <v>582</v>
      </c>
      <c r="F30" s="3296" t="s">
        <v>631</v>
      </c>
    </row>
    <row r="31" spans="2:6" ht="15.6" customHeight="1" thickBot="1" x14ac:dyDescent="0.3">
      <c r="B31" s="3292">
        <f t="shared" si="0"/>
        <v>21</v>
      </c>
      <c r="C31" s="3293" t="s">
        <v>3290</v>
      </c>
      <c r="D31" s="3294" t="s">
        <v>3285</v>
      </c>
      <c r="E31" s="3295" t="s">
        <v>582</v>
      </c>
      <c r="F31" s="3296" t="s">
        <v>631</v>
      </c>
    </row>
    <row r="32" spans="2:6" ht="15.6" customHeight="1" thickBot="1" x14ac:dyDescent="0.3">
      <c r="B32" s="3292">
        <f t="shared" si="0"/>
        <v>22</v>
      </c>
      <c r="C32" s="3293" t="s">
        <v>3291</v>
      </c>
      <c r="D32" s="3294" t="s">
        <v>3285</v>
      </c>
      <c r="E32" s="3295" t="s">
        <v>582</v>
      </c>
      <c r="F32" s="3296" t="s">
        <v>631</v>
      </c>
    </row>
    <row r="33" spans="2:6" ht="15.6" customHeight="1" thickBot="1" x14ac:dyDescent="0.3">
      <c r="B33" s="3292">
        <f t="shared" si="0"/>
        <v>23</v>
      </c>
      <c r="C33" s="3293" t="s">
        <v>3292</v>
      </c>
      <c r="D33" s="3294" t="s">
        <v>3285</v>
      </c>
      <c r="E33" s="3295" t="s">
        <v>582</v>
      </c>
      <c r="F33" s="3296" t="s">
        <v>631</v>
      </c>
    </row>
    <row r="34" spans="2:6" ht="15.6" customHeight="1" thickBot="1" x14ac:dyDescent="0.3">
      <c r="B34" s="3292">
        <f t="shared" si="0"/>
        <v>24</v>
      </c>
      <c r="C34" s="3293" t="s">
        <v>3293</v>
      </c>
      <c r="D34" s="3294" t="s">
        <v>3285</v>
      </c>
      <c r="E34" s="3295" t="s">
        <v>582</v>
      </c>
      <c r="F34" s="3296" t="s">
        <v>631</v>
      </c>
    </row>
    <row r="35" spans="2:6" ht="15.6" customHeight="1" thickBot="1" x14ac:dyDescent="0.3">
      <c r="B35" s="3292">
        <f t="shared" si="0"/>
        <v>25</v>
      </c>
      <c r="C35" s="3293" t="s">
        <v>3294</v>
      </c>
      <c r="D35" s="3294" t="s">
        <v>3295</v>
      </c>
      <c r="E35" s="3295" t="s">
        <v>582</v>
      </c>
      <c r="F35" s="3296" t="s">
        <v>631</v>
      </c>
    </row>
    <row r="36" spans="2:6" ht="15.6" customHeight="1" thickBot="1" x14ac:dyDescent="0.3">
      <c r="B36" s="3292">
        <f t="shared" si="0"/>
        <v>26</v>
      </c>
      <c r="C36" s="3293" t="s">
        <v>3296</v>
      </c>
      <c r="D36" s="3294" t="s">
        <v>3295</v>
      </c>
      <c r="E36" s="3295" t="s">
        <v>582</v>
      </c>
      <c r="F36" s="3296" t="s">
        <v>631</v>
      </c>
    </row>
    <row r="37" spans="2:6" ht="15.6" customHeight="1" thickBot="1" x14ac:dyDescent="0.3">
      <c r="B37" s="3292">
        <f t="shared" si="0"/>
        <v>27</v>
      </c>
      <c r="C37" s="3293" t="s">
        <v>3297</v>
      </c>
      <c r="D37" s="3294" t="s">
        <v>3298</v>
      </c>
      <c r="E37" s="3295" t="s">
        <v>582</v>
      </c>
      <c r="F37" s="3296" t="s">
        <v>631</v>
      </c>
    </row>
    <row r="38" spans="2:6" ht="15.6" customHeight="1" thickBot="1" x14ac:dyDescent="0.3">
      <c r="B38" s="3292">
        <f t="shared" si="0"/>
        <v>28</v>
      </c>
      <c r="C38" s="3293" t="s">
        <v>3299</v>
      </c>
      <c r="D38" s="3294" t="s">
        <v>3300</v>
      </c>
      <c r="E38" s="3295" t="s">
        <v>582</v>
      </c>
      <c r="F38" s="3296" t="s">
        <v>631</v>
      </c>
    </row>
    <row r="39" spans="2:6" ht="15.6" customHeight="1" thickBot="1" x14ac:dyDescent="0.3">
      <c r="B39" s="3292">
        <f t="shared" si="0"/>
        <v>29</v>
      </c>
      <c r="C39" s="3293" t="s">
        <v>3301</v>
      </c>
      <c r="D39" s="3294" t="s">
        <v>3302</v>
      </c>
      <c r="E39" s="3295" t="s">
        <v>582</v>
      </c>
      <c r="F39" s="3296" t="s">
        <v>631</v>
      </c>
    </row>
    <row r="40" spans="2:6" ht="15.6" customHeight="1" thickBot="1" x14ac:dyDescent="0.3">
      <c r="B40" s="3292">
        <f t="shared" si="0"/>
        <v>30</v>
      </c>
      <c r="C40" s="3293" t="s">
        <v>3303</v>
      </c>
      <c r="D40" s="3294" t="s">
        <v>3302</v>
      </c>
      <c r="E40" s="3295" t="s">
        <v>582</v>
      </c>
      <c r="F40" s="3296" t="s">
        <v>631</v>
      </c>
    </row>
    <row r="41" spans="2:6" ht="15.6" customHeight="1" thickBot="1" x14ac:dyDescent="0.3">
      <c r="B41" s="3292">
        <f t="shared" si="0"/>
        <v>31</v>
      </c>
      <c r="C41" s="3293" t="s">
        <v>3304</v>
      </c>
      <c r="D41" s="3294" t="s">
        <v>3302</v>
      </c>
      <c r="E41" s="3295" t="s">
        <v>582</v>
      </c>
      <c r="F41" s="3296" t="s">
        <v>631</v>
      </c>
    </row>
    <row r="42" spans="2:6" ht="15.6" customHeight="1" thickBot="1" x14ac:dyDescent="0.3">
      <c r="B42" s="3292">
        <f t="shared" si="0"/>
        <v>32</v>
      </c>
      <c r="C42" s="3293" t="s">
        <v>3305</v>
      </c>
      <c r="D42" s="3294" t="s">
        <v>3306</v>
      </c>
      <c r="E42" s="3295" t="s">
        <v>3262</v>
      </c>
      <c r="F42" s="3296" t="s">
        <v>631</v>
      </c>
    </row>
    <row r="43" spans="2:6" ht="15.6" customHeight="1" thickBot="1" x14ac:dyDescent="0.3">
      <c r="B43" s="3292">
        <f t="shared" si="0"/>
        <v>33</v>
      </c>
      <c r="C43" s="3293" t="s">
        <v>3307</v>
      </c>
      <c r="D43" s="3294" t="s">
        <v>3308</v>
      </c>
      <c r="E43" s="3298"/>
      <c r="F43" s="3296" t="s">
        <v>631</v>
      </c>
    </row>
    <row r="44" spans="2:6" ht="29.25" customHeight="1" thickBot="1" x14ac:dyDescent="0.3">
      <c r="B44" s="3292">
        <f t="shared" si="0"/>
        <v>34</v>
      </c>
      <c r="C44" s="3293" t="s">
        <v>3309</v>
      </c>
      <c r="D44" s="3299" t="s">
        <v>3310</v>
      </c>
      <c r="E44" s="3295" t="s">
        <v>3262</v>
      </c>
      <c r="F44" s="3296" t="s">
        <v>631</v>
      </c>
    </row>
    <row r="45" spans="2:6" ht="15.6" customHeight="1" thickBot="1" x14ac:dyDescent="0.3">
      <c r="B45" s="3292">
        <f t="shared" si="0"/>
        <v>35</v>
      </c>
      <c r="C45" s="3293" t="s">
        <v>3311</v>
      </c>
      <c r="D45" s="3299" t="s">
        <v>3310</v>
      </c>
      <c r="E45" s="3295" t="s">
        <v>582</v>
      </c>
      <c r="F45" s="3296" t="s">
        <v>631</v>
      </c>
    </row>
    <row r="46" spans="2:6" ht="15.6" customHeight="1" x14ac:dyDescent="0.25">
      <c r="B46" s="3662">
        <f t="shared" si="0"/>
        <v>36</v>
      </c>
      <c r="C46" s="3663" t="s">
        <v>3312</v>
      </c>
      <c r="D46" s="3664" t="s">
        <v>3310</v>
      </c>
      <c r="E46" s="3665" t="s">
        <v>582</v>
      </c>
      <c r="F46" s="3666" t="s">
        <v>631</v>
      </c>
    </row>
    <row r="47" spans="2:6" ht="30.6" customHeight="1" x14ac:dyDescent="0.25">
      <c r="B47" s="4636">
        <v>2</v>
      </c>
      <c r="C47" s="4636"/>
      <c r="D47" s="4636"/>
      <c r="E47" s="4636"/>
      <c r="F47" s="4636"/>
    </row>
    <row r="48" spans="2:6" ht="30.6" customHeight="1" x14ac:dyDescent="0.25">
      <c r="B48" s="3667">
        <f>B46+1</f>
        <v>37</v>
      </c>
      <c r="C48" s="3668" t="s">
        <v>3313</v>
      </c>
      <c r="D48" s="3669" t="s">
        <v>3310</v>
      </c>
      <c r="E48" s="3670" t="s">
        <v>582</v>
      </c>
      <c r="F48" s="3671" t="s">
        <v>631</v>
      </c>
    </row>
    <row r="49" spans="2:6" ht="15.6" customHeight="1" thickBot="1" x14ac:dyDescent="0.3">
      <c r="B49" s="3292">
        <f t="shared" si="0"/>
        <v>38</v>
      </c>
      <c r="C49" s="3293" t="s">
        <v>3314</v>
      </c>
      <c r="D49" s="3299" t="s">
        <v>3310</v>
      </c>
      <c r="E49" s="3295" t="s">
        <v>3262</v>
      </c>
      <c r="F49" s="3661" t="s">
        <v>631</v>
      </c>
    </row>
    <row r="50" spans="2:6" ht="15.6" customHeight="1" thickBot="1" x14ac:dyDescent="0.3">
      <c r="B50" s="3292">
        <f t="shared" si="0"/>
        <v>39</v>
      </c>
      <c r="C50" s="3293" t="s">
        <v>3315</v>
      </c>
      <c r="D50" s="3299" t="s">
        <v>3310</v>
      </c>
      <c r="E50" s="3295" t="s">
        <v>582</v>
      </c>
      <c r="F50" s="3296" t="s">
        <v>631</v>
      </c>
    </row>
    <row r="51" spans="2:6" ht="15.6" customHeight="1" thickBot="1" x14ac:dyDescent="0.3">
      <c r="B51" s="3292">
        <f t="shared" si="0"/>
        <v>40</v>
      </c>
      <c r="C51" s="3293" t="s">
        <v>3316</v>
      </c>
      <c r="D51" s="3294" t="s">
        <v>3317</v>
      </c>
      <c r="E51" s="3295" t="s">
        <v>582</v>
      </c>
      <c r="F51" s="3296" t="s">
        <v>631</v>
      </c>
    </row>
    <row r="52" spans="2:6" ht="15.6" customHeight="1" thickBot="1" x14ac:dyDescent="0.3">
      <c r="B52" s="3292">
        <f t="shared" si="0"/>
        <v>41</v>
      </c>
      <c r="C52" s="3293" t="s">
        <v>3318</v>
      </c>
      <c r="D52" s="3299" t="s">
        <v>3276</v>
      </c>
      <c r="E52" s="3295" t="s">
        <v>3262</v>
      </c>
      <c r="F52" s="3296" t="s">
        <v>631</v>
      </c>
    </row>
    <row r="53" spans="2:6" ht="15.6" customHeight="1" thickBot="1" x14ac:dyDescent="0.3">
      <c r="B53" s="3292">
        <f t="shared" si="0"/>
        <v>42</v>
      </c>
      <c r="C53" s="3293" t="s">
        <v>3321</v>
      </c>
      <c r="D53" s="3294" t="s">
        <v>3319</v>
      </c>
      <c r="E53" s="3295" t="s">
        <v>582</v>
      </c>
      <c r="F53" s="3296" t="s">
        <v>631</v>
      </c>
    </row>
    <row r="54" spans="2:6" ht="15.6" customHeight="1" thickBot="1" x14ac:dyDescent="0.3">
      <c r="B54" s="3292">
        <f t="shared" ref="B54:B70" si="1">B53+1</f>
        <v>43</v>
      </c>
      <c r="C54" s="3293" t="s">
        <v>3322</v>
      </c>
      <c r="D54" s="3294" t="s">
        <v>3323</v>
      </c>
      <c r="E54" s="3295" t="s">
        <v>582</v>
      </c>
      <c r="F54" s="3296" t="s">
        <v>631</v>
      </c>
    </row>
    <row r="55" spans="2:6" ht="15.6" customHeight="1" thickBot="1" x14ac:dyDescent="0.3">
      <c r="B55" s="3292">
        <f t="shared" si="1"/>
        <v>44</v>
      </c>
      <c r="C55" s="3293" t="s">
        <v>3324</v>
      </c>
      <c r="D55" s="3294" t="s">
        <v>3325</v>
      </c>
      <c r="E55" s="3295" t="s">
        <v>582</v>
      </c>
      <c r="F55" s="3296" t="s">
        <v>631</v>
      </c>
    </row>
    <row r="56" spans="2:6" ht="15.6" customHeight="1" thickBot="1" x14ac:dyDescent="0.3">
      <c r="B56" s="3292">
        <f t="shared" si="1"/>
        <v>45</v>
      </c>
      <c r="C56" s="3293" t="s">
        <v>3326</v>
      </c>
      <c r="D56" s="3294" t="s">
        <v>3327</v>
      </c>
      <c r="E56" s="3295" t="s">
        <v>582</v>
      </c>
      <c r="F56" s="3296" t="s">
        <v>631</v>
      </c>
    </row>
    <row r="57" spans="2:6" ht="15.6" customHeight="1" thickBot="1" x14ac:dyDescent="0.3">
      <c r="B57" s="3292">
        <f t="shared" si="1"/>
        <v>46</v>
      </c>
      <c r="C57" s="3293" t="s">
        <v>3328</v>
      </c>
      <c r="D57" s="3299" t="s">
        <v>3329</v>
      </c>
      <c r="E57" s="3295" t="s">
        <v>3262</v>
      </c>
      <c r="F57" s="3296" t="s">
        <v>631</v>
      </c>
    </row>
    <row r="58" spans="2:6" ht="15.6" customHeight="1" thickBot="1" x14ac:dyDescent="0.3">
      <c r="B58" s="3292">
        <f t="shared" si="1"/>
        <v>47</v>
      </c>
      <c r="C58" s="3293" t="s">
        <v>3330</v>
      </c>
      <c r="D58" s="3299" t="s">
        <v>3329</v>
      </c>
      <c r="E58" s="3295" t="s">
        <v>3262</v>
      </c>
      <c r="F58" s="3296" t="s">
        <v>631</v>
      </c>
    </row>
    <row r="59" spans="2:6" ht="17.25" customHeight="1" thickBot="1" x14ac:dyDescent="0.3">
      <c r="B59" s="3292">
        <f t="shared" si="1"/>
        <v>48</v>
      </c>
      <c r="C59" s="3293" t="s">
        <v>3331</v>
      </c>
      <c r="D59" s="3299" t="s">
        <v>3332</v>
      </c>
      <c r="E59" s="3295" t="s">
        <v>3262</v>
      </c>
      <c r="F59" s="3296" t="s">
        <v>631</v>
      </c>
    </row>
    <row r="60" spans="2:6" ht="15.6" customHeight="1" thickBot="1" x14ac:dyDescent="0.3">
      <c r="B60" s="3292">
        <f t="shared" si="1"/>
        <v>49</v>
      </c>
      <c r="C60" s="3293" t="s">
        <v>3333</v>
      </c>
      <c r="D60" s="3299" t="s">
        <v>3334</v>
      </c>
      <c r="E60" s="3295" t="s">
        <v>582</v>
      </c>
      <c r="F60" s="3296" t="s">
        <v>631</v>
      </c>
    </row>
    <row r="61" spans="2:6" ht="15.6" customHeight="1" thickBot="1" x14ac:dyDescent="0.3">
      <c r="B61" s="3292">
        <f t="shared" si="1"/>
        <v>50</v>
      </c>
      <c r="C61" s="3293" t="s">
        <v>3335</v>
      </c>
      <c r="D61" s="3299" t="s">
        <v>3334</v>
      </c>
      <c r="E61" s="3295" t="s">
        <v>582</v>
      </c>
      <c r="F61" s="3296" t="s">
        <v>631</v>
      </c>
    </row>
    <row r="62" spans="2:6" ht="15.6" customHeight="1" thickBot="1" x14ac:dyDescent="0.3">
      <c r="B62" s="3292">
        <f t="shared" si="1"/>
        <v>51</v>
      </c>
      <c r="C62" s="3293" t="s">
        <v>3336</v>
      </c>
      <c r="D62" s="3299" t="s">
        <v>3325</v>
      </c>
      <c r="E62" s="3295" t="s">
        <v>582</v>
      </c>
      <c r="F62" s="3296" t="s">
        <v>631</v>
      </c>
    </row>
    <row r="63" spans="2:6" ht="15.6" customHeight="1" thickBot="1" x14ac:dyDescent="0.3">
      <c r="B63" s="3292">
        <f t="shared" si="1"/>
        <v>52</v>
      </c>
      <c r="C63" s="3293" t="s">
        <v>3320</v>
      </c>
      <c r="D63" s="3294" t="s">
        <v>3337</v>
      </c>
      <c r="E63" s="3295" t="s">
        <v>3262</v>
      </c>
      <c r="F63" s="3296" t="s">
        <v>631</v>
      </c>
    </row>
    <row r="64" spans="2:6" ht="15.6" customHeight="1" thickBot="1" x14ac:dyDescent="0.3">
      <c r="B64" s="3292">
        <f t="shared" si="1"/>
        <v>53</v>
      </c>
      <c r="C64" s="3293" t="s">
        <v>3338</v>
      </c>
      <c r="D64" s="3294" t="s">
        <v>3337</v>
      </c>
      <c r="E64" s="3295" t="s">
        <v>3262</v>
      </c>
      <c r="F64" s="3296" t="s">
        <v>631</v>
      </c>
    </row>
    <row r="65" spans="2:6" ht="15.6" customHeight="1" thickBot="1" x14ac:dyDescent="0.3">
      <c r="B65" s="3292">
        <f t="shared" si="1"/>
        <v>54</v>
      </c>
      <c r="C65" s="3293" t="s">
        <v>3339</v>
      </c>
      <c r="D65" s="3294" t="s">
        <v>3340</v>
      </c>
      <c r="E65" s="3295" t="s">
        <v>582</v>
      </c>
      <c r="F65" s="3296" t="s">
        <v>631</v>
      </c>
    </row>
    <row r="66" spans="2:6" ht="15.6" customHeight="1" thickBot="1" x14ac:dyDescent="0.3">
      <c r="B66" s="3292">
        <f t="shared" si="1"/>
        <v>55</v>
      </c>
      <c r="C66" s="3293" t="s">
        <v>3341</v>
      </c>
      <c r="D66" s="3294" t="s">
        <v>3340</v>
      </c>
      <c r="E66" s="3295" t="s">
        <v>582</v>
      </c>
      <c r="F66" s="3296" t="s">
        <v>631</v>
      </c>
    </row>
    <row r="67" spans="2:6" ht="15.6" customHeight="1" thickBot="1" x14ac:dyDescent="0.3">
      <c r="B67" s="3292">
        <f t="shared" si="1"/>
        <v>56</v>
      </c>
      <c r="C67" s="3293" t="s">
        <v>3342</v>
      </c>
      <c r="D67" s="3294" t="s">
        <v>3340</v>
      </c>
      <c r="E67" s="3295" t="s">
        <v>582</v>
      </c>
      <c r="F67" s="3296" t="s">
        <v>631</v>
      </c>
    </row>
    <row r="68" spans="2:6" ht="15.6" customHeight="1" thickBot="1" x14ac:dyDescent="0.3">
      <c r="B68" s="3292">
        <f t="shared" si="1"/>
        <v>57</v>
      </c>
      <c r="C68" s="3293" t="s">
        <v>3343</v>
      </c>
      <c r="D68" s="3294" t="s">
        <v>3340</v>
      </c>
      <c r="E68" s="3295" t="s">
        <v>582</v>
      </c>
      <c r="F68" s="3296" t="s">
        <v>631</v>
      </c>
    </row>
    <row r="69" spans="2:6" ht="15.6" customHeight="1" thickBot="1" x14ac:dyDescent="0.3">
      <c r="B69" s="3292">
        <f t="shared" si="1"/>
        <v>58</v>
      </c>
      <c r="C69" s="3293" t="s">
        <v>3344</v>
      </c>
      <c r="D69" s="3294" t="s">
        <v>3345</v>
      </c>
      <c r="E69" s="3295" t="s">
        <v>582</v>
      </c>
      <c r="F69" s="3296" t="s">
        <v>631</v>
      </c>
    </row>
    <row r="70" spans="2:6" ht="15.6" customHeight="1" thickBot="1" x14ac:dyDescent="0.3">
      <c r="B70" s="3292">
        <f t="shared" si="1"/>
        <v>59</v>
      </c>
      <c r="C70" s="3293" t="s">
        <v>3346</v>
      </c>
      <c r="D70" s="3294" t="s">
        <v>3345</v>
      </c>
      <c r="E70" s="3295" t="s">
        <v>582</v>
      </c>
      <c r="F70" s="3296" t="s">
        <v>631</v>
      </c>
    </row>
    <row r="72" spans="2:6" x14ac:dyDescent="0.25">
      <c r="B72" s="18" t="s">
        <v>3444</v>
      </c>
      <c r="C72" s="3499"/>
      <c r="D72" s="2153"/>
      <c r="E72" s="2153" t="s">
        <v>3445</v>
      </c>
      <c r="F72" s="2153"/>
    </row>
  </sheetData>
  <mergeCells count="8">
    <mergeCell ref="E1:F1"/>
    <mergeCell ref="B47:F47"/>
    <mergeCell ref="B2:F2"/>
    <mergeCell ref="B3:F3"/>
    <mergeCell ref="B4:F4"/>
    <mergeCell ref="B5:F5"/>
    <mergeCell ref="B6:F6"/>
    <mergeCell ref="B7:F7"/>
  </mergeCells>
  <pageMargins left="0.78740157480314965" right="0.70866141732283472" top="0.78740157480314965" bottom="0.74803149606299213" header="0.70866141732283472" footer="0.31496062992125984"/>
  <pageSetup paperSize="9" scale="84" orientation="portrait" r:id="rId1"/>
  <headerFooter>
    <oddHeader xml:space="preserve">&amp;C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pageSetUpPr fitToPage="1"/>
  </sheetPr>
  <dimension ref="A1:R62"/>
  <sheetViews>
    <sheetView view="pageBreakPreview" topLeftCell="A43" zoomScaleNormal="115" zoomScaleSheetLayoutView="100" workbookViewId="0">
      <selection activeCell="B85" sqref="B85"/>
    </sheetView>
  </sheetViews>
  <sheetFormatPr defaultColWidth="9.140625" defaultRowHeight="15" x14ac:dyDescent="0.25"/>
  <cols>
    <col min="1" max="1" width="4.7109375" style="1199" customWidth="1"/>
    <col min="2" max="2" width="42.85546875" style="1199" customWidth="1"/>
    <col min="3" max="3" width="9.5703125" style="2449" customWidth="1"/>
    <col min="4" max="4" width="10.28515625" style="1199" customWidth="1"/>
    <col min="5" max="8" width="9.7109375" style="1199" customWidth="1"/>
    <col min="9" max="9" width="36.42578125" style="1199" hidden="1" customWidth="1"/>
    <col min="10" max="10" width="20.140625" style="1199" hidden="1" customWidth="1"/>
    <col min="11" max="11" width="30" style="1199" hidden="1" customWidth="1"/>
    <col min="12" max="12" width="8.140625" style="1199" hidden="1" customWidth="1"/>
    <col min="13" max="18" width="3.85546875" style="1199" hidden="1" customWidth="1"/>
    <col min="19" max="19" width="3.85546875" style="1199" customWidth="1"/>
    <col min="20" max="24" width="12.140625" style="1199" customWidth="1"/>
    <col min="25" max="16384" width="9.140625" style="1199"/>
  </cols>
  <sheetData>
    <row r="1" spans="1:9" ht="36" customHeight="1" x14ac:dyDescent="0.25">
      <c r="A1" s="2829"/>
      <c r="B1" s="2830"/>
      <c r="C1" s="2831"/>
      <c r="D1" s="2832"/>
      <c r="E1" s="3778" t="s">
        <v>3240</v>
      </c>
      <c r="F1" s="3778"/>
      <c r="G1" s="3778"/>
      <c r="H1" s="3778"/>
      <c r="I1" s="1200" t="s">
        <v>644</v>
      </c>
    </row>
    <row r="2" spans="1:9" ht="13.15" customHeight="1" x14ac:dyDescent="0.25">
      <c r="A2" s="2829"/>
      <c r="B2" s="2830"/>
      <c r="C2" s="2831"/>
      <c r="D2" s="2832"/>
      <c r="E2" s="3784" t="str">
        <f>'Вхідні дані'!F1</f>
        <v>станом на 01.08.2023 року</v>
      </c>
      <c r="F2" s="3784"/>
      <c r="G2" s="3784"/>
      <c r="H2" s="3784"/>
    </row>
    <row r="3" spans="1:9" ht="13.15" customHeight="1" x14ac:dyDescent="0.25">
      <c r="A3" s="2829"/>
      <c r="B3" s="2830"/>
      <c r="C3" s="2831"/>
      <c r="D3" s="2832"/>
      <c r="E3" s="2876"/>
      <c r="F3" s="2876"/>
      <c r="G3" s="2876"/>
      <c r="H3" s="2876"/>
    </row>
    <row r="4" spans="1:9" ht="13.15" customHeight="1" x14ac:dyDescent="0.25">
      <c r="A4" s="2829"/>
      <c r="B4" s="2830"/>
      <c r="C4" s="2831"/>
      <c r="D4" s="2832"/>
      <c r="E4" s="2876"/>
      <c r="F4" s="2876"/>
      <c r="G4" s="2876"/>
      <c r="H4" s="2876"/>
    </row>
    <row r="5" spans="1:9" ht="18.75" customHeight="1" x14ac:dyDescent="0.25">
      <c r="A5" s="2829"/>
      <c r="B5" s="3720" t="s">
        <v>451</v>
      </c>
      <c r="C5" s="3720"/>
      <c r="D5" s="3720"/>
      <c r="E5" s="3720"/>
      <c r="F5" s="3720"/>
      <c r="G5" s="3720"/>
      <c r="H5" s="3720"/>
    </row>
    <row r="6" spans="1:9" ht="14.45" customHeight="1" x14ac:dyDescent="0.25">
      <c r="A6" s="3785" t="s">
        <v>1340</v>
      </c>
      <c r="B6" s="3785"/>
      <c r="C6" s="3785"/>
      <c r="D6" s="3785"/>
      <c r="E6" s="3785"/>
      <c r="F6" s="3785"/>
      <c r="G6" s="3785"/>
      <c r="H6" s="3785"/>
      <c r="I6" s="1200" t="s">
        <v>631</v>
      </c>
    </row>
    <row r="7" spans="1:9" ht="14.25" customHeight="1" x14ac:dyDescent="0.25">
      <c r="A7" s="2829"/>
      <c r="B7" s="3779"/>
      <c r="C7" s="3779"/>
      <c r="D7" s="3779"/>
      <c r="E7" s="3779"/>
      <c r="F7" s="3779"/>
      <c r="G7" s="3779"/>
      <c r="H7" s="3779"/>
    </row>
    <row r="8" spans="1:9" x14ac:dyDescent="0.25">
      <c r="A8" s="3780" t="s">
        <v>221</v>
      </c>
      <c r="B8" s="3781"/>
      <c r="C8" s="3781"/>
      <c r="D8" s="3781"/>
      <c r="E8" s="3781"/>
      <c r="F8" s="3781"/>
      <c r="G8" s="3781"/>
      <c r="H8" s="3781"/>
    </row>
    <row r="9" spans="1:9" ht="12.6" customHeight="1" x14ac:dyDescent="0.25">
      <c r="A9" s="3782" t="s">
        <v>7</v>
      </c>
      <c r="B9" s="3783" t="s">
        <v>111</v>
      </c>
      <c r="C9" s="3782" t="s">
        <v>35</v>
      </c>
      <c r="D9" s="3782" t="s">
        <v>112</v>
      </c>
      <c r="E9" s="3782" t="s">
        <v>255</v>
      </c>
      <c r="F9" s="3782"/>
      <c r="G9" s="3782"/>
      <c r="H9" s="3782"/>
    </row>
    <row r="10" spans="1:9" ht="27" customHeight="1" x14ac:dyDescent="0.25">
      <c r="A10" s="3782"/>
      <c r="B10" s="3783"/>
      <c r="C10" s="3782"/>
      <c r="D10" s="3782"/>
      <c r="E10" s="2833" t="s">
        <v>3</v>
      </c>
      <c r="F10" s="2833" t="s">
        <v>174</v>
      </c>
      <c r="G10" s="2833" t="s">
        <v>98</v>
      </c>
      <c r="H10" s="2833" t="s">
        <v>99</v>
      </c>
      <c r="I10" s="1200" t="s">
        <v>644</v>
      </c>
    </row>
    <row r="11" spans="1:9" ht="12.75" customHeight="1" x14ac:dyDescent="0.25">
      <c r="A11" s="2833">
        <v>1</v>
      </c>
      <c r="B11" s="2833">
        <v>2</v>
      </c>
      <c r="C11" s="2833">
        <v>3</v>
      </c>
      <c r="D11" s="2833">
        <v>4</v>
      </c>
      <c r="E11" s="2833">
        <v>5</v>
      </c>
      <c r="F11" s="2833">
        <v>6</v>
      </c>
      <c r="G11" s="2833">
        <v>7</v>
      </c>
      <c r="H11" s="2833">
        <v>8</v>
      </c>
    </row>
    <row r="12" spans="1:9" x14ac:dyDescent="0.25">
      <c r="A12" s="2823">
        <v>1</v>
      </c>
      <c r="B12" s="2824" t="s">
        <v>256</v>
      </c>
      <c r="C12" s="2825" t="s">
        <v>74</v>
      </c>
      <c r="D12" s="2834">
        <f>D13+D14+D15</f>
        <v>5701.3545558892911</v>
      </c>
      <c r="E12" s="2834">
        <f>E13+E14+E15</f>
        <v>0</v>
      </c>
      <c r="F12" s="2834">
        <f>F13+F14+F15</f>
        <v>0</v>
      </c>
      <c r="G12" s="2834">
        <f>G13+G14+G15</f>
        <v>0</v>
      </c>
      <c r="H12" s="2834">
        <f>H13+H14+H15</f>
        <v>5701.3545558892911</v>
      </c>
    </row>
    <row r="13" spans="1:9" ht="25.5" x14ac:dyDescent="0.25">
      <c r="A13" s="2823" t="s">
        <v>23</v>
      </c>
      <c r="B13" s="2824" t="s">
        <v>583</v>
      </c>
      <c r="C13" s="2825" t="s">
        <v>74</v>
      </c>
      <c r="D13" s="2834">
        <f>'Д 2_Т на В'!H53+'Д 2_Т на В'!H54</f>
        <v>5311.2931844251116</v>
      </c>
      <c r="E13" s="2834">
        <f>'Д 2_Т на В'!L53+'Д 2_Т на В'!L54</f>
        <v>0</v>
      </c>
      <c r="F13" s="2834">
        <f>'Д 2_Т на В'!P53+'Д 2_Т на В'!P54</f>
        <v>0</v>
      </c>
      <c r="G13" s="2834">
        <f>'Д 2_Т на В'!T53+'Д 2_Т на В'!T54</f>
        <v>0</v>
      </c>
      <c r="H13" s="2834">
        <f>'Д 2_Т на В'!X53+'Д 2_Т на В'!X54</f>
        <v>5311.2931844251116</v>
      </c>
    </row>
    <row r="14" spans="1:9" ht="25.5" x14ac:dyDescent="0.25">
      <c r="A14" s="2823" t="s">
        <v>24</v>
      </c>
      <c r="B14" s="2805" t="s">
        <v>2749</v>
      </c>
      <c r="C14" s="2825" t="s">
        <v>74</v>
      </c>
      <c r="D14" s="2820">
        <f>'Д 2_Т на В'!H44/'Д 2_Т на В'!H58*1000</f>
        <v>0</v>
      </c>
      <c r="E14" s="2820">
        <v>0</v>
      </c>
      <c r="F14" s="2820">
        <v>0</v>
      </c>
      <c r="G14" s="2820">
        <v>0</v>
      </c>
      <c r="H14" s="2820">
        <f>'Д 2_Т на В'!X44/'Д 2_Т на В'!X58*1000</f>
        <v>0</v>
      </c>
      <c r="I14" s="1200" t="s">
        <v>601</v>
      </c>
    </row>
    <row r="15" spans="1:9" x14ac:dyDescent="0.25">
      <c r="A15" s="2823" t="s">
        <v>48</v>
      </c>
      <c r="B15" s="2824" t="s">
        <v>584</v>
      </c>
      <c r="C15" s="2825" t="s">
        <v>74</v>
      </c>
      <c r="D15" s="2834">
        <f>'Д 2_Т на В'!H52-'Д 2_Т на В'!H53-'Д 2_Т на В'!H54-D14</f>
        <v>390.0613714641795</v>
      </c>
      <c r="E15" s="2834">
        <v>0</v>
      </c>
      <c r="F15" s="2834">
        <v>0</v>
      </c>
      <c r="G15" s="2834">
        <f>'Д 2_Т на В'!T52-'Д 2_Т на В'!T53-'Д 2_Т на В'!T54-G14</f>
        <v>0</v>
      </c>
      <c r="H15" s="2834">
        <f>'Д 2_Т на В'!X52-'Д 2_Т на В'!X53-'Д 2_Т на В'!X54-H14</f>
        <v>390.0613714641795</v>
      </c>
    </row>
    <row r="16" spans="1:9" ht="30" customHeight="1" x14ac:dyDescent="0.25">
      <c r="A16" s="2823">
        <v>2</v>
      </c>
      <c r="B16" s="2824" t="s">
        <v>585</v>
      </c>
      <c r="C16" s="2825" t="s">
        <v>74</v>
      </c>
      <c r="D16" s="2834">
        <f>D17+D18+D19</f>
        <v>2501.5399234224351</v>
      </c>
      <c r="E16" s="2834">
        <f>E17+E18+E19</f>
        <v>0</v>
      </c>
      <c r="F16" s="2834">
        <f>F17+F18+F19</f>
        <v>0</v>
      </c>
      <c r="G16" s="2834">
        <v>0</v>
      </c>
      <c r="H16" s="2834">
        <f>H17+H18+H19</f>
        <v>2501.5399234224351</v>
      </c>
    </row>
    <row r="17" spans="1:12" ht="25.5" x14ac:dyDescent="0.25">
      <c r="A17" s="2823" t="s">
        <v>25</v>
      </c>
      <c r="B17" s="2824" t="s">
        <v>586</v>
      </c>
      <c r="C17" s="2825" t="s">
        <v>74</v>
      </c>
      <c r="D17" s="2834">
        <f>'Д 3.1_Т на Т без ЦТП'!G37/'Д 3.1_Т на Т без ЦТП'!G56*1000</f>
        <v>2330.3956657311401</v>
      </c>
      <c r="E17" s="2834">
        <v>0</v>
      </c>
      <c r="F17" s="2834">
        <v>0</v>
      </c>
      <c r="G17" s="2834">
        <v>0</v>
      </c>
      <c r="H17" s="2834">
        <f>'Д 3.1_Т на Т без ЦТП'!K37/'Д 3.1_Т на Т без ЦТП'!K56*1000</f>
        <v>2330.3956657311401</v>
      </c>
    </row>
    <row r="18" spans="1:12" ht="25.5" x14ac:dyDescent="0.25">
      <c r="A18" s="2823" t="s">
        <v>26</v>
      </c>
      <c r="B18" s="2805" t="s">
        <v>2749</v>
      </c>
      <c r="C18" s="2825" t="s">
        <v>74</v>
      </c>
      <c r="D18" s="2834">
        <v>0</v>
      </c>
      <c r="E18" s="2834">
        <v>0</v>
      </c>
      <c r="F18" s="2834">
        <v>0</v>
      </c>
      <c r="G18" s="2834">
        <v>0</v>
      </c>
      <c r="H18" s="2834">
        <v>0</v>
      </c>
      <c r="I18" s="1200" t="s">
        <v>601</v>
      </c>
    </row>
    <row r="19" spans="1:12" ht="15" customHeight="1" x14ac:dyDescent="0.25">
      <c r="A19" s="2823" t="s">
        <v>59</v>
      </c>
      <c r="B19" s="2824" t="s">
        <v>584</v>
      </c>
      <c r="C19" s="2825" t="s">
        <v>74</v>
      </c>
      <c r="D19" s="2834">
        <f>'Д 3.1_Т на Т без ЦТП'!G39/'Д 3.1_Т на Т без ЦТП'!G56*1000</f>
        <v>171.14425769129497</v>
      </c>
      <c r="E19" s="2834">
        <v>0</v>
      </c>
      <c r="F19" s="2834">
        <v>0</v>
      </c>
      <c r="G19" s="2834">
        <v>0</v>
      </c>
      <c r="H19" s="2834">
        <f>'Д 3.1_Т на Т без ЦТП'!K39/'Д 3.1_Т на Т без ЦТП'!K56*1000</f>
        <v>171.14425769129497</v>
      </c>
    </row>
    <row r="20" spans="1:12" x14ac:dyDescent="0.25">
      <c r="A20" s="2823">
        <v>3</v>
      </c>
      <c r="B20" s="2824" t="s">
        <v>257</v>
      </c>
      <c r="C20" s="2825" t="s">
        <v>74</v>
      </c>
      <c r="D20" s="2834">
        <f>D21+D22+D23</f>
        <v>149.04031061994922</v>
      </c>
      <c r="E20" s="2834">
        <v>0</v>
      </c>
      <c r="F20" s="2834">
        <v>0</v>
      </c>
      <c r="G20" s="2834">
        <v>0</v>
      </c>
      <c r="H20" s="2834">
        <f>H21+H22+H23</f>
        <v>149.04031061994922</v>
      </c>
    </row>
    <row r="21" spans="1:12" ht="25.5" x14ac:dyDescent="0.25">
      <c r="A21" s="2823" t="s">
        <v>60</v>
      </c>
      <c r="B21" s="2824" t="s">
        <v>587</v>
      </c>
      <c r="C21" s="2825" t="s">
        <v>74</v>
      </c>
      <c r="D21" s="2834">
        <f>'Д 4_Т на П'!G37/'Д 4_Т на П'!G47*1000</f>
        <v>138.84363412948019</v>
      </c>
      <c r="E21" s="2834">
        <v>0</v>
      </c>
      <c r="F21" s="2834">
        <v>0</v>
      </c>
      <c r="G21" s="2834">
        <v>0</v>
      </c>
      <c r="H21" s="2834">
        <f>D21</f>
        <v>138.84363412948019</v>
      </c>
    </row>
    <row r="22" spans="1:12" ht="16.899999999999999" customHeight="1" x14ac:dyDescent="0.25">
      <c r="A22" s="2823" t="s">
        <v>61</v>
      </c>
      <c r="B22" s="2805" t="s">
        <v>2749</v>
      </c>
      <c r="C22" s="2825" t="s">
        <v>74</v>
      </c>
      <c r="D22" s="2834">
        <v>0</v>
      </c>
      <c r="E22" s="2834">
        <v>0</v>
      </c>
      <c r="F22" s="2834">
        <v>0</v>
      </c>
      <c r="G22" s="2834">
        <v>0</v>
      </c>
      <c r="H22" s="2834">
        <v>0</v>
      </c>
      <c r="I22" s="1200" t="s">
        <v>601</v>
      </c>
    </row>
    <row r="23" spans="1:12" ht="16.899999999999999" customHeight="1" x14ac:dyDescent="0.25">
      <c r="A23" s="2823" t="s">
        <v>62</v>
      </c>
      <c r="B23" s="2824" t="s">
        <v>584</v>
      </c>
      <c r="C23" s="2825" t="s">
        <v>74</v>
      </c>
      <c r="D23" s="2834">
        <f>'Д 4_Т на П'!G39/'Д 4_Т на П'!G47*1000</f>
        <v>10.196676490469027</v>
      </c>
      <c r="E23" s="2834">
        <v>0</v>
      </c>
      <c r="F23" s="2834">
        <v>0</v>
      </c>
      <c r="G23" s="2834">
        <v>0</v>
      </c>
      <c r="H23" s="2834">
        <f>D23</f>
        <v>10.196676490469027</v>
      </c>
    </row>
    <row r="24" spans="1:12" x14ac:dyDescent="0.25">
      <c r="A24" s="2823">
        <v>4</v>
      </c>
      <c r="B24" s="2824" t="s">
        <v>258</v>
      </c>
      <c r="C24" s="2825" t="s">
        <v>74</v>
      </c>
      <c r="D24" s="2835">
        <f>D25+D26+D27</f>
        <v>8351.9347899316745</v>
      </c>
      <c r="E24" s="2835">
        <f>E25+E26+E27</f>
        <v>0</v>
      </c>
      <c r="F24" s="2835">
        <f>F25+F26+F27</f>
        <v>0</v>
      </c>
      <c r="G24" s="2835">
        <f>G25+G26+G27</f>
        <v>0</v>
      </c>
      <c r="H24" s="2835">
        <f>H25+H26+H27</f>
        <v>8351.9347899316745</v>
      </c>
    </row>
    <row r="25" spans="1:12" ht="17.45" customHeight="1" x14ac:dyDescent="0.25">
      <c r="A25" s="2823" t="s">
        <v>27</v>
      </c>
      <c r="B25" s="2824" t="s">
        <v>588</v>
      </c>
      <c r="C25" s="2825" t="s">
        <v>74</v>
      </c>
      <c r="D25" s="2834">
        <f t="shared" ref="D25:H27" si="0">D13+D17+D21</f>
        <v>7780.5324842857317</v>
      </c>
      <c r="E25" s="2834">
        <f t="shared" si="0"/>
        <v>0</v>
      </c>
      <c r="F25" s="2834">
        <f t="shared" si="0"/>
        <v>0</v>
      </c>
      <c r="G25" s="2834">
        <f t="shared" si="0"/>
        <v>0</v>
      </c>
      <c r="H25" s="2834">
        <f t="shared" si="0"/>
        <v>7780.5324842857317</v>
      </c>
    </row>
    <row r="26" spans="1:12" ht="15.6" customHeight="1" x14ac:dyDescent="0.25">
      <c r="A26" s="2823" t="s">
        <v>113</v>
      </c>
      <c r="B26" s="2805" t="s">
        <v>2749</v>
      </c>
      <c r="C26" s="2825" t="s">
        <v>74</v>
      </c>
      <c r="D26" s="2834">
        <f t="shared" si="0"/>
        <v>0</v>
      </c>
      <c r="E26" s="2834">
        <f t="shared" si="0"/>
        <v>0</v>
      </c>
      <c r="F26" s="2834">
        <f t="shared" si="0"/>
        <v>0</v>
      </c>
      <c r="G26" s="2834">
        <f t="shared" si="0"/>
        <v>0</v>
      </c>
      <c r="H26" s="2834">
        <f t="shared" si="0"/>
        <v>0</v>
      </c>
      <c r="I26" s="1200" t="s">
        <v>601</v>
      </c>
    </row>
    <row r="27" spans="1:12" ht="15.6" customHeight="1" thickBot="1" x14ac:dyDescent="0.3">
      <c r="A27" s="2823" t="s">
        <v>167</v>
      </c>
      <c r="B27" s="2824" t="s">
        <v>584</v>
      </c>
      <c r="C27" s="2825" t="s">
        <v>74</v>
      </c>
      <c r="D27" s="2834">
        <f t="shared" si="0"/>
        <v>571.40230564594356</v>
      </c>
      <c r="E27" s="2834">
        <f t="shared" si="0"/>
        <v>0</v>
      </c>
      <c r="F27" s="2834">
        <f t="shared" si="0"/>
        <v>0</v>
      </c>
      <c r="G27" s="2834">
        <f>G15+G19+G23</f>
        <v>0</v>
      </c>
      <c r="H27" s="2834">
        <f t="shared" si="0"/>
        <v>571.40230564594356</v>
      </c>
      <c r="J27" s="1199" t="s">
        <v>1977</v>
      </c>
      <c r="K27" s="1199" t="s">
        <v>1978</v>
      </c>
    </row>
    <row r="28" spans="1:12" ht="38.25" x14ac:dyDescent="0.25">
      <c r="A28" s="2823">
        <v>5</v>
      </c>
      <c r="B28" s="2824" t="s">
        <v>591</v>
      </c>
      <c r="C28" s="2825" t="s">
        <v>40</v>
      </c>
      <c r="D28" s="2836">
        <f>D29+D30+D31</f>
        <v>23146.036229308265</v>
      </c>
      <c r="E28" s="2836">
        <f>E29+E30+E31</f>
        <v>0</v>
      </c>
      <c r="F28" s="2836">
        <f>F29+F30+F31</f>
        <v>0</v>
      </c>
      <c r="G28" s="2836">
        <f>G29+G30+G31</f>
        <v>0</v>
      </c>
      <c r="H28" s="2836">
        <f>H29+H30+H31</f>
        <v>23146.036229308265</v>
      </c>
      <c r="I28" s="2436" t="s">
        <v>2127</v>
      </c>
      <c r="J28" s="2437">
        <f>D28+'Д 5 Т на ТЕ з ЦТП'!D25</f>
        <v>33417.995525173603</v>
      </c>
      <c r="K28" s="2438">
        <f>K29+K31</f>
        <v>33417.995525173603</v>
      </c>
      <c r="L28" s="2439">
        <f>J28-K28</f>
        <v>0</v>
      </c>
    </row>
    <row r="29" spans="1:12" ht="25.5" x14ac:dyDescent="0.25">
      <c r="A29" s="2823" t="s">
        <v>28</v>
      </c>
      <c r="B29" s="2824" t="s">
        <v>589</v>
      </c>
      <c r="C29" s="2825" t="s">
        <v>40</v>
      </c>
      <c r="D29" s="2836">
        <f>SUM(E29:H29)</f>
        <v>21562.487171437871</v>
      </c>
      <c r="E29" s="2836">
        <f>(E13+E17+E21)*E36/1000</f>
        <v>0</v>
      </c>
      <c r="F29" s="2836">
        <f>(F13+F17+F21)*F36/1000</f>
        <v>0</v>
      </c>
      <c r="G29" s="2836">
        <f>(G13+G17+G21)*G36/1000</f>
        <v>0</v>
      </c>
      <c r="H29" s="2836">
        <f>(H13+H17+H21)*H36/1000</f>
        <v>21562.487171437871</v>
      </c>
      <c r="I29" s="2440" t="s">
        <v>2128</v>
      </c>
      <c r="J29" s="2441">
        <f>D29+'Д 5 Т на ТЕ з ЦТП'!D26</f>
        <v>31131.684607592048</v>
      </c>
      <c r="K29" s="2442">
        <f>Виробництво_Транспортування_1ст!F9+Виробництво_Транспортування_1ст!F100+Постачання_1ст!F9+ЗВВ_1ст!G8+ЗВВ_1ст!H8+ЗВВ_1ст!K8+Адміністративні_1ст!G8+Адміністративні_1ст!H8+Адміністративні_1ст!K8-Виробництво_Транспортування_1ст!F114+'Д 2_Т на В'!H42</f>
        <v>30900.661433655536</v>
      </c>
      <c r="L29" s="2443">
        <f>J29-K29</f>
        <v>231.02317393651174</v>
      </c>
    </row>
    <row r="30" spans="1:12" ht="16.899999999999999" customHeight="1" x14ac:dyDescent="0.25">
      <c r="A30" s="2823" t="s">
        <v>29</v>
      </c>
      <c r="B30" s="2805" t="s">
        <v>2749</v>
      </c>
      <c r="C30" s="2825" t="s">
        <v>40</v>
      </c>
      <c r="D30" s="2836">
        <f>SUM(E30:H30)</f>
        <v>0</v>
      </c>
      <c r="E30" s="2836">
        <f>(E14+E18+E22)*E36/1000</f>
        <v>0</v>
      </c>
      <c r="F30" s="2836">
        <f>(F14+F18+F22)*F36/1000</f>
        <v>0</v>
      </c>
      <c r="G30" s="2836">
        <f>(G14+G18+G22)*G36/1000</f>
        <v>0</v>
      </c>
      <c r="H30" s="2836">
        <f>(H14+H18+H22)*H36/1000</f>
        <v>0</v>
      </c>
      <c r="I30" s="2440"/>
      <c r="J30" s="2441"/>
      <c r="K30" s="2444"/>
      <c r="L30" s="2443"/>
    </row>
    <row r="31" spans="1:12" ht="26.25" thickBot="1" x14ac:dyDescent="0.3">
      <c r="A31" s="2823" t="s">
        <v>30</v>
      </c>
      <c r="B31" s="2824" t="s">
        <v>590</v>
      </c>
      <c r="C31" s="2825" t="s">
        <v>40</v>
      </c>
      <c r="D31" s="2836">
        <f>SUM(E31:H31)</f>
        <v>1583.5490578703955</v>
      </c>
      <c r="E31" s="2836">
        <f>(E15+E19+E23)*E36/1000</f>
        <v>0</v>
      </c>
      <c r="F31" s="2836">
        <f>(F15+F19+F23)*F36/1000</f>
        <v>0</v>
      </c>
      <c r="G31" s="2836">
        <f>(G15+G19+G23)*G36/1000</f>
        <v>0</v>
      </c>
      <c r="H31" s="2836">
        <f>(H15+H19+H23)*H36/1000</f>
        <v>1583.5490578703955</v>
      </c>
      <c r="I31" s="2440" t="s">
        <v>2129</v>
      </c>
      <c r="J31" s="2445">
        <f>D31+'Д 5 Т на ТЕ з ЦТП'!D28</f>
        <v>2286.3109175815571</v>
      </c>
      <c r="K31" s="2445">
        <f>'Д 2_Т на В'!H45+'Д 3_Т на Т з ЦТП'!G39+'Д 3.1_Т на Т без ЦТП'!G39+'Д 4_Т на П'!G39</f>
        <v>2517.3340915180675</v>
      </c>
      <c r="L31" s="2443">
        <f>J31-K31</f>
        <v>-231.02317393651037</v>
      </c>
    </row>
    <row r="32" spans="1:12" ht="63.75" x14ac:dyDescent="0.25">
      <c r="A32" s="2823">
        <v>6</v>
      </c>
      <c r="B32" s="2824" t="s">
        <v>592</v>
      </c>
      <c r="C32" s="2825" t="s">
        <v>40</v>
      </c>
      <c r="D32" s="2836">
        <f>D33+D34+D35</f>
        <v>23146.036229308265</v>
      </c>
      <c r="E32" s="2836">
        <f>E33+E34+E35</f>
        <v>0</v>
      </c>
      <c r="F32" s="2836">
        <f>F33+F34+F35</f>
        <v>0</v>
      </c>
      <c r="G32" s="2836">
        <f>G33+G34+G35</f>
        <v>0</v>
      </c>
      <c r="H32" s="2836">
        <f>H33+H34+H35</f>
        <v>23146.036229308265</v>
      </c>
      <c r="I32" s="1201" t="s">
        <v>602</v>
      </c>
    </row>
    <row r="33" spans="1:9" ht="25.5" x14ac:dyDescent="0.25">
      <c r="A33" s="2823" t="s">
        <v>32</v>
      </c>
      <c r="B33" s="2824" t="s">
        <v>593</v>
      </c>
      <c r="C33" s="2825" t="s">
        <v>40</v>
      </c>
      <c r="D33" s="2836">
        <f t="shared" ref="D33:H35" si="1">D29</f>
        <v>21562.487171437871</v>
      </c>
      <c r="E33" s="2836">
        <f t="shared" si="1"/>
        <v>0</v>
      </c>
      <c r="F33" s="2836">
        <f t="shared" si="1"/>
        <v>0</v>
      </c>
      <c r="G33" s="2836">
        <f t="shared" si="1"/>
        <v>0</v>
      </c>
      <c r="H33" s="2836">
        <f t="shared" si="1"/>
        <v>21562.487171437871</v>
      </c>
    </row>
    <row r="34" spans="1:9" ht="25.5" x14ac:dyDescent="0.25">
      <c r="A34" s="2823" t="s">
        <v>33</v>
      </c>
      <c r="B34" s="2805" t="s">
        <v>2749</v>
      </c>
      <c r="C34" s="2825" t="s">
        <v>40</v>
      </c>
      <c r="D34" s="2836">
        <f t="shared" si="1"/>
        <v>0</v>
      </c>
      <c r="E34" s="2836">
        <f t="shared" si="1"/>
        <v>0</v>
      </c>
      <c r="F34" s="2836">
        <f t="shared" si="1"/>
        <v>0</v>
      </c>
      <c r="G34" s="2836">
        <f t="shared" si="1"/>
        <v>0</v>
      </c>
      <c r="H34" s="2836">
        <f t="shared" si="1"/>
        <v>0</v>
      </c>
    </row>
    <row r="35" spans="1:9" ht="25.5" x14ac:dyDescent="0.25">
      <c r="A35" s="2823" t="s">
        <v>34</v>
      </c>
      <c r="B35" s="2824" t="s">
        <v>594</v>
      </c>
      <c r="C35" s="2825" t="s">
        <v>40</v>
      </c>
      <c r="D35" s="2836">
        <f t="shared" si="1"/>
        <v>1583.5490578703955</v>
      </c>
      <c r="E35" s="2836">
        <f t="shared" si="1"/>
        <v>0</v>
      </c>
      <c r="F35" s="2836">
        <f t="shared" si="1"/>
        <v>0</v>
      </c>
      <c r="G35" s="2836">
        <f t="shared" si="1"/>
        <v>0</v>
      </c>
      <c r="H35" s="2836">
        <f t="shared" si="1"/>
        <v>1583.5490578703955</v>
      </c>
    </row>
    <row r="36" spans="1:9" ht="51" x14ac:dyDescent="0.25">
      <c r="A36" s="2823">
        <v>7</v>
      </c>
      <c r="B36" s="2824" t="s">
        <v>595</v>
      </c>
      <c r="C36" s="2825" t="s">
        <v>22</v>
      </c>
      <c r="D36" s="2836">
        <f>D37+D38</f>
        <v>2771.3382361666663</v>
      </c>
      <c r="E36" s="2836">
        <f>E37+E38</f>
        <v>0</v>
      </c>
      <c r="F36" s="2836">
        <f>F37+F38</f>
        <v>0</v>
      </c>
      <c r="G36" s="2836">
        <f>G37+G38</f>
        <v>0</v>
      </c>
      <c r="H36" s="2836">
        <f>H37+H38</f>
        <v>2771.3382361666663</v>
      </c>
      <c r="I36" s="1201" t="s">
        <v>603</v>
      </c>
    </row>
    <row r="37" spans="1:9" ht="25.5" x14ac:dyDescent="0.25">
      <c r="A37" s="2823" t="s">
        <v>64</v>
      </c>
      <c r="B37" s="2824" t="s">
        <v>114</v>
      </c>
      <c r="C37" s="2825" t="s">
        <v>22</v>
      </c>
      <c r="D37" s="2836">
        <f>E37+F37+G37+H37</f>
        <v>2771.3382361666663</v>
      </c>
      <c r="E37" s="2836">
        <f>'Д 7_РП'!G80</f>
        <v>0</v>
      </c>
      <c r="F37" s="2836">
        <f>'Д 7_РП'!G86</f>
        <v>0</v>
      </c>
      <c r="G37" s="2836">
        <f>'Д 7_РП'!G90</f>
        <v>0</v>
      </c>
      <c r="H37" s="2836">
        <f>'Д 7_РП'!G94</f>
        <v>2771.3382361666663</v>
      </c>
    </row>
    <row r="38" spans="1:9" ht="14.45" customHeight="1" x14ac:dyDescent="0.25">
      <c r="A38" s="2823" t="s">
        <v>66</v>
      </c>
      <c r="B38" s="2824" t="s">
        <v>96</v>
      </c>
      <c r="C38" s="2825" t="s">
        <v>22</v>
      </c>
      <c r="D38" s="2836">
        <v>0</v>
      </c>
      <c r="E38" s="2836">
        <v>0</v>
      </c>
      <c r="F38" s="2836">
        <v>0</v>
      </c>
      <c r="G38" s="2836">
        <v>0</v>
      </c>
      <c r="H38" s="2836">
        <v>0</v>
      </c>
    </row>
    <row r="39" spans="1:9" ht="51" x14ac:dyDescent="0.25">
      <c r="A39" s="2823" t="s">
        <v>180</v>
      </c>
      <c r="B39" s="2824" t="s">
        <v>1958</v>
      </c>
      <c r="C39" s="2825" t="s">
        <v>22</v>
      </c>
      <c r="D39" s="2836">
        <f>D40+D41</f>
        <v>3177.275146985653</v>
      </c>
      <c r="E39" s="2836">
        <f>E40+E41</f>
        <v>0</v>
      </c>
      <c r="F39" s="2836">
        <f>F40+F41</f>
        <v>0</v>
      </c>
      <c r="G39" s="2836">
        <f>G40+G41</f>
        <v>0</v>
      </c>
      <c r="H39" s="2836">
        <f>H40+H41</f>
        <v>3177.275146985653</v>
      </c>
      <c r="I39" s="1201" t="s">
        <v>825</v>
      </c>
    </row>
    <row r="40" spans="1:9" ht="12.6" customHeight="1" x14ac:dyDescent="0.25">
      <c r="A40" s="2823" t="s">
        <v>116</v>
      </c>
      <c r="B40" s="2824" t="s">
        <v>1959</v>
      </c>
      <c r="C40" s="2825" t="s">
        <v>22</v>
      </c>
      <c r="D40" s="2836">
        <f>E40+F40+G40+H40</f>
        <v>3177.275146985653</v>
      </c>
      <c r="E40" s="2836">
        <f>'Д 7_РП'!G29</f>
        <v>0</v>
      </c>
      <c r="F40" s="2836">
        <f>'Д 7_РП'!G32</f>
        <v>0</v>
      </c>
      <c r="G40" s="2836">
        <f>'Д 7_РП'!G35</f>
        <v>0</v>
      </c>
      <c r="H40" s="2836">
        <f>'Д 7_РП'!G38</f>
        <v>3177.275146985653</v>
      </c>
      <c r="I40" s="1201" t="s">
        <v>825</v>
      </c>
    </row>
    <row r="41" spans="1:9" ht="12.6" customHeight="1" x14ac:dyDescent="0.25">
      <c r="A41" s="2823" t="s">
        <v>118</v>
      </c>
      <c r="B41" s="2824" t="s">
        <v>96</v>
      </c>
      <c r="C41" s="2825" t="s">
        <v>22</v>
      </c>
      <c r="D41" s="2836">
        <v>0</v>
      </c>
      <c r="E41" s="2836">
        <v>0</v>
      </c>
      <c r="F41" s="2836">
        <v>0</v>
      </c>
      <c r="G41" s="2836">
        <v>0</v>
      </c>
      <c r="H41" s="2836">
        <v>0</v>
      </c>
      <c r="I41" s="1201" t="s">
        <v>825</v>
      </c>
    </row>
    <row r="42" spans="1:9" ht="12.6" customHeight="1" x14ac:dyDescent="0.25">
      <c r="A42" s="2823" t="s">
        <v>195</v>
      </c>
      <c r="B42" s="2824" t="s">
        <v>115</v>
      </c>
      <c r="C42" s="2825"/>
      <c r="D42" s="2836"/>
      <c r="E42" s="2836"/>
      <c r="F42" s="2836"/>
      <c r="G42" s="2836"/>
      <c r="H42" s="2836"/>
    </row>
    <row r="43" spans="1:9" ht="12.6" customHeight="1" x14ac:dyDescent="0.25">
      <c r="A43" s="2823" t="s">
        <v>161</v>
      </c>
      <c r="B43" s="2824" t="s">
        <v>117</v>
      </c>
      <c r="C43" s="2825" t="s">
        <v>4</v>
      </c>
      <c r="D43" s="2837">
        <f>D15/D13</f>
        <v>7.3439999999999866E-2</v>
      </c>
      <c r="E43" s="2837">
        <v>0</v>
      </c>
      <c r="F43" s="2837">
        <v>0</v>
      </c>
      <c r="G43" s="2837">
        <v>0</v>
      </c>
      <c r="H43" s="2837">
        <f>H15/H13</f>
        <v>7.3439999999999866E-2</v>
      </c>
    </row>
    <row r="44" spans="1:9" ht="12.6" customHeight="1" x14ac:dyDescent="0.25">
      <c r="A44" s="2823" t="s">
        <v>215</v>
      </c>
      <c r="B44" s="2824" t="s">
        <v>119</v>
      </c>
      <c r="C44" s="2825" t="s">
        <v>4</v>
      </c>
      <c r="D44" s="2837">
        <f>D19/D17</f>
        <v>7.3440000000000019E-2</v>
      </c>
      <c r="E44" s="2837">
        <v>0</v>
      </c>
      <c r="F44" s="2837">
        <v>0</v>
      </c>
      <c r="G44" s="2837">
        <v>0</v>
      </c>
      <c r="H44" s="2837">
        <f>H19/H17</f>
        <v>7.3440000000000019E-2</v>
      </c>
    </row>
    <row r="45" spans="1:9" ht="12.6" customHeight="1" x14ac:dyDescent="0.25">
      <c r="A45" s="2823" t="s">
        <v>355</v>
      </c>
      <c r="B45" s="2824" t="s">
        <v>121</v>
      </c>
      <c r="C45" s="2825" t="s">
        <v>4</v>
      </c>
      <c r="D45" s="2837">
        <f>D23/D21</f>
        <v>7.3440000000000019E-2</v>
      </c>
      <c r="E45" s="2837">
        <v>0</v>
      </c>
      <c r="F45" s="2837">
        <v>0</v>
      </c>
      <c r="G45" s="2837">
        <v>0</v>
      </c>
      <c r="H45" s="2837">
        <f>H23/H21</f>
        <v>7.3440000000000019E-2</v>
      </c>
    </row>
    <row r="46" spans="1:9" ht="12.6" customHeight="1" x14ac:dyDescent="0.25">
      <c r="A46" s="2823" t="s">
        <v>1960</v>
      </c>
      <c r="B46" s="2824" t="s">
        <v>123</v>
      </c>
      <c r="C46" s="2825" t="s">
        <v>4</v>
      </c>
      <c r="D46" s="2837">
        <f>D27/D25</f>
        <v>7.3439999999999922E-2</v>
      </c>
      <c r="E46" s="2837">
        <v>0</v>
      </c>
      <c r="F46" s="2837">
        <v>0</v>
      </c>
      <c r="G46" s="2837">
        <v>0</v>
      </c>
      <c r="H46" s="2837">
        <f>H27/H25</f>
        <v>7.3439999999999922E-2</v>
      </c>
    </row>
    <row r="47" spans="1:9" ht="7.9" customHeight="1" x14ac:dyDescent="0.25">
      <c r="A47" s="2838"/>
      <c r="B47" s="2839"/>
      <c r="C47" s="2831"/>
      <c r="D47" s="2831"/>
      <c r="E47" s="2831"/>
      <c r="F47" s="2831"/>
      <c r="G47" s="2831"/>
      <c r="H47" s="2831"/>
    </row>
    <row r="48" spans="1:9" ht="7.9" customHeight="1" x14ac:dyDescent="0.25">
      <c r="A48" s="2838"/>
      <c r="B48" s="2839"/>
      <c r="C48" s="2831"/>
      <c r="D48" s="2831"/>
      <c r="E48" s="2831"/>
      <c r="F48" s="2831"/>
      <c r="G48" s="2831"/>
      <c r="H48" s="2831"/>
    </row>
    <row r="49" spans="1:8" ht="7.9" customHeight="1" x14ac:dyDescent="0.25">
      <c r="A49" s="2838"/>
      <c r="B49" s="2839"/>
      <c r="C49" s="2831"/>
      <c r="D49" s="2831"/>
      <c r="E49" s="2831"/>
      <c r="F49" s="2831"/>
      <c r="G49" s="2831"/>
      <c r="H49" s="2831"/>
    </row>
    <row r="50" spans="1:8" ht="7.9" customHeight="1" x14ac:dyDescent="0.25">
      <c r="A50" s="2838"/>
      <c r="B50" s="2839"/>
      <c r="C50" s="2831"/>
      <c r="D50" s="2831"/>
      <c r="E50" s="2831"/>
      <c r="F50" s="2831"/>
      <c r="G50" s="2831"/>
      <c r="H50" s="2831"/>
    </row>
    <row r="51" spans="1:8" ht="7.9" customHeight="1" x14ac:dyDescent="0.25">
      <c r="A51" s="2838"/>
      <c r="B51" s="2839"/>
      <c r="C51" s="2831"/>
      <c r="D51" s="2831"/>
      <c r="E51" s="2831"/>
      <c r="F51" s="2831"/>
      <c r="G51" s="2831"/>
      <c r="H51" s="2831"/>
    </row>
    <row r="52" spans="1:8" ht="7.9" customHeight="1" x14ac:dyDescent="0.25">
      <c r="A52" s="2838"/>
      <c r="B52" s="2839"/>
      <c r="C52" s="2831"/>
      <c r="D52" s="2831"/>
      <c r="E52" s="2831"/>
      <c r="F52" s="2831"/>
      <c r="G52" s="2831"/>
      <c r="H52" s="2831"/>
    </row>
    <row r="53" spans="1:8" ht="7.9" customHeight="1" x14ac:dyDescent="0.25">
      <c r="A53" s="2838"/>
      <c r="B53" s="2839"/>
      <c r="C53" s="2831"/>
      <c r="D53" s="2831"/>
      <c r="E53" s="2831"/>
      <c r="F53" s="2831"/>
      <c r="G53" s="2831"/>
      <c r="H53" s="2831"/>
    </row>
    <row r="54" spans="1:8" ht="7.9" customHeight="1" x14ac:dyDescent="0.25">
      <c r="A54" s="2838"/>
      <c r="B54" s="2839"/>
      <c r="C54" s="2831"/>
      <c r="D54" s="2831"/>
      <c r="E54" s="2831"/>
      <c r="F54" s="2831"/>
      <c r="G54" s="2831"/>
      <c r="H54" s="2831"/>
    </row>
    <row r="55" spans="1:8" ht="6" customHeight="1" x14ac:dyDescent="0.25">
      <c r="A55" s="2838"/>
      <c r="B55" s="2839"/>
      <c r="C55" s="2831"/>
      <c r="D55" s="2831"/>
      <c r="E55" s="2831"/>
      <c r="F55" s="2831"/>
      <c r="G55" s="2831"/>
      <c r="H55" s="2831"/>
    </row>
    <row r="56" spans="1:8" ht="4.5" hidden="1" customHeight="1" x14ac:dyDescent="0.25">
      <c r="A56" s="2838"/>
      <c r="B56" s="2839"/>
      <c r="C56" s="2831"/>
      <c r="D56" s="2831"/>
      <c r="E56" s="2831"/>
      <c r="F56" s="2831"/>
      <c r="G56" s="2831"/>
      <c r="H56" s="2831"/>
    </row>
    <row r="57" spans="1:8" ht="10.5" hidden="1" customHeight="1" x14ac:dyDescent="0.25">
      <c r="A57" s="2829"/>
      <c r="B57" s="2831"/>
      <c r="C57" s="2831"/>
      <c r="D57" s="2831"/>
      <c r="E57" s="2831"/>
      <c r="F57" s="2831"/>
      <c r="G57" s="2831"/>
      <c r="H57" s="2831"/>
    </row>
    <row r="58" spans="1:8" ht="38.25" customHeight="1" x14ac:dyDescent="0.25">
      <c r="A58" s="3786" t="str">
        <f>'Вхідні дані'!B14</f>
        <v>Заступник начальника Адміністрації морського порту Чорноморськ з технічних питань та розвитку</v>
      </c>
      <c r="B58" s="3786"/>
      <c r="C58" s="3775" t="s">
        <v>100</v>
      </c>
      <c r="D58" s="3775"/>
      <c r="E58" s="3775"/>
      <c r="F58" s="3776" t="str">
        <f>'Вхідні дані'!F14</f>
        <v>Віталій ЛІПСКИЙ</v>
      </c>
      <c r="G58" s="3776"/>
      <c r="H58" s="3776"/>
    </row>
    <row r="59" spans="1:8" x14ac:dyDescent="0.25">
      <c r="A59" s="2829"/>
      <c r="B59" s="2840" t="s">
        <v>242</v>
      </c>
      <c r="C59" s="3777" t="s">
        <v>101</v>
      </c>
      <c r="D59" s="3777"/>
      <c r="E59" s="3777"/>
      <c r="F59" s="3777" t="s">
        <v>102</v>
      </c>
      <c r="G59" s="3777"/>
      <c r="H59" s="3777"/>
    </row>
    <row r="62" spans="1:8" s="2448" customFormat="1" x14ac:dyDescent="0.25">
      <c r="C62" s="2446"/>
      <c r="D62" s="2447">
        <f>D24*1.2</f>
        <v>10022.321747918009</v>
      </c>
      <c r="E62" s="2447">
        <f>E24*1.2</f>
        <v>0</v>
      </c>
      <c r="F62" s="2447">
        <f>F24*1.2</f>
        <v>0</v>
      </c>
      <c r="G62" s="2447">
        <f>G24*1.2</f>
        <v>0</v>
      </c>
      <c r="H62" s="2447">
        <f>H24*1.2</f>
        <v>10022.321747918009</v>
      </c>
    </row>
  </sheetData>
  <mergeCells count="16">
    <mergeCell ref="C58:E58"/>
    <mergeCell ref="F58:H58"/>
    <mergeCell ref="C59:E59"/>
    <mergeCell ref="F59:H59"/>
    <mergeCell ref="E1:H1"/>
    <mergeCell ref="B5:H5"/>
    <mergeCell ref="B7:H7"/>
    <mergeCell ref="A8:H8"/>
    <mergeCell ref="A9:A10"/>
    <mergeCell ref="B9:B10"/>
    <mergeCell ref="C9:C10"/>
    <mergeCell ref="D9:D10"/>
    <mergeCell ref="E9:H9"/>
    <mergeCell ref="E2:H2"/>
    <mergeCell ref="A6:H6"/>
    <mergeCell ref="A58:B58"/>
  </mergeCells>
  <conditionalFormatting sqref="B1:B4">
    <cfRule type="containsText" dxfId="45" priority="1" operator="containsText" text="Для корек">
      <formula>NOT(ISERROR(SEARCH("Для корек",B1)))</formula>
    </cfRule>
  </conditionalFormatting>
  <pageMargins left="0.78740157480314965" right="0.39370078740157483" top="0.59055118110236227" bottom="0.23622047244094491" header="0.62992125984251968" footer="0.23622047244094491"/>
  <pageSetup paperSize="9" scale="84" fitToHeight="0" orientation="portrait" r:id="rId1"/>
  <headerFooter differentFirst="1">
    <oddHeader>&amp;Rпродовження додатку 5.1</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84</vt:i4>
      </vt:variant>
      <vt:variant>
        <vt:lpstr>Іменовані діапазони</vt:lpstr>
      </vt:variant>
      <vt:variant>
        <vt:i4>74</vt:i4>
      </vt:variant>
    </vt:vector>
  </HeadingPairs>
  <TitlesOfParts>
    <vt:vector size="158" baseType="lpstr">
      <vt:lpstr>Вхідні дані</vt:lpstr>
      <vt:lpstr>Д 1_Заява</vt:lpstr>
      <vt:lpstr>КОНТРОЛЬ</vt:lpstr>
      <vt:lpstr>Д 2_Т на В</vt:lpstr>
      <vt:lpstr>Д 3_Т на Т з ЦТП</vt:lpstr>
      <vt:lpstr>Д 3.1_Т на Т без ЦТП</vt:lpstr>
      <vt:lpstr>Д 4_Т на П</vt:lpstr>
      <vt:lpstr>Д 5 Т на ТЕ з ЦТП</vt:lpstr>
      <vt:lpstr>Д 5.1 Т на ТЕ без ЦТП</vt:lpstr>
      <vt:lpstr>Д 6_Втрати</vt:lpstr>
      <vt:lpstr>Д 7_РП</vt:lpstr>
      <vt:lpstr>Д 8_Паливо</vt:lpstr>
      <vt:lpstr>Д 9_ЕЕ</vt:lpstr>
      <vt:lpstr>Д 10</vt:lpstr>
      <vt:lpstr>Д 11</vt:lpstr>
      <vt:lpstr>Д 13_12</vt:lpstr>
      <vt:lpstr>Д 14</vt:lpstr>
      <vt:lpstr>Д 15_13_Реєстр</vt:lpstr>
      <vt:lpstr>Розрахунки Річного плану</vt:lpstr>
      <vt:lpstr>Ср. за 5 лет</vt:lpstr>
      <vt:lpstr>Виробництво_Транспортування_1ст</vt:lpstr>
      <vt:lpstr>ТР_КА 1-2</vt:lpstr>
      <vt:lpstr>Постачання_1ст</vt:lpstr>
      <vt:lpstr>ЗВВ_1ст</vt:lpstr>
      <vt:lpstr>Адміністративні_1ст</vt:lpstr>
      <vt:lpstr>БАЗИ РОЗПОДІЛУ</vt:lpstr>
      <vt:lpstr>ТЕ_1ст_вих</vt:lpstr>
      <vt:lpstr>Покриття втрат в мережах</vt:lpstr>
      <vt:lpstr>2-х став на одиницю</vt:lpstr>
      <vt:lpstr>распределение</vt:lpstr>
      <vt:lpstr>Рішення 1Д</vt:lpstr>
      <vt:lpstr>Рішення 2Д</vt:lpstr>
      <vt:lpstr>Рішення 3Д</vt:lpstr>
      <vt:lpstr>Рішення 4Д</vt:lpstr>
      <vt:lpstr>Рішення 5Д</vt:lpstr>
      <vt:lpstr>Рішення 6Д</vt:lpstr>
      <vt:lpstr>Рішення 7Д</vt:lpstr>
      <vt:lpstr>Структура тарифу</vt:lpstr>
      <vt:lpstr>Порівняння структур</vt:lpstr>
      <vt:lpstr>Зв'язок</vt:lpstr>
      <vt:lpstr>ПММ</vt:lpstr>
      <vt:lpstr>ОП</vt:lpstr>
      <vt:lpstr>ФОП</vt:lpstr>
      <vt:lpstr>Амортизація</vt:lpstr>
      <vt:lpstr>Утилизація</vt:lpstr>
      <vt:lpstr>Страхування</vt:lpstr>
      <vt:lpstr>ТО</vt:lpstr>
      <vt:lpstr>Періодичні видання</vt:lpstr>
      <vt:lpstr>Котел-повірка Юст</vt:lpstr>
      <vt:lpstr>Абон обсл 2021-22</vt:lpstr>
      <vt:lpstr>гран розмір</vt:lpstr>
      <vt:lpstr>Профпослуги2</vt:lpstr>
      <vt:lpstr>Запчастини</vt:lpstr>
      <vt:lpstr>по городам</vt:lpstr>
      <vt:lpstr>СВЕДЕНО_И</vt:lpstr>
      <vt:lpstr>сведено</vt:lpstr>
      <vt:lpstr>стр_тар_1 Гкал</vt:lpstr>
      <vt:lpstr>структури %</vt:lpstr>
      <vt:lpstr>інвестпрограма</vt:lpstr>
      <vt:lpstr>Сравнение 1 и 2 </vt:lpstr>
      <vt:lpstr>прибуток</vt:lpstr>
      <vt:lpstr>АО</vt:lpstr>
      <vt:lpstr>ВКО</vt:lpstr>
      <vt:lpstr>Примечания</vt:lpstr>
      <vt:lpstr>СПЕЦХАРЧ</vt:lpstr>
      <vt:lpstr>Ремонт</vt:lpstr>
      <vt:lpstr>Профпослуги</vt:lpstr>
      <vt:lpstr>Картріджі</vt:lpstr>
      <vt:lpstr>Ціна ее</vt:lpstr>
      <vt:lpstr>Ціна газ</vt:lpstr>
      <vt:lpstr>Коригування витрат</vt:lpstr>
      <vt:lpstr>ВОДА</vt:lpstr>
      <vt:lpstr>ТО ТЗ</vt:lpstr>
      <vt:lpstr>Техконтроль ТЗ</vt:lpstr>
      <vt:lpstr>Додаток 1 до рішення</vt:lpstr>
      <vt:lpstr>Додаток 2 до рішення</vt:lpstr>
      <vt:lpstr>Додаток 3 до рішення</vt:lpstr>
      <vt:lpstr>Додаток 4 до рішення</vt:lpstr>
      <vt:lpstr>Додаток 5 до рішення</vt:lpstr>
      <vt:lpstr>Додаток 6 до рішення</vt:lpstr>
      <vt:lpstr>Додаток 10 до рішення</vt:lpstr>
      <vt:lpstr>Додаток 11 до рішення</vt:lpstr>
      <vt:lpstr>Додаток 7 до рішення</vt:lpstr>
      <vt:lpstr>Додаток 8 до рішення</vt:lpstr>
      <vt:lpstr>Адміністративні_1ст!Заголовки_для_друку</vt:lpstr>
      <vt:lpstr>Виробництво_Транспортування_1ст!Заголовки_для_друку</vt:lpstr>
      <vt:lpstr>'Д 10'!Заголовки_для_друку</vt:lpstr>
      <vt:lpstr>'Д 13_12'!Заголовки_для_друку</vt:lpstr>
      <vt:lpstr>'Д 2_Т на В'!Заголовки_для_друку</vt:lpstr>
      <vt:lpstr>'Д 3.1_Т на Т без ЦТП'!Заголовки_для_друку</vt:lpstr>
      <vt:lpstr>'Д 3_Т на Т з ЦТП'!Заголовки_для_друку</vt:lpstr>
      <vt:lpstr>'Д 5 Т на ТЕ з ЦТП'!Заголовки_для_друку</vt:lpstr>
      <vt:lpstr>'Д 5.1 Т на ТЕ без ЦТП'!Заголовки_для_друку</vt:lpstr>
      <vt:lpstr>'Д 7_РП'!Заголовки_для_друку</vt:lpstr>
      <vt:lpstr>'Д 8_Паливо'!Заголовки_для_друку</vt:lpstr>
      <vt:lpstr>'Д 9_ЕЕ'!Заголовки_для_друку</vt:lpstr>
      <vt:lpstr>ЗВВ_1ст!Заголовки_для_друку</vt:lpstr>
      <vt:lpstr>ОП!Заголовки_для_друку</vt:lpstr>
      <vt:lpstr>'Рішення 3Д'!Заголовки_для_друку</vt:lpstr>
      <vt:lpstr>'Рішення 4Д'!Заголовки_для_друку</vt:lpstr>
      <vt:lpstr>'Рішення 5Д'!Заголовки_для_друку</vt:lpstr>
      <vt:lpstr>'Рішення 6Д'!Заголовки_для_друку</vt:lpstr>
      <vt:lpstr>'Розрахунки Річного плану'!Заголовки_для_друку</vt:lpstr>
      <vt:lpstr>Адміністративні_1ст!Область_друку</vt:lpstr>
      <vt:lpstr>Амортизація!Область_друку</vt:lpstr>
      <vt:lpstr>'БАЗИ РОЗПОДІЛУ'!Область_друку</vt:lpstr>
      <vt:lpstr>Виробництво_Транспортування_1ст!Область_друку</vt:lpstr>
      <vt:lpstr>ВОДА!Область_друку</vt:lpstr>
      <vt:lpstr>'Вхідні дані'!Область_друку</vt:lpstr>
      <vt:lpstr>'Д 1_Заява'!Область_друку</vt:lpstr>
      <vt:lpstr>'Д 10'!Область_друку</vt:lpstr>
      <vt:lpstr>'Д 13_12'!Область_друку</vt:lpstr>
      <vt:lpstr>'Д 15_13_Реєстр'!Область_друку</vt:lpstr>
      <vt:lpstr>'Д 2_Т на В'!Область_друку</vt:lpstr>
      <vt:lpstr>'Д 3.1_Т на Т без ЦТП'!Область_друку</vt:lpstr>
      <vt:lpstr>'Д 3_Т на Т з ЦТП'!Область_друку</vt:lpstr>
      <vt:lpstr>'Д 4_Т на П'!Область_друку</vt:lpstr>
      <vt:lpstr>'Д 5 Т на ТЕ з ЦТП'!Область_друку</vt:lpstr>
      <vt:lpstr>'Д 5.1 Т на ТЕ без ЦТП'!Область_друку</vt:lpstr>
      <vt:lpstr>'Д 6_Втрати'!Область_друку</vt:lpstr>
      <vt:lpstr>'Д 7_РП'!Область_друку</vt:lpstr>
      <vt:lpstr>'Д 8_Паливо'!Область_друку</vt:lpstr>
      <vt:lpstr>'Д 9_ЕЕ'!Область_друку</vt:lpstr>
      <vt:lpstr>'Додаток 1 до рішення'!Область_друку</vt:lpstr>
      <vt:lpstr>'Додаток 10 до рішення'!Область_друку</vt:lpstr>
      <vt:lpstr>'Додаток 11 до рішення'!Область_друку</vt:lpstr>
      <vt:lpstr>'Додаток 2 до рішення'!Область_друку</vt:lpstr>
      <vt:lpstr>'Додаток 3 до рішення'!Область_друку</vt:lpstr>
      <vt:lpstr>'Додаток 4 до рішення'!Область_друку</vt:lpstr>
      <vt:lpstr>'Додаток 5 до рішення'!Область_друку</vt:lpstr>
      <vt:lpstr>'Додаток 6 до рішення'!Область_друку</vt:lpstr>
      <vt:lpstr>'Додаток 7 до рішення'!Область_друку</vt:lpstr>
      <vt:lpstr>'Додаток 8 до рішення'!Область_друку</vt:lpstr>
      <vt:lpstr>ЗВВ_1ст!Область_друку</vt:lpstr>
      <vt:lpstr>'Зв''язок'!Область_друку</vt:lpstr>
      <vt:lpstr>Картріджі!Область_друку</vt:lpstr>
      <vt:lpstr>ОП!Область_друку</vt:lpstr>
      <vt:lpstr>'Періодичні видання'!Область_друку</vt:lpstr>
      <vt:lpstr>ПММ!Область_друку</vt:lpstr>
      <vt:lpstr>'Покриття втрат в мережах'!Область_друку</vt:lpstr>
      <vt:lpstr>'Порівняння структур'!Область_друку</vt:lpstr>
      <vt:lpstr>Постачання_1ст!Область_друку</vt:lpstr>
      <vt:lpstr>Профпослуги!Область_друку</vt:lpstr>
      <vt:lpstr>распределение!Область_друку</vt:lpstr>
      <vt:lpstr>Ремонт!Область_друку</vt:lpstr>
      <vt:lpstr>'Рішення 3Д'!Область_друку</vt:lpstr>
      <vt:lpstr>'Рішення 4Д'!Область_друку</vt:lpstr>
      <vt:lpstr>'Рішення 5Д'!Область_друку</vt:lpstr>
      <vt:lpstr>'Рішення 6Д'!Область_друку</vt:lpstr>
      <vt:lpstr>сведено!Область_друку</vt:lpstr>
      <vt:lpstr>СВЕДЕНО_И!Область_друку</vt:lpstr>
      <vt:lpstr>'структури %'!Область_друку</vt:lpstr>
      <vt:lpstr>ТЕ_1ст_вих!Область_друку</vt:lpstr>
      <vt:lpstr>'Техконтроль ТЗ'!Область_друку</vt:lpstr>
      <vt:lpstr>'ТО ТЗ'!Область_друку</vt:lpstr>
      <vt:lpstr>Утилизація!Область_друку</vt:lpstr>
      <vt:lpstr>ФОП!Область_друку</vt:lpstr>
      <vt:lpstr>'Ціна ее'!Область_друку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2023-10-06T12:09:35Z</dcterms:modified>
</cp:coreProperties>
</file>